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atrick\Documents\DS\"/>
    </mc:Choice>
  </mc:AlternateContent>
  <bookViews>
    <workbookView xWindow="0" yWindow="0" windowWidth="20490" windowHeight="8340" tabRatio="795" firstSheet="1" activeTab="1"/>
  </bookViews>
  <sheets>
    <sheet name="Overview" sheetId="33" r:id="rId1"/>
    <sheet name="Construction Planner" sheetId="7" r:id="rId2"/>
    <sheet name="Formatierung" sheetId="32" r:id="rId3"/>
    <sheet name="Farm Planner" sheetId="34" r:id="rId4"/>
    <sheet name="Angriffsplaner_Abschickzeiten" sheetId="36" r:id="rId5"/>
    <sheet name="Angriffsplaner_Laufzeiten" sheetId="35" r:id="rId6"/>
    <sheet name="Noble Planner" sheetId="18" r:id="rId7"/>
    <sheet name="Recruting planner" sheetId="9" r:id="rId8"/>
    <sheet name="Village Planner" sheetId="28" r:id="rId9"/>
    <sheet name="Laufzeitrechner" sheetId="25" r:id="rId10"/>
    <sheet name="Bashpointrechner" sheetId="26" r:id="rId11"/>
    <sheet name="Techs times" sheetId="11" r:id="rId12"/>
    <sheet name="Amortisierung Minen" sheetId="27" r:id="rId13"/>
    <sheet name="Ram table" sheetId="17" r:id="rId14"/>
    <sheet name="Catapult table" sheetId="14" r:id="rId15"/>
    <sheet name="Catapult table_surviving" sheetId="30" r:id="rId16"/>
    <sheet name="Moralrechner" sheetId="31" r:id="rId17"/>
    <sheet name="Bauernhofregel" sheetId="15" r:id="rId18"/>
    <sheet name="Simulator alt" sheetId="24" r:id="rId19"/>
    <sheet name="Simulator neu" sheetId="23" state="hidden" r:id="rId20"/>
    <sheet name="Construction Times" sheetId="1" r:id="rId21"/>
    <sheet name="Construction Costs (timber)" sheetId="2" r:id="rId22"/>
    <sheet name="Construction Costs (clay)" sheetId="4" r:id="rId23"/>
    <sheet name="Construction Costs (iron)" sheetId="3" r:id="rId24"/>
    <sheet name="Villagers" sheetId="5" r:id="rId25"/>
    <sheet name="Points" sheetId="29" r:id="rId26"/>
    <sheet name="Miscelaneous" sheetId="6" r:id="rId27"/>
    <sheet name="Unit information" sheetId="8" r:id="rId28"/>
    <sheet name="Translation" sheetId="19" r:id="rId29"/>
  </sheets>
  <definedNames>
    <definedName name="_xlnm._FilterDatabase" localSheetId="4" hidden="1">Angriffsplaner_Abschickzeiten!$A$6:$P$79</definedName>
    <definedName name="_xlnm._FilterDatabase" localSheetId="5" hidden="1">Angriffsplaner_Laufzeiten!$A$6:$P$79</definedName>
  </definedNames>
  <calcPr calcId="152511"/>
</workbook>
</file>

<file path=xl/calcChain.xml><?xml version="1.0" encoding="utf-8"?>
<calcChain xmlns="http://schemas.openxmlformats.org/spreadsheetml/2006/main">
  <c r="D1" i="36" l="1"/>
  <c r="D1" i="35"/>
  <c r="G74" i="36" l="1"/>
  <c r="M69" i="36"/>
  <c r="E65" i="36"/>
  <c r="H61" i="36"/>
  <c r="O59" i="36"/>
  <c r="G58" i="36"/>
  <c r="N56" i="36"/>
  <c r="H55" i="36"/>
  <c r="F54" i="36"/>
  <c r="D53" i="36"/>
  <c r="P51" i="36"/>
  <c r="N50" i="36"/>
  <c r="L49" i="36"/>
  <c r="J48" i="36"/>
  <c r="H47" i="36"/>
  <c r="F46" i="36"/>
  <c r="D45" i="36"/>
  <c r="P43" i="36"/>
  <c r="N42" i="36"/>
  <c r="O41" i="36"/>
  <c r="L41" i="36"/>
  <c r="M40" i="36"/>
  <c r="J40" i="36"/>
  <c r="O39" i="36"/>
  <c r="N39" i="36"/>
  <c r="D39" i="36"/>
  <c r="C39" i="36"/>
  <c r="H38" i="36"/>
  <c r="F38" i="36"/>
  <c r="K37" i="36"/>
  <c r="J37" i="36"/>
  <c r="N36" i="36"/>
  <c r="M36" i="36"/>
  <c r="D36" i="36"/>
  <c r="P35" i="36"/>
  <c r="G35" i="36"/>
  <c r="F35" i="36"/>
  <c r="K34" i="36"/>
  <c r="J34" i="36"/>
  <c r="C34" i="36"/>
  <c r="P33" i="36"/>
  <c r="I33" i="36"/>
  <c r="H33" i="36"/>
  <c r="O32" i="36"/>
  <c r="N32" i="36"/>
  <c r="G32" i="36"/>
  <c r="F32" i="36"/>
  <c r="M31" i="36"/>
  <c r="L31" i="36"/>
  <c r="E31" i="36"/>
  <c r="D31" i="36"/>
  <c r="K30" i="36"/>
  <c r="J30" i="36"/>
  <c r="C30" i="36"/>
  <c r="P29" i="36"/>
  <c r="I29" i="36"/>
  <c r="H29" i="36"/>
  <c r="O28" i="36"/>
  <c r="N28" i="36"/>
  <c r="G28" i="36"/>
  <c r="F28" i="36"/>
  <c r="M27" i="36"/>
  <c r="L27" i="36"/>
  <c r="H27" i="36"/>
  <c r="F27" i="36"/>
  <c r="P26" i="36"/>
  <c r="O26" i="36"/>
  <c r="L26" i="36"/>
  <c r="K26" i="36"/>
  <c r="H26" i="36"/>
  <c r="G26" i="36"/>
  <c r="D26" i="36"/>
  <c r="C26" i="36"/>
  <c r="N25" i="36"/>
  <c r="M25" i="36"/>
  <c r="J25" i="36"/>
  <c r="I25" i="36"/>
  <c r="F25" i="36"/>
  <c r="E25" i="36"/>
  <c r="P24" i="36"/>
  <c r="O24" i="36"/>
  <c r="L24" i="36"/>
  <c r="K24" i="36"/>
  <c r="H24" i="36"/>
  <c r="G24" i="36"/>
  <c r="D24" i="36"/>
  <c r="C24" i="36"/>
  <c r="N23" i="36"/>
  <c r="M23" i="36"/>
  <c r="J23" i="36"/>
  <c r="I23" i="36"/>
  <c r="F23" i="36"/>
  <c r="E23" i="36"/>
  <c r="P22" i="36"/>
  <c r="O22" i="36"/>
  <c r="L22" i="36"/>
  <c r="K22" i="36"/>
  <c r="H22" i="36"/>
  <c r="G22" i="36"/>
  <c r="D22" i="36"/>
  <c r="C22" i="36"/>
  <c r="N21" i="36"/>
  <c r="M21" i="36"/>
  <c r="J21" i="36"/>
  <c r="I21" i="36"/>
  <c r="F21" i="36"/>
  <c r="E21" i="36"/>
  <c r="P20" i="36"/>
  <c r="O20" i="36"/>
  <c r="L20" i="36"/>
  <c r="K20" i="36"/>
  <c r="H20" i="36"/>
  <c r="G20" i="36"/>
  <c r="D20" i="36"/>
  <c r="C20" i="36"/>
  <c r="N19" i="36"/>
  <c r="M19" i="36"/>
  <c r="J19" i="36"/>
  <c r="I19" i="36"/>
  <c r="F19" i="36"/>
  <c r="E19" i="36"/>
  <c r="P18" i="36"/>
  <c r="O18" i="36"/>
  <c r="L18" i="36"/>
  <c r="K18" i="36"/>
  <c r="H18" i="36"/>
  <c r="G18" i="36"/>
  <c r="D18" i="36"/>
  <c r="C18" i="36"/>
  <c r="N17" i="36"/>
  <c r="M17" i="36"/>
  <c r="J17" i="36"/>
  <c r="I17" i="36"/>
  <c r="F17" i="36"/>
  <c r="E17" i="36"/>
  <c r="P16" i="36"/>
  <c r="O16" i="36"/>
  <c r="L16" i="36"/>
  <c r="K16" i="36"/>
  <c r="H16" i="36"/>
  <c r="G16" i="36"/>
  <c r="D16" i="36"/>
  <c r="C16" i="36"/>
  <c r="N15" i="36"/>
  <c r="M15" i="36"/>
  <c r="J15" i="36"/>
  <c r="I15" i="36"/>
  <c r="F15" i="36"/>
  <c r="E15" i="36"/>
  <c r="P14" i="36"/>
  <c r="O14" i="36"/>
  <c r="L14" i="36"/>
  <c r="K14" i="36"/>
  <c r="H14" i="36"/>
  <c r="G14" i="36"/>
  <c r="D14" i="36"/>
  <c r="C14" i="36"/>
  <c r="N13" i="36"/>
  <c r="M13" i="36"/>
  <c r="J13" i="36"/>
  <c r="I13" i="36"/>
  <c r="F13" i="36"/>
  <c r="E13" i="36"/>
  <c r="P12" i="36"/>
  <c r="O12" i="36"/>
  <c r="L12" i="36"/>
  <c r="K12" i="36"/>
  <c r="H12" i="36"/>
  <c r="G12" i="36"/>
  <c r="D12" i="36"/>
  <c r="C12" i="36"/>
  <c r="N11" i="36"/>
  <c r="M11" i="36"/>
  <c r="J11" i="36"/>
  <c r="I11" i="36"/>
  <c r="F11" i="36"/>
  <c r="E11" i="36"/>
  <c r="P10" i="36"/>
  <c r="O10" i="36"/>
  <c r="L10" i="36"/>
  <c r="K10" i="36"/>
  <c r="H10" i="36"/>
  <c r="G10" i="36"/>
  <c r="D10" i="36"/>
  <c r="C10" i="36"/>
  <c r="N9" i="36"/>
  <c r="M9" i="36"/>
  <c r="J9" i="36"/>
  <c r="I9" i="36"/>
  <c r="F9" i="36"/>
  <c r="E9" i="36"/>
  <c r="P8" i="36"/>
  <c r="O8" i="36"/>
  <c r="L8" i="36"/>
  <c r="K8" i="36"/>
  <c r="H8" i="36"/>
  <c r="G8" i="36"/>
  <c r="D8" i="36"/>
  <c r="C8" i="36"/>
  <c r="N7" i="36"/>
  <c r="M7" i="36"/>
  <c r="J7" i="36"/>
  <c r="I7" i="36"/>
  <c r="F7" i="36"/>
  <c r="E7" i="36"/>
  <c r="I2" i="36"/>
  <c r="I3" i="36" s="1"/>
  <c r="I1" i="36"/>
  <c r="I2" i="35"/>
  <c r="I1" i="35"/>
  <c r="P79" i="36" l="1"/>
  <c r="L79" i="36"/>
  <c r="H79" i="36"/>
  <c r="D79" i="36"/>
  <c r="N78" i="36"/>
  <c r="J78" i="36"/>
  <c r="F78" i="36"/>
  <c r="P77" i="36"/>
  <c r="L77" i="36"/>
  <c r="H77" i="36"/>
  <c r="D77" i="36"/>
  <c r="N76" i="36"/>
  <c r="J76" i="36"/>
  <c r="F76" i="36"/>
  <c r="P75" i="36"/>
  <c r="L75" i="36"/>
  <c r="H75" i="36"/>
  <c r="D75" i="36"/>
  <c r="N74" i="36"/>
  <c r="J74" i="36"/>
  <c r="F74" i="36"/>
  <c r="P73" i="36"/>
  <c r="L73" i="36"/>
  <c r="H73" i="36"/>
  <c r="D73" i="36"/>
  <c r="N72" i="36"/>
  <c r="J72" i="36"/>
  <c r="F72" i="36"/>
  <c r="P71" i="36"/>
  <c r="L71" i="36"/>
  <c r="H71" i="36"/>
  <c r="D71" i="36"/>
  <c r="N70" i="36"/>
  <c r="J70" i="36"/>
  <c r="F70" i="36"/>
  <c r="P69" i="36"/>
  <c r="L69" i="36"/>
  <c r="H69" i="36"/>
  <c r="D69" i="36"/>
  <c r="N68" i="36"/>
  <c r="J68" i="36"/>
  <c r="F68" i="36"/>
  <c r="P67" i="36"/>
  <c r="L67" i="36"/>
  <c r="H67" i="36"/>
  <c r="D67" i="36"/>
  <c r="N66" i="36"/>
  <c r="J66" i="36"/>
  <c r="F66" i="36"/>
  <c r="P65" i="36"/>
  <c r="L65" i="36"/>
  <c r="H65" i="36"/>
  <c r="D65" i="36"/>
  <c r="N64" i="36"/>
  <c r="J64" i="36"/>
  <c r="F64" i="36"/>
  <c r="P63" i="36"/>
  <c r="L63" i="36"/>
  <c r="H63" i="36"/>
  <c r="D63" i="36"/>
  <c r="N62" i="36"/>
  <c r="J62" i="36"/>
  <c r="F62" i="36"/>
  <c r="P61" i="36"/>
  <c r="O79" i="36"/>
  <c r="K79" i="36"/>
  <c r="G79" i="36"/>
  <c r="C79" i="36"/>
  <c r="M78" i="36"/>
  <c r="I78" i="36"/>
  <c r="E78" i="36"/>
  <c r="O77" i="36"/>
  <c r="K77" i="36"/>
  <c r="G77" i="36"/>
  <c r="C77" i="36"/>
  <c r="M76" i="36"/>
  <c r="I76" i="36"/>
  <c r="E76" i="36"/>
  <c r="O75" i="36"/>
  <c r="K75" i="36"/>
  <c r="G75" i="36"/>
  <c r="C75" i="36"/>
  <c r="M74" i="36"/>
  <c r="I74" i="36"/>
  <c r="E74" i="36"/>
  <c r="O73" i="36"/>
  <c r="K73" i="36"/>
  <c r="G73" i="36"/>
  <c r="C73" i="36"/>
  <c r="M72" i="36"/>
  <c r="I72" i="36"/>
  <c r="E72" i="36"/>
  <c r="O71" i="36"/>
  <c r="K71" i="36"/>
  <c r="G71" i="36"/>
  <c r="C71" i="36"/>
  <c r="M70" i="36"/>
  <c r="I70" i="36"/>
  <c r="E70" i="36"/>
  <c r="O69" i="36"/>
  <c r="K69" i="36"/>
  <c r="G69" i="36"/>
  <c r="C69" i="36"/>
  <c r="M68" i="36"/>
  <c r="I68" i="36"/>
  <c r="E68" i="36"/>
  <c r="O67" i="36"/>
  <c r="K67" i="36"/>
  <c r="G67" i="36"/>
  <c r="C67" i="36"/>
  <c r="M66" i="36"/>
  <c r="I66" i="36"/>
  <c r="E66" i="36"/>
  <c r="O65" i="36"/>
  <c r="K65" i="36"/>
  <c r="G65" i="36"/>
  <c r="C65" i="36"/>
  <c r="M64" i="36"/>
  <c r="I64" i="36"/>
  <c r="E64" i="36"/>
  <c r="O63" i="36"/>
  <c r="K63" i="36"/>
  <c r="G63" i="36"/>
  <c r="C63" i="36"/>
  <c r="M62" i="36"/>
  <c r="I62" i="36"/>
  <c r="E62" i="36"/>
  <c r="O61" i="36"/>
  <c r="N79" i="36"/>
  <c r="J79" i="36"/>
  <c r="F79" i="36"/>
  <c r="P78" i="36"/>
  <c r="L78" i="36"/>
  <c r="H78" i="36"/>
  <c r="D78" i="36"/>
  <c r="N77" i="36"/>
  <c r="J77" i="36"/>
  <c r="F77" i="36"/>
  <c r="P76" i="36"/>
  <c r="L76" i="36"/>
  <c r="H76" i="36"/>
  <c r="D76" i="36"/>
  <c r="N75" i="36"/>
  <c r="J75" i="36"/>
  <c r="F75" i="36"/>
  <c r="P74" i="36"/>
  <c r="L74" i="36"/>
  <c r="H74" i="36"/>
  <c r="D74" i="36"/>
  <c r="N73" i="36"/>
  <c r="J73" i="36"/>
  <c r="F73" i="36"/>
  <c r="P72" i="36"/>
  <c r="L72" i="36"/>
  <c r="H72" i="36"/>
  <c r="D72" i="36"/>
  <c r="N71" i="36"/>
  <c r="J71" i="36"/>
  <c r="F71" i="36"/>
  <c r="P70" i="36"/>
  <c r="L70" i="36"/>
  <c r="H70" i="36"/>
  <c r="D70" i="36"/>
  <c r="N69" i="36"/>
  <c r="J69" i="36"/>
  <c r="F69" i="36"/>
  <c r="P68" i="36"/>
  <c r="L68" i="36"/>
  <c r="H68" i="36"/>
  <c r="D68" i="36"/>
  <c r="N67" i="36"/>
  <c r="J67" i="36"/>
  <c r="F67" i="36"/>
  <c r="P66" i="36"/>
  <c r="L66" i="36"/>
  <c r="H66" i="36"/>
  <c r="D66" i="36"/>
  <c r="N65" i="36"/>
  <c r="J65" i="36"/>
  <c r="F65" i="36"/>
  <c r="P64" i="36"/>
  <c r="L64" i="36"/>
  <c r="H64" i="36"/>
  <c r="D64" i="36"/>
  <c r="N63" i="36"/>
  <c r="J63" i="36"/>
  <c r="F63" i="36"/>
  <c r="P62" i="36"/>
  <c r="L62" i="36"/>
  <c r="H62" i="36"/>
  <c r="D62" i="36"/>
  <c r="N61" i="36"/>
  <c r="J61" i="36"/>
  <c r="F61" i="36"/>
  <c r="P60" i="36"/>
  <c r="L60" i="36"/>
  <c r="H60" i="36"/>
  <c r="D60" i="36"/>
  <c r="N59" i="36"/>
  <c r="J59" i="36"/>
  <c r="F59" i="36"/>
  <c r="P58" i="36"/>
  <c r="L58" i="36"/>
  <c r="H58" i="36"/>
  <c r="D58" i="36"/>
  <c r="N57" i="36"/>
  <c r="J57" i="36"/>
  <c r="F57" i="36"/>
  <c r="P56" i="36"/>
  <c r="L56" i="36"/>
  <c r="H56" i="36"/>
  <c r="D56" i="36"/>
  <c r="N55" i="36"/>
  <c r="M79" i="36"/>
  <c r="K78" i="36"/>
  <c r="I79" i="36"/>
  <c r="G78" i="36"/>
  <c r="E77" i="36"/>
  <c r="C76" i="36"/>
  <c r="O74" i="36"/>
  <c r="M73" i="36"/>
  <c r="K72" i="36"/>
  <c r="I71" i="36"/>
  <c r="G70" i="36"/>
  <c r="E69" i="36"/>
  <c r="C68" i="36"/>
  <c r="O66" i="36"/>
  <c r="M65" i="36"/>
  <c r="K64" i="36"/>
  <c r="I63" i="36"/>
  <c r="G62" i="36"/>
  <c r="K61" i="36"/>
  <c r="E61" i="36"/>
  <c r="N60" i="36"/>
  <c r="I60" i="36"/>
  <c r="C60" i="36"/>
  <c r="L59" i="36"/>
  <c r="G59" i="36"/>
  <c r="O58" i="36"/>
  <c r="J58" i="36"/>
  <c r="E58" i="36"/>
  <c r="M57" i="36"/>
  <c r="H57" i="36"/>
  <c r="C57" i="36"/>
  <c r="K56" i="36"/>
  <c r="F56" i="36"/>
  <c r="O55" i="36"/>
  <c r="J55" i="36"/>
  <c r="F55" i="36"/>
  <c r="P54" i="36"/>
  <c r="L54" i="36"/>
  <c r="H54" i="36"/>
  <c r="D54" i="36"/>
  <c r="N53" i="36"/>
  <c r="J53" i="36"/>
  <c r="F53" i="36"/>
  <c r="P52" i="36"/>
  <c r="L52" i="36"/>
  <c r="H52" i="36"/>
  <c r="D52" i="36"/>
  <c r="N51" i="36"/>
  <c r="J51" i="36"/>
  <c r="F51" i="36"/>
  <c r="P50" i="36"/>
  <c r="L50" i="36"/>
  <c r="H50" i="36"/>
  <c r="D50" i="36"/>
  <c r="N49" i="36"/>
  <c r="J49" i="36"/>
  <c r="F49" i="36"/>
  <c r="P48" i="36"/>
  <c r="L48" i="36"/>
  <c r="H48" i="36"/>
  <c r="D48" i="36"/>
  <c r="N47" i="36"/>
  <c r="J47" i="36"/>
  <c r="F47" i="36"/>
  <c r="P46" i="36"/>
  <c r="L46" i="36"/>
  <c r="H46" i="36"/>
  <c r="D46" i="36"/>
  <c r="N45" i="36"/>
  <c r="J45" i="36"/>
  <c r="F45" i="36"/>
  <c r="P44" i="36"/>
  <c r="L44" i="36"/>
  <c r="H44" i="36"/>
  <c r="D44" i="36"/>
  <c r="N43" i="36"/>
  <c r="J43" i="36"/>
  <c r="F43" i="36"/>
  <c r="P42" i="36"/>
  <c r="L42" i="36"/>
  <c r="H42" i="36"/>
  <c r="D42" i="36"/>
  <c r="N41" i="36"/>
  <c r="J41" i="36"/>
  <c r="F41" i="36"/>
  <c r="P40" i="36"/>
  <c r="L40" i="36"/>
  <c r="E79" i="36"/>
  <c r="C78" i="36"/>
  <c r="O76" i="36"/>
  <c r="M75" i="36"/>
  <c r="K74" i="36"/>
  <c r="I73" i="36"/>
  <c r="G72" i="36"/>
  <c r="E71" i="36"/>
  <c r="C70" i="36"/>
  <c r="O68" i="36"/>
  <c r="M67" i="36"/>
  <c r="K66" i="36"/>
  <c r="I65" i="36"/>
  <c r="G64" i="36"/>
  <c r="E63" i="36"/>
  <c r="C62" i="36"/>
  <c r="I61" i="36"/>
  <c r="D61" i="36"/>
  <c r="M60" i="36"/>
  <c r="G60" i="36"/>
  <c r="P59" i="36"/>
  <c r="K59" i="36"/>
  <c r="E59" i="36"/>
  <c r="N58" i="36"/>
  <c r="I58" i="36"/>
  <c r="C58" i="36"/>
  <c r="L57" i="36"/>
  <c r="G57" i="36"/>
  <c r="O56" i="36"/>
  <c r="J56" i="36"/>
  <c r="E56" i="36"/>
  <c r="M55" i="36"/>
  <c r="I55" i="36"/>
  <c r="E55" i="36"/>
  <c r="O54" i="36"/>
  <c r="K54" i="36"/>
  <c r="G54" i="36"/>
  <c r="C54" i="36"/>
  <c r="M53" i="36"/>
  <c r="I53" i="36"/>
  <c r="E53" i="36"/>
  <c r="O52" i="36"/>
  <c r="K52" i="36"/>
  <c r="G52" i="36"/>
  <c r="C52" i="36"/>
  <c r="M51" i="36"/>
  <c r="I51" i="36"/>
  <c r="E51" i="36"/>
  <c r="O50" i="36"/>
  <c r="K50" i="36"/>
  <c r="G50" i="36"/>
  <c r="C50" i="36"/>
  <c r="M49" i="36"/>
  <c r="I49" i="36"/>
  <c r="E49" i="36"/>
  <c r="O48" i="36"/>
  <c r="K48" i="36"/>
  <c r="G48" i="36"/>
  <c r="C48" i="36"/>
  <c r="M47" i="36"/>
  <c r="I47" i="36"/>
  <c r="E47" i="36"/>
  <c r="O46" i="36"/>
  <c r="K46" i="36"/>
  <c r="G46" i="36"/>
  <c r="C46" i="36"/>
  <c r="M45" i="36"/>
  <c r="I45" i="36"/>
  <c r="E45" i="36"/>
  <c r="O44" i="36"/>
  <c r="K44" i="36"/>
  <c r="G44" i="36"/>
  <c r="C44" i="36"/>
  <c r="M43" i="36"/>
  <c r="I43" i="36"/>
  <c r="E43" i="36"/>
  <c r="O42" i="36"/>
  <c r="K42" i="36"/>
  <c r="G42" i="36"/>
  <c r="C42" i="36"/>
  <c r="M41" i="36"/>
  <c r="I41" i="36"/>
  <c r="E41" i="36"/>
  <c r="O40" i="36"/>
  <c r="K40" i="36"/>
  <c r="G40" i="36"/>
  <c r="C40" i="36"/>
  <c r="M39" i="36"/>
  <c r="I39" i="36"/>
  <c r="E39" i="36"/>
  <c r="O38" i="36"/>
  <c r="K38" i="36"/>
  <c r="G38" i="36"/>
  <c r="C38" i="36"/>
  <c r="M37" i="36"/>
  <c r="I37" i="36"/>
  <c r="E37" i="36"/>
  <c r="O36" i="36"/>
  <c r="K36" i="36"/>
  <c r="G36" i="36"/>
  <c r="C36" i="36"/>
  <c r="M35" i="36"/>
  <c r="I35" i="36"/>
  <c r="E35" i="36"/>
  <c r="O34" i="36"/>
  <c r="O78" i="36"/>
  <c r="G76" i="36"/>
  <c r="C74" i="36"/>
  <c r="M71" i="36"/>
  <c r="I69" i="36"/>
  <c r="E67" i="36"/>
  <c r="O64" i="36"/>
  <c r="K62" i="36"/>
  <c r="G61" i="36"/>
  <c r="J60" i="36"/>
  <c r="M59" i="36"/>
  <c r="C59" i="36"/>
  <c r="F58" i="36"/>
  <c r="I57" i="36"/>
  <c r="M56" i="36"/>
  <c r="P55" i="36"/>
  <c r="G55" i="36"/>
  <c r="M54" i="36"/>
  <c r="E54" i="36"/>
  <c r="K53" i="36"/>
  <c r="C53" i="36"/>
  <c r="I52" i="36"/>
  <c r="O51" i="36"/>
  <c r="G51" i="36"/>
  <c r="M50" i="36"/>
  <c r="E50" i="36"/>
  <c r="K49" i="36"/>
  <c r="C49" i="36"/>
  <c r="I48" i="36"/>
  <c r="O47" i="36"/>
  <c r="G47" i="36"/>
  <c r="M46" i="36"/>
  <c r="E46" i="36"/>
  <c r="K45" i="36"/>
  <c r="C45" i="36"/>
  <c r="I44" i="36"/>
  <c r="O43" i="36"/>
  <c r="G43" i="36"/>
  <c r="M42" i="36"/>
  <c r="E42" i="36"/>
  <c r="K41" i="36"/>
  <c r="C41" i="36"/>
  <c r="I40" i="36"/>
  <c r="D40" i="36"/>
  <c r="L39" i="36"/>
  <c r="G39" i="36"/>
  <c r="P38" i="36"/>
  <c r="J38" i="36"/>
  <c r="E38" i="36"/>
  <c r="N37" i="36"/>
  <c r="H37" i="36"/>
  <c r="C37" i="36"/>
  <c r="L36" i="36"/>
  <c r="F36" i="36"/>
  <c r="O35" i="36"/>
  <c r="J35" i="36"/>
  <c r="D35" i="36"/>
  <c r="M34" i="36"/>
  <c r="I34" i="36"/>
  <c r="E34" i="36"/>
  <c r="O33" i="36"/>
  <c r="K33" i="36"/>
  <c r="G33" i="36"/>
  <c r="C33" i="36"/>
  <c r="M32" i="36"/>
  <c r="I32" i="36"/>
  <c r="E32" i="36"/>
  <c r="O31" i="36"/>
  <c r="K31" i="36"/>
  <c r="G31" i="36"/>
  <c r="C31" i="36"/>
  <c r="M30" i="36"/>
  <c r="I30" i="36"/>
  <c r="E30" i="36"/>
  <c r="O29" i="36"/>
  <c r="K29" i="36"/>
  <c r="G29" i="36"/>
  <c r="C29" i="36"/>
  <c r="M28" i="36"/>
  <c r="I28" i="36"/>
  <c r="E28" i="36"/>
  <c r="O27" i="36"/>
  <c r="K27" i="36"/>
  <c r="G27" i="36"/>
  <c r="C27" i="36"/>
  <c r="M77" i="36"/>
  <c r="I75" i="36"/>
  <c r="E73" i="36"/>
  <c r="O70" i="36"/>
  <c r="K68" i="36"/>
  <c r="G66" i="36"/>
  <c r="C64" i="36"/>
  <c r="M61" i="36"/>
  <c r="C61" i="36"/>
  <c r="F60" i="36"/>
  <c r="I59" i="36"/>
  <c r="M58" i="36"/>
  <c r="P57" i="36"/>
  <c r="E57" i="36"/>
  <c r="I56" i="36"/>
  <c r="L55" i="36"/>
  <c r="D55" i="36"/>
  <c r="J54" i="36"/>
  <c r="P53" i="36"/>
  <c r="H53" i="36"/>
  <c r="N52" i="36"/>
  <c r="F52" i="36"/>
  <c r="L51" i="36"/>
  <c r="D51" i="36"/>
  <c r="J50" i="36"/>
  <c r="P49" i="36"/>
  <c r="H49" i="36"/>
  <c r="N48" i="36"/>
  <c r="F48" i="36"/>
  <c r="L47" i="36"/>
  <c r="D47" i="36"/>
  <c r="J46" i="36"/>
  <c r="P45" i="36"/>
  <c r="H45" i="36"/>
  <c r="N44" i="36"/>
  <c r="F44" i="36"/>
  <c r="L43" i="36"/>
  <c r="D43" i="36"/>
  <c r="J42" i="36"/>
  <c r="P41" i="36"/>
  <c r="H41" i="36"/>
  <c r="N40" i="36"/>
  <c r="H40" i="36"/>
  <c r="P39" i="36"/>
  <c r="K39" i="36"/>
  <c r="F39" i="36"/>
  <c r="N38" i="36"/>
  <c r="I38" i="36"/>
  <c r="D38" i="36"/>
  <c r="L37" i="36"/>
  <c r="G37" i="36"/>
  <c r="P36" i="36"/>
  <c r="J36" i="36"/>
  <c r="E36" i="36"/>
  <c r="N35" i="36"/>
  <c r="H35" i="36"/>
  <c r="C35" i="36"/>
  <c r="L34" i="36"/>
  <c r="H34" i="36"/>
  <c r="D34" i="36"/>
  <c r="N33" i="36"/>
  <c r="J33" i="36"/>
  <c r="F33" i="36"/>
  <c r="P32" i="36"/>
  <c r="L32" i="36"/>
  <c r="H32" i="36"/>
  <c r="D32" i="36"/>
  <c r="N31" i="36"/>
  <c r="J31" i="36"/>
  <c r="F31" i="36"/>
  <c r="P30" i="36"/>
  <c r="L30" i="36"/>
  <c r="H30" i="36"/>
  <c r="D30" i="36"/>
  <c r="N29" i="36"/>
  <c r="J29" i="36"/>
  <c r="F29" i="36"/>
  <c r="P28" i="36"/>
  <c r="L28" i="36"/>
  <c r="H28" i="36"/>
  <c r="D28" i="36"/>
  <c r="N27" i="36"/>
  <c r="G7" i="36"/>
  <c r="E8" i="36"/>
  <c r="M8" i="36"/>
  <c r="K9" i="36"/>
  <c r="E10" i="36"/>
  <c r="M10" i="36"/>
  <c r="K11" i="36"/>
  <c r="E12" i="36"/>
  <c r="C13" i="36"/>
  <c r="K13" i="36"/>
  <c r="E14" i="36"/>
  <c r="C15" i="36"/>
  <c r="O15" i="36"/>
  <c r="I16" i="36"/>
  <c r="C17" i="36"/>
  <c r="G17" i="36"/>
  <c r="K17" i="36"/>
  <c r="O17" i="36"/>
  <c r="E18" i="36"/>
  <c r="I18" i="36"/>
  <c r="M18" i="36"/>
  <c r="C19" i="36"/>
  <c r="G19" i="36"/>
  <c r="K19" i="36"/>
  <c r="O19" i="36"/>
  <c r="E20" i="36"/>
  <c r="I20" i="36"/>
  <c r="M20" i="36"/>
  <c r="C21" i="36"/>
  <c r="G21" i="36"/>
  <c r="K21" i="36"/>
  <c r="O21" i="36"/>
  <c r="E22" i="36"/>
  <c r="I22" i="36"/>
  <c r="M22" i="36"/>
  <c r="C23" i="36"/>
  <c r="G23" i="36"/>
  <c r="K23" i="36"/>
  <c r="O23" i="36"/>
  <c r="E24" i="36"/>
  <c r="I24" i="36"/>
  <c r="M24" i="36"/>
  <c r="C25" i="36"/>
  <c r="G25" i="36"/>
  <c r="K25" i="36"/>
  <c r="O25" i="36"/>
  <c r="E26" i="36"/>
  <c r="I26" i="36"/>
  <c r="M26" i="36"/>
  <c r="D27" i="36"/>
  <c r="I27" i="36"/>
  <c r="P27" i="36"/>
  <c r="J28" i="36"/>
  <c r="D29" i="36"/>
  <c r="L29" i="36"/>
  <c r="F30" i="36"/>
  <c r="N30" i="36"/>
  <c r="H31" i="36"/>
  <c r="P31" i="36"/>
  <c r="J32" i="36"/>
  <c r="D33" i="36"/>
  <c r="L33" i="36"/>
  <c r="F34" i="36"/>
  <c r="N34" i="36"/>
  <c r="K35" i="36"/>
  <c r="H36" i="36"/>
  <c r="D37" i="36"/>
  <c r="O37" i="36"/>
  <c r="L38" i="36"/>
  <c r="H39" i="36"/>
  <c r="E40" i="36"/>
  <c r="D41" i="36"/>
  <c r="F42" i="36"/>
  <c r="H43" i="36"/>
  <c r="J44" i="36"/>
  <c r="L45" i="36"/>
  <c r="N46" i="36"/>
  <c r="P47" i="36"/>
  <c r="D49" i="36"/>
  <c r="F50" i="36"/>
  <c r="H51" i="36"/>
  <c r="J52" i="36"/>
  <c r="L53" i="36"/>
  <c r="N54" i="36"/>
  <c r="C56" i="36"/>
  <c r="K57" i="36"/>
  <c r="D59" i="36"/>
  <c r="K60" i="36"/>
  <c r="O62" i="36"/>
  <c r="I67" i="36"/>
  <c r="C72" i="36"/>
  <c r="K76" i="36"/>
  <c r="C43" i="36"/>
  <c r="E44" i="36"/>
  <c r="G45" i="36"/>
  <c r="I46" i="36"/>
  <c r="K47" i="36"/>
  <c r="M48" i="36"/>
  <c r="O49" i="36"/>
  <c r="C51" i="36"/>
  <c r="E52" i="36"/>
  <c r="G53" i="36"/>
  <c r="I54" i="36"/>
  <c r="K55" i="36"/>
  <c r="D57" i="36"/>
  <c r="K58" i="36"/>
  <c r="E60" i="36"/>
  <c r="L61" i="36"/>
  <c r="C66" i="36"/>
  <c r="K70" i="36"/>
  <c r="E75" i="36"/>
  <c r="C7" i="36"/>
  <c r="K7" i="36"/>
  <c r="O7" i="36"/>
  <c r="I8" i="36"/>
  <c r="C9" i="36"/>
  <c r="G9" i="36"/>
  <c r="O9" i="36"/>
  <c r="I10" i="36"/>
  <c r="C11" i="36"/>
  <c r="G11" i="36"/>
  <c r="O11" i="36"/>
  <c r="I12" i="36"/>
  <c r="M12" i="36"/>
  <c r="G13" i="36"/>
  <c r="O13" i="36"/>
  <c r="I14" i="36"/>
  <c r="M14" i="36"/>
  <c r="G15" i="36"/>
  <c r="K15" i="36"/>
  <c r="E16" i="36"/>
  <c r="M16" i="36"/>
  <c r="D7" i="36"/>
  <c r="H7" i="36"/>
  <c r="L7" i="36"/>
  <c r="P7" i="36"/>
  <c r="F8" i="36"/>
  <c r="J8" i="36"/>
  <c r="N8" i="36"/>
  <c r="D9" i="36"/>
  <c r="H9" i="36"/>
  <c r="L9" i="36"/>
  <c r="P9" i="36"/>
  <c r="F10" i="36"/>
  <c r="J10" i="36"/>
  <c r="N10" i="36"/>
  <c r="D11" i="36"/>
  <c r="H11" i="36"/>
  <c r="L11" i="36"/>
  <c r="P11" i="36"/>
  <c r="F12" i="36"/>
  <c r="J12" i="36"/>
  <c r="N12" i="36"/>
  <c r="D13" i="36"/>
  <c r="H13" i="36"/>
  <c r="L13" i="36"/>
  <c r="P13" i="36"/>
  <c r="F14" i="36"/>
  <c r="J14" i="36"/>
  <c r="N14" i="36"/>
  <c r="D15" i="36"/>
  <c r="H15" i="36"/>
  <c r="L15" i="36"/>
  <c r="P15" i="36"/>
  <c r="F16" i="36"/>
  <c r="J16" i="36"/>
  <c r="N16" i="36"/>
  <c r="D17" i="36"/>
  <c r="H17" i="36"/>
  <c r="L17" i="36"/>
  <c r="P17" i="36"/>
  <c r="F18" i="36"/>
  <c r="J18" i="36"/>
  <c r="N18" i="36"/>
  <c r="D19" i="36"/>
  <c r="H19" i="36"/>
  <c r="L19" i="36"/>
  <c r="P19" i="36"/>
  <c r="F20" i="36"/>
  <c r="J20" i="36"/>
  <c r="N20" i="36"/>
  <c r="D21" i="36"/>
  <c r="H21" i="36"/>
  <c r="L21" i="36"/>
  <c r="P21" i="36"/>
  <c r="F22" i="36"/>
  <c r="J22" i="36"/>
  <c r="N22" i="36"/>
  <c r="D23" i="36"/>
  <c r="H23" i="36"/>
  <c r="L23" i="36"/>
  <c r="P23" i="36"/>
  <c r="F24" i="36"/>
  <c r="J24" i="36"/>
  <c r="N24" i="36"/>
  <c r="D25" i="36"/>
  <c r="H25" i="36"/>
  <c r="L25" i="36"/>
  <c r="P25" i="36"/>
  <c r="F26" i="36"/>
  <c r="J26" i="36"/>
  <c r="N26" i="36"/>
  <c r="E27" i="36"/>
  <c r="J27" i="36"/>
  <c r="C28" i="36"/>
  <c r="K28" i="36"/>
  <c r="E29" i="36"/>
  <c r="M29" i="36"/>
  <c r="G30" i="36"/>
  <c r="O30" i="36"/>
  <c r="I31" i="36"/>
  <c r="C32" i="36"/>
  <c r="K32" i="36"/>
  <c r="E33" i="36"/>
  <c r="M33" i="36"/>
  <c r="G34" i="36"/>
  <c r="P34" i="36"/>
  <c r="L35" i="36"/>
  <c r="I36" i="36"/>
  <c r="F37" i="36"/>
  <c r="P37" i="36"/>
  <c r="M38" i="36"/>
  <c r="J39" i="36"/>
  <c r="F40" i="36"/>
  <c r="G41" i="36"/>
  <c r="I42" i="36"/>
  <c r="K43" i="36"/>
  <c r="M44" i="36"/>
  <c r="O45" i="36"/>
  <c r="C47" i="36"/>
  <c r="E48" i="36"/>
  <c r="G49" i="36"/>
  <c r="I50" i="36"/>
  <c r="K51" i="36"/>
  <c r="M52" i="36"/>
  <c r="O53" i="36"/>
  <c r="C55" i="36"/>
  <c r="G56" i="36"/>
  <c r="O57" i="36"/>
  <c r="H59" i="36"/>
  <c r="O60" i="36"/>
  <c r="M63" i="36"/>
  <c r="G68" i="36"/>
  <c r="O72" i="36"/>
  <c r="I77" i="36"/>
  <c r="I3" i="35"/>
  <c r="K3" i="25"/>
  <c r="F5" i="6" l="1"/>
  <c r="F6" i="6"/>
  <c r="F7" i="6"/>
  <c r="F8" i="6"/>
  <c r="F9" i="6"/>
  <c r="F10" i="6"/>
  <c r="F11" i="6"/>
  <c r="F12" i="6"/>
  <c r="F13" i="6"/>
  <c r="F14" i="6"/>
  <c r="F15" i="6"/>
  <c r="F16" i="6"/>
  <c r="F17" i="6"/>
  <c r="F18" i="6"/>
  <c r="F19" i="6"/>
  <c r="F20" i="6"/>
  <c r="F21" i="6"/>
  <c r="F22" i="6"/>
  <c r="F23" i="6"/>
  <c r="F4" i="6"/>
  <c r="V23" i="24" l="1"/>
  <c r="W5" i="24"/>
  <c r="W6" i="24"/>
  <c r="W7" i="24"/>
  <c r="W8" i="24"/>
  <c r="W9" i="24"/>
  <c r="W10" i="24"/>
  <c r="W11" i="24"/>
  <c r="W12" i="24"/>
  <c r="W13" i="24"/>
  <c r="W14" i="24"/>
  <c r="W15" i="24"/>
  <c r="W16" i="24"/>
  <c r="W17" i="24"/>
  <c r="W18" i="24"/>
  <c r="W19" i="24"/>
  <c r="W20" i="24"/>
  <c r="W21" i="24"/>
  <c r="W22" i="24"/>
  <c r="W23" i="24"/>
  <c r="W4" i="24"/>
  <c r="F14" i="15"/>
  <c r="K2" i="25"/>
  <c r="K4" i="25" s="1"/>
  <c r="E19" i="28"/>
  <c r="J7" i="28"/>
  <c r="E9" i="28" s="1"/>
  <c r="E12" i="28"/>
  <c r="E8" i="28"/>
  <c r="E7" i="28"/>
  <c r="F4" i="28" l="1"/>
  <c r="F5" i="28"/>
  <c r="F6" i="28"/>
  <c r="F7" i="28"/>
  <c r="F8" i="28"/>
  <c r="F9" i="28"/>
  <c r="F10" i="28"/>
  <c r="F11" i="28"/>
  <c r="F12" i="28"/>
  <c r="F13" i="28"/>
  <c r="F14" i="28"/>
  <c r="F15" i="28"/>
  <c r="F16" i="28"/>
  <c r="F17" i="28"/>
  <c r="F18" i="28"/>
  <c r="F19" i="28"/>
  <c r="F20" i="28"/>
  <c r="F3" i="28"/>
  <c r="DG14" i="7"/>
  <c r="CO15" i="7"/>
  <c r="CP15" i="7"/>
  <c r="CQ15" i="7"/>
  <c r="CR15" i="7"/>
  <c r="CS15" i="7"/>
  <c r="CT15" i="7"/>
  <c r="CU15" i="7"/>
  <c r="CV15" i="7"/>
  <c r="CW15" i="7"/>
  <c r="CX15" i="7"/>
  <c r="CY15" i="7"/>
  <c r="CZ15" i="7"/>
  <c r="DA15" i="7"/>
  <c r="DB15" i="7"/>
  <c r="DC15" i="7"/>
  <c r="DD15" i="7"/>
  <c r="DE15" i="7"/>
  <c r="CN15" i="7"/>
  <c r="B4" i="18"/>
  <c r="D29" i="18" s="1"/>
  <c r="D30" i="18" s="1"/>
  <c r="B29" i="18" l="1"/>
  <c r="C29" i="18"/>
  <c r="C30" i="18" s="1"/>
  <c r="C31" i="18" s="1"/>
  <c r="C32" i="18" s="1"/>
  <c r="C33" i="18" s="1"/>
  <c r="C34" i="18" s="1"/>
  <c r="C35" i="18" s="1"/>
  <c r="C36" i="18" s="1"/>
  <c r="C37" i="18" s="1"/>
  <c r="C38" i="18" s="1"/>
  <c r="C39" i="18" s="1"/>
  <c r="C40" i="18" s="1"/>
  <c r="C41" i="18" s="1"/>
  <c r="C42" i="18" s="1"/>
  <c r="C43" i="18" s="1"/>
  <c r="C44" i="18" s="1"/>
  <c r="C45" i="18" s="1"/>
  <c r="C46" i="18" s="1"/>
  <c r="C47" i="18" s="1"/>
  <c r="C48" i="18" s="1"/>
  <c r="C49" i="18" s="1"/>
  <c r="C50" i="18" s="1"/>
  <c r="C51" i="18" s="1"/>
  <c r="C52" i="18" s="1"/>
  <c r="C53" i="18" s="1"/>
  <c r="C54" i="18" s="1"/>
  <c r="C55" i="18" s="1"/>
  <c r="C56" i="18" s="1"/>
  <c r="C57" i="18" s="1"/>
  <c r="C58" i="18" s="1"/>
  <c r="C59" i="18" s="1"/>
  <c r="C60" i="18" s="1"/>
  <c r="C61" i="18" s="1"/>
  <c r="C62" i="18" s="1"/>
  <c r="C63" i="18" s="1"/>
  <c r="C64" i="18" s="1"/>
  <c r="C65" i="18" s="1"/>
  <c r="C66" i="18" s="1"/>
  <c r="C67" i="18" s="1"/>
  <c r="C68" i="18" s="1"/>
  <c r="C69" i="18" s="1"/>
  <c r="C70" i="18" s="1"/>
  <c r="C71" i="18" s="1"/>
  <c r="C72" i="18" s="1"/>
  <c r="C73" i="18" s="1"/>
  <c r="C74" i="18" s="1"/>
  <c r="C75" i="18" s="1"/>
  <c r="C76" i="18" s="1"/>
  <c r="C77" i="18" s="1"/>
  <c r="C78" i="18" s="1"/>
  <c r="C79" i="18" s="1"/>
  <c r="C80" i="18" s="1"/>
  <c r="C81" i="18" s="1"/>
  <c r="C82" i="18" s="1"/>
  <c r="C83" i="18" s="1"/>
  <c r="C84" i="18" s="1"/>
  <c r="C85" i="18" s="1"/>
  <c r="C86" i="18" s="1"/>
  <c r="C87" i="18" s="1"/>
  <c r="C88" i="18" s="1"/>
  <c r="C89" i="18" s="1"/>
  <c r="C90" i="18" s="1"/>
  <c r="C91" i="18" s="1"/>
  <c r="C92" i="18" s="1"/>
  <c r="C93" i="18" s="1"/>
  <c r="C94" i="18" s="1"/>
  <c r="C95" i="18" s="1"/>
  <c r="C96" i="18" s="1"/>
  <c r="C97" i="18" s="1"/>
  <c r="C98" i="18" s="1"/>
  <c r="C99" i="18" s="1"/>
  <c r="C100" i="18" s="1"/>
  <c r="C101" i="18" s="1"/>
  <c r="C102" i="18" s="1"/>
  <c r="C103" i="18" s="1"/>
  <c r="C104" i="18" s="1"/>
  <c r="C105" i="18" s="1"/>
  <c r="C106" i="18" s="1"/>
  <c r="C107" i="18" s="1"/>
  <c r="C108" i="18" s="1"/>
  <c r="C109" i="18" s="1"/>
  <c r="C110" i="18" s="1"/>
  <c r="C111" i="18" s="1"/>
  <c r="C112" i="18" s="1"/>
  <c r="C113" i="18" s="1"/>
  <c r="C114" i="18" s="1"/>
  <c r="C115" i="18" s="1"/>
  <c r="C116" i="18" s="1"/>
  <c r="C117" i="18" s="1"/>
  <c r="C118" i="18" s="1"/>
  <c r="C119" i="18" s="1"/>
  <c r="C120" i="18" s="1"/>
  <c r="C121" i="18" s="1"/>
  <c r="C122" i="18" s="1"/>
  <c r="C123" i="18" s="1"/>
  <c r="C124" i="18" s="1"/>
  <c r="C125" i="18" s="1"/>
  <c r="C126" i="18" s="1"/>
  <c r="C127" i="18" s="1"/>
  <c r="C128" i="18" s="1"/>
  <c r="B30" i="18"/>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D31" i="18"/>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D63" i="18" s="1"/>
  <c r="D64" i="18" s="1"/>
  <c r="D65" i="18" s="1"/>
  <c r="D66" i="18" s="1"/>
  <c r="D67" i="18" s="1"/>
  <c r="D68" i="18" s="1"/>
  <c r="D69" i="18" s="1"/>
  <c r="D70" i="18" s="1"/>
  <c r="D71" i="18" s="1"/>
  <c r="D72" i="18" s="1"/>
  <c r="D73" i="18" s="1"/>
  <c r="D74" i="18" s="1"/>
  <c r="D75" i="18" s="1"/>
  <c r="D76" i="18" s="1"/>
  <c r="D77" i="18" s="1"/>
  <c r="D78" i="18" s="1"/>
  <c r="D79" i="18" s="1"/>
  <c r="D80" i="18" s="1"/>
  <c r="D81" i="18" s="1"/>
  <c r="D82" i="18" s="1"/>
  <c r="D83" i="18" s="1"/>
  <c r="D84" i="18" s="1"/>
  <c r="D85" i="18" s="1"/>
  <c r="D86" i="18" s="1"/>
  <c r="D87" i="18" s="1"/>
  <c r="D88" i="18" s="1"/>
  <c r="D89" i="18" s="1"/>
  <c r="D90" i="18" s="1"/>
  <c r="D91" i="18" s="1"/>
  <c r="D92" i="18" s="1"/>
  <c r="D93" i="18" s="1"/>
  <c r="D94" i="18" s="1"/>
  <c r="D95" i="18" s="1"/>
  <c r="D96" i="18" s="1"/>
  <c r="D97" i="18" s="1"/>
  <c r="D98" i="18" s="1"/>
  <c r="D99" i="18" s="1"/>
  <c r="D100" i="18" s="1"/>
  <c r="D101" i="18" s="1"/>
  <c r="D102" i="18" s="1"/>
  <c r="D103" i="18" s="1"/>
  <c r="D104" i="18" s="1"/>
  <c r="D105" i="18" s="1"/>
  <c r="D106" i="18" s="1"/>
  <c r="D107" i="18" s="1"/>
  <c r="D108" i="18" s="1"/>
  <c r="D109" i="18" s="1"/>
  <c r="D110" i="18" s="1"/>
  <c r="D111" i="18" s="1"/>
  <c r="D112" i="18" s="1"/>
  <c r="D113" i="18" s="1"/>
  <c r="D114" i="18" s="1"/>
  <c r="D115" i="18" s="1"/>
  <c r="D116" i="18" s="1"/>
  <c r="D117" i="18" s="1"/>
  <c r="D118" i="18" s="1"/>
  <c r="D119" i="18" s="1"/>
  <c r="D120" i="18" s="1"/>
  <c r="D121" i="18" s="1"/>
  <c r="D122" i="18" s="1"/>
  <c r="D123" i="18" s="1"/>
  <c r="D124" i="18" s="1"/>
  <c r="D125" i="18" s="1"/>
  <c r="D126" i="18" s="1"/>
  <c r="D127" i="18" s="1"/>
  <c r="D128" i="18" s="1"/>
  <c r="N9" i="34"/>
  <c r="N10" i="34"/>
  <c r="N11" i="34"/>
  <c r="N12" i="34"/>
  <c r="N13" i="34"/>
  <c r="N14" i="34"/>
  <c r="N15" i="34"/>
  <c r="N16" i="34"/>
  <c r="N17" i="34"/>
  <c r="N18" i="34"/>
  <c r="N19" i="34"/>
  <c r="N20" i="34"/>
  <c r="N21" i="34"/>
  <c r="N22" i="34"/>
  <c r="N23" i="34"/>
  <c r="N24" i="34"/>
  <c r="N25" i="34"/>
  <c r="N26" i="34"/>
  <c r="N7" i="34"/>
  <c r="C7" i="34"/>
  <c r="C8" i="34"/>
  <c r="J10" i="34"/>
  <c r="K10" i="34"/>
  <c r="L10" i="34"/>
  <c r="J11" i="34"/>
  <c r="K11" i="34"/>
  <c r="L11" i="34"/>
  <c r="J12" i="34"/>
  <c r="K12" i="34"/>
  <c r="L12" i="34"/>
  <c r="J13" i="34"/>
  <c r="K13" i="34"/>
  <c r="L13" i="34"/>
  <c r="J14" i="34"/>
  <c r="K14" i="34"/>
  <c r="L14" i="34"/>
  <c r="J15" i="34"/>
  <c r="K15" i="34"/>
  <c r="L15" i="34"/>
  <c r="J16" i="34"/>
  <c r="K16" i="34"/>
  <c r="L16" i="34"/>
  <c r="J17" i="34"/>
  <c r="K17" i="34"/>
  <c r="L17" i="34"/>
  <c r="J18" i="34"/>
  <c r="K18" i="34"/>
  <c r="L18" i="34"/>
  <c r="J19" i="34"/>
  <c r="K19" i="34"/>
  <c r="L19" i="34"/>
  <c r="J20" i="34"/>
  <c r="K20" i="34"/>
  <c r="L20" i="34"/>
  <c r="J21" i="34"/>
  <c r="K21" i="34"/>
  <c r="L21" i="34"/>
  <c r="J22" i="34"/>
  <c r="K22" i="34"/>
  <c r="L22" i="34"/>
  <c r="J23" i="34"/>
  <c r="K23" i="34"/>
  <c r="L23" i="34"/>
  <c r="J24" i="34"/>
  <c r="K24" i="34"/>
  <c r="L24" i="34"/>
  <c r="J25" i="34"/>
  <c r="K25" i="34"/>
  <c r="L25" i="34"/>
  <c r="J26" i="34"/>
  <c r="K26" i="34"/>
  <c r="L26" i="34"/>
  <c r="L9" i="34"/>
  <c r="K9" i="34"/>
  <c r="J9" i="34"/>
  <c r="G10" i="34"/>
  <c r="H10" i="34"/>
  <c r="I10" i="34"/>
  <c r="G11" i="34"/>
  <c r="H11" i="34"/>
  <c r="I11" i="34"/>
  <c r="G12" i="34"/>
  <c r="H12" i="34"/>
  <c r="I12" i="34"/>
  <c r="G13" i="34"/>
  <c r="H13" i="34"/>
  <c r="I13" i="34"/>
  <c r="G14" i="34"/>
  <c r="H14" i="34"/>
  <c r="I14" i="34"/>
  <c r="G15" i="34"/>
  <c r="H15" i="34"/>
  <c r="I15" i="34"/>
  <c r="G16" i="34"/>
  <c r="H16" i="34"/>
  <c r="I16" i="34"/>
  <c r="G17" i="34"/>
  <c r="H17" i="34"/>
  <c r="I17" i="34"/>
  <c r="G18" i="34"/>
  <c r="H18" i="34"/>
  <c r="I18" i="34"/>
  <c r="G19" i="34"/>
  <c r="H19" i="34"/>
  <c r="I19" i="34"/>
  <c r="G20" i="34"/>
  <c r="H20" i="34"/>
  <c r="I20" i="34"/>
  <c r="G21" i="34"/>
  <c r="H21" i="34"/>
  <c r="I21" i="34"/>
  <c r="G22" i="34"/>
  <c r="H22" i="34"/>
  <c r="I22" i="34"/>
  <c r="G23" i="34"/>
  <c r="H23" i="34"/>
  <c r="I23" i="34"/>
  <c r="G24" i="34"/>
  <c r="H24" i="34"/>
  <c r="I24" i="34"/>
  <c r="G25" i="34"/>
  <c r="H25" i="34"/>
  <c r="I25" i="34"/>
  <c r="G26" i="34"/>
  <c r="H26" i="34"/>
  <c r="I26" i="34"/>
  <c r="H9" i="34"/>
  <c r="I9" i="34"/>
  <c r="G9" i="34"/>
  <c r="C10" i="34"/>
  <c r="C11" i="34"/>
  <c r="C12" i="34"/>
  <c r="C13" i="34"/>
  <c r="C14" i="34"/>
  <c r="C15" i="34"/>
  <c r="C16" i="34"/>
  <c r="C17" i="34"/>
  <c r="C18" i="34"/>
  <c r="C19" i="34"/>
  <c r="C20" i="34"/>
  <c r="C21" i="34"/>
  <c r="C22" i="34"/>
  <c r="C23" i="34"/>
  <c r="C24" i="34"/>
  <c r="C25" i="34"/>
  <c r="C26" i="34"/>
  <c r="C9" i="34"/>
  <c r="Q4" i="32"/>
  <c r="Q3" i="32"/>
  <c r="DT15" i="7"/>
  <c r="BO509" i="7"/>
  <c r="T4" i="3" l="1"/>
  <c r="T5" i="3"/>
  <c r="T6" i="3"/>
  <c r="T7" i="3"/>
  <c r="T8" i="3"/>
  <c r="T9" i="3"/>
  <c r="T10" i="3"/>
  <c r="T11" i="3"/>
  <c r="T12" i="3"/>
  <c r="T13" i="3"/>
  <c r="T14" i="3"/>
  <c r="T15" i="3"/>
  <c r="T16" i="3"/>
  <c r="T17" i="3"/>
  <c r="T18" i="3"/>
  <c r="T19" i="3"/>
  <c r="T20" i="3"/>
  <c r="T21" i="3"/>
  <c r="T22" i="3"/>
  <c r="T23" i="3"/>
  <c r="T24" i="3"/>
  <c r="T25" i="3"/>
  <c r="T26" i="3"/>
  <c r="T27" i="3"/>
  <c r="T28" i="3"/>
  <c r="T29" i="3"/>
  <c r="T30" i="3"/>
  <c r="T31" i="3"/>
  <c r="T32" i="3"/>
  <c r="AR15" i="7" l="1"/>
  <c r="AQ15" i="7"/>
  <c r="AP15" i="7"/>
  <c r="T16" i="7" l="1"/>
  <c r="T17" i="7" s="1"/>
  <c r="T18" i="7" s="1"/>
  <c r="T19" i="7" s="1"/>
  <c r="T20" i="7" s="1"/>
  <c r="T21" i="7" s="1"/>
  <c r="T22" i="7" s="1"/>
  <c r="T23" i="7" s="1"/>
  <c r="T24" i="7" s="1"/>
  <c r="T25" i="7" s="1"/>
  <c r="T26" i="7" s="1"/>
  <c r="T27" i="7" s="1"/>
  <c r="T28" i="7" s="1"/>
  <c r="T29" i="7" s="1"/>
  <c r="T30" i="7" s="1"/>
  <c r="T31" i="7" s="1"/>
  <c r="T32" i="7" s="1"/>
  <c r="T33" i="7" s="1"/>
  <c r="T34" i="7" s="1"/>
  <c r="T35" i="7" s="1"/>
  <c r="T36" i="7" s="1"/>
  <c r="T37" i="7" s="1"/>
  <c r="T38" i="7" s="1"/>
  <c r="T39" i="7" s="1"/>
  <c r="T40" i="7" s="1"/>
  <c r="T41" i="7" s="1"/>
  <c r="T42" i="7" s="1"/>
  <c r="T43" i="7" s="1"/>
  <c r="T44" i="7" s="1"/>
  <c r="T45" i="7" s="1"/>
  <c r="T46" i="7" s="1"/>
  <c r="T47" i="7" s="1"/>
  <c r="T48" i="7" s="1"/>
  <c r="T49" i="7" s="1"/>
  <c r="T50" i="7" s="1"/>
  <c r="T51" i="7" s="1"/>
  <c r="T52" i="7" s="1"/>
  <c r="T53" i="7" s="1"/>
  <c r="T54" i="7" s="1"/>
  <c r="T55" i="7" s="1"/>
  <c r="T56" i="7" s="1"/>
  <c r="T57" i="7" s="1"/>
  <c r="T58" i="7" s="1"/>
  <c r="T59" i="7" s="1"/>
  <c r="T60" i="7" s="1"/>
  <c r="T61" i="7" s="1"/>
  <c r="T62" i="7" s="1"/>
  <c r="T63" i="7" s="1"/>
  <c r="T64" i="7" s="1"/>
  <c r="T65" i="7" s="1"/>
  <c r="T66" i="7" s="1"/>
  <c r="T67" i="7" s="1"/>
  <c r="T68" i="7" s="1"/>
  <c r="T69" i="7" s="1"/>
  <c r="T70" i="7" s="1"/>
  <c r="T71" i="7" s="1"/>
  <c r="T72" i="7" s="1"/>
  <c r="T73" i="7" s="1"/>
  <c r="T74" i="7" s="1"/>
  <c r="T75" i="7" s="1"/>
  <c r="T76" i="7" s="1"/>
  <c r="T77" i="7" s="1"/>
  <c r="T78" i="7" s="1"/>
  <c r="T79" i="7" s="1"/>
  <c r="T80" i="7" s="1"/>
  <c r="T81" i="7" s="1"/>
  <c r="T82" i="7" s="1"/>
  <c r="T83" i="7" s="1"/>
  <c r="T84" i="7" s="1"/>
  <c r="T85" i="7" s="1"/>
  <c r="T86" i="7" s="1"/>
  <c r="T87" i="7" s="1"/>
  <c r="T88" i="7" s="1"/>
  <c r="T89" i="7" s="1"/>
  <c r="T90" i="7" s="1"/>
  <c r="T91" i="7" s="1"/>
  <c r="T92" i="7" s="1"/>
  <c r="T93" i="7" s="1"/>
  <c r="T94" i="7" s="1"/>
  <c r="T95" i="7" s="1"/>
  <c r="T96" i="7" s="1"/>
  <c r="T97" i="7" s="1"/>
  <c r="T98" i="7" s="1"/>
  <c r="T99" i="7" s="1"/>
  <c r="T100" i="7" s="1"/>
  <c r="T101" i="7" s="1"/>
  <c r="T102" i="7" s="1"/>
  <c r="T103" i="7" s="1"/>
  <c r="T104" i="7" s="1"/>
  <c r="T105" i="7" s="1"/>
  <c r="T106" i="7" s="1"/>
  <c r="T107" i="7" s="1"/>
  <c r="T108" i="7" s="1"/>
  <c r="T109" i="7" s="1"/>
  <c r="T110" i="7" s="1"/>
  <c r="T111" i="7" s="1"/>
  <c r="T112" i="7" s="1"/>
  <c r="T113" i="7" s="1"/>
  <c r="T114" i="7" s="1"/>
  <c r="T115" i="7" s="1"/>
  <c r="T116" i="7" s="1"/>
  <c r="T117" i="7" s="1"/>
  <c r="T118" i="7" s="1"/>
  <c r="T119" i="7" s="1"/>
  <c r="T120" i="7" s="1"/>
  <c r="T121" i="7" s="1"/>
  <c r="T122" i="7" s="1"/>
  <c r="T123" i="7" s="1"/>
  <c r="T124" i="7" s="1"/>
  <c r="T125" i="7" s="1"/>
  <c r="T126" i="7" s="1"/>
  <c r="T127" i="7" s="1"/>
  <c r="T128" i="7" s="1"/>
  <c r="T129" i="7" s="1"/>
  <c r="T130" i="7" s="1"/>
  <c r="T131" i="7" s="1"/>
  <c r="T132" i="7" s="1"/>
  <c r="T133" i="7" s="1"/>
  <c r="T134" i="7" s="1"/>
  <c r="T135" i="7" s="1"/>
  <c r="T136" i="7" s="1"/>
  <c r="T137" i="7" s="1"/>
  <c r="T138" i="7" s="1"/>
  <c r="T139" i="7" s="1"/>
  <c r="T140" i="7" s="1"/>
  <c r="T141" i="7" s="1"/>
  <c r="T142" i="7" s="1"/>
  <c r="T143" i="7" s="1"/>
  <c r="T144" i="7" s="1"/>
  <c r="T145" i="7" s="1"/>
  <c r="T146" i="7" s="1"/>
  <c r="T147" i="7" s="1"/>
  <c r="T148" i="7" s="1"/>
  <c r="T149" i="7" s="1"/>
  <c r="T150" i="7" s="1"/>
  <c r="T151" i="7" s="1"/>
  <c r="T152" i="7" s="1"/>
  <c r="T153" i="7" s="1"/>
  <c r="T154" i="7" s="1"/>
  <c r="T155" i="7" s="1"/>
  <c r="T156" i="7" s="1"/>
  <c r="T157" i="7" s="1"/>
  <c r="T158" i="7" s="1"/>
  <c r="T159" i="7" s="1"/>
  <c r="T160" i="7" s="1"/>
  <c r="T161" i="7" s="1"/>
  <c r="T162" i="7" s="1"/>
  <c r="T163" i="7" s="1"/>
  <c r="T164" i="7" s="1"/>
  <c r="T165" i="7" s="1"/>
  <c r="T166" i="7" s="1"/>
  <c r="T167" i="7" s="1"/>
  <c r="T168" i="7" s="1"/>
  <c r="T169" i="7" s="1"/>
  <c r="T170" i="7" s="1"/>
  <c r="T171" i="7" s="1"/>
  <c r="T172" i="7" s="1"/>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T193" i="7" s="1"/>
  <c r="T194" i="7" s="1"/>
  <c r="T195" i="7" s="1"/>
  <c r="T196" i="7" s="1"/>
  <c r="T197" i="7" s="1"/>
  <c r="T198" i="7" s="1"/>
  <c r="T199" i="7" s="1"/>
  <c r="T200" i="7" s="1"/>
  <c r="T201" i="7" s="1"/>
  <c r="T202" i="7" s="1"/>
  <c r="T203" i="7" s="1"/>
  <c r="T204" i="7" s="1"/>
  <c r="T205" i="7" s="1"/>
  <c r="T206" i="7" s="1"/>
  <c r="T207" i="7" s="1"/>
  <c r="T208" i="7" s="1"/>
  <c r="T209" i="7" s="1"/>
  <c r="T210" i="7" s="1"/>
  <c r="T211" i="7" s="1"/>
  <c r="T212" i="7" s="1"/>
  <c r="T213" i="7" s="1"/>
  <c r="T214" i="7" s="1"/>
  <c r="T215" i="7" s="1"/>
  <c r="T216" i="7" s="1"/>
  <c r="T217" i="7" s="1"/>
  <c r="T218" i="7" s="1"/>
  <c r="T219" i="7" s="1"/>
  <c r="T220" i="7" s="1"/>
  <c r="T221" i="7" s="1"/>
  <c r="T222" i="7" s="1"/>
  <c r="T223" i="7" s="1"/>
  <c r="T224" i="7" s="1"/>
  <c r="T225" i="7" s="1"/>
  <c r="T226" i="7" s="1"/>
  <c r="T227" i="7" s="1"/>
  <c r="T228" i="7" s="1"/>
  <c r="T229" i="7" s="1"/>
  <c r="T230" i="7" s="1"/>
  <c r="T231" i="7" s="1"/>
  <c r="T232" i="7" s="1"/>
  <c r="T233" i="7" s="1"/>
  <c r="T234" i="7" s="1"/>
  <c r="T235" i="7" s="1"/>
  <c r="T236" i="7" s="1"/>
  <c r="T237" i="7" s="1"/>
  <c r="T238" i="7" s="1"/>
  <c r="T239" i="7" s="1"/>
  <c r="T240" i="7" s="1"/>
  <c r="T241" i="7" s="1"/>
  <c r="T242" i="7" s="1"/>
  <c r="T243" i="7" s="1"/>
  <c r="T244" i="7" s="1"/>
  <c r="T245" i="7" s="1"/>
  <c r="T246" i="7" s="1"/>
  <c r="T247" i="7" s="1"/>
  <c r="T248" i="7" s="1"/>
  <c r="T249" i="7" s="1"/>
  <c r="T250" i="7" s="1"/>
  <c r="T251" i="7" s="1"/>
  <c r="T252" i="7" s="1"/>
  <c r="T253" i="7" s="1"/>
  <c r="T254" i="7" s="1"/>
  <c r="T255" i="7" s="1"/>
  <c r="T256" i="7" s="1"/>
  <c r="T257" i="7" s="1"/>
  <c r="T258" i="7" s="1"/>
  <c r="T259" i="7" s="1"/>
  <c r="T260" i="7" s="1"/>
  <c r="T261" i="7" s="1"/>
  <c r="T262" i="7" s="1"/>
  <c r="T263" i="7" s="1"/>
  <c r="T264" i="7" s="1"/>
  <c r="T265" i="7" s="1"/>
  <c r="T266" i="7" s="1"/>
  <c r="T267" i="7" s="1"/>
  <c r="T268" i="7" s="1"/>
  <c r="T269" i="7" s="1"/>
  <c r="T270" i="7" s="1"/>
  <c r="T271" i="7" s="1"/>
  <c r="T272" i="7" s="1"/>
  <c r="T273" i="7" s="1"/>
  <c r="T274" i="7" s="1"/>
  <c r="T275" i="7" s="1"/>
  <c r="T276" i="7" s="1"/>
  <c r="T277" i="7" s="1"/>
  <c r="T278" i="7" s="1"/>
  <c r="T279" i="7" s="1"/>
  <c r="T280" i="7" s="1"/>
  <c r="T281" i="7" s="1"/>
  <c r="T282" i="7" s="1"/>
  <c r="T283" i="7" s="1"/>
  <c r="T284" i="7" s="1"/>
  <c r="T285" i="7" s="1"/>
  <c r="T286" i="7" s="1"/>
  <c r="T287" i="7" s="1"/>
  <c r="T288" i="7" s="1"/>
  <c r="T289" i="7" s="1"/>
  <c r="T290" i="7" s="1"/>
  <c r="T291" i="7" s="1"/>
  <c r="T292" i="7" s="1"/>
  <c r="T293" i="7" s="1"/>
  <c r="T294" i="7" s="1"/>
  <c r="T295" i="7" s="1"/>
  <c r="T296" i="7" s="1"/>
  <c r="T297" i="7" s="1"/>
  <c r="T298" i="7" s="1"/>
  <c r="T299" i="7" s="1"/>
  <c r="T300" i="7" s="1"/>
  <c r="T301" i="7" s="1"/>
  <c r="T302" i="7" s="1"/>
  <c r="T303" i="7" s="1"/>
  <c r="T304" i="7" s="1"/>
  <c r="T305" i="7" s="1"/>
  <c r="T306" i="7" s="1"/>
  <c r="T307" i="7" s="1"/>
  <c r="T308" i="7" s="1"/>
  <c r="T309" i="7" s="1"/>
  <c r="T310" i="7" s="1"/>
  <c r="T311" i="7" s="1"/>
  <c r="T312" i="7" s="1"/>
  <c r="T313" i="7" s="1"/>
  <c r="T314" i="7" s="1"/>
  <c r="T315" i="7" s="1"/>
  <c r="T316" i="7" s="1"/>
  <c r="T317" i="7" s="1"/>
  <c r="T318" i="7" s="1"/>
  <c r="T319" i="7" s="1"/>
  <c r="T320" i="7" s="1"/>
  <c r="T321" i="7" s="1"/>
  <c r="T322" i="7" s="1"/>
  <c r="T323" i="7" s="1"/>
  <c r="T324" i="7" s="1"/>
  <c r="T325" i="7" s="1"/>
  <c r="T326" i="7" s="1"/>
  <c r="T327" i="7" s="1"/>
  <c r="T328" i="7" s="1"/>
  <c r="T329" i="7" s="1"/>
  <c r="T330" i="7" s="1"/>
  <c r="T331" i="7" s="1"/>
  <c r="T332" i="7" s="1"/>
  <c r="T333" i="7" s="1"/>
  <c r="T334" i="7" s="1"/>
  <c r="T335" i="7" s="1"/>
  <c r="T336" i="7" s="1"/>
  <c r="T337" i="7" s="1"/>
  <c r="T338" i="7" s="1"/>
  <c r="T339" i="7" s="1"/>
  <c r="T340" i="7" s="1"/>
  <c r="T341" i="7" s="1"/>
  <c r="T342" i="7" s="1"/>
  <c r="T343" i="7" s="1"/>
  <c r="T344" i="7" s="1"/>
  <c r="T345" i="7" s="1"/>
  <c r="T346" i="7" s="1"/>
  <c r="T347" i="7" s="1"/>
  <c r="T348" i="7" s="1"/>
  <c r="T349" i="7" s="1"/>
  <c r="T350" i="7" s="1"/>
  <c r="T351" i="7" s="1"/>
  <c r="T352" i="7" s="1"/>
  <c r="T353" i="7" s="1"/>
  <c r="T354" i="7" s="1"/>
  <c r="T355" i="7" s="1"/>
  <c r="T356" i="7" s="1"/>
  <c r="T357" i="7" s="1"/>
  <c r="T358" i="7" s="1"/>
  <c r="T359" i="7" s="1"/>
  <c r="T360" i="7" s="1"/>
  <c r="T361" i="7" s="1"/>
  <c r="T362" i="7" s="1"/>
  <c r="T363" i="7" s="1"/>
  <c r="T364" i="7" s="1"/>
  <c r="T365" i="7" s="1"/>
  <c r="T366" i="7" s="1"/>
  <c r="T367" i="7" s="1"/>
  <c r="T368" i="7" s="1"/>
  <c r="T369" i="7" s="1"/>
  <c r="T370" i="7" s="1"/>
  <c r="T371" i="7" s="1"/>
  <c r="T372" i="7" s="1"/>
  <c r="T373" i="7" s="1"/>
  <c r="T374" i="7" s="1"/>
  <c r="T375" i="7" s="1"/>
  <c r="T376" i="7" s="1"/>
  <c r="T377" i="7" s="1"/>
  <c r="T378" i="7" s="1"/>
  <c r="T379" i="7" s="1"/>
  <c r="T380" i="7" s="1"/>
  <c r="T381" i="7" s="1"/>
  <c r="T382" i="7" s="1"/>
  <c r="T383" i="7" s="1"/>
  <c r="T384" i="7" s="1"/>
  <c r="T385" i="7" s="1"/>
  <c r="T386" i="7" s="1"/>
  <c r="T387" i="7" s="1"/>
  <c r="T388" i="7" s="1"/>
  <c r="T389" i="7" s="1"/>
  <c r="T390" i="7" s="1"/>
  <c r="T391" i="7" s="1"/>
  <c r="T392" i="7" s="1"/>
  <c r="T393" i="7" s="1"/>
  <c r="T394" i="7" s="1"/>
  <c r="T395" i="7" s="1"/>
  <c r="T396" i="7" s="1"/>
  <c r="T397" i="7" s="1"/>
  <c r="T398" i="7" s="1"/>
  <c r="T399" i="7" s="1"/>
  <c r="T400" i="7" s="1"/>
  <c r="T401" i="7" s="1"/>
  <c r="T402" i="7" s="1"/>
  <c r="T403" i="7" s="1"/>
  <c r="T404" i="7" s="1"/>
  <c r="T405" i="7" s="1"/>
  <c r="T406" i="7" s="1"/>
  <c r="T407" i="7" s="1"/>
  <c r="T408" i="7" s="1"/>
  <c r="T409" i="7" s="1"/>
  <c r="T410" i="7" s="1"/>
  <c r="T411" i="7" s="1"/>
  <c r="T412" i="7" s="1"/>
  <c r="T413" i="7" s="1"/>
  <c r="T414" i="7" s="1"/>
  <c r="T415" i="7" s="1"/>
  <c r="T416" i="7" s="1"/>
  <c r="T417" i="7" s="1"/>
  <c r="T418" i="7" s="1"/>
  <c r="T419" i="7" s="1"/>
  <c r="T420" i="7" s="1"/>
  <c r="T421" i="7" s="1"/>
  <c r="T422" i="7" s="1"/>
  <c r="T423" i="7" s="1"/>
  <c r="T424" i="7" s="1"/>
  <c r="T425" i="7" s="1"/>
  <c r="T426" i="7" s="1"/>
  <c r="T427" i="7" s="1"/>
  <c r="T428" i="7" s="1"/>
  <c r="T429" i="7" s="1"/>
  <c r="T430" i="7" s="1"/>
  <c r="T431" i="7" s="1"/>
  <c r="T432" i="7" s="1"/>
  <c r="T433" i="7" s="1"/>
  <c r="T434" i="7" s="1"/>
  <c r="T435" i="7" s="1"/>
  <c r="T436" i="7" s="1"/>
  <c r="T437" i="7" s="1"/>
  <c r="T438" i="7" s="1"/>
  <c r="T439" i="7" s="1"/>
  <c r="T440" i="7" s="1"/>
  <c r="T441" i="7" s="1"/>
  <c r="T442" i="7" s="1"/>
  <c r="T443" i="7" s="1"/>
  <c r="T444" i="7" s="1"/>
  <c r="T445" i="7" s="1"/>
  <c r="T446" i="7" s="1"/>
  <c r="T447" i="7" s="1"/>
  <c r="T448" i="7" s="1"/>
  <c r="T449" i="7" s="1"/>
  <c r="T450" i="7" s="1"/>
  <c r="T451" i="7" s="1"/>
  <c r="T452" i="7" s="1"/>
  <c r="T453" i="7" s="1"/>
  <c r="T454" i="7" s="1"/>
  <c r="T455" i="7" s="1"/>
  <c r="T456" i="7" s="1"/>
  <c r="T457" i="7" s="1"/>
  <c r="T458" i="7" s="1"/>
  <c r="T459" i="7" s="1"/>
  <c r="T460" i="7" s="1"/>
  <c r="T461" i="7" s="1"/>
  <c r="T462" i="7" s="1"/>
  <c r="T463" i="7" s="1"/>
  <c r="T464" i="7" s="1"/>
  <c r="T465" i="7" s="1"/>
  <c r="T466" i="7" s="1"/>
  <c r="T467" i="7" s="1"/>
  <c r="T468" i="7" s="1"/>
  <c r="T469" i="7" s="1"/>
  <c r="T470" i="7" s="1"/>
  <c r="T471" i="7" s="1"/>
  <c r="T472" i="7" s="1"/>
  <c r="T473" i="7" s="1"/>
  <c r="T474" i="7" s="1"/>
  <c r="T475" i="7" s="1"/>
  <c r="T476" i="7" s="1"/>
  <c r="T477" i="7" s="1"/>
  <c r="T478" i="7" s="1"/>
  <c r="T479" i="7" s="1"/>
  <c r="T480" i="7" s="1"/>
  <c r="T481" i="7" s="1"/>
  <c r="T482" i="7" s="1"/>
  <c r="T483" i="7" s="1"/>
  <c r="T484" i="7" s="1"/>
  <c r="T485" i="7" s="1"/>
  <c r="T486" i="7" s="1"/>
  <c r="T487" i="7" s="1"/>
  <c r="T488" i="7" s="1"/>
  <c r="T489" i="7" s="1"/>
  <c r="T490" i="7" s="1"/>
  <c r="T491" i="7" s="1"/>
  <c r="T492" i="7" s="1"/>
  <c r="T493" i="7" s="1"/>
  <c r="T494" i="7" s="1"/>
  <c r="T495" i="7" s="1"/>
  <c r="T496" i="7" s="1"/>
  <c r="T497" i="7" s="1"/>
  <c r="T498" i="7" s="1"/>
  <c r="T499" i="7" s="1"/>
  <c r="T500" i="7" s="1"/>
  <c r="T501" i="7" s="1"/>
  <c r="T502" i="7" s="1"/>
  <c r="T503" i="7" s="1"/>
  <c r="T504" i="7" s="1"/>
  <c r="T505" i="7" s="1"/>
  <c r="T506" i="7" s="1"/>
  <c r="T507" i="7" s="1"/>
  <c r="T508" i="7" s="1"/>
  <c r="T509" i="7" s="1"/>
  <c r="X16" i="7"/>
  <c r="X17" i="7" s="1"/>
  <c r="X18" i="7" s="1"/>
  <c r="X19" i="7" s="1"/>
  <c r="X20" i="7" s="1"/>
  <c r="X21" i="7" s="1"/>
  <c r="X22" i="7" s="1"/>
  <c r="X23" i="7" s="1"/>
  <c r="X24" i="7" s="1"/>
  <c r="X25" i="7" s="1"/>
  <c r="X26" i="7" s="1"/>
  <c r="X27" i="7" s="1"/>
  <c r="X28" i="7" s="1"/>
  <c r="X29" i="7" s="1"/>
  <c r="X30" i="7" s="1"/>
  <c r="X31" i="7" s="1"/>
  <c r="X32" i="7" s="1"/>
  <c r="X33" i="7" s="1"/>
  <c r="X34" i="7" s="1"/>
  <c r="X35" i="7" s="1"/>
  <c r="X36" i="7" s="1"/>
  <c r="X37" i="7" s="1"/>
  <c r="X38" i="7" s="1"/>
  <c r="X39" i="7" s="1"/>
  <c r="X40" i="7" s="1"/>
  <c r="X41" i="7" s="1"/>
  <c r="X42" i="7" s="1"/>
  <c r="X43" i="7" s="1"/>
  <c r="X44" i="7" s="1"/>
  <c r="X45" i="7" s="1"/>
  <c r="X46" i="7" s="1"/>
  <c r="X47" i="7" s="1"/>
  <c r="X48" i="7" s="1"/>
  <c r="X49" i="7" s="1"/>
  <c r="X50" i="7" s="1"/>
  <c r="X51" i="7" s="1"/>
  <c r="X52" i="7" s="1"/>
  <c r="X53" i="7" s="1"/>
  <c r="X54" i="7" s="1"/>
  <c r="X55" i="7" s="1"/>
  <c r="X56" i="7" s="1"/>
  <c r="X57" i="7" s="1"/>
  <c r="X58" i="7" s="1"/>
  <c r="X59" i="7" s="1"/>
  <c r="X60" i="7" s="1"/>
  <c r="X61" i="7" s="1"/>
  <c r="X62" i="7" s="1"/>
  <c r="X63" i="7" s="1"/>
  <c r="X64" i="7" s="1"/>
  <c r="X65" i="7" s="1"/>
  <c r="X66" i="7" s="1"/>
  <c r="X67" i="7" s="1"/>
  <c r="X68" i="7" s="1"/>
  <c r="X69" i="7" s="1"/>
  <c r="X70" i="7" s="1"/>
  <c r="X71" i="7" s="1"/>
  <c r="X72" i="7" s="1"/>
  <c r="X73" i="7" s="1"/>
  <c r="X74" i="7" s="1"/>
  <c r="X75" i="7" s="1"/>
  <c r="X76" i="7" s="1"/>
  <c r="X77" i="7" s="1"/>
  <c r="X78" i="7" s="1"/>
  <c r="X79" i="7" s="1"/>
  <c r="X80" i="7" s="1"/>
  <c r="X81" i="7" s="1"/>
  <c r="X82" i="7" s="1"/>
  <c r="X83" i="7" s="1"/>
  <c r="X84" i="7" s="1"/>
  <c r="X85" i="7" s="1"/>
  <c r="X86" i="7" s="1"/>
  <c r="X87" i="7" s="1"/>
  <c r="X88" i="7" s="1"/>
  <c r="X89" i="7" s="1"/>
  <c r="X90" i="7" s="1"/>
  <c r="X91" i="7" s="1"/>
  <c r="X92" i="7" s="1"/>
  <c r="X93" i="7" s="1"/>
  <c r="X94" i="7" s="1"/>
  <c r="X95" i="7" s="1"/>
  <c r="X96" i="7" s="1"/>
  <c r="X97" i="7" s="1"/>
  <c r="X98" i="7" s="1"/>
  <c r="X99" i="7" s="1"/>
  <c r="X100" i="7" s="1"/>
  <c r="X101" i="7" s="1"/>
  <c r="X102" i="7" s="1"/>
  <c r="X103" i="7" s="1"/>
  <c r="X104" i="7" s="1"/>
  <c r="X105" i="7" s="1"/>
  <c r="X106" i="7" s="1"/>
  <c r="X107" i="7" s="1"/>
  <c r="X108" i="7" s="1"/>
  <c r="X109" i="7" s="1"/>
  <c r="X110" i="7" s="1"/>
  <c r="X111" i="7" s="1"/>
  <c r="X112" i="7" s="1"/>
  <c r="X113" i="7" s="1"/>
  <c r="X114" i="7" s="1"/>
  <c r="X115" i="7" s="1"/>
  <c r="X116" i="7" s="1"/>
  <c r="X117" i="7" s="1"/>
  <c r="X118" i="7" s="1"/>
  <c r="X119" i="7" s="1"/>
  <c r="X120" i="7" s="1"/>
  <c r="X121" i="7" s="1"/>
  <c r="X122" i="7" s="1"/>
  <c r="X123" i="7" s="1"/>
  <c r="X124" i="7" s="1"/>
  <c r="X125" i="7" s="1"/>
  <c r="X126" i="7" s="1"/>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X158" i="7" s="1"/>
  <c r="X159" i="7" s="1"/>
  <c r="X160" i="7" s="1"/>
  <c r="X161" i="7" s="1"/>
  <c r="X162" i="7" s="1"/>
  <c r="X163" i="7" s="1"/>
  <c r="X164" i="7" s="1"/>
  <c r="X165" i="7" s="1"/>
  <c r="X166" i="7" s="1"/>
  <c r="X167" i="7" s="1"/>
  <c r="X168" i="7" s="1"/>
  <c r="X169" i="7" s="1"/>
  <c r="X170" i="7" s="1"/>
  <c r="X171" i="7" s="1"/>
  <c r="X172" i="7" s="1"/>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X193" i="7" s="1"/>
  <c r="X194" i="7" s="1"/>
  <c r="X195" i="7" s="1"/>
  <c r="X196" i="7" s="1"/>
  <c r="X197" i="7" s="1"/>
  <c r="X198" i="7" s="1"/>
  <c r="X199" i="7" s="1"/>
  <c r="X200" i="7" s="1"/>
  <c r="X201" i="7" s="1"/>
  <c r="X202" i="7" s="1"/>
  <c r="X203" i="7" s="1"/>
  <c r="X204" i="7" s="1"/>
  <c r="X205" i="7" s="1"/>
  <c r="X206" i="7" s="1"/>
  <c r="X207" i="7" s="1"/>
  <c r="X208" i="7" s="1"/>
  <c r="X209" i="7" s="1"/>
  <c r="X210" i="7" s="1"/>
  <c r="X211" i="7" s="1"/>
  <c r="X212" i="7" s="1"/>
  <c r="X213" i="7" s="1"/>
  <c r="X214" i="7" s="1"/>
  <c r="X215" i="7" s="1"/>
  <c r="X216" i="7" s="1"/>
  <c r="X217" i="7" s="1"/>
  <c r="X218" i="7" s="1"/>
  <c r="X219" i="7" s="1"/>
  <c r="X220" i="7" s="1"/>
  <c r="X221" i="7" s="1"/>
  <c r="X222" i="7" s="1"/>
  <c r="X223" i="7" s="1"/>
  <c r="X224" i="7" s="1"/>
  <c r="X225" i="7" s="1"/>
  <c r="X226" i="7" s="1"/>
  <c r="X227" i="7" s="1"/>
  <c r="X228" i="7" s="1"/>
  <c r="X229" i="7" s="1"/>
  <c r="X230" i="7" s="1"/>
  <c r="X231" i="7" s="1"/>
  <c r="X232" i="7" s="1"/>
  <c r="X233" i="7" s="1"/>
  <c r="X234" i="7" s="1"/>
  <c r="X235" i="7" s="1"/>
  <c r="X236" i="7" s="1"/>
  <c r="X237" i="7" s="1"/>
  <c r="X238" i="7" s="1"/>
  <c r="X239" i="7" s="1"/>
  <c r="X240" i="7" s="1"/>
  <c r="X241" i="7" s="1"/>
  <c r="X242" i="7" s="1"/>
  <c r="X243" i="7" s="1"/>
  <c r="X244" i="7" s="1"/>
  <c r="X245" i="7" s="1"/>
  <c r="X246" i="7" s="1"/>
  <c r="X247" i="7" s="1"/>
  <c r="X248" i="7" s="1"/>
  <c r="X249" i="7" s="1"/>
  <c r="X250" i="7" s="1"/>
  <c r="X251" i="7" s="1"/>
  <c r="X252" i="7" s="1"/>
  <c r="X253" i="7" s="1"/>
  <c r="X254" i="7" s="1"/>
  <c r="X255" i="7" s="1"/>
  <c r="X256" i="7" s="1"/>
  <c r="X257" i="7" s="1"/>
  <c r="X258" i="7" s="1"/>
  <c r="X259" i="7" s="1"/>
  <c r="X260" i="7" s="1"/>
  <c r="X261" i="7" s="1"/>
  <c r="X262" i="7" s="1"/>
  <c r="X263" i="7" s="1"/>
  <c r="X264" i="7" s="1"/>
  <c r="X265" i="7" s="1"/>
  <c r="X266" i="7" s="1"/>
  <c r="X267" i="7" s="1"/>
  <c r="X268" i="7" s="1"/>
  <c r="X269" i="7" s="1"/>
  <c r="X270" i="7" s="1"/>
  <c r="X271" i="7" s="1"/>
  <c r="X272" i="7" s="1"/>
  <c r="X273" i="7" s="1"/>
  <c r="X274" i="7" s="1"/>
  <c r="X275" i="7" s="1"/>
  <c r="X276" i="7" s="1"/>
  <c r="X277" i="7" s="1"/>
  <c r="X278" i="7" s="1"/>
  <c r="X279" i="7" s="1"/>
  <c r="X280" i="7" s="1"/>
  <c r="X281" i="7" s="1"/>
  <c r="X282" i="7" s="1"/>
  <c r="X283" i="7" s="1"/>
  <c r="X284" i="7" s="1"/>
  <c r="X285" i="7" s="1"/>
  <c r="X286" i="7" s="1"/>
  <c r="X287" i="7" s="1"/>
  <c r="X288" i="7" s="1"/>
  <c r="X289" i="7" s="1"/>
  <c r="X290" i="7" s="1"/>
  <c r="X291" i="7" s="1"/>
  <c r="X292" i="7" s="1"/>
  <c r="X293" i="7" s="1"/>
  <c r="X294" i="7" s="1"/>
  <c r="X295" i="7" s="1"/>
  <c r="X296" i="7" s="1"/>
  <c r="X297" i="7" s="1"/>
  <c r="X298" i="7" s="1"/>
  <c r="X299" i="7" s="1"/>
  <c r="X300" i="7" s="1"/>
  <c r="X301" i="7" s="1"/>
  <c r="X302" i="7" s="1"/>
  <c r="X303" i="7" s="1"/>
  <c r="X304" i="7" s="1"/>
  <c r="X305" i="7" s="1"/>
  <c r="X306" i="7" s="1"/>
  <c r="X307" i="7" s="1"/>
  <c r="X308" i="7" s="1"/>
  <c r="X309" i="7" s="1"/>
  <c r="X310" i="7" s="1"/>
  <c r="X311" i="7" s="1"/>
  <c r="X312" i="7" s="1"/>
  <c r="X313" i="7" s="1"/>
  <c r="X314" i="7" s="1"/>
  <c r="X315" i="7" s="1"/>
  <c r="X316" i="7" s="1"/>
  <c r="X317" i="7" s="1"/>
  <c r="X318" i="7" s="1"/>
  <c r="X319" i="7" s="1"/>
  <c r="X320" i="7" s="1"/>
  <c r="X321" i="7" s="1"/>
  <c r="X322" i="7" s="1"/>
  <c r="X323" i="7" s="1"/>
  <c r="X324" i="7" s="1"/>
  <c r="X325" i="7" s="1"/>
  <c r="X326" i="7" s="1"/>
  <c r="X327" i="7" s="1"/>
  <c r="X328" i="7" s="1"/>
  <c r="X329" i="7" s="1"/>
  <c r="X330" i="7" s="1"/>
  <c r="X331" i="7" s="1"/>
  <c r="X332" i="7" s="1"/>
  <c r="X333" i="7" s="1"/>
  <c r="X334" i="7" s="1"/>
  <c r="X335" i="7" s="1"/>
  <c r="X336" i="7" s="1"/>
  <c r="X337" i="7" s="1"/>
  <c r="X338" i="7" s="1"/>
  <c r="X339" i="7" s="1"/>
  <c r="X340" i="7" s="1"/>
  <c r="X341" i="7" s="1"/>
  <c r="X342" i="7" s="1"/>
  <c r="X343" i="7" s="1"/>
  <c r="X344" i="7" s="1"/>
  <c r="X345" i="7" s="1"/>
  <c r="X346" i="7" s="1"/>
  <c r="X347" i="7" s="1"/>
  <c r="X348" i="7" s="1"/>
  <c r="X349" i="7" s="1"/>
  <c r="X350" i="7" s="1"/>
  <c r="X351" i="7" s="1"/>
  <c r="X352" i="7" s="1"/>
  <c r="X353" i="7" s="1"/>
  <c r="X354" i="7" s="1"/>
  <c r="X355" i="7" s="1"/>
  <c r="X356" i="7" s="1"/>
  <c r="X357" i="7" s="1"/>
  <c r="X358" i="7" s="1"/>
  <c r="X359" i="7" s="1"/>
  <c r="X360" i="7" s="1"/>
  <c r="X361" i="7" s="1"/>
  <c r="X362" i="7" s="1"/>
  <c r="X363" i="7" s="1"/>
  <c r="X364" i="7" s="1"/>
  <c r="X365" i="7" s="1"/>
  <c r="X366" i="7" s="1"/>
  <c r="X367" i="7" s="1"/>
  <c r="X368" i="7" s="1"/>
  <c r="X369" i="7" s="1"/>
  <c r="X370" i="7" s="1"/>
  <c r="X371" i="7" s="1"/>
  <c r="X372" i="7" s="1"/>
  <c r="X373" i="7" s="1"/>
  <c r="X374" i="7" s="1"/>
  <c r="X375" i="7" s="1"/>
  <c r="X376" i="7" s="1"/>
  <c r="X377" i="7" s="1"/>
  <c r="X378" i="7" s="1"/>
  <c r="X379" i="7" s="1"/>
  <c r="X380" i="7" s="1"/>
  <c r="X381" i="7" s="1"/>
  <c r="X382" i="7" s="1"/>
  <c r="X383" i="7" s="1"/>
  <c r="X384" i="7" s="1"/>
  <c r="X385" i="7" s="1"/>
  <c r="X386" i="7" s="1"/>
  <c r="X387" i="7" s="1"/>
  <c r="X388" i="7" s="1"/>
  <c r="X389" i="7" s="1"/>
  <c r="X390" i="7" s="1"/>
  <c r="X391" i="7" s="1"/>
  <c r="X392" i="7" s="1"/>
  <c r="X393" i="7" s="1"/>
  <c r="X394" i="7" s="1"/>
  <c r="X395" i="7" s="1"/>
  <c r="X396" i="7" s="1"/>
  <c r="X397" i="7" s="1"/>
  <c r="X398" i="7" s="1"/>
  <c r="X399" i="7" s="1"/>
  <c r="X400" i="7" s="1"/>
  <c r="X401" i="7" s="1"/>
  <c r="X402" i="7" s="1"/>
  <c r="X403" i="7" s="1"/>
  <c r="X404" i="7" s="1"/>
  <c r="X405" i="7" s="1"/>
  <c r="X406" i="7" s="1"/>
  <c r="X407" i="7" s="1"/>
  <c r="X408" i="7" s="1"/>
  <c r="X409" i="7" s="1"/>
  <c r="X410" i="7" s="1"/>
  <c r="X411" i="7" s="1"/>
  <c r="X412" i="7" s="1"/>
  <c r="X413" i="7" s="1"/>
  <c r="X414" i="7" s="1"/>
  <c r="X415" i="7" s="1"/>
  <c r="X416" i="7" s="1"/>
  <c r="X417" i="7" s="1"/>
  <c r="X418" i="7" s="1"/>
  <c r="X419" i="7" s="1"/>
  <c r="X420" i="7" s="1"/>
  <c r="X421" i="7" s="1"/>
  <c r="X422" i="7" s="1"/>
  <c r="X423" i="7" s="1"/>
  <c r="X424" i="7" s="1"/>
  <c r="X425" i="7" s="1"/>
  <c r="X426" i="7" s="1"/>
  <c r="X427" i="7" s="1"/>
  <c r="X428" i="7" s="1"/>
  <c r="X429" i="7" s="1"/>
  <c r="X430" i="7" s="1"/>
  <c r="X431" i="7" s="1"/>
  <c r="X432" i="7" s="1"/>
  <c r="X433" i="7" s="1"/>
  <c r="X434" i="7" s="1"/>
  <c r="X435" i="7" s="1"/>
  <c r="X436" i="7" s="1"/>
  <c r="X437" i="7" s="1"/>
  <c r="X438" i="7" s="1"/>
  <c r="X439" i="7" s="1"/>
  <c r="X440" i="7" s="1"/>
  <c r="X441" i="7" s="1"/>
  <c r="X442" i="7" s="1"/>
  <c r="X443" i="7" s="1"/>
  <c r="X444" i="7" s="1"/>
  <c r="X445" i="7" s="1"/>
  <c r="X446" i="7" s="1"/>
  <c r="X447" i="7" s="1"/>
  <c r="X448" i="7" s="1"/>
  <c r="X449" i="7" s="1"/>
  <c r="X450" i="7" s="1"/>
  <c r="X451" i="7" s="1"/>
  <c r="X452" i="7" s="1"/>
  <c r="X453" i="7" s="1"/>
  <c r="X454" i="7" s="1"/>
  <c r="X455" i="7" s="1"/>
  <c r="X456" i="7" s="1"/>
  <c r="X457" i="7" s="1"/>
  <c r="X458" i="7" s="1"/>
  <c r="X459" i="7" s="1"/>
  <c r="X460" i="7" s="1"/>
  <c r="X461" i="7" s="1"/>
  <c r="X462" i="7" s="1"/>
  <c r="X463" i="7" s="1"/>
  <c r="X464" i="7" s="1"/>
  <c r="X465" i="7" s="1"/>
  <c r="X466" i="7" s="1"/>
  <c r="X467" i="7" s="1"/>
  <c r="X468" i="7" s="1"/>
  <c r="X469" i="7" s="1"/>
  <c r="X470" i="7" s="1"/>
  <c r="X471" i="7" s="1"/>
  <c r="X472" i="7" s="1"/>
  <c r="X473" i="7" s="1"/>
  <c r="X474" i="7" s="1"/>
  <c r="X475" i="7" s="1"/>
  <c r="X476" i="7" s="1"/>
  <c r="X477" i="7" s="1"/>
  <c r="X478" i="7" s="1"/>
  <c r="X479" i="7" s="1"/>
  <c r="X480" i="7" s="1"/>
  <c r="X481" i="7" s="1"/>
  <c r="X482" i="7" s="1"/>
  <c r="X483" i="7" s="1"/>
  <c r="X484" i="7" s="1"/>
  <c r="X485" i="7" s="1"/>
  <c r="X486" i="7" s="1"/>
  <c r="X487" i="7" s="1"/>
  <c r="X488" i="7" s="1"/>
  <c r="X489" i="7" s="1"/>
  <c r="X490" i="7" s="1"/>
  <c r="X491" i="7" s="1"/>
  <c r="X492" i="7" s="1"/>
  <c r="X493" i="7" s="1"/>
  <c r="X494" i="7" s="1"/>
  <c r="X495" i="7" s="1"/>
  <c r="X496" i="7" s="1"/>
  <c r="X497" i="7" s="1"/>
  <c r="X498" i="7" s="1"/>
  <c r="X499" i="7" s="1"/>
  <c r="X500" i="7" s="1"/>
  <c r="X501" i="7" s="1"/>
  <c r="X502" i="7" s="1"/>
  <c r="X503" i="7" s="1"/>
  <c r="X504" i="7" s="1"/>
  <c r="X505" i="7" s="1"/>
  <c r="X506" i="7" s="1"/>
  <c r="X507" i="7" s="1"/>
  <c r="X508" i="7" s="1"/>
  <c r="X509" i="7" s="1"/>
  <c r="T3" i="3" l="1"/>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 i="4"/>
  <c r="U1" i="3"/>
  <c r="U1" i="4"/>
  <c r="U1" i="2"/>
  <c r="CL14" i="7"/>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 i="2"/>
  <c r="C2" i="34" l="1"/>
  <c r="C1" i="34"/>
  <c r="M4" i="32" l="1"/>
  <c r="L4" i="32"/>
  <c r="K4" i="32"/>
  <c r="B6" i="32" l="1"/>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79" i="32"/>
  <c r="B80" i="32"/>
  <c r="B81" i="32"/>
  <c r="B82" i="32"/>
  <c r="B83" i="32"/>
  <c r="B84" i="32"/>
  <c r="B85" i="32"/>
  <c r="B86" i="32"/>
  <c r="B87" i="32"/>
  <c r="B88" i="32"/>
  <c r="B89" i="32"/>
  <c r="B90" i="32"/>
  <c r="B91" i="32"/>
  <c r="B92" i="32"/>
  <c r="B93" i="32"/>
  <c r="B94" i="32"/>
  <c r="B95" i="32"/>
  <c r="B96" i="32"/>
  <c r="B97" i="32"/>
  <c r="B98" i="32"/>
  <c r="B99" i="32"/>
  <c r="B100" i="32"/>
  <c r="B101" i="32"/>
  <c r="B102" i="32"/>
  <c r="B103" i="32"/>
  <c r="B104" i="32"/>
  <c r="B105" i="32"/>
  <c r="B106" i="32"/>
  <c r="B107" i="32"/>
  <c r="B108" i="32"/>
  <c r="B109" i="32"/>
  <c r="B110" i="32"/>
  <c r="B111" i="32"/>
  <c r="B112" i="32"/>
  <c r="B113" i="32"/>
  <c r="B114" i="32"/>
  <c r="B115" i="32"/>
  <c r="B116" i="32"/>
  <c r="B117" i="32"/>
  <c r="B118" i="32"/>
  <c r="B119" i="32"/>
  <c r="B120" i="32"/>
  <c r="B121" i="32"/>
  <c r="B122" i="32"/>
  <c r="B123" i="32"/>
  <c r="B124" i="32"/>
  <c r="B125" i="32"/>
  <c r="B126" i="32"/>
  <c r="B127" i="32"/>
  <c r="B128" i="32"/>
  <c r="B129" i="32"/>
  <c r="B130" i="32"/>
  <c r="B131" i="32"/>
  <c r="B132" i="32"/>
  <c r="B133" i="32"/>
  <c r="B134" i="32"/>
  <c r="B135" i="32"/>
  <c r="B136" i="32"/>
  <c r="B137" i="32"/>
  <c r="B5" i="32"/>
  <c r="BY15" i="7"/>
  <c r="G4" i="32"/>
  <c r="P4" i="32" s="1"/>
  <c r="P3" i="32"/>
  <c r="H5" i="3"/>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4" i="3"/>
  <c r="H5" i="4"/>
  <c r="H6" i="4" s="1"/>
  <c r="H7" i="4" s="1"/>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4" i="4"/>
  <c r="H5" i="2"/>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4" i="2"/>
  <c r="BY16" i="7" l="1"/>
  <c r="CT16" i="7" s="1"/>
  <c r="BY17" i="7" l="1"/>
  <c r="CT17" i="7" s="1"/>
  <c r="AQ1" i="11"/>
  <c r="AU1" i="11"/>
  <c r="AM1" i="11"/>
  <c r="O25" i="11"/>
  <c r="E1" i="11" l="1"/>
  <c r="AQ25" i="11" s="1"/>
  <c r="AU25" i="11" l="1"/>
  <c r="AU19" i="11" s="1"/>
  <c r="AQ19" i="11"/>
  <c r="AM25" i="11"/>
  <c r="AM19" i="11" s="1"/>
  <c r="AE25" i="11"/>
  <c r="AE19" i="11" s="1"/>
  <c r="AA25" i="11"/>
  <c r="AA19" i="11" s="1"/>
  <c r="S25" i="11"/>
  <c r="S19" i="11" s="1"/>
  <c r="AS16" i="7" l="1"/>
  <c r="AS17" i="7" s="1"/>
  <c r="AS18" i="7" s="1"/>
  <c r="AS19" i="7" s="1"/>
  <c r="AS20" i="7" s="1"/>
  <c r="AS21" i="7" s="1"/>
  <c r="AS22" i="7" s="1"/>
  <c r="AS23" i="7" s="1"/>
  <c r="AS24" i="7" s="1"/>
  <c r="AS25" i="7" s="1"/>
  <c r="AS26" i="7" s="1"/>
  <c r="AS27" i="7" s="1"/>
  <c r="AS28" i="7" s="1"/>
  <c r="AS29" i="7" s="1"/>
  <c r="AS30" i="7" s="1"/>
  <c r="AS31" i="7" s="1"/>
  <c r="AS32" i="7" s="1"/>
  <c r="AS33" i="7" s="1"/>
  <c r="AS34" i="7" s="1"/>
  <c r="AS35" i="7" s="1"/>
  <c r="AS36" i="7" s="1"/>
  <c r="AS37" i="7" s="1"/>
  <c r="AS38" i="7" s="1"/>
  <c r="AS39" i="7" s="1"/>
  <c r="AS40" i="7" s="1"/>
  <c r="AS41" i="7" s="1"/>
  <c r="AS42" i="7" s="1"/>
  <c r="AS43" i="7" s="1"/>
  <c r="AS44" i="7" s="1"/>
  <c r="AS45" i="7" s="1"/>
  <c r="AS46" i="7" s="1"/>
  <c r="AS47" i="7" s="1"/>
  <c r="AS48" i="7" s="1"/>
  <c r="AS49" i="7" s="1"/>
  <c r="AS50" i="7" s="1"/>
  <c r="AS51" i="7" s="1"/>
  <c r="AS52" i="7" s="1"/>
  <c r="AS53" i="7" s="1"/>
  <c r="AS54" i="7" s="1"/>
  <c r="AS55" i="7" s="1"/>
  <c r="AS56" i="7" s="1"/>
  <c r="AS57" i="7" s="1"/>
  <c r="AS58" i="7" s="1"/>
  <c r="AS59" i="7" s="1"/>
  <c r="AS60" i="7" s="1"/>
  <c r="AS61" i="7" s="1"/>
  <c r="AS62" i="7" s="1"/>
  <c r="AS63" i="7" s="1"/>
  <c r="AS64" i="7" s="1"/>
  <c r="AS65" i="7" s="1"/>
  <c r="AS66" i="7" s="1"/>
  <c r="AS67" i="7" s="1"/>
  <c r="AS68" i="7" s="1"/>
  <c r="AS69" i="7" s="1"/>
  <c r="AS70" i="7" s="1"/>
  <c r="AS71" i="7" s="1"/>
  <c r="AS72" i="7" s="1"/>
  <c r="AS73" i="7" s="1"/>
  <c r="AS74" i="7" s="1"/>
  <c r="AS75" i="7" s="1"/>
  <c r="AS76" i="7" s="1"/>
  <c r="AS77" i="7" s="1"/>
  <c r="AS78" i="7" s="1"/>
  <c r="AS79" i="7" s="1"/>
  <c r="AS80" i="7" s="1"/>
  <c r="AS81" i="7" s="1"/>
  <c r="AS82" i="7" s="1"/>
  <c r="AS83" i="7" s="1"/>
  <c r="AS84" i="7" s="1"/>
  <c r="AS85" i="7" s="1"/>
  <c r="AS86" i="7" s="1"/>
  <c r="AS87" i="7" s="1"/>
  <c r="AS88" i="7" s="1"/>
  <c r="AS89" i="7" s="1"/>
  <c r="AS90" i="7" s="1"/>
  <c r="AS91" i="7" s="1"/>
  <c r="AS92" i="7" s="1"/>
  <c r="AS93" i="7" s="1"/>
  <c r="AS94" i="7" s="1"/>
  <c r="AS95" i="7" s="1"/>
  <c r="AS96" i="7" s="1"/>
  <c r="AS97" i="7" s="1"/>
  <c r="AS98" i="7" s="1"/>
  <c r="AS99" i="7" s="1"/>
  <c r="AS100" i="7" s="1"/>
  <c r="AS101" i="7" s="1"/>
  <c r="AS102" i="7" s="1"/>
  <c r="AS103" i="7" s="1"/>
  <c r="AS104" i="7" s="1"/>
  <c r="AS105" i="7" s="1"/>
  <c r="AS106" i="7" s="1"/>
  <c r="AS107" i="7" s="1"/>
  <c r="AS108" i="7" s="1"/>
  <c r="AS109" i="7" s="1"/>
  <c r="AS110" i="7" s="1"/>
  <c r="AS111" i="7" s="1"/>
  <c r="AS112" i="7" s="1"/>
  <c r="AS113" i="7" s="1"/>
  <c r="AS114" i="7" s="1"/>
  <c r="AS115" i="7" s="1"/>
  <c r="AS116" i="7" s="1"/>
  <c r="AS117" i="7" s="1"/>
  <c r="AS118" i="7" s="1"/>
  <c r="AS119" i="7" s="1"/>
  <c r="AS120" i="7" s="1"/>
  <c r="AS121" i="7" s="1"/>
  <c r="AS122" i="7" s="1"/>
  <c r="AS123" i="7" s="1"/>
  <c r="AS124" i="7" s="1"/>
  <c r="AS125" i="7" s="1"/>
  <c r="AS126" i="7" s="1"/>
  <c r="AS127" i="7" s="1"/>
  <c r="AS128" i="7" s="1"/>
  <c r="AS129" i="7" s="1"/>
  <c r="AS130" i="7" s="1"/>
  <c r="AS131" i="7" s="1"/>
  <c r="AS132" i="7" s="1"/>
  <c r="AS133" i="7" s="1"/>
  <c r="AS134" i="7" s="1"/>
  <c r="AS135" i="7" s="1"/>
  <c r="AS136" i="7" s="1"/>
  <c r="AS137" i="7" s="1"/>
  <c r="AS138" i="7" s="1"/>
  <c r="AS139" i="7" s="1"/>
  <c r="AS140" i="7" s="1"/>
  <c r="AS141" i="7" s="1"/>
  <c r="AS142" i="7" s="1"/>
  <c r="AS143" i="7" s="1"/>
  <c r="AS144" i="7" s="1"/>
  <c r="AS145" i="7" s="1"/>
  <c r="AS146" i="7" s="1"/>
  <c r="AS147" i="7" s="1"/>
  <c r="AS148" i="7" s="1"/>
  <c r="AS149" i="7" s="1"/>
  <c r="AS150" i="7" s="1"/>
  <c r="AS151" i="7" s="1"/>
  <c r="AS152" i="7" s="1"/>
  <c r="AS153" i="7" s="1"/>
  <c r="AS154" i="7" s="1"/>
  <c r="AS155" i="7" s="1"/>
  <c r="AS156" i="7" s="1"/>
  <c r="AS157" i="7" s="1"/>
  <c r="AS158" i="7" s="1"/>
  <c r="AS159" i="7" s="1"/>
  <c r="AS160" i="7" s="1"/>
  <c r="AS161" i="7" s="1"/>
  <c r="AS162" i="7" s="1"/>
  <c r="AS163" i="7" s="1"/>
  <c r="AS164" i="7" s="1"/>
  <c r="AS165" i="7" s="1"/>
  <c r="AS166" i="7" s="1"/>
  <c r="AS167" i="7" s="1"/>
  <c r="AS168" i="7" s="1"/>
  <c r="AS169" i="7" s="1"/>
  <c r="AS170" i="7" s="1"/>
  <c r="AS171" i="7" s="1"/>
  <c r="AS172" i="7" s="1"/>
  <c r="AS173" i="7" s="1"/>
  <c r="AS174" i="7" s="1"/>
  <c r="AS175" i="7" s="1"/>
  <c r="AS176" i="7" s="1"/>
  <c r="AS177" i="7" s="1"/>
  <c r="AS178" i="7" s="1"/>
  <c r="AS179" i="7" s="1"/>
  <c r="AS180" i="7" s="1"/>
  <c r="AS181" i="7" s="1"/>
  <c r="AS182" i="7" s="1"/>
  <c r="AS183" i="7" s="1"/>
  <c r="AS184" i="7" s="1"/>
  <c r="AS185" i="7" s="1"/>
  <c r="AS186" i="7" s="1"/>
  <c r="AS187" i="7" s="1"/>
  <c r="AS188" i="7" s="1"/>
  <c r="AS189" i="7" s="1"/>
  <c r="AS190" i="7" s="1"/>
  <c r="AS191" i="7" s="1"/>
  <c r="AS192" i="7" s="1"/>
  <c r="AS193" i="7" s="1"/>
  <c r="AS194" i="7" s="1"/>
  <c r="AS195" i="7" s="1"/>
  <c r="AS196" i="7" s="1"/>
  <c r="AS197" i="7" s="1"/>
  <c r="AS198" i="7" s="1"/>
  <c r="AS199" i="7" s="1"/>
  <c r="AS200" i="7" s="1"/>
  <c r="AS201" i="7" s="1"/>
  <c r="AS202" i="7" s="1"/>
  <c r="AS203" i="7" s="1"/>
  <c r="AS204" i="7" s="1"/>
  <c r="AS205" i="7" s="1"/>
  <c r="AS206" i="7" s="1"/>
  <c r="AS207" i="7" s="1"/>
  <c r="AS208" i="7" s="1"/>
  <c r="AS209" i="7" s="1"/>
  <c r="AS210" i="7" s="1"/>
  <c r="AS211" i="7" s="1"/>
  <c r="AS212" i="7" s="1"/>
  <c r="AS213" i="7" s="1"/>
  <c r="AS214" i="7" s="1"/>
  <c r="AS215" i="7" s="1"/>
  <c r="AS216" i="7" s="1"/>
  <c r="AS217" i="7" s="1"/>
  <c r="AS218" i="7" s="1"/>
  <c r="AS219" i="7" s="1"/>
  <c r="AS220" i="7" s="1"/>
  <c r="AS221" i="7" s="1"/>
  <c r="AS222" i="7" s="1"/>
  <c r="AS223" i="7" s="1"/>
  <c r="AS224" i="7" s="1"/>
  <c r="AS225" i="7" s="1"/>
  <c r="AS226" i="7" s="1"/>
  <c r="AS227" i="7" s="1"/>
  <c r="AS228" i="7" s="1"/>
  <c r="AS229" i="7" s="1"/>
  <c r="AS230" i="7" s="1"/>
  <c r="AS231" i="7" s="1"/>
  <c r="AS232" i="7" s="1"/>
  <c r="AS233" i="7" s="1"/>
  <c r="AS234" i="7" s="1"/>
  <c r="AS235" i="7" s="1"/>
  <c r="AS236" i="7" s="1"/>
  <c r="AS237" i="7" s="1"/>
  <c r="AS238" i="7" s="1"/>
  <c r="AS239" i="7" s="1"/>
  <c r="AS240" i="7" s="1"/>
  <c r="AS241" i="7" s="1"/>
  <c r="AS242" i="7" s="1"/>
  <c r="AS243" i="7" s="1"/>
  <c r="AS244" i="7" s="1"/>
  <c r="AS245" i="7" s="1"/>
  <c r="AS246" i="7" s="1"/>
  <c r="AS247" i="7" s="1"/>
  <c r="AS248" i="7" s="1"/>
  <c r="AS249" i="7" s="1"/>
  <c r="AS250" i="7" s="1"/>
  <c r="AS251" i="7" s="1"/>
  <c r="AS252" i="7" s="1"/>
  <c r="AS253" i="7" s="1"/>
  <c r="AS254" i="7" s="1"/>
  <c r="AS255" i="7" s="1"/>
  <c r="AS256" i="7" s="1"/>
  <c r="AS257" i="7" s="1"/>
  <c r="AS258" i="7" s="1"/>
  <c r="AS259" i="7" s="1"/>
  <c r="AS260" i="7" s="1"/>
  <c r="AS261" i="7" s="1"/>
  <c r="AS262" i="7" s="1"/>
  <c r="AS263" i="7" s="1"/>
  <c r="AS264" i="7" s="1"/>
  <c r="AS265" i="7" s="1"/>
  <c r="AS266" i="7" s="1"/>
  <c r="AS267" i="7" s="1"/>
  <c r="AS268" i="7" s="1"/>
  <c r="AS269" i="7" s="1"/>
  <c r="AS270" i="7" s="1"/>
  <c r="AS271" i="7" s="1"/>
  <c r="AS272" i="7" s="1"/>
  <c r="AS273" i="7" s="1"/>
  <c r="AS274" i="7" s="1"/>
  <c r="AS275" i="7" s="1"/>
  <c r="AS276" i="7" s="1"/>
  <c r="AS277" i="7" s="1"/>
  <c r="AS278" i="7" s="1"/>
  <c r="AS279" i="7" s="1"/>
  <c r="AS280" i="7" s="1"/>
  <c r="AS281" i="7" s="1"/>
  <c r="AS282" i="7" s="1"/>
  <c r="AS283" i="7" s="1"/>
  <c r="AS284" i="7" s="1"/>
  <c r="AS285" i="7" s="1"/>
  <c r="AS286" i="7" s="1"/>
  <c r="AS287" i="7" s="1"/>
  <c r="AS288" i="7" s="1"/>
  <c r="AS289" i="7" s="1"/>
  <c r="AS290" i="7" s="1"/>
  <c r="AS291" i="7" s="1"/>
  <c r="AS292" i="7" s="1"/>
  <c r="AS293" i="7" s="1"/>
  <c r="AS294" i="7" s="1"/>
  <c r="AS295" i="7" s="1"/>
  <c r="AS296" i="7" s="1"/>
  <c r="AS297" i="7" s="1"/>
  <c r="AS298" i="7" s="1"/>
  <c r="AS299" i="7" s="1"/>
  <c r="AS300" i="7" s="1"/>
  <c r="AS301" i="7" s="1"/>
  <c r="AS302" i="7" s="1"/>
  <c r="AS303" i="7" s="1"/>
  <c r="AS304" i="7" s="1"/>
  <c r="AS305" i="7" s="1"/>
  <c r="AS306" i="7" s="1"/>
  <c r="AS307" i="7" s="1"/>
  <c r="AS308" i="7" s="1"/>
  <c r="AS309" i="7" s="1"/>
  <c r="AS310" i="7" s="1"/>
  <c r="AS311" i="7" s="1"/>
  <c r="AS312" i="7" s="1"/>
  <c r="AS313" i="7" s="1"/>
  <c r="AS314" i="7" s="1"/>
  <c r="AS315" i="7" s="1"/>
  <c r="AS316" i="7" s="1"/>
  <c r="AS317" i="7" s="1"/>
  <c r="AS318" i="7" s="1"/>
  <c r="AS319" i="7" s="1"/>
  <c r="AS320" i="7" s="1"/>
  <c r="AS321" i="7" s="1"/>
  <c r="AS322" i="7" s="1"/>
  <c r="AS323" i="7" s="1"/>
  <c r="AS324" i="7" s="1"/>
  <c r="AS325" i="7" s="1"/>
  <c r="AS326" i="7" s="1"/>
  <c r="AS327" i="7" s="1"/>
  <c r="AS328" i="7" s="1"/>
  <c r="AS329" i="7" s="1"/>
  <c r="AS330" i="7" s="1"/>
  <c r="AS331" i="7" s="1"/>
  <c r="AS332" i="7" s="1"/>
  <c r="AS333" i="7" s="1"/>
  <c r="AS334" i="7" s="1"/>
  <c r="AS335" i="7" s="1"/>
  <c r="AS336" i="7" s="1"/>
  <c r="AS337" i="7" s="1"/>
  <c r="AS338" i="7" s="1"/>
  <c r="AS339" i="7" s="1"/>
  <c r="AS340" i="7" s="1"/>
  <c r="AS341" i="7" s="1"/>
  <c r="AS342" i="7" s="1"/>
  <c r="AS343" i="7" s="1"/>
  <c r="AS344" i="7" s="1"/>
  <c r="AS345" i="7" s="1"/>
  <c r="AS346" i="7" s="1"/>
  <c r="AS347" i="7" s="1"/>
  <c r="AS348" i="7" s="1"/>
  <c r="AS349" i="7" s="1"/>
  <c r="AS350" i="7" s="1"/>
  <c r="AS351" i="7" s="1"/>
  <c r="AS352" i="7" s="1"/>
  <c r="AS353" i="7" s="1"/>
  <c r="AS354" i="7" s="1"/>
  <c r="AS355" i="7" s="1"/>
  <c r="AS356" i="7" s="1"/>
  <c r="AS357" i="7" s="1"/>
  <c r="AS358" i="7" s="1"/>
  <c r="AS359" i="7" s="1"/>
  <c r="AS360" i="7" s="1"/>
  <c r="AS361" i="7" s="1"/>
  <c r="AS362" i="7" s="1"/>
  <c r="AS363" i="7" s="1"/>
  <c r="AS364" i="7" s="1"/>
  <c r="AS365" i="7" s="1"/>
  <c r="AS366" i="7" s="1"/>
  <c r="AS367" i="7" s="1"/>
  <c r="AS368" i="7" s="1"/>
  <c r="AS369" i="7" s="1"/>
  <c r="AS370" i="7" s="1"/>
  <c r="AS371" i="7" s="1"/>
  <c r="AS372" i="7" s="1"/>
  <c r="AS373" i="7" s="1"/>
  <c r="AS374" i="7" s="1"/>
  <c r="AS375" i="7" s="1"/>
  <c r="AS376" i="7" s="1"/>
  <c r="AS377" i="7" s="1"/>
  <c r="AS378" i="7" s="1"/>
  <c r="AS379" i="7" s="1"/>
  <c r="AS380" i="7" s="1"/>
  <c r="AS381" i="7" s="1"/>
  <c r="AS382" i="7" s="1"/>
  <c r="AS383" i="7" s="1"/>
  <c r="AS384" i="7" s="1"/>
  <c r="AS385" i="7" s="1"/>
  <c r="AS386" i="7" s="1"/>
  <c r="AS387" i="7" s="1"/>
  <c r="AS388" i="7" s="1"/>
  <c r="AS389" i="7" s="1"/>
  <c r="AS390" i="7" s="1"/>
  <c r="AS391" i="7" s="1"/>
  <c r="AS392" i="7" s="1"/>
  <c r="AS393" i="7" s="1"/>
  <c r="AS394" i="7" s="1"/>
  <c r="AS395" i="7" s="1"/>
  <c r="AS396" i="7" s="1"/>
  <c r="AS397" i="7" s="1"/>
  <c r="AS398" i="7" s="1"/>
  <c r="AS399" i="7" s="1"/>
  <c r="AS400" i="7" s="1"/>
  <c r="AS401" i="7" s="1"/>
  <c r="AS402" i="7" s="1"/>
  <c r="AS403" i="7" s="1"/>
  <c r="AS404" i="7" s="1"/>
  <c r="AS405" i="7" s="1"/>
  <c r="AS406" i="7" s="1"/>
  <c r="AS407" i="7" s="1"/>
  <c r="AS408" i="7" s="1"/>
  <c r="AS409" i="7" s="1"/>
  <c r="AS410" i="7" s="1"/>
  <c r="AS411" i="7" s="1"/>
  <c r="AS412" i="7" s="1"/>
  <c r="AS413" i="7" s="1"/>
  <c r="AS414" i="7" s="1"/>
  <c r="AS415" i="7" s="1"/>
  <c r="AS416" i="7" s="1"/>
  <c r="AS417" i="7" s="1"/>
  <c r="AS418" i="7" s="1"/>
  <c r="AS419" i="7" s="1"/>
  <c r="AS420" i="7" s="1"/>
  <c r="AS421" i="7" s="1"/>
  <c r="AS422" i="7" s="1"/>
  <c r="AS423" i="7" s="1"/>
  <c r="AS424" i="7" s="1"/>
  <c r="AS425" i="7" s="1"/>
  <c r="AS426" i="7" s="1"/>
  <c r="AS427" i="7" s="1"/>
  <c r="AS428" i="7" s="1"/>
  <c r="AS429" i="7" s="1"/>
  <c r="AS430" i="7" s="1"/>
  <c r="AS431" i="7" s="1"/>
  <c r="AS432" i="7" s="1"/>
  <c r="AS433" i="7" s="1"/>
  <c r="AS434" i="7" s="1"/>
  <c r="AS435" i="7" s="1"/>
  <c r="AS436" i="7" s="1"/>
  <c r="AS437" i="7" s="1"/>
  <c r="AS438" i="7" s="1"/>
  <c r="AS439" i="7" s="1"/>
  <c r="AS440" i="7" s="1"/>
  <c r="AS441" i="7" s="1"/>
  <c r="AS442" i="7" s="1"/>
  <c r="AS443" i="7" s="1"/>
  <c r="AS444" i="7" s="1"/>
  <c r="AS445" i="7" s="1"/>
  <c r="AS446" i="7" s="1"/>
  <c r="AS447" i="7" s="1"/>
  <c r="AS448" i="7" s="1"/>
  <c r="AS449" i="7" s="1"/>
  <c r="AS450" i="7" s="1"/>
  <c r="AS451" i="7" s="1"/>
  <c r="AS452" i="7" s="1"/>
  <c r="AS453" i="7" s="1"/>
  <c r="AS454" i="7" s="1"/>
  <c r="AS455" i="7" s="1"/>
  <c r="AS456" i="7" s="1"/>
  <c r="AS457" i="7" s="1"/>
  <c r="AS458" i="7" s="1"/>
  <c r="AS459" i="7" s="1"/>
  <c r="AS460" i="7" s="1"/>
  <c r="AS461" i="7" s="1"/>
  <c r="AS462" i="7" s="1"/>
  <c r="AS463" i="7" s="1"/>
  <c r="AS464" i="7" s="1"/>
  <c r="AS465" i="7" s="1"/>
  <c r="AS466" i="7" s="1"/>
  <c r="AS467" i="7" s="1"/>
  <c r="AS468" i="7" s="1"/>
  <c r="AS469" i="7" s="1"/>
  <c r="AS470" i="7" s="1"/>
  <c r="AS471" i="7" s="1"/>
  <c r="AS472" i="7" s="1"/>
  <c r="AS473" i="7" s="1"/>
  <c r="AS474" i="7" s="1"/>
  <c r="AS475" i="7" s="1"/>
  <c r="AS476" i="7" s="1"/>
  <c r="AS477" i="7" s="1"/>
  <c r="AS478" i="7" s="1"/>
  <c r="AS479" i="7" s="1"/>
  <c r="AS480" i="7" s="1"/>
  <c r="AS481" i="7" s="1"/>
  <c r="AS482" i="7" s="1"/>
  <c r="AS483" i="7" s="1"/>
  <c r="AS484" i="7" s="1"/>
  <c r="AS485" i="7" s="1"/>
  <c r="AS486" i="7" s="1"/>
  <c r="AS487" i="7" s="1"/>
  <c r="AS488" i="7" s="1"/>
  <c r="AS489" i="7" s="1"/>
  <c r="AS490" i="7" s="1"/>
  <c r="AS491" i="7" s="1"/>
  <c r="AS492" i="7" s="1"/>
  <c r="AS493" i="7" s="1"/>
  <c r="AS494" i="7" s="1"/>
  <c r="AS495" i="7" s="1"/>
  <c r="AS496" i="7" s="1"/>
  <c r="AS497" i="7" s="1"/>
  <c r="AS498" i="7" s="1"/>
  <c r="AS499" i="7" s="1"/>
  <c r="AS500" i="7" s="1"/>
  <c r="AS501" i="7" s="1"/>
  <c r="AS502" i="7" s="1"/>
  <c r="AS503" i="7" s="1"/>
  <c r="AS504" i="7" s="1"/>
  <c r="AS505" i="7" s="1"/>
  <c r="AS506" i="7" s="1"/>
  <c r="AS507" i="7" s="1"/>
  <c r="AS508" i="7" s="1"/>
  <c r="AS509" i="7" s="1"/>
  <c r="AK7" i="7"/>
  <c r="AK8" i="7" s="1"/>
  <c r="AK10" i="7" l="1"/>
  <c r="AK11" i="7" s="1"/>
  <c r="AL15" i="7"/>
  <c r="AK15" i="7"/>
  <c r="B8" i="31" l="1"/>
  <c r="B9" i="31"/>
  <c r="B10" i="31"/>
  <c r="G7" i="31"/>
  <c r="G13" i="31"/>
  <c r="B11" i="31" l="1"/>
  <c r="G14" i="31"/>
  <c r="G5" i="31"/>
  <c r="G12" i="31" l="1"/>
  <c r="G15" i="31" l="1"/>
  <c r="E9" i="7"/>
  <c r="H9" i="7"/>
  <c r="B10" i="7"/>
  <c r="AI7" i="30" l="1"/>
  <c r="AH6" i="30"/>
  <c r="Q1" i="30"/>
  <c r="D7" i="30" s="1"/>
  <c r="U33" i="30" l="1"/>
  <c r="E33" i="30"/>
  <c r="R32" i="30"/>
  <c r="AD31" i="30"/>
  <c r="Z30" i="30"/>
  <c r="T29" i="30"/>
  <c r="G27" i="30"/>
  <c r="G22" i="30"/>
  <c r="E13" i="30"/>
  <c r="Z33" i="30"/>
  <c r="R33" i="30"/>
  <c r="J33" i="30"/>
  <c r="AE32" i="30"/>
  <c r="W32" i="30"/>
  <c r="O32" i="30"/>
  <c r="G32" i="30"/>
  <c r="AA31" i="30"/>
  <c r="S31" i="30"/>
  <c r="K31" i="30"/>
  <c r="V30" i="30"/>
  <c r="F30" i="30"/>
  <c r="N29" i="30"/>
  <c r="G28" i="30"/>
  <c r="V26" i="30"/>
  <c r="P24" i="30"/>
  <c r="I21" i="30"/>
  <c r="G17" i="30"/>
  <c r="F11" i="30"/>
  <c r="AD33" i="30"/>
  <c r="V33" i="30"/>
  <c r="N33" i="30"/>
  <c r="F33" i="30"/>
  <c r="AA32" i="30"/>
  <c r="S32" i="30"/>
  <c r="K32" i="30"/>
  <c r="C32" i="30"/>
  <c r="W31" i="30"/>
  <c r="O31" i="30"/>
  <c r="C31" i="30"/>
  <c r="N30" i="30"/>
  <c r="X29" i="30"/>
  <c r="W28" i="30"/>
  <c r="O27" i="30"/>
  <c r="E26" i="30"/>
  <c r="D23" i="30"/>
  <c r="J19" i="30"/>
  <c r="K14" i="30"/>
  <c r="AC33" i="30"/>
  <c r="M33" i="30"/>
  <c r="Z32" i="30"/>
  <c r="J32" i="30"/>
  <c r="V31" i="30"/>
  <c r="N31" i="30"/>
  <c r="J30" i="30"/>
  <c r="O28" i="30"/>
  <c r="K25" i="30"/>
  <c r="I18" i="30"/>
  <c r="Y33" i="30"/>
  <c r="Q33" i="30"/>
  <c r="I33" i="30"/>
  <c r="AD32" i="30"/>
  <c r="V32" i="30"/>
  <c r="N32" i="30"/>
  <c r="F32" i="30"/>
  <c r="Z31" i="30"/>
  <c r="R31" i="30"/>
  <c r="G31" i="30"/>
  <c r="R30" i="30"/>
  <c r="AB29" i="30"/>
  <c r="F29" i="30"/>
  <c r="W27" i="30"/>
  <c r="N26" i="30"/>
  <c r="T23" i="30"/>
  <c r="J20" i="30"/>
  <c r="D16" i="30"/>
  <c r="C9" i="30"/>
  <c r="J31" i="30"/>
  <c r="F31" i="30"/>
  <c r="AC30" i="30"/>
  <c r="Y30" i="30"/>
  <c r="U30" i="30"/>
  <c r="Q30" i="30"/>
  <c r="M30" i="30"/>
  <c r="I30" i="30"/>
  <c r="E30" i="30"/>
  <c r="AA29" i="30"/>
  <c r="W29" i="30"/>
  <c r="S29" i="30"/>
  <c r="M29" i="30"/>
  <c r="E29" i="30"/>
  <c r="V28" i="30"/>
  <c r="N28" i="30"/>
  <c r="F28" i="30"/>
  <c r="V27" i="30"/>
  <c r="N27" i="30"/>
  <c r="F27" i="30"/>
  <c r="U26" i="30"/>
  <c r="M26" i="30"/>
  <c r="W25" i="30"/>
  <c r="G25" i="30"/>
  <c r="L24" i="30"/>
  <c r="P23" i="30"/>
  <c r="S22" i="30"/>
  <c r="C22" i="30"/>
  <c r="E21" i="30"/>
  <c r="F20" i="30"/>
  <c r="F19" i="30"/>
  <c r="E18" i="30"/>
  <c r="C17" i="30"/>
  <c r="L15" i="30"/>
  <c r="G14" i="30"/>
  <c r="J12" i="30"/>
  <c r="I10" i="30"/>
  <c r="D8" i="30"/>
  <c r="AF33" i="30"/>
  <c r="AB33" i="30"/>
  <c r="X33" i="30"/>
  <c r="T33" i="30"/>
  <c r="P33" i="30"/>
  <c r="L33" i="30"/>
  <c r="H33" i="30"/>
  <c r="D33" i="30"/>
  <c r="AC32" i="30"/>
  <c r="Y32" i="30"/>
  <c r="U32" i="30"/>
  <c r="Q32" i="30"/>
  <c r="M32" i="30"/>
  <c r="I32" i="30"/>
  <c r="E32" i="30"/>
  <c r="AC31" i="30"/>
  <c r="Y31" i="30"/>
  <c r="U31" i="30"/>
  <c r="Q31" i="30"/>
  <c r="M31" i="30"/>
  <c r="I31" i="30"/>
  <c r="E31" i="30"/>
  <c r="AB30" i="30"/>
  <c r="X30" i="30"/>
  <c r="T30" i="30"/>
  <c r="P30" i="30"/>
  <c r="L30" i="30"/>
  <c r="H30" i="30"/>
  <c r="D30" i="30"/>
  <c r="Z29" i="30"/>
  <c r="V29" i="30"/>
  <c r="R29" i="30"/>
  <c r="J29" i="30"/>
  <c r="AA28" i="30"/>
  <c r="S28" i="30"/>
  <c r="K28" i="30"/>
  <c r="C28" i="30"/>
  <c r="S27" i="30"/>
  <c r="K27" i="30"/>
  <c r="C27" i="30"/>
  <c r="R26" i="30"/>
  <c r="J26" i="30"/>
  <c r="S25" i="30"/>
  <c r="C25" i="30"/>
  <c r="H24" i="30"/>
  <c r="L23" i="30"/>
  <c r="O22" i="30"/>
  <c r="Q21" i="30"/>
  <c r="R20" i="30"/>
  <c r="R19" i="30"/>
  <c r="Q18" i="30"/>
  <c r="O17" i="30"/>
  <c r="L16" i="30"/>
  <c r="H15" i="30"/>
  <c r="C14" i="30"/>
  <c r="F12" i="30"/>
  <c r="E10" i="30"/>
  <c r="C4" i="30"/>
  <c r="D6" i="30"/>
  <c r="E7" i="30"/>
  <c r="E8" i="30"/>
  <c r="D9" i="30"/>
  <c r="H9" i="30"/>
  <c r="F10" i="30"/>
  <c r="C11" i="30"/>
  <c r="G11" i="30"/>
  <c r="C12" i="30"/>
  <c r="G12" i="30"/>
  <c r="K12" i="30"/>
  <c r="F13" i="30"/>
  <c r="J13" i="30"/>
  <c r="D14" i="30"/>
  <c r="H14" i="30"/>
  <c r="L14" i="30"/>
  <c r="E15" i="30"/>
  <c r="I15" i="30"/>
  <c r="M15" i="30"/>
  <c r="E16" i="30"/>
  <c r="I16" i="30"/>
  <c r="M16" i="30"/>
  <c r="D17" i="30"/>
  <c r="H17" i="30"/>
  <c r="L17" i="30"/>
  <c r="P17" i="30"/>
  <c r="F18" i="30"/>
  <c r="J18" i="30"/>
  <c r="N18" i="30"/>
  <c r="C19" i="30"/>
  <c r="G19" i="30"/>
  <c r="K19" i="30"/>
  <c r="O19" i="30"/>
  <c r="C20" i="30"/>
  <c r="G20" i="30"/>
  <c r="K20" i="30"/>
  <c r="O20" i="30"/>
  <c r="S20" i="30"/>
  <c r="F21" i="30"/>
  <c r="J21" i="30"/>
  <c r="N21" i="30"/>
  <c r="R21" i="30"/>
  <c r="D22" i="30"/>
  <c r="H22" i="30"/>
  <c r="L22" i="30"/>
  <c r="P22" i="30"/>
  <c r="T22" i="30"/>
  <c r="E23" i="30"/>
  <c r="I23" i="30"/>
  <c r="M23" i="30"/>
  <c r="Q23" i="30"/>
  <c r="U23" i="30"/>
  <c r="E24" i="30"/>
  <c r="I24" i="30"/>
  <c r="M24" i="30"/>
  <c r="Q24" i="30"/>
  <c r="U24" i="30"/>
  <c r="D25" i="30"/>
  <c r="H25" i="30"/>
  <c r="L25" i="30"/>
  <c r="P25" i="30"/>
  <c r="T25" i="30"/>
  <c r="X25" i="30"/>
  <c r="F26" i="30"/>
  <c r="C5" i="30"/>
  <c r="E6" i="30"/>
  <c r="F7" i="30"/>
  <c r="F8" i="30"/>
  <c r="E9" i="30"/>
  <c r="C10" i="30"/>
  <c r="G10" i="30"/>
  <c r="D11" i="30"/>
  <c r="H11" i="30"/>
  <c r="D12" i="30"/>
  <c r="H12" i="30"/>
  <c r="C13" i="30"/>
  <c r="G13" i="30"/>
  <c r="K13" i="30"/>
  <c r="E14" i="30"/>
  <c r="I14" i="30"/>
  <c r="M14" i="30"/>
  <c r="F15" i="30"/>
  <c r="J15" i="30"/>
  <c r="N15" i="30"/>
  <c r="F16" i="30"/>
  <c r="J16" i="30"/>
  <c r="N16" i="30"/>
  <c r="E17" i="30"/>
  <c r="I17" i="30"/>
  <c r="M17" i="30"/>
  <c r="C18" i="30"/>
  <c r="G18" i="30"/>
  <c r="K18" i="30"/>
  <c r="O18" i="30"/>
  <c r="D19" i="30"/>
  <c r="H19" i="30"/>
  <c r="L19" i="30"/>
  <c r="P19" i="30"/>
  <c r="D20" i="30"/>
  <c r="H20" i="30"/>
  <c r="L20" i="30"/>
  <c r="P20" i="30"/>
  <c r="C21" i="30"/>
  <c r="G21" i="30"/>
  <c r="K21" i="30"/>
  <c r="O21" i="30"/>
  <c r="S21" i="30"/>
  <c r="E22" i="30"/>
  <c r="I22" i="30"/>
  <c r="M22" i="30"/>
  <c r="Q22" i="30"/>
  <c r="U22" i="30"/>
  <c r="F23" i="30"/>
  <c r="J23" i="30"/>
  <c r="N23" i="30"/>
  <c r="R23" i="30"/>
  <c r="V23" i="30"/>
  <c r="F24" i="30"/>
  <c r="J24" i="30"/>
  <c r="N24" i="30"/>
  <c r="R24" i="30"/>
  <c r="V24" i="30"/>
  <c r="E25" i="30"/>
  <c r="I25" i="30"/>
  <c r="M25" i="30"/>
  <c r="Q25" i="30"/>
  <c r="U25" i="30"/>
  <c r="C26" i="30"/>
  <c r="G26" i="30"/>
  <c r="K26" i="30"/>
  <c r="O26" i="30"/>
  <c r="S26" i="30"/>
  <c r="W26" i="30"/>
  <c r="D27" i="30"/>
  <c r="H27" i="30"/>
  <c r="L27" i="30"/>
  <c r="P27" i="30"/>
  <c r="T27" i="30"/>
  <c r="X27" i="30"/>
  <c r="D28" i="30"/>
  <c r="H28" i="30"/>
  <c r="L28" i="30"/>
  <c r="P28" i="30"/>
  <c r="T28" i="30"/>
  <c r="X28" i="30"/>
  <c r="C29" i="30"/>
  <c r="G29" i="30"/>
  <c r="K29" i="30"/>
  <c r="O29" i="30"/>
  <c r="D5" i="30"/>
  <c r="C7" i="30"/>
  <c r="C8" i="30"/>
  <c r="G8" i="30"/>
  <c r="F9" i="30"/>
  <c r="D10" i="30"/>
  <c r="H10" i="30"/>
  <c r="E11" i="30"/>
  <c r="I11" i="30"/>
  <c r="E12" i="30"/>
  <c r="I12" i="30"/>
  <c r="D13" i="30"/>
  <c r="H13" i="30"/>
  <c r="L13" i="30"/>
  <c r="F14" i="30"/>
  <c r="J14" i="30"/>
  <c r="C15" i="30"/>
  <c r="G15" i="30"/>
  <c r="K15" i="30"/>
  <c r="C16" i="30"/>
  <c r="G16" i="30"/>
  <c r="K16" i="30"/>
  <c r="O16" i="30"/>
  <c r="F17" i="30"/>
  <c r="J17" i="30"/>
  <c r="N17" i="30"/>
  <c r="D18" i="30"/>
  <c r="H18" i="30"/>
  <c r="L18" i="30"/>
  <c r="P18" i="30"/>
  <c r="E19" i="30"/>
  <c r="I19" i="30"/>
  <c r="M19" i="30"/>
  <c r="Q19" i="30"/>
  <c r="E20" i="30"/>
  <c r="I20" i="30"/>
  <c r="M20" i="30"/>
  <c r="Q20" i="30"/>
  <c r="D21" i="30"/>
  <c r="H21" i="30"/>
  <c r="L21" i="30"/>
  <c r="P21" i="30"/>
  <c r="T21" i="30"/>
  <c r="F22" i="30"/>
  <c r="J22" i="30"/>
  <c r="N22" i="30"/>
  <c r="R22" i="30"/>
  <c r="C23" i="30"/>
  <c r="G23" i="30"/>
  <c r="K23" i="30"/>
  <c r="O23" i="30"/>
  <c r="S23" i="30"/>
  <c r="C24" i="30"/>
  <c r="G24" i="30"/>
  <c r="K24" i="30"/>
  <c r="O24" i="30"/>
  <c r="S24" i="30"/>
  <c r="W24" i="30"/>
  <c r="F25" i="30"/>
  <c r="J25" i="30"/>
  <c r="N25" i="30"/>
  <c r="R25" i="30"/>
  <c r="V25" i="30"/>
  <c r="D26" i="30"/>
  <c r="H26" i="30"/>
  <c r="L26" i="30"/>
  <c r="P26" i="30"/>
  <c r="T26" i="30"/>
  <c r="X26" i="30"/>
  <c r="E27" i="30"/>
  <c r="I27" i="30"/>
  <c r="M27" i="30"/>
  <c r="Q27" i="30"/>
  <c r="U27" i="30"/>
  <c r="Y27" i="30"/>
  <c r="E28" i="30"/>
  <c r="I28" i="30"/>
  <c r="M28" i="30"/>
  <c r="Q28" i="30"/>
  <c r="U28" i="30"/>
  <c r="Y28" i="30"/>
  <c r="D29" i="30"/>
  <c r="H29" i="30"/>
  <c r="L29" i="30"/>
  <c r="P29" i="30"/>
  <c r="AE33" i="30"/>
  <c r="AA33" i="30"/>
  <c r="W33" i="30"/>
  <c r="S33" i="30"/>
  <c r="O33" i="30"/>
  <c r="K33" i="30"/>
  <c r="G33" i="30"/>
  <c r="C33" i="30"/>
  <c r="AB32" i="30"/>
  <c r="X32" i="30"/>
  <c r="T32" i="30"/>
  <c r="P32" i="30"/>
  <c r="L32" i="30"/>
  <c r="H32" i="30"/>
  <c r="D32" i="30"/>
  <c r="AB31" i="30"/>
  <c r="X31" i="30"/>
  <c r="T31" i="30"/>
  <c r="P31" i="30"/>
  <c r="L31" i="30"/>
  <c r="H31" i="30"/>
  <c r="D31" i="30"/>
  <c r="AA30" i="30"/>
  <c r="W30" i="30"/>
  <c r="S30" i="30"/>
  <c r="O30" i="30"/>
  <c r="K30" i="30"/>
  <c r="G30" i="30"/>
  <c r="C30" i="30"/>
  <c r="Y29" i="30"/>
  <c r="U29" i="30"/>
  <c r="Q29" i="30"/>
  <c r="I29" i="30"/>
  <c r="Z28" i="30"/>
  <c r="R28" i="30"/>
  <c r="J28" i="30"/>
  <c r="Z27" i="30"/>
  <c r="R27" i="30"/>
  <c r="J27" i="30"/>
  <c r="Y26" i="30"/>
  <c r="Q26" i="30"/>
  <c r="I26" i="30"/>
  <c r="O25" i="30"/>
  <c r="T24" i="30"/>
  <c r="D24" i="30"/>
  <c r="H23" i="30"/>
  <c r="K22" i="30"/>
  <c r="M21" i="30"/>
  <c r="N20" i="30"/>
  <c r="N19" i="30"/>
  <c r="M18" i="30"/>
  <c r="K17" i="30"/>
  <c r="H16" i="30"/>
  <c r="D15" i="30"/>
  <c r="I13" i="30"/>
  <c r="J11" i="30"/>
  <c r="G9" i="30"/>
  <c r="C6" i="30"/>
  <c r="Y3" i="18"/>
  <c r="Z3" i="18"/>
  <c r="AA3" i="18"/>
  <c r="AB3" i="18"/>
  <c r="AC3" i="18"/>
  <c r="AD3" i="18"/>
  <c r="AL3" i="18"/>
  <c r="F23" i="28" l="1"/>
  <c r="G4" i="28" l="1"/>
  <c r="G5" i="28"/>
  <c r="G6" i="28"/>
  <c r="G7" i="28"/>
  <c r="G8" i="28"/>
  <c r="G9" i="28"/>
  <c r="G10" i="28"/>
  <c r="G11" i="28"/>
  <c r="G12" i="28"/>
  <c r="G13" i="28"/>
  <c r="G14" i="28"/>
  <c r="G15" i="28"/>
  <c r="G16" i="28"/>
  <c r="G17" i="28"/>
  <c r="G18" i="28"/>
  <c r="G19" i="28"/>
  <c r="G20" i="28"/>
  <c r="G3" i="28"/>
  <c r="AH7" i="1"/>
  <c r="AF7" i="1"/>
  <c r="AD7" i="1"/>
  <c r="AH6" i="1"/>
  <c r="AH5" i="1"/>
  <c r="AF6" i="1"/>
  <c r="AF5" i="1"/>
  <c r="AD6" i="1"/>
  <c r="AD5" i="1"/>
  <c r="AC6" i="1"/>
  <c r="AC7" i="1"/>
  <c r="AC5" i="1"/>
  <c r="AG6" i="1"/>
  <c r="AG7" i="1"/>
  <c r="AG5" i="1"/>
  <c r="AE6" i="1"/>
  <c r="AE7" i="1"/>
  <c r="AE5" i="1"/>
  <c r="G21" i="28" l="1"/>
  <c r="F21" i="28"/>
  <c r="F24" i="28" s="1"/>
  <c r="L67" i="7"/>
  <c r="BR67" i="7" s="1"/>
  <c r="L68" i="7"/>
  <c r="BR68" i="7" s="1"/>
  <c r="L69" i="7"/>
  <c r="BR69" i="7" s="1"/>
  <c r="L70" i="7"/>
  <c r="BR70" i="7" s="1"/>
  <c r="L71" i="7"/>
  <c r="BR71" i="7" s="1"/>
  <c r="L72" i="7"/>
  <c r="BR72" i="7" s="1"/>
  <c r="L73" i="7"/>
  <c r="BR73" i="7" s="1"/>
  <c r="L74" i="7"/>
  <c r="BR74" i="7" s="1"/>
  <c r="L75" i="7"/>
  <c r="BR75" i="7" s="1"/>
  <c r="L76" i="7"/>
  <c r="BR76" i="7" s="1"/>
  <c r="L77" i="7"/>
  <c r="BR77" i="7" s="1"/>
  <c r="L78" i="7"/>
  <c r="BR78" i="7" s="1"/>
  <c r="L79" i="7"/>
  <c r="BR79" i="7" s="1"/>
  <c r="L80" i="7"/>
  <c r="BR80" i="7" s="1"/>
  <c r="L81" i="7"/>
  <c r="BR81" i="7" s="1"/>
  <c r="L82" i="7"/>
  <c r="BR82" i="7" s="1"/>
  <c r="L83" i="7"/>
  <c r="BR83" i="7" s="1"/>
  <c r="L84" i="7"/>
  <c r="BR84" i="7" s="1"/>
  <c r="L85" i="7"/>
  <c r="BR85" i="7" s="1"/>
  <c r="L86" i="7"/>
  <c r="BR86" i="7" s="1"/>
  <c r="L87" i="7"/>
  <c r="BR87" i="7" s="1"/>
  <c r="L88" i="7"/>
  <c r="BR88" i="7" s="1"/>
  <c r="L89" i="7"/>
  <c r="BR89" i="7" s="1"/>
  <c r="L90" i="7"/>
  <c r="BR90" i="7" s="1"/>
  <c r="L91" i="7"/>
  <c r="BR91" i="7" s="1"/>
  <c r="L92" i="7"/>
  <c r="BR92" i="7" s="1"/>
  <c r="L93" i="7"/>
  <c r="BR93" i="7" s="1"/>
  <c r="L94" i="7"/>
  <c r="BR94" i="7" s="1"/>
  <c r="L95" i="7"/>
  <c r="BR95" i="7" s="1"/>
  <c r="L96" i="7"/>
  <c r="BR96" i="7" s="1"/>
  <c r="L97" i="7"/>
  <c r="BR97" i="7" s="1"/>
  <c r="L98" i="7"/>
  <c r="BR98" i="7" s="1"/>
  <c r="L99" i="7"/>
  <c r="BR99" i="7" s="1"/>
  <c r="L100" i="7"/>
  <c r="BR100" i="7" s="1"/>
  <c r="L101" i="7"/>
  <c r="BR101" i="7" s="1"/>
  <c r="L102" i="7"/>
  <c r="BR102" i="7" s="1"/>
  <c r="L103" i="7"/>
  <c r="BR103" i="7" s="1"/>
  <c r="L104" i="7"/>
  <c r="BR104" i="7" s="1"/>
  <c r="L105" i="7"/>
  <c r="BR105" i="7" s="1"/>
  <c r="L106" i="7"/>
  <c r="BR106" i="7" s="1"/>
  <c r="L107" i="7"/>
  <c r="BR107" i="7" s="1"/>
  <c r="L108" i="7"/>
  <c r="BR108" i="7" s="1"/>
  <c r="L109" i="7"/>
  <c r="BR109" i="7" s="1"/>
  <c r="L110" i="7"/>
  <c r="BR110" i="7" s="1"/>
  <c r="L111" i="7"/>
  <c r="BR111" i="7" s="1"/>
  <c r="L112" i="7"/>
  <c r="BR112" i="7" s="1"/>
  <c r="L113" i="7"/>
  <c r="BR113" i="7" s="1"/>
  <c r="L114" i="7"/>
  <c r="BR114" i="7" s="1"/>
  <c r="L115" i="7"/>
  <c r="BR115" i="7" s="1"/>
  <c r="L116" i="7"/>
  <c r="BR116" i="7" s="1"/>
  <c r="L117" i="7"/>
  <c r="BR117" i="7" s="1"/>
  <c r="L118" i="7"/>
  <c r="BR118" i="7" s="1"/>
  <c r="L119" i="7"/>
  <c r="BR119" i="7" s="1"/>
  <c r="L120" i="7"/>
  <c r="BR120" i="7" s="1"/>
  <c r="L121" i="7"/>
  <c r="BR121" i="7" s="1"/>
  <c r="L122" i="7"/>
  <c r="BR122" i="7" s="1"/>
  <c r="L123" i="7"/>
  <c r="BR123" i="7" s="1"/>
  <c r="L124" i="7"/>
  <c r="BR124" i="7" s="1"/>
  <c r="L125" i="7"/>
  <c r="BR125" i="7" s="1"/>
  <c r="L126" i="7"/>
  <c r="BR126" i="7" s="1"/>
  <c r="L127" i="7"/>
  <c r="BR127" i="7" s="1"/>
  <c r="L128" i="7"/>
  <c r="BR128" i="7" s="1"/>
  <c r="L129" i="7"/>
  <c r="BR129" i="7" s="1"/>
  <c r="L130" i="7"/>
  <c r="BR130" i="7" s="1"/>
  <c r="L131" i="7"/>
  <c r="BR131" i="7" s="1"/>
  <c r="L132" i="7"/>
  <c r="BR132" i="7" s="1"/>
  <c r="L133" i="7"/>
  <c r="BR133" i="7" s="1"/>
  <c r="L134" i="7"/>
  <c r="BR134" i="7" s="1"/>
  <c r="L135" i="7"/>
  <c r="BR135" i="7" s="1"/>
  <c r="L136" i="7"/>
  <c r="BR136" i="7" s="1"/>
  <c r="L137" i="7"/>
  <c r="BR137" i="7" s="1"/>
  <c r="L138" i="7"/>
  <c r="BR138" i="7" s="1"/>
  <c r="L139" i="7"/>
  <c r="BR139" i="7" s="1"/>
  <c r="L140" i="7"/>
  <c r="BR140" i="7" s="1"/>
  <c r="L141" i="7"/>
  <c r="BR141" i="7" s="1"/>
  <c r="L142" i="7"/>
  <c r="BR142" i="7" s="1"/>
  <c r="L143" i="7"/>
  <c r="BR143" i="7" s="1"/>
  <c r="L144" i="7"/>
  <c r="BR144" i="7" s="1"/>
  <c r="L145" i="7"/>
  <c r="BR145" i="7" s="1"/>
  <c r="L146" i="7"/>
  <c r="BR146" i="7" s="1"/>
  <c r="L147" i="7"/>
  <c r="BR147" i="7" s="1"/>
  <c r="L148" i="7"/>
  <c r="BR148" i="7" s="1"/>
  <c r="L149" i="7"/>
  <c r="BR149" i="7" s="1"/>
  <c r="L150" i="7"/>
  <c r="BR150" i="7" s="1"/>
  <c r="L151" i="7"/>
  <c r="BR151" i="7" s="1"/>
  <c r="L152" i="7"/>
  <c r="BR152" i="7" s="1"/>
  <c r="L153" i="7"/>
  <c r="BR153" i="7" s="1"/>
  <c r="L154" i="7"/>
  <c r="BR154" i="7" s="1"/>
  <c r="L155" i="7"/>
  <c r="BR155" i="7" s="1"/>
  <c r="L156" i="7"/>
  <c r="BR156" i="7" s="1"/>
  <c r="L157" i="7"/>
  <c r="BR157" i="7" s="1"/>
  <c r="L158" i="7"/>
  <c r="BR158" i="7" s="1"/>
  <c r="L159" i="7"/>
  <c r="BR159" i="7" s="1"/>
  <c r="L160" i="7"/>
  <c r="BR160" i="7" s="1"/>
  <c r="L161" i="7"/>
  <c r="BR161" i="7" s="1"/>
  <c r="L162" i="7"/>
  <c r="BR162" i="7" s="1"/>
  <c r="L163" i="7"/>
  <c r="BR163" i="7" s="1"/>
  <c r="L164" i="7"/>
  <c r="BR164" i="7" s="1"/>
  <c r="L165" i="7"/>
  <c r="BR165" i="7" s="1"/>
  <c r="L166" i="7"/>
  <c r="BR166" i="7" s="1"/>
  <c r="L167" i="7"/>
  <c r="BR167" i="7" s="1"/>
  <c r="L168" i="7"/>
  <c r="BR168" i="7" s="1"/>
  <c r="L169" i="7"/>
  <c r="BR169" i="7" s="1"/>
  <c r="L170" i="7"/>
  <c r="BR170" i="7" s="1"/>
  <c r="L171" i="7"/>
  <c r="BR171" i="7" s="1"/>
  <c r="L172" i="7"/>
  <c r="BR172" i="7" s="1"/>
  <c r="L173" i="7"/>
  <c r="BR173" i="7" s="1"/>
  <c r="L174" i="7"/>
  <c r="BR174" i="7" s="1"/>
  <c r="L175" i="7"/>
  <c r="BR175" i="7" s="1"/>
  <c r="L176" i="7"/>
  <c r="BR176" i="7" s="1"/>
  <c r="L177" i="7"/>
  <c r="BR177" i="7" s="1"/>
  <c r="L178" i="7"/>
  <c r="BR178" i="7" s="1"/>
  <c r="L179" i="7"/>
  <c r="BR179" i="7" s="1"/>
  <c r="L180" i="7"/>
  <c r="BR180" i="7" s="1"/>
  <c r="L181" i="7"/>
  <c r="BR181" i="7" s="1"/>
  <c r="L182" i="7"/>
  <c r="BR182" i="7" s="1"/>
  <c r="L183" i="7"/>
  <c r="BR183" i="7" s="1"/>
  <c r="L184" i="7"/>
  <c r="BR184" i="7" s="1"/>
  <c r="L185" i="7"/>
  <c r="BR185" i="7" s="1"/>
  <c r="L186" i="7"/>
  <c r="BR186" i="7" s="1"/>
  <c r="L187" i="7"/>
  <c r="BR187" i="7" s="1"/>
  <c r="L188" i="7"/>
  <c r="BR188" i="7" s="1"/>
  <c r="L189" i="7"/>
  <c r="BR189" i="7" s="1"/>
  <c r="L190" i="7"/>
  <c r="BR190" i="7" s="1"/>
  <c r="L191" i="7"/>
  <c r="BR191" i="7" s="1"/>
  <c r="L192" i="7"/>
  <c r="BR192" i="7" s="1"/>
  <c r="L193" i="7"/>
  <c r="BR193" i="7" s="1"/>
  <c r="L194" i="7"/>
  <c r="BR194" i="7" s="1"/>
  <c r="L195" i="7"/>
  <c r="BR195" i="7" s="1"/>
  <c r="L196" i="7"/>
  <c r="BR196" i="7" s="1"/>
  <c r="L197" i="7"/>
  <c r="BR197" i="7" s="1"/>
  <c r="L198" i="7"/>
  <c r="BR198" i="7" s="1"/>
  <c r="L199" i="7"/>
  <c r="BR199" i="7" s="1"/>
  <c r="L200" i="7"/>
  <c r="BR200" i="7" s="1"/>
  <c r="L201" i="7"/>
  <c r="BR201" i="7" s="1"/>
  <c r="L202" i="7"/>
  <c r="BR202" i="7" s="1"/>
  <c r="L203" i="7"/>
  <c r="BR203" i="7" s="1"/>
  <c r="L204" i="7"/>
  <c r="BR204" i="7" s="1"/>
  <c r="L205" i="7"/>
  <c r="BR205" i="7" s="1"/>
  <c r="L206" i="7"/>
  <c r="BR206" i="7" s="1"/>
  <c r="L207" i="7"/>
  <c r="BR207" i="7" s="1"/>
  <c r="L208" i="7"/>
  <c r="BR208" i="7" s="1"/>
  <c r="L209" i="7"/>
  <c r="BR209" i="7" s="1"/>
  <c r="L210" i="7"/>
  <c r="BR210" i="7" s="1"/>
  <c r="L211" i="7"/>
  <c r="BR211" i="7" s="1"/>
  <c r="L212" i="7"/>
  <c r="BR212" i="7" s="1"/>
  <c r="L213" i="7"/>
  <c r="BR213" i="7" s="1"/>
  <c r="L214" i="7"/>
  <c r="BR214" i="7" s="1"/>
  <c r="L215" i="7"/>
  <c r="BR215" i="7" s="1"/>
  <c r="L216" i="7"/>
  <c r="BR216" i="7" s="1"/>
  <c r="L217" i="7"/>
  <c r="BR217" i="7" s="1"/>
  <c r="L218" i="7"/>
  <c r="BR218" i="7" s="1"/>
  <c r="L219" i="7"/>
  <c r="BR219" i="7" s="1"/>
  <c r="L220" i="7"/>
  <c r="BR220" i="7" s="1"/>
  <c r="L221" i="7"/>
  <c r="BR221" i="7" s="1"/>
  <c r="L222" i="7"/>
  <c r="BR222" i="7" s="1"/>
  <c r="L223" i="7"/>
  <c r="BR223" i="7" s="1"/>
  <c r="L224" i="7"/>
  <c r="BR224" i="7" s="1"/>
  <c r="L225" i="7"/>
  <c r="BR225" i="7" s="1"/>
  <c r="L226" i="7"/>
  <c r="BR226" i="7" s="1"/>
  <c r="L227" i="7"/>
  <c r="BR227" i="7" s="1"/>
  <c r="L228" i="7"/>
  <c r="BR228" i="7" s="1"/>
  <c r="L229" i="7"/>
  <c r="BR229" i="7" s="1"/>
  <c r="L230" i="7"/>
  <c r="BR230" i="7" s="1"/>
  <c r="L231" i="7"/>
  <c r="BR231" i="7" s="1"/>
  <c r="L232" i="7"/>
  <c r="BR232" i="7" s="1"/>
  <c r="L233" i="7"/>
  <c r="BR233" i="7" s="1"/>
  <c r="L234" i="7"/>
  <c r="BR234" i="7" s="1"/>
  <c r="L235" i="7"/>
  <c r="BR235" i="7" s="1"/>
  <c r="L236" i="7"/>
  <c r="BR236" i="7" s="1"/>
  <c r="L237" i="7"/>
  <c r="BR237" i="7" s="1"/>
  <c r="L238" i="7"/>
  <c r="BR238" i="7" s="1"/>
  <c r="L239" i="7"/>
  <c r="BR239" i="7" s="1"/>
  <c r="L240" i="7"/>
  <c r="BR240" i="7" s="1"/>
  <c r="L241" i="7"/>
  <c r="BR241" i="7" s="1"/>
  <c r="L242" i="7"/>
  <c r="BR242" i="7" s="1"/>
  <c r="L243" i="7"/>
  <c r="BR243" i="7" s="1"/>
  <c r="L244" i="7"/>
  <c r="BR244" i="7" s="1"/>
  <c r="L245" i="7"/>
  <c r="BR245" i="7" s="1"/>
  <c r="L246" i="7"/>
  <c r="BR246" i="7" s="1"/>
  <c r="L247" i="7"/>
  <c r="BR247" i="7" s="1"/>
  <c r="L248" i="7"/>
  <c r="BR248" i="7" s="1"/>
  <c r="L249" i="7"/>
  <c r="BR249" i="7" s="1"/>
  <c r="L250" i="7"/>
  <c r="BR250" i="7" s="1"/>
  <c r="L251" i="7"/>
  <c r="BR251" i="7" s="1"/>
  <c r="L252" i="7"/>
  <c r="BR252" i="7" s="1"/>
  <c r="L253" i="7"/>
  <c r="BR253" i="7" s="1"/>
  <c r="L254" i="7"/>
  <c r="BR254" i="7" s="1"/>
  <c r="L255" i="7"/>
  <c r="BR255" i="7" s="1"/>
  <c r="L256" i="7"/>
  <c r="BR256" i="7" s="1"/>
  <c r="L257" i="7"/>
  <c r="BR257" i="7" s="1"/>
  <c r="L258" i="7"/>
  <c r="BR258" i="7" s="1"/>
  <c r="L259" i="7"/>
  <c r="BR259" i="7" s="1"/>
  <c r="L260" i="7"/>
  <c r="BR260" i="7" s="1"/>
  <c r="L261" i="7"/>
  <c r="BR261" i="7" s="1"/>
  <c r="L262" i="7"/>
  <c r="BR262" i="7" s="1"/>
  <c r="L263" i="7"/>
  <c r="BR263" i="7" s="1"/>
  <c r="L264" i="7"/>
  <c r="BR264" i="7" s="1"/>
  <c r="L265" i="7"/>
  <c r="BR265" i="7" s="1"/>
  <c r="L266" i="7"/>
  <c r="BR266" i="7" s="1"/>
  <c r="L267" i="7"/>
  <c r="BR267" i="7" s="1"/>
  <c r="L268" i="7"/>
  <c r="BR268" i="7" s="1"/>
  <c r="L269" i="7"/>
  <c r="BR269" i="7" s="1"/>
  <c r="L270" i="7"/>
  <c r="BR270" i="7" s="1"/>
  <c r="L271" i="7"/>
  <c r="BR271" i="7" s="1"/>
  <c r="L272" i="7"/>
  <c r="BR272" i="7" s="1"/>
  <c r="L273" i="7"/>
  <c r="BR273" i="7" s="1"/>
  <c r="L274" i="7"/>
  <c r="BR274" i="7" s="1"/>
  <c r="L275" i="7"/>
  <c r="BR275" i="7" s="1"/>
  <c r="L276" i="7"/>
  <c r="BR276" i="7" s="1"/>
  <c r="L277" i="7"/>
  <c r="BR277" i="7" s="1"/>
  <c r="L278" i="7"/>
  <c r="BR278" i="7" s="1"/>
  <c r="L279" i="7"/>
  <c r="BR279" i="7" s="1"/>
  <c r="L280" i="7"/>
  <c r="BR280" i="7" s="1"/>
  <c r="L281" i="7"/>
  <c r="BR281" i="7" s="1"/>
  <c r="L282" i="7"/>
  <c r="BR282" i="7" s="1"/>
  <c r="L283" i="7"/>
  <c r="BR283" i="7" s="1"/>
  <c r="L284" i="7"/>
  <c r="BR284" i="7" s="1"/>
  <c r="L285" i="7"/>
  <c r="BR285" i="7" s="1"/>
  <c r="L286" i="7"/>
  <c r="BR286" i="7" s="1"/>
  <c r="L287" i="7"/>
  <c r="BR287" i="7" s="1"/>
  <c r="L288" i="7"/>
  <c r="BR288" i="7" s="1"/>
  <c r="L289" i="7"/>
  <c r="BR289" i="7" s="1"/>
  <c r="L290" i="7"/>
  <c r="BR290" i="7" s="1"/>
  <c r="L291" i="7"/>
  <c r="BR291" i="7" s="1"/>
  <c r="L292" i="7"/>
  <c r="BR292" i="7" s="1"/>
  <c r="L293" i="7"/>
  <c r="BR293" i="7" s="1"/>
  <c r="L294" i="7"/>
  <c r="BR294" i="7" s="1"/>
  <c r="L295" i="7"/>
  <c r="BR295" i="7" s="1"/>
  <c r="L296" i="7"/>
  <c r="BR296" i="7" s="1"/>
  <c r="L297" i="7"/>
  <c r="BR297" i="7" s="1"/>
  <c r="L298" i="7"/>
  <c r="BR298" i="7" s="1"/>
  <c r="L299" i="7"/>
  <c r="BR299" i="7" s="1"/>
  <c r="L300" i="7"/>
  <c r="BR300" i="7" s="1"/>
  <c r="L301" i="7"/>
  <c r="BR301" i="7" s="1"/>
  <c r="L302" i="7"/>
  <c r="BR302" i="7" s="1"/>
  <c r="L303" i="7"/>
  <c r="BR303" i="7" s="1"/>
  <c r="L304" i="7"/>
  <c r="BR304" i="7" s="1"/>
  <c r="L305" i="7"/>
  <c r="BR305" i="7" s="1"/>
  <c r="L306" i="7"/>
  <c r="BR306" i="7" s="1"/>
  <c r="L307" i="7"/>
  <c r="BR307" i="7" s="1"/>
  <c r="L308" i="7"/>
  <c r="BR308" i="7" s="1"/>
  <c r="L309" i="7"/>
  <c r="BR309" i="7" s="1"/>
  <c r="L310" i="7"/>
  <c r="BR310" i="7" s="1"/>
  <c r="L311" i="7"/>
  <c r="BR311" i="7" s="1"/>
  <c r="L312" i="7"/>
  <c r="BR312" i="7" s="1"/>
  <c r="L313" i="7"/>
  <c r="BR313" i="7" s="1"/>
  <c r="L314" i="7"/>
  <c r="BR314" i="7" s="1"/>
  <c r="L315" i="7"/>
  <c r="BR315" i="7" s="1"/>
  <c r="L316" i="7"/>
  <c r="BR316" i="7" s="1"/>
  <c r="L317" i="7"/>
  <c r="BR317" i="7" s="1"/>
  <c r="L318" i="7"/>
  <c r="BR318" i="7" s="1"/>
  <c r="L319" i="7"/>
  <c r="BR319" i="7" s="1"/>
  <c r="L320" i="7"/>
  <c r="BR320" i="7" s="1"/>
  <c r="L321" i="7"/>
  <c r="BR321" i="7" s="1"/>
  <c r="L322" i="7"/>
  <c r="BR322" i="7" s="1"/>
  <c r="L323" i="7"/>
  <c r="BR323" i="7" s="1"/>
  <c r="L324" i="7"/>
  <c r="BR324" i="7" s="1"/>
  <c r="L325" i="7"/>
  <c r="BR325" i="7" s="1"/>
  <c r="L326" i="7"/>
  <c r="BR326" i="7" s="1"/>
  <c r="L327" i="7"/>
  <c r="BR327" i="7" s="1"/>
  <c r="L328" i="7"/>
  <c r="BR328" i="7" s="1"/>
  <c r="L329" i="7"/>
  <c r="BR329" i="7" s="1"/>
  <c r="L330" i="7"/>
  <c r="BR330" i="7" s="1"/>
  <c r="L331" i="7"/>
  <c r="BR331" i="7" s="1"/>
  <c r="L332" i="7"/>
  <c r="BR332" i="7" s="1"/>
  <c r="L333" i="7"/>
  <c r="BR333" i="7" s="1"/>
  <c r="L334" i="7"/>
  <c r="BR334" i="7" s="1"/>
  <c r="L335" i="7"/>
  <c r="BR335" i="7" s="1"/>
  <c r="L336" i="7"/>
  <c r="BR336" i="7" s="1"/>
  <c r="L337" i="7"/>
  <c r="BR337" i="7" s="1"/>
  <c r="L338" i="7"/>
  <c r="BR338" i="7" s="1"/>
  <c r="L339" i="7"/>
  <c r="BR339" i="7" s="1"/>
  <c r="L340" i="7"/>
  <c r="BR340" i="7" s="1"/>
  <c r="L341" i="7"/>
  <c r="BR341" i="7" s="1"/>
  <c r="L342" i="7"/>
  <c r="BR342" i="7" s="1"/>
  <c r="L343" i="7"/>
  <c r="BR343" i="7" s="1"/>
  <c r="L344" i="7"/>
  <c r="BR344" i="7" s="1"/>
  <c r="L345" i="7"/>
  <c r="BR345" i="7" s="1"/>
  <c r="L346" i="7"/>
  <c r="BR346" i="7" s="1"/>
  <c r="L347" i="7"/>
  <c r="BR347" i="7" s="1"/>
  <c r="L348" i="7"/>
  <c r="BR348" i="7" s="1"/>
  <c r="L349" i="7"/>
  <c r="BR349" i="7" s="1"/>
  <c r="L350" i="7"/>
  <c r="BR350" i="7" s="1"/>
  <c r="L351" i="7"/>
  <c r="BR351" i="7" s="1"/>
  <c r="L352" i="7"/>
  <c r="BR352" i="7" s="1"/>
  <c r="L353" i="7"/>
  <c r="BR353" i="7" s="1"/>
  <c r="L354" i="7"/>
  <c r="BR354" i="7" s="1"/>
  <c r="L355" i="7"/>
  <c r="BR355" i="7" s="1"/>
  <c r="L356" i="7"/>
  <c r="BR356" i="7" s="1"/>
  <c r="L357" i="7"/>
  <c r="BR357" i="7" s="1"/>
  <c r="L358" i="7"/>
  <c r="BR358" i="7" s="1"/>
  <c r="L359" i="7"/>
  <c r="BR359" i="7" s="1"/>
  <c r="L360" i="7"/>
  <c r="BR360" i="7" s="1"/>
  <c r="L361" i="7"/>
  <c r="BR361" i="7" s="1"/>
  <c r="L362" i="7"/>
  <c r="BR362" i="7" s="1"/>
  <c r="L363" i="7"/>
  <c r="BR363" i="7" s="1"/>
  <c r="L364" i="7"/>
  <c r="BR364" i="7" s="1"/>
  <c r="L365" i="7"/>
  <c r="BR365" i="7" s="1"/>
  <c r="L366" i="7"/>
  <c r="BR366" i="7" s="1"/>
  <c r="L367" i="7"/>
  <c r="BR367" i="7" s="1"/>
  <c r="L368" i="7"/>
  <c r="BR368" i="7" s="1"/>
  <c r="L369" i="7"/>
  <c r="BR369" i="7" s="1"/>
  <c r="L370" i="7"/>
  <c r="BR370" i="7" s="1"/>
  <c r="L371" i="7"/>
  <c r="BR371" i="7" s="1"/>
  <c r="L372" i="7"/>
  <c r="BR372" i="7" s="1"/>
  <c r="L373" i="7"/>
  <c r="BR373" i="7" s="1"/>
  <c r="L374" i="7"/>
  <c r="BR374" i="7" s="1"/>
  <c r="L375" i="7"/>
  <c r="BR375" i="7" s="1"/>
  <c r="L376" i="7"/>
  <c r="BR376" i="7" s="1"/>
  <c r="L377" i="7"/>
  <c r="BR377" i="7" s="1"/>
  <c r="L378" i="7"/>
  <c r="BR378" i="7" s="1"/>
  <c r="L379" i="7"/>
  <c r="BR379" i="7" s="1"/>
  <c r="L380" i="7"/>
  <c r="BR380" i="7" s="1"/>
  <c r="L381" i="7"/>
  <c r="BR381" i="7" s="1"/>
  <c r="L382" i="7"/>
  <c r="BR382" i="7" s="1"/>
  <c r="L383" i="7"/>
  <c r="BR383" i="7" s="1"/>
  <c r="L384" i="7"/>
  <c r="BR384" i="7" s="1"/>
  <c r="L385" i="7"/>
  <c r="BR385" i="7" s="1"/>
  <c r="L386" i="7"/>
  <c r="BR386" i="7" s="1"/>
  <c r="L387" i="7"/>
  <c r="BR387" i="7" s="1"/>
  <c r="L388" i="7"/>
  <c r="BR388" i="7" s="1"/>
  <c r="L389" i="7"/>
  <c r="BR389" i="7" s="1"/>
  <c r="L390" i="7"/>
  <c r="BR390" i="7" s="1"/>
  <c r="L391" i="7"/>
  <c r="BR391" i="7" s="1"/>
  <c r="L392" i="7"/>
  <c r="BR392" i="7" s="1"/>
  <c r="L393" i="7"/>
  <c r="BR393" i="7" s="1"/>
  <c r="L394" i="7"/>
  <c r="BR394" i="7" s="1"/>
  <c r="L395" i="7"/>
  <c r="BR395" i="7" s="1"/>
  <c r="L396" i="7"/>
  <c r="BR396" i="7" s="1"/>
  <c r="L397" i="7"/>
  <c r="BR397" i="7" s="1"/>
  <c r="L398" i="7"/>
  <c r="BR398" i="7" s="1"/>
  <c r="L399" i="7"/>
  <c r="BR399" i="7" s="1"/>
  <c r="L400" i="7"/>
  <c r="BR400" i="7" s="1"/>
  <c r="L401" i="7"/>
  <c r="BR401" i="7" s="1"/>
  <c r="L402" i="7"/>
  <c r="BR402" i="7" s="1"/>
  <c r="L403" i="7"/>
  <c r="BR403" i="7" s="1"/>
  <c r="L404" i="7"/>
  <c r="BR404" i="7" s="1"/>
  <c r="L405" i="7"/>
  <c r="BR405" i="7" s="1"/>
  <c r="L406" i="7"/>
  <c r="BR406" i="7" s="1"/>
  <c r="L407" i="7"/>
  <c r="BR407" i="7" s="1"/>
  <c r="L408" i="7"/>
  <c r="BR408" i="7" s="1"/>
  <c r="L409" i="7"/>
  <c r="BR409" i="7" s="1"/>
  <c r="L410" i="7"/>
  <c r="BR410" i="7" s="1"/>
  <c r="L411" i="7"/>
  <c r="BR411" i="7" s="1"/>
  <c r="L412" i="7"/>
  <c r="BR412" i="7" s="1"/>
  <c r="L413" i="7"/>
  <c r="BR413" i="7" s="1"/>
  <c r="L414" i="7"/>
  <c r="BR414" i="7" s="1"/>
  <c r="L415" i="7"/>
  <c r="BR415" i="7" s="1"/>
  <c r="L416" i="7"/>
  <c r="BR416" i="7" s="1"/>
  <c r="L417" i="7"/>
  <c r="BR417" i="7" s="1"/>
  <c r="L418" i="7"/>
  <c r="BR418" i="7" s="1"/>
  <c r="L419" i="7"/>
  <c r="BR419" i="7" s="1"/>
  <c r="L420" i="7"/>
  <c r="BR420" i="7" s="1"/>
  <c r="L421" i="7"/>
  <c r="BR421" i="7" s="1"/>
  <c r="L422" i="7"/>
  <c r="BR422" i="7" s="1"/>
  <c r="L423" i="7"/>
  <c r="BR423" i="7" s="1"/>
  <c r="L424" i="7"/>
  <c r="BR424" i="7" s="1"/>
  <c r="L425" i="7"/>
  <c r="BR425" i="7" s="1"/>
  <c r="L426" i="7"/>
  <c r="BR426" i="7" s="1"/>
  <c r="L427" i="7"/>
  <c r="BR427" i="7" s="1"/>
  <c r="L428" i="7"/>
  <c r="BR428" i="7" s="1"/>
  <c r="L429" i="7"/>
  <c r="BR429" i="7" s="1"/>
  <c r="L430" i="7"/>
  <c r="BR430" i="7" s="1"/>
  <c r="L431" i="7"/>
  <c r="BR431" i="7" s="1"/>
  <c r="L432" i="7"/>
  <c r="BR432" i="7" s="1"/>
  <c r="L433" i="7"/>
  <c r="BR433" i="7" s="1"/>
  <c r="L434" i="7"/>
  <c r="BR434" i="7" s="1"/>
  <c r="L435" i="7"/>
  <c r="BR435" i="7" s="1"/>
  <c r="L436" i="7"/>
  <c r="BR436" i="7" s="1"/>
  <c r="L437" i="7"/>
  <c r="BR437" i="7" s="1"/>
  <c r="L438" i="7"/>
  <c r="BR438" i="7" s="1"/>
  <c r="L439" i="7"/>
  <c r="BR439" i="7" s="1"/>
  <c r="L440" i="7"/>
  <c r="BR440" i="7" s="1"/>
  <c r="L441" i="7"/>
  <c r="BR441" i="7" s="1"/>
  <c r="L442" i="7"/>
  <c r="BR442" i="7" s="1"/>
  <c r="L443" i="7"/>
  <c r="BR443" i="7" s="1"/>
  <c r="L444" i="7"/>
  <c r="BR444" i="7" s="1"/>
  <c r="L445" i="7"/>
  <c r="BR445" i="7" s="1"/>
  <c r="L446" i="7"/>
  <c r="BR446" i="7" s="1"/>
  <c r="L447" i="7"/>
  <c r="BR447" i="7" s="1"/>
  <c r="L448" i="7"/>
  <c r="BR448" i="7" s="1"/>
  <c r="L449" i="7"/>
  <c r="BR449" i="7" s="1"/>
  <c r="L450" i="7"/>
  <c r="BR450" i="7" s="1"/>
  <c r="L451" i="7"/>
  <c r="BR451" i="7" s="1"/>
  <c r="L452" i="7"/>
  <c r="BR452" i="7" s="1"/>
  <c r="L453" i="7"/>
  <c r="BR453" i="7" s="1"/>
  <c r="L454" i="7"/>
  <c r="BR454" i="7" s="1"/>
  <c r="L455" i="7"/>
  <c r="BR455" i="7" s="1"/>
  <c r="L456" i="7"/>
  <c r="BR456" i="7" s="1"/>
  <c r="L457" i="7"/>
  <c r="BR457" i="7" s="1"/>
  <c r="L458" i="7"/>
  <c r="BR458" i="7" s="1"/>
  <c r="L459" i="7"/>
  <c r="BR459" i="7" s="1"/>
  <c r="L460" i="7"/>
  <c r="BR460" i="7" s="1"/>
  <c r="L461" i="7"/>
  <c r="BR461" i="7" s="1"/>
  <c r="L462" i="7"/>
  <c r="BR462" i="7" s="1"/>
  <c r="L463" i="7"/>
  <c r="BR463" i="7" s="1"/>
  <c r="L464" i="7"/>
  <c r="BR464" i="7" s="1"/>
  <c r="L465" i="7"/>
  <c r="BR465" i="7" s="1"/>
  <c r="L466" i="7"/>
  <c r="BR466" i="7" s="1"/>
  <c r="L467" i="7"/>
  <c r="BR467" i="7" s="1"/>
  <c r="L468" i="7"/>
  <c r="BR468" i="7" s="1"/>
  <c r="L469" i="7"/>
  <c r="BR469" i="7" s="1"/>
  <c r="L470" i="7"/>
  <c r="BR470" i="7" s="1"/>
  <c r="L471" i="7"/>
  <c r="BR471" i="7" s="1"/>
  <c r="L472" i="7"/>
  <c r="BR472" i="7" s="1"/>
  <c r="L473" i="7"/>
  <c r="BR473" i="7" s="1"/>
  <c r="L474" i="7"/>
  <c r="BR474" i="7" s="1"/>
  <c r="L475" i="7"/>
  <c r="BR475" i="7" s="1"/>
  <c r="L476" i="7"/>
  <c r="BR476" i="7" s="1"/>
  <c r="L477" i="7"/>
  <c r="BR477" i="7" s="1"/>
  <c r="L478" i="7"/>
  <c r="BR478" i="7" s="1"/>
  <c r="L479" i="7"/>
  <c r="BR479" i="7" s="1"/>
  <c r="L480" i="7"/>
  <c r="BR480" i="7" s="1"/>
  <c r="L481" i="7"/>
  <c r="BR481" i="7" s="1"/>
  <c r="L482" i="7"/>
  <c r="BR482" i="7" s="1"/>
  <c r="L483" i="7"/>
  <c r="BR483" i="7" s="1"/>
  <c r="L484" i="7"/>
  <c r="BR484" i="7" s="1"/>
  <c r="L485" i="7"/>
  <c r="BR485" i="7" s="1"/>
  <c r="L486" i="7"/>
  <c r="BR486" i="7" s="1"/>
  <c r="L487" i="7"/>
  <c r="BR487" i="7" s="1"/>
  <c r="L488" i="7"/>
  <c r="BR488" i="7" s="1"/>
  <c r="L489" i="7"/>
  <c r="BR489" i="7" s="1"/>
  <c r="L490" i="7"/>
  <c r="BR490" i="7" s="1"/>
  <c r="L491" i="7"/>
  <c r="BR491" i="7" s="1"/>
  <c r="L492" i="7"/>
  <c r="BR492" i="7" s="1"/>
  <c r="L493" i="7"/>
  <c r="BR493" i="7" s="1"/>
  <c r="L494" i="7"/>
  <c r="BR494" i="7" s="1"/>
  <c r="L495" i="7"/>
  <c r="BR495" i="7" s="1"/>
  <c r="L496" i="7"/>
  <c r="BR496" i="7" s="1"/>
  <c r="L497" i="7"/>
  <c r="BR497" i="7" s="1"/>
  <c r="L498" i="7"/>
  <c r="BR498" i="7" s="1"/>
  <c r="L499" i="7"/>
  <c r="BR499" i="7" s="1"/>
  <c r="L500" i="7"/>
  <c r="BR500" i="7" s="1"/>
  <c r="L501" i="7"/>
  <c r="BR501" i="7" s="1"/>
  <c r="L502" i="7"/>
  <c r="BR502" i="7" s="1"/>
  <c r="L503" i="7"/>
  <c r="BR503" i="7" s="1"/>
  <c r="L504" i="7"/>
  <c r="BR504" i="7" s="1"/>
  <c r="L505" i="7"/>
  <c r="BR505" i="7" s="1"/>
  <c r="L506" i="7"/>
  <c r="BR506" i="7" s="1"/>
  <c r="L507" i="7"/>
  <c r="BR507" i="7" s="1"/>
  <c r="L508" i="7"/>
  <c r="BR508" i="7" s="1"/>
  <c r="L509" i="7"/>
  <c r="BR509" i="7" s="1"/>
  <c r="C136" i="32" l="1"/>
  <c r="C132" i="32"/>
  <c r="C128" i="32"/>
  <c r="C124" i="32"/>
  <c r="C120" i="32"/>
  <c r="C116" i="32"/>
  <c r="C112" i="32"/>
  <c r="C108" i="32"/>
  <c r="C104" i="32"/>
  <c r="C100" i="32"/>
  <c r="C96" i="32"/>
  <c r="C92" i="32"/>
  <c r="C88" i="32"/>
  <c r="C84" i="32"/>
  <c r="C80" i="32"/>
  <c r="C76" i="32"/>
  <c r="C72" i="32"/>
  <c r="C68" i="32"/>
  <c r="C64" i="32"/>
  <c r="C60" i="32"/>
  <c r="C135" i="32"/>
  <c r="C131" i="32"/>
  <c r="C127" i="32"/>
  <c r="C123" i="32"/>
  <c r="C119" i="32"/>
  <c r="C115" i="32"/>
  <c r="C111" i="32"/>
  <c r="C107" i="32"/>
  <c r="C103" i="32"/>
  <c r="C99" i="32"/>
  <c r="C95" i="32"/>
  <c r="C91" i="32"/>
  <c r="C87" i="32"/>
  <c r="C83" i="32"/>
  <c r="C79" i="32"/>
  <c r="C75" i="32"/>
  <c r="C71" i="32"/>
  <c r="C67" i="32"/>
  <c r="C63" i="32"/>
  <c r="C59" i="32"/>
  <c r="C134" i="32"/>
  <c r="C130" i="32"/>
  <c r="C126" i="32"/>
  <c r="C122" i="32"/>
  <c r="C118" i="32"/>
  <c r="C114" i="32"/>
  <c r="C110" i="32"/>
  <c r="C106" i="32"/>
  <c r="C102" i="32"/>
  <c r="C98" i="32"/>
  <c r="C94" i="32"/>
  <c r="C90" i="32"/>
  <c r="C86" i="32"/>
  <c r="C82" i="32"/>
  <c r="C78" i="32"/>
  <c r="C74" i="32"/>
  <c r="C70" i="32"/>
  <c r="C66" i="32"/>
  <c r="C62" i="32"/>
  <c r="C58" i="32"/>
  <c r="C137" i="32"/>
  <c r="C133" i="32"/>
  <c r="C129" i="32"/>
  <c r="C125" i="32"/>
  <c r="C121" i="32"/>
  <c r="C117" i="32"/>
  <c r="C113" i="32"/>
  <c r="C109" i="32"/>
  <c r="C105" i="32"/>
  <c r="C101" i="32"/>
  <c r="C97" i="32"/>
  <c r="C93" i="32"/>
  <c r="C89" i="32"/>
  <c r="C85" i="32"/>
  <c r="C81" i="32"/>
  <c r="C77" i="32"/>
  <c r="C73" i="32"/>
  <c r="C69" i="32"/>
  <c r="C65" i="32"/>
  <c r="C61" i="32"/>
  <c r="C57" i="32"/>
  <c r="AL2" i="18"/>
  <c r="Q31" i="23"/>
  <c r="Q43" i="23"/>
  <c r="Q19" i="23"/>
  <c r="Q18" i="23"/>
  <c r="V4" i="23"/>
  <c r="V5" i="23"/>
  <c r="V6" i="23"/>
  <c r="V7" i="23"/>
  <c r="V8" i="23"/>
  <c r="V9" i="23"/>
  <c r="V10" i="23"/>
  <c r="V11" i="23"/>
  <c r="V12" i="23"/>
  <c r="V13" i="23"/>
  <c r="V14" i="23"/>
  <c r="V15" i="23"/>
  <c r="V16" i="23"/>
  <c r="V17" i="23"/>
  <c r="V18" i="23"/>
  <c r="V19" i="23"/>
  <c r="V20" i="23"/>
  <c r="V21" i="23"/>
  <c r="V22" i="23"/>
  <c r="V23" i="23"/>
  <c r="V3" i="23"/>
  <c r="V4" i="24"/>
  <c r="V5" i="24"/>
  <c r="V6" i="24"/>
  <c r="V7" i="24"/>
  <c r="V8" i="24"/>
  <c r="V9" i="24"/>
  <c r="V10" i="24"/>
  <c r="V11" i="24"/>
  <c r="V12" i="24"/>
  <c r="V13" i="24"/>
  <c r="V14" i="24"/>
  <c r="V15" i="24"/>
  <c r="V16" i="24"/>
  <c r="V17" i="24"/>
  <c r="V18" i="24"/>
  <c r="V19" i="24"/>
  <c r="V20" i="24"/>
  <c r="V21" i="24"/>
  <c r="V22" i="24"/>
  <c r="V3" i="24"/>
  <c r="J6" i="24" l="1"/>
  <c r="C12" i="9" l="1"/>
  <c r="P12" i="18" l="1"/>
  <c r="Q12" i="18"/>
  <c r="R12" i="18"/>
  <c r="Y12" i="18"/>
  <c r="Z12" i="18"/>
  <c r="AA12" i="18"/>
  <c r="AB12" i="18"/>
  <c r="AC12" i="18"/>
  <c r="AD12" i="18"/>
  <c r="P13" i="18"/>
  <c r="Q13" i="18"/>
  <c r="R13" i="18"/>
  <c r="Y13" i="18"/>
  <c r="Z13" i="18"/>
  <c r="AA13" i="18"/>
  <c r="AB13" i="18"/>
  <c r="AC13" i="18"/>
  <c r="AD13" i="18"/>
  <c r="P14" i="18"/>
  <c r="Q14" i="18"/>
  <c r="R14" i="18"/>
  <c r="Y14" i="18"/>
  <c r="Z14" i="18"/>
  <c r="AA14" i="18"/>
  <c r="AB14" i="18"/>
  <c r="AC14" i="18"/>
  <c r="AD14" i="18"/>
  <c r="P15" i="18"/>
  <c r="Q15" i="18"/>
  <c r="R15" i="18"/>
  <c r="Y15" i="18"/>
  <c r="Z15" i="18"/>
  <c r="AA15" i="18"/>
  <c r="AB15" i="18"/>
  <c r="AC15" i="18"/>
  <c r="AD15" i="18"/>
  <c r="P16" i="18"/>
  <c r="Q16" i="18"/>
  <c r="R16" i="18"/>
  <c r="Y16" i="18"/>
  <c r="Z16" i="18"/>
  <c r="AA16" i="18"/>
  <c r="AB16" i="18"/>
  <c r="AC16" i="18"/>
  <c r="AD16" i="18"/>
  <c r="P17" i="18"/>
  <c r="Q17" i="18"/>
  <c r="R17" i="18"/>
  <c r="Y17" i="18"/>
  <c r="Z17" i="18"/>
  <c r="AA17" i="18"/>
  <c r="AB17" i="18"/>
  <c r="AC17" i="18"/>
  <c r="AD17" i="18"/>
  <c r="P18" i="18"/>
  <c r="Q18" i="18"/>
  <c r="R18" i="18"/>
  <c r="Y18" i="18"/>
  <c r="Z18" i="18"/>
  <c r="AA18" i="18"/>
  <c r="AB18" i="18"/>
  <c r="AC18" i="18"/>
  <c r="AD18" i="18"/>
  <c r="P19" i="18"/>
  <c r="Q19" i="18"/>
  <c r="R19" i="18"/>
  <c r="Y19" i="18"/>
  <c r="Z19" i="18"/>
  <c r="AA19" i="18"/>
  <c r="AB19" i="18"/>
  <c r="AC19" i="18"/>
  <c r="AD19" i="18"/>
  <c r="P20" i="18"/>
  <c r="Q20" i="18"/>
  <c r="R20" i="18"/>
  <c r="Y20" i="18"/>
  <c r="Z20" i="18"/>
  <c r="AA20" i="18"/>
  <c r="AB20" i="18"/>
  <c r="AC20" i="18"/>
  <c r="AD20" i="18"/>
  <c r="P21" i="18"/>
  <c r="Q21" i="18"/>
  <c r="R21" i="18"/>
  <c r="Y21" i="18"/>
  <c r="Z21" i="18"/>
  <c r="AA21" i="18"/>
  <c r="AB21" i="18"/>
  <c r="AC21" i="18"/>
  <c r="AD21" i="18"/>
  <c r="P22" i="18"/>
  <c r="Q22" i="18"/>
  <c r="R22" i="18"/>
  <c r="Y22" i="18"/>
  <c r="Z22" i="18"/>
  <c r="AA22" i="18"/>
  <c r="AB22" i="18"/>
  <c r="AC22" i="18"/>
  <c r="AD22" i="18"/>
  <c r="P23" i="18"/>
  <c r="Q23" i="18"/>
  <c r="R23" i="18"/>
  <c r="Y23" i="18"/>
  <c r="Z23" i="18"/>
  <c r="AA23" i="18"/>
  <c r="AB23" i="18"/>
  <c r="AC23" i="18"/>
  <c r="AD23" i="18"/>
  <c r="P24" i="18"/>
  <c r="Q24" i="18"/>
  <c r="R24" i="18"/>
  <c r="Y24" i="18"/>
  <c r="Z24" i="18"/>
  <c r="AA24" i="18"/>
  <c r="AB24" i="18"/>
  <c r="AC24" i="18"/>
  <c r="AD24" i="18"/>
  <c r="P25" i="18"/>
  <c r="Q25" i="18"/>
  <c r="R25" i="18"/>
  <c r="Y25" i="18"/>
  <c r="Z25" i="18"/>
  <c r="AA25" i="18"/>
  <c r="AB25" i="18"/>
  <c r="AC25" i="18"/>
  <c r="AD25" i="18"/>
  <c r="P26" i="18"/>
  <c r="Q26" i="18"/>
  <c r="R26" i="18"/>
  <c r="Y26" i="18"/>
  <c r="Z26" i="18"/>
  <c r="AA26" i="18"/>
  <c r="AB26" i="18"/>
  <c r="AC26" i="18"/>
  <c r="AD26" i="18"/>
  <c r="P27" i="18"/>
  <c r="Q27" i="18"/>
  <c r="R27" i="18"/>
  <c r="Y27" i="18"/>
  <c r="Z27" i="18"/>
  <c r="AA27" i="18"/>
  <c r="AB27" i="18"/>
  <c r="AC27" i="18"/>
  <c r="AD27" i="18"/>
  <c r="P28" i="18"/>
  <c r="Q28" i="18"/>
  <c r="R28" i="18"/>
  <c r="Y28" i="18"/>
  <c r="Z28" i="18"/>
  <c r="AA28" i="18"/>
  <c r="AB28" i="18"/>
  <c r="AC28" i="18"/>
  <c r="AD28" i="18"/>
  <c r="P29" i="18"/>
  <c r="Q29" i="18"/>
  <c r="R29" i="18"/>
  <c r="Y29" i="18"/>
  <c r="Z29" i="18"/>
  <c r="AA29" i="18"/>
  <c r="AB29" i="18"/>
  <c r="AC29" i="18"/>
  <c r="AD29" i="18"/>
  <c r="P30" i="18"/>
  <c r="Q30" i="18"/>
  <c r="R30" i="18"/>
  <c r="Y30" i="18"/>
  <c r="Z30" i="18"/>
  <c r="AA30" i="18"/>
  <c r="AB30" i="18"/>
  <c r="AC30" i="18"/>
  <c r="AD30" i="18"/>
  <c r="P31" i="18"/>
  <c r="Q31" i="18"/>
  <c r="R31" i="18"/>
  <c r="Y31" i="18"/>
  <c r="Z31" i="18"/>
  <c r="AA31" i="18"/>
  <c r="AB31" i="18"/>
  <c r="AC31" i="18"/>
  <c r="AD31" i="18"/>
  <c r="P32" i="18"/>
  <c r="Q32" i="18"/>
  <c r="R32" i="18"/>
  <c r="Y32" i="18"/>
  <c r="Z32" i="18"/>
  <c r="AA32" i="18"/>
  <c r="AB32" i="18"/>
  <c r="AC32" i="18"/>
  <c r="AD32" i="18"/>
  <c r="P33" i="18"/>
  <c r="Q33" i="18"/>
  <c r="R33" i="18"/>
  <c r="Y33" i="18"/>
  <c r="Z33" i="18"/>
  <c r="AA33" i="18"/>
  <c r="AB33" i="18"/>
  <c r="AC33" i="18"/>
  <c r="AD33" i="18"/>
  <c r="P34" i="18"/>
  <c r="Q34" i="18"/>
  <c r="R34" i="18"/>
  <c r="Y34" i="18"/>
  <c r="Z34" i="18"/>
  <c r="AA34" i="18"/>
  <c r="AB34" i="18"/>
  <c r="AC34" i="18"/>
  <c r="AD34" i="18"/>
  <c r="P35" i="18"/>
  <c r="Q35" i="18"/>
  <c r="R35" i="18"/>
  <c r="Y35" i="18"/>
  <c r="Z35" i="18"/>
  <c r="AA35" i="18"/>
  <c r="AB35" i="18"/>
  <c r="AC35" i="18"/>
  <c r="AD35" i="18"/>
  <c r="P36" i="18"/>
  <c r="Q36" i="18"/>
  <c r="R36" i="18"/>
  <c r="S36" i="18"/>
  <c r="T36" i="18"/>
  <c r="U36" i="18"/>
  <c r="V36" i="18"/>
  <c r="W36" i="18"/>
  <c r="X36" i="18"/>
  <c r="Y36" i="18"/>
  <c r="Z36" i="18"/>
  <c r="AA36" i="18"/>
  <c r="AB36" i="18"/>
  <c r="AC36" i="18"/>
  <c r="AD36" i="18"/>
  <c r="AE36" i="18"/>
  <c r="AF36" i="18"/>
  <c r="AG36" i="18"/>
  <c r="P37" i="18"/>
  <c r="Q37" i="18"/>
  <c r="R37" i="18"/>
  <c r="S37" i="18"/>
  <c r="T37" i="18"/>
  <c r="U37" i="18"/>
  <c r="V37" i="18"/>
  <c r="W37" i="18"/>
  <c r="X37" i="18"/>
  <c r="Y37" i="18"/>
  <c r="Z37" i="18"/>
  <c r="AA37" i="18"/>
  <c r="AB37" i="18"/>
  <c r="AC37" i="18"/>
  <c r="AD37" i="18"/>
  <c r="AE37" i="18"/>
  <c r="AF37" i="18"/>
  <c r="AG37" i="18"/>
  <c r="P38" i="18"/>
  <c r="Q38" i="18"/>
  <c r="R38" i="18"/>
  <c r="S38" i="18"/>
  <c r="T38" i="18"/>
  <c r="U38" i="18"/>
  <c r="V38" i="18"/>
  <c r="W38" i="18"/>
  <c r="X38" i="18"/>
  <c r="Y38" i="18"/>
  <c r="Z38" i="18"/>
  <c r="AA38" i="18"/>
  <c r="AB38" i="18"/>
  <c r="AC38" i="18"/>
  <c r="AD38" i="18"/>
  <c r="AE38" i="18"/>
  <c r="AF38" i="18"/>
  <c r="AG38" i="18"/>
  <c r="P39" i="18"/>
  <c r="Q39" i="18"/>
  <c r="R39" i="18"/>
  <c r="S39" i="18"/>
  <c r="T39" i="18"/>
  <c r="U39" i="18"/>
  <c r="V39" i="18"/>
  <c r="W39" i="18"/>
  <c r="X39" i="18"/>
  <c r="Y39" i="18"/>
  <c r="Z39" i="18"/>
  <c r="AA39" i="18"/>
  <c r="AB39" i="18"/>
  <c r="AC39" i="18"/>
  <c r="AD39" i="18"/>
  <c r="AE39" i="18"/>
  <c r="AF39" i="18"/>
  <c r="AG39" i="18"/>
  <c r="P40" i="18"/>
  <c r="Q40" i="18"/>
  <c r="R40" i="18"/>
  <c r="S40" i="18"/>
  <c r="T40" i="18"/>
  <c r="U40" i="18"/>
  <c r="V40" i="18"/>
  <c r="W40" i="18"/>
  <c r="X40" i="18"/>
  <c r="Y40" i="18"/>
  <c r="Z40" i="18"/>
  <c r="AA40" i="18"/>
  <c r="AB40" i="18"/>
  <c r="AC40" i="18"/>
  <c r="AD40" i="18"/>
  <c r="AE40" i="18"/>
  <c r="AF40" i="18"/>
  <c r="AG40" i="18"/>
  <c r="P41" i="18"/>
  <c r="Q41" i="18"/>
  <c r="R41" i="18"/>
  <c r="S41" i="18"/>
  <c r="T41" i="18"/>
  <c r="U41" i="18"/>
  <c r="V41" i="18"/>
  <c r="W41" i="18"/>
  <c r="X41" i="18"/>
  <c r="Y41" i="18"/>
  <c r="Z41" i="18"/>
  <c r="AA41" i="18"/>
  <c r="AB41" i="18"/>
  <c r="AC41" i="18"/>
  <c r="AD41" i="18"/>
  <c r="AE41" i="18"/>
  <c r="AF41" i="18"/>
  <c r="AG41" i="18"/>
  <c r="P42" i="18"/>
  <c r="Q42" i="18"/>
  <c r="R42" i="18"/>
  <c r="S42" i="18"/>
  <c r="T42" i="18"/>
  <c r="U42" i="18"/>
  <c r="V42" i="18"/>
  <c r="W42" i="18"/>
  <c r="X42" i="18"/>
  <c r="Y42" i="18"/>
  <c r="Z42" i="18"/>
  <c r="AA42" i="18"/>
  <c r="AB42" i="18"/>
  <c r="AC42" i="18"/>
  <c r="AD42" i="18"/>
  <c r="AE42" i="18"/>
  <c r="AF42" i="18"/>
  <c r="AG42" i="18"/>
  <c r="P43" i="18"/>
  <c r="Q43" i="18"/>
  <c r="R43" i="18"/>
  <c r="S43" i="18"/>
  <c r="T43" i="18"/>
  <c r="U43" i="18"/>
  <c r="V43" i="18"/>
  <c r="W43" i="18"/>
  <c r="X43" i="18"/>
  <c r="Y43" i="18"/>
  <c r="Z43" i="18"/>
  <c r="AA43" i="18"/>
  <c r="AB43" i="18"/>
  <c r="AC43" i="18"/>
  <c r="AD43" i="18"/>
  <c r="AE43" i="18"/>
  <c r="AF43" i="18"/>
  <c r="AG43" i="18"/>
  <c r="P44" i="18"/>
  <c r="Q44" i="18"/>
  <c r="R44" i="18"/>
  <c r="S44" i="18"/>
  <c r="T44" i="18"/>
  <c r="U44" i="18"/>
  <c r="V44" i="18"/>
  <c r="W44" i="18"/>
  <c r="X44" i="18"/>
  <c r="Y44" i="18"/>
  <c r="Z44" i="18"/>
  <c r="AA44" i="18"/>
  <c r="AB44" i="18"/>
  <c r="AC44" i="18"/>
  <c r="AD44" i="18"/>
  <c r="AE44" i="18"/>
  <c r="AF44" i="18"/>
  <c r="AG44" i="18"/>
  <c r="P45" i="18"/>
  <c r="Q45" i="18"/>
  <c r="R45" i="18"/>
  <c r="S45" i="18"/>
  <c r="T45" i="18"/>
  <c r="U45" i="18"/>
  <c r="V45" i="18"/>
  <c r="W45" i="18"/>
  <c r="X45" i="18"/>
  <c r="Y45" i="18"/>
  <c r="Z45" i="18"/>
  <c r="AA45" i="18"/>
  <c r="AB45" i="18"/>
  <c r="AC45" i="18"/>
  <c r="AD45" i="18"/>
  <c r="AE45" i="18"/>
  <c r="AF45" i="18"/>
  <c r="AG45" i="18"/>
  <c r="P46" i="18"/>
  <c r="Q46" i="18"/>
  <c r="R46" i="18"/>
  <c r="S46" i="18"/>
  <c r="T46" i="18"/>
  <c r="U46" i="18"/>
  <c r="V46" i="18"/>
  <c r="W46" i="18"/>
  <c r="X46" i="18"/>
  <c r="Y46" i="18"/>
  <c r="Z46" i="18"/>
  <c r="AA46" i="18"/>
  <c r="AB46" i="18"/>
  <c r="AC46" i="18"/>
  <c r="AD46" i="18"/>
  <c r="AE46" i="18"/>
  <c r="AF46" i="18"/>
  <c r="AG46" i="18"/>
  <c r="P47" i="18"/>
  <c r="Q47" i="18"/>
  <c r="R47" i="18"/>
  <c r="S47" i="18"/>
  <c r="T47" i="18"/>
  <c r="U47" i="18"/>
  <c r="V47" i="18"/>
  <c r="W47" i="18"/>
  <c r="X47" i="18"/>
  <c r="Y47" i="18"/>
  <c r="Z47" i="18"/>
  <c r="AA47" i="18"/>
  <c r="AB47" i="18"/>
  <c r="AC47" i="18"/>
  <c r="AD47" i="18"/>
  <c r="AE47" i="18"/>
  <c r="AF47" i="18"/>
  <c r="AG47" i="18"/>
  <c r="P48" i="18"/>
  <c r="Q48" i="18"/>
  <c r="R48" i="18"/>
  <c r="S48" i="18"/>
  <c r="T48" i="18"/>
  <c r="U48" i="18"/>
  <c r="V48" i="18"/>
  <c r="W48" i="18"/>
  <c r="X48" i="18"/>
  <c r="Y48" i="18"/>
  <c r="Z48" i="18"/>
  <c r="AA48" i="18"/>
  <c r="AB48" i="18"/>
  <c r="AC48" i="18"/>
  <c r="AD48" i="18"/>
  <c r="AE48" i="18"/>
  <c r="AF48" i="18"/>
  <c r="AG48" i="18"/>
  <c r="P49" i="18"/>
  <c r="Q49" i="18"/>
  <c r="R49" i="18"/>
  <c r="S49" i="18"/>
  <c r="T49" i="18"/>
  <c r="U49" i="18"/>
  <c r="V49" i="18"/>
  <c r="W49" i="18"/>
  <c r="X49" i="18"/>
  <c r="Y49" i="18"/>
  <c r="Z49" i="18"/>
  <c r="AA49" i="18"/>
  <c r="AB49" i="18"/>
  <c r="AC49" i="18"/>
  <c r="AD49" i="18"/>
  <c r="AE49" i="18"/>
  <c r="AF49" i="18"/>
  <c r="AG49" i="18"/>
  <c r="P50" i="18"/>
  <c r="Q50" i="18"/>
  <c r="R50" i="18"/>
  <c r="S50" i="18"/>
  <c r="T50" i="18"/>
  <c r="U50" i="18"/>
  <c r="V50" i="18"/>
  <c r="W50" i="18"/>
  <c r="X50" i="18"/>
  <c r="Y50" i="18"/>
  <c r="Z50" i="18"/>
  <c r="AA50" i="18"/>
  <c r="AB50" i="18"/>
  <c r="AC50" i="18"/>
  <c r="AD50" i="18"/>
  <c r="AE50" i="18"/>
  <c r="AF50" i="18"/>
  <c r="AG50" i="18"/>
  <c r="P51" i="18"/>
  <c r="Q51" i="18"/>
  <c r="R51" i="18"/>
  <c r="S51" i="18"/>
  <c r="T51" i="18"/>
  <c r="U51" i="18"/>
  <c r="V51" i="18"/>
  <c r="W51" i="18"/>
  <c r="X51" i="18"/>
  <c r="Y51" i="18"/>
  <c r="Z51" i="18"/>
  <c r="AA51" i="18"/>
  <c r="AB51" i="18"/>
  <c r="AC51" i="18"/>
  <c r="AD51" i="18"/>
  <c r="AE51" i="18"/>
  <c r="AF51" i="18"/>
  <c r="AG51" i="18"/>
  <c r="P52" i="18"/>
  <c r="Q52" i="18"/>
  <c r="R52" i="18"/>
  <c r="S52" i="18"/>
  <c r="T52" i="18"/>
  <c r="U52" i="18"/>
  <c r="V52" i="18"/>
  <c r="W52" i="18"/>
  <c r="X52" i="18"/>
  <c r="Y52" i="18"/>
  <c r="Z52" i="18"/>
  <c r="AA52" i="18"/>
  <c r="AB52" i="18"/>
  <c r="AC52" i="18"/>
  <c r="AD52" i="18"/>
  <c r="AE52" i="18"/>
  <c r="AF52" i="18"/>
  <c r="AG52" i="18"/>
  <c r="P53" i="18"/>
  <c r="Q53" i="18"/>
  <c r="R53" i="18"/>
  <c r="S53" i="18"/>
  <c r="T53" i="18"/>
  <c r="U53" i="18"/>
  <c r="V53" i="18"/>
  <c r="W53" i="18"/>
  <c r="X53" i="18"/>
  <c r="Y53" i="18"/>
  <c r="Z53" i="18"/>
  <c r="AA53" i="18"/>
  <c r="AB53" i="18"/>
  <c r="AC53" i="18"/>
  <c r="AD53" i="18"/>
  <c r="AE53" i="18"/>
  <c r="AF53" i="18"/>
  <c r="AG53" i="18"/>
  <c r="P54" i="18"/>
  <c r="Q54" i="18"/>
  <c r="R54" i="18"/>
  <c r="S54" i="18"/>
  <c r="T54" i="18"/>
  <c r="U54" i="18"/>
  <c r="V54" i="18"/>
  <c r="W54" i="18"/>
  <c r="X54" i="18"/>
  <c r="Y54" i="18"/>
  <c r="Z54" i="18"/>
  <c r="AA54" i="18"/>
  <c r="AB54" i="18"/>
  <c r="AC54" i="18"/>
  <c r="AD54" i="18"/>
  <c r="AE54" i="18"/>
  <c r="AF54" i="18"/>
  <c r="AG54" i="18"/>
  <c r="P55" i="18"/>
  <c r="Q55" i="18"/>
  <c r="R55" i="18"/>
  <c r="S55" i="18"/>
  <c r="T55" i="18"/>
  <c r="U55" i="18"/>
  <c r="V55" i="18"/>
  <c r="W55" i="18"/>
  <c r="X55" i="18"/>
  <c r="Y55" i="18"/>
  <c r="Z55" i="18"/>
  <c r="AA55" i="18"/>
  <c r="AB55" i="18"/>
  <c r="AC55" i="18"/>
  <c r="AD55" i="18"/>
  <c r="AE55" i="18"/>
  <c r="AF55" i="18"/>
  <c r="AG55" i="18"/>
  <c r="P56" i="18"/>
  <c r="Q56" i="18"/>
  <c r="R56" i="18"/>
  <c r="S56" i="18"/>
  <c r="T56" i="18"/>
  <c r="U56" i="18"/>
  <c r="V56" i="18"/>
  <c r="W56" i="18"/>
  <c r="X56" i="18"/>
  <c r="Y56" i="18"/>
  <c r="Z56" i="18"/>
  <c r="AA56" i="18"/>
  <c r="AB56" i="18"/>
  <c r="AC56" i="18"/>
  <c r="AD56" i="18"/>
  <c r="AE56" i="18"/>
  <c r="AF56" i="18"/>
  <c r="AG56" i="18"/>
  <c r="P57" i="18"/>
  <c r="Q57" i="18"/>
  <c r="R57" i="18"/>
  <c r="S57" i="18"/>
  <c r="T57" i="18"/>
  <c r="U57" i="18"/>
  <c r="V57" i="18"/>
  <c r="W57" i="18"/>
  <c r="X57" i="18"/>
  <c r="Y57" i="18"/>
  <c r="Z57" i="18"/>
  <c r="AA57" i="18"/>
  <c r="AB57" i="18"/>
  <c r="AC57" i="18"/>
  <c r="AD57" i="18"/>
  <c r="AE57" i="18"/>
  <c r="AF57" i="18"/>
  <c r="AG57" i="18"/>
  <c r="P58" i="18"/>
  <c r="Q58" i="18"/>
  <c r="R58" i="18"/>
  <c r="S58" i="18"/>
  <c r="T58" i="18"/>
  <c r="U58" i="18"/>
  <c r="V58" i="18"/>
  <c r="W58" i="18"/>
  <c r="X58" i="18"/>
  <c r="Y58" i="18"/>
  <c r="Z58" i="18"/>
  <c r="AA58" i="18"/>
  <c r="AB58" i="18"/>
  <c r="AC58" i="18"/>
  <c r="AD58" i="18"/>
  <c r="AE58" i="18"/>
  <c r="AF58" i="18"/>
  <c r="AG58" i="18"/>
  <c r="P59" i="18"/>
  <c r="Q59" i="18"/>
  <c r="R59" i="18"/>
  <c r="S59" i="18"/>
  <c r="T59" i="18"/>
  <c r="U59" i="18"/>
  <c r="V59" i="18"/>
  <c r="W59" i="18"/>
  <c r="X59" i="18"/>
  <c r="Y59" i="18"/>
  <c r="Z59" i="18"/>
  <c r="AA59" i="18"/>
  <c r="AB59" i="18"/>
  <c r="AC59" i="18"/>
  <c r="AD59" i="18"/>
  <c r="AE59" i="18"/>
  <c r="AF59" i="18"/>
  <c r="AG59" i="18"/>
  <c r="P60" i="18"/>
  <c r="Q60" i="18"/>
  <c r="R60" i="18"/>
  <c r="S60" i="18"/>
  <c r="T60" i="18"/>
  <c r="U60" i="18"/>
  <c r="V60" i="18"/>
  <c r="W60" i="18"/>
  <c r="X60" i="18"/>
  <c r="Y60" i="18"/>
  <c r="Z60" i="18"/>
  <c r="AA60" i="18"/>
  <c r="AB60" i="18"/>
  <c r="AC60" i="18"/>
  <c r="AD60" i="18"/>
  <c r="AE60" i="18"/>
  <c r="AF60" i="18"/>
  <c r="AG60" i="18"/>
  <c r="P61" i="18"/>
  <c r="Q61" i="18"/>
  <c r="R61" i="18"/>
  <c r="S61" i="18"/>
  <c r="T61" i="18"/>
  <c r="U61" i="18"/>
  <c r="V61" i="18"/>
  <c r="W61" i="18"/>
  <c r="X61" i="18"/>
  <c r="Y61" i="18"/>
  <c r="Z61" i="18"/>
  <c r="AA61" i="18"/>
  <c r="AB61" i="18"/>
  <c r="AC61" i="18"/>
  <c r="AD61" i="18"/>
  <c r="AE61" i="18"/>
  <c r="AF61" i="18"/>
  <c r="AG61" i="18"/>
  <c r="P62" i="18"/>
  <c r="Q62" i="18"/>
  <c r="R62" i="18"/>
  <c r="S62" i="18"/>
  <c r="T62" i="18"/>
  <c r="U62" i="18"/>
  <c r="V62" i="18"/>
  <c r="W62" i="18"/>
  <c r="X62" i="18"/>
  <c r="Y62" i="18"/>
  <c r="Z62" i="18"/>
  <c r="AA62" i="18"/>
  <c r="AB62" i="18"/>
  <c r="AC62" i="18"/>
  <c r="AD62" i="18"/>
  <c r="AE62" i="18"/>
  <c r="AF62" i="18"/>
  <c r="AG62" i="18"/>
  <c r="P63" i="18"/>
  <c r="Q63" i="18"/>
  <c r="R63" i="18"/>
  <c r="S63" i="18"/>
  <c r="T63" i="18"/>
  <c r="U63" i="18"/>
  <c r="V63" i="18"/>
  <c r="W63" i="18"/>
  <c r="X63" i="18"/>
  <c r="Y63" i="18"/>
  <c r="Z63" i="18"/>
  <c r="AA63" i="18"/>
  <c r="AB63" i="18"/>
  <c r="AC63" i="18"/>
  <c r="AD63" i="18"/>
  <c r="AE63" i="18"/>
  <c r="AF63" i="18"/>
  <c r="AG63" i="18"/>
  <c r="P64" i="18"/>
  <c r="Q64" i="18"/>
  <c r="R64" i="18"/>
  <c r="S64" i="18"/>
  <c r="T64" i="18"/>
  <c r="U64" i="18"/>
  <c r="V64" i="18"/>
  <c r="W64" i="18"/>
  <c r="X64" i="18"/>
  <c r="Y64" i="18"/>
  <c r="Z64" i="18"/>
  <c r="AA64" i="18"/>
  <c r="AB64" i="18"/>
  <c r="AC64" i="18"/>
  <c r="AD64" i="18"/>
  <c r="AE64" i="18"/>
  <c r="AF64" i="18"/>
  <c r="AG64" i="18"/>
  <c r="P65" i="18"/>
  <c r="Q65" i="18"/>
  <c r="R65" i="18"/>
  <c r="S65" i="18"/>
  <c r="T65" i="18"/>
  <c r="U65" i="18"/>
  <c r="V65" i="18"/>
  <c r="W65" i="18"/>
  <c r="X65" i="18"/>
  <c r="Y65" i="18"/>
  <c r="Z65" i="18"/>
  <c r="AA65" i="18"/>
  <c r="AB65" i="18"/>
  <c r="AC65" i="18"/>
  <c r="AD65" i="18"/>
  <c r="AE65" i="18"/>
  <c r="AF65" i="18"/>
  <c r="AG65" i="18"/>
  <c r="P66" i="18"/>
  <c r="Q66" i="18"/>
  <c r="R66" i="18"/>
  <c r="S66" i="18"/>
  <c r="T66" i="18"/>
  <c r="U66" i="18"/>
  <c r="V66" i="18"/>
  <c r="W66" i="18"/>
  <c r="X66" i="18"/>
  <c r="Y66" i="18"/>
  <c r="Z66" i="18"/>
  <c r="AA66" i="18"/>
  <c r="AB66" i="18"/>
  <c r="AC66" i="18"/>
  <c r="AD66" i="18"/>
  <c r="AE66" i="18"/>
  <c r="AF66" i="18"/>
  <c r="AG66" i="18"/>
  <c r="P67" i="18"/>
  <c r="Q67" i="18"/>
  <c r="R67" i="18"/>
  <c r="S67" i="18"/>
  <c r="T67" i="18"/>
  <c r="U67" i="18"/>
  <c r="V67" i="18"/>
  <c r="W67" i="18"/>
  <c r="X67" i="18"/>
  <c r="Y67" i="18"/>
  <c r="Z67" i="18"/>
  <c r="AA67" i="18"/>
  <c r="AB67" i="18"/>
  <c r="AC67" i="18"/>
  <c r="AD67" i="18"/>
  <c r="AE67" i="18"/>
  <c r="AF67" i="18"/>
  <c r="AG67" i="18"/>
  <c r="P68" i="18"/>
  <c r="Q68" i="18"/>
  <c r="R68" i="18"/>
  <c r="S68" i="18"/>
  <c r="T68" i="18"/>
  <c r="U68" i="18"/>
  <c r="V68" i="18"/>
  <c r="W68" i="18"/>
  <c r="X68" i="18"/>
  <c r="Y68" i="18"/>
  <c r="Z68" i="18"/>
  <c r="AA68" i="18"/>
  <c r="AB68" i="18"/>
  <c r="AC68" i="18"/>
  <c r="AD68" i="18"/>
  <c r="AE68" i="18"/>
  <c r="AF68" i="18"/>
  <c r="AG68" i="18"/>
  <c r="P69" i="18"/>
  <c r="Q69" i="18"/>
  <c r="R69" i="18"/>
  <c r="S69" i="18"/>
  <c r="T69" i="18"/>
  <c r="U69" i="18"/>
  <c r="V69" i="18"/>
  <c r="W69" i="18"/>
  <c r="X69" i="18"/>
  <c r="Y69" i="18"/>
  <c r="Z69" i="18"/>
  <c r="AA69" i="18"/>
  <c r="AB69" i="18"/>
  <c r="AC69" i="18"/>
  <c r="AD69" i="18"/>
  <c r="AE69" i="18"/>
  <c r="AF69" i="18"/>
  <c r="AG69" i="18"/>
  <c r="P70" i="18"/>
  <c r="Q70" i="18"/>
  <c r="R70" i="18"/>
  <c r="S70" i="18"/>
  <c r="T70" i="18"/>
  <c r="U70" i="18"/>
  <c r="V70" i="18"/>
  <c r="W70" i="18"/>
  <c r="X70" i="18"/>
  <c r="Y70" i="18"/>
  <c r="Z70" i="18"/>
  <c r="AA70" i="18"/>
  <c r="AB70" i="18"/>
  <c r="AC70" i="18"/>
  <c r="AD70" i="18"/>
  <c r="AE70" i="18"/>
  <c r="AF70" i="18"/>
  <c r="AG70" i="18"/>
  <c r="P71" i="18"/>
  <c r="Q71" i="18"/>
  <c r="R71" i="18"/>
  <c r="S71" i="18"/>
  <c r="T71" i="18"/>
  <c r="U71" i="18"/>
  <c r="V71" i="18"/>
  <c r="W71" i="18"/>
  <c r="X71" i="18"/>
  <c r="Y71" i="18"/>
  <c r="Z71" i="18"/>
  <c r="AA71" i="18"/>
  <c r="AB71" i="18"/>
  <c r="AC71" i="18"/>
  <c r="AD71" i="18"/>
  <c r="AE71" i="18"/>
  <c r="AF71" i="18"/>
  <c r="AG71" i="18"/>
  <c r="P72" i="18"/>
  <c r="Q72" i="18"/>
  <c r="R72" i="18"/>
  <c r="S72" i="18"/>
  <c r="T72" i="18"/>
  <c r="U72" i="18"/>
  <c r="V72" i="18"/>
  <c r="W72" i="18"/>
  <c r="X72" i="18"/>
  <c r="Y72" i="18"/>
  <c r="Z72" i="18"/>
  <c r="AA72" i="18"/>
  <c r="AB72" i="18"/>
  <c r="AC72" i="18"/>
  <c r="AD72" i="18"/>
  <c r="AE72" i="18"/>
  <c r="AF72" i="18"/>
  <c r="AG72" i="18"/>
  <c r="P73" i="18"/>
  <c r="Q73" i="18"/>
  <c r="R73" i="18"/>
  <c r="S73" i="18"/>
  <c r="T73" i="18"/>
  <c r="U73" i="18"/>
  <c r="V73" i="18"/>
  <c r="W73" i="18"/>
  <c r="X73" i="18"/>
  <c r="Y73" i="18"/>
  <c r="Z73" i="18"/>
  <c r="AA73" i="18"/>
  <c r="AB73" i="18"/>
  <c r="AC73" i="18"/>
  <c r="AD73" i="18"/>
  <c r="AE73" i="18"/>
  <c r="AF73" i="18"/>
  <c r="AG73" i="18"/>
  <c r="P74" i="18"/>
  <c r="Q74" i="18"/>
  <c r="R74" i="18"/>
  <c r="S74" i="18"/>
  <c r="T74" i="18"/>
  <c r="U74" i="18"/>
  <c r="V74" i="18"/>
  <c r="W74" i="18"/>
  <c r="X74" i="18"/>
  <c r="Y74" i="18"/>
  <c r="Z74" i="18"/>
  <c r="AA74" i="18"/>
  <c r="AB74" i="18"/>
  <c r="AC74" i="18"/>
  <c r="AD74" i="18"/>
  <c r="AE74" i="18"/>
  <c r="AF74" i="18"/>
  <c r="AG74" i="18"/>
  <c r="P75" i="18"/>
  <c r="Q75" i="18"/>
  <c r="R75" i="18"/>
  <c r="S75" i="18"/>
  <c r="T75" i="18"/>
  <c r="U75" i="18"/>
  <c r="V75" i="18"/>
  <c r="W75" i="18"/>
  <c r="X75" i="18"/>
  <c r="Y75" i="18"/>
  <c r="Z75" i="18"/>
  <c r="AA75" i="18"/>
  <c r="AB75" i="18"/>
  <c r="AC75" i="18"/>
  <c r="AD75" i="18"/>
  <c r="AE75" i="18"/>
  <c r="AF75" i="18"/>
  <c r="AG75" i="18"/>
  <c r="P76" i="18"/>
  <c r="Q76" i="18"/>
  <c r="R76" i="18"/>
  <c r="S76" i="18"/>
  <c r="T76" i="18"/>
  <c r="U76" i="18"/>
  <c r="V76" i="18"/>
  <c r="W76" i="18"/>
  <c r="X76" i="18"/>
  <c r="Y76" i="18"/>
  <c r="Z76" i="18"/>
  <c r="AA76" i="18"/>
  <c r="AB76" i="18"/>
  <c r="AC76" i="18"/>
  <c r="AD76" i="18"/>
  <c r="AE76" i="18"/>
  <c r="AF76" i="18"/>
  <c r="AG76" i="18"/>
  <c r="P77" i="18"/>
  <c r="Q77" i="18"/>
  <c r="R77" i="18"/>
  <c r="S77" i="18"/>
  <c r="T77" i="18"/>
  <c r="U77" i="18"/>
  <c r="V77" i="18"/>
  <c r="W77" i="18"/>
  <c r="X77" i="18"/>
  <c r="Y77" i="18"/>
  <c r="Z77" i="18"/>
  <c r="AA77" i="18"/>
  <c r="AB77" i="18"/>
  <c r="AC77" i="18"/>
  <c r="AD77" i="18"/>
  <c r="AE77" i="18"/>
  <c r="AF77" i="18"/>
  <c r="AG77" i="18"/>
  <c r="P78" i="18"/>
  <c r="Q78" i="18"/>
  <c r="R78" i="18"/>
  <c r="S78" i="18"/>
  <c r="T78" i="18"/>
  <c r="U78" i="18"/>
  <c r="V78" i="18"/>
  <c r="W78" i="18"/>
  <c r="X78" i="18"/>
  <c r="Y78" i="18"/>
  <c r="Z78" i="18"/>
  <c r="AA78" i="18"/>
  <c r="AB78" i="18"/>
  <c r="AC78" i="18"/>
  <c r="AD78" i="18"/>
  <c r="AE78" i="18"/>
  <c r="AF78" i="18"/>
  <c r="AG78" i="18"/>
  <c r="P79" i="18"/>
  <c r="Q79" i="18"/>
  <c r="R79" i="18"/>
  <c r="S79" i="18"/>
  <c r="T79" i="18"/>
  <c r="U79" i="18"/>
  <c r="V79" i="18"/>
  <c r="W79" i="18"/>
  <c r="X79" i="18"/>
  <c r="Y79" i="18"/>
  <c r="Z79" i="18"/>
  <c r="AA79" i="18"/>
  <c r="AB79" i="18"/>
  <c r="AC79" i="18"/>
  <c r="AD79" i="18"/>
  <c r="AE79" i="18"/>
  <c r="AF79" i="18"/>
  <c r="AG79" i="18"/>
  <c r="P80" i="18"/>
  <c r="Q80" i="18"/>
  <c r="R80" i="18"/>
  <c r="S80" i="18"/>
  <c r="T80" i="18"/>
  <c r="U80" i="18"/>
  <c r="V80" i="18"/>
  <c r="W80" i="18"/>
  <c r="X80" i="18"/>
  <c r="Y80" i="18"/>
  <c r="Z80" i="18"/>
  <c r="AA80" i="18"/>
  <c r="AB80" i="18"/>
  <c r="AC80" i="18"/>
  <c r="AD80" i="18"/>
  <c r="AE80" i="18"/>
  <c r="AF80" i="18"/>
  <c r="AG80" i="18"/>
  <c r="P81" i="18"/>
  <c r="Q81" i="18"/>
  <c r="R81" i="18"/>
  <c r="S81" i="18"/>
  <c r="T81" i="18"/>
  <c r="U81" i="18"/>
  <c r="V81" i="18"/>
  <c r="W81" i="18"/>
  <c r="X81" i="18"/>
  <c r="Y81" i="18"/>
  <c r="Z81" i="18"/>
  <c r="AA81" i="18"/>
  <c r="AB81" i="18"/>
  <c r="AC81" i="18"/>
  <c r="AD81" i="18"/>
  <c r="AE81" i="18"/>
  <c r="AF81" i="18"/>
  <c r="AG81" i="18"/>
  <c r="P82" i="18"/>
  <c r="Q82" i="18"/>
  <c r="R82" i="18"/>
  <c r="S82" i="18"/>
  <c r="T82" i="18"/>
  <c r="U82" i="18"/>
  <c r="V82" i="18"/>
  <c r="W82" i="18"/>
  <c r="X82" i="18"/>
  <c r="Y82" i="18"/>
  <c r="Z82" i="18"/>
  <c r="AA82" i="18"/>
  <c r="AB82" i="18"/>
  <c r="AC82" i="18"/>
  <c r="AD82" i="18"/>
  <c r="AE82" i="18"/>
  <c r="AF82" i="18"/>
  <c r="AG82" i="18"/>
  <c r="P83" i="18"/>
  <c r="Q83" i="18"/>
  <c r="R83" i="18"/>
  <c r="S83" i="18"/>
  <c r="T83" i="18"/>
  <c r="U83" i="18"/>
  <c r="V83" i="18"/>
  <c r="W83" i="18"/>
  <c r="X83" i="18"/>
  <c r="Y83" i="18"/>
  <c r="Z83" i="18"/>
  <c r="AA83" i="18"/>
  <c r="AB83" i="18"/>
  <c r="AC83" i="18"/>
  <c r="AD83" i="18"/>
  <c r="AE83" i="18"/>
  <c r="AF83" i="18"/>
  <c r="AG83" i="18"/>
  <c r="P84" i="18"/>
  <c r="Q84" i="18"/>
  <c r="R84" i="18"/>
  <c r="S84" i="18"/>
  <c r="T84" i="18"/>
  <c r="U84" i="18"/>
  <c r="V84" i="18"/>
  <c r="W84" i="18"/>
  <c r="X84" i="18"/>
  <c r="Y84" i="18"/>
  <c r="Z84" i="18"/>
  <c r="AA84" i="18"/>
  <c r="AB84" i="18"/>
  <c r="AC84" i="18"/>
  <c r="AD84" i="18"/>
  <c r="AE84" i="18"/>
  <c r="AF84" i="18"/>
  <c r="AG84" i="18"/>
  <c r="P85" i="18"/>
  <c r="Q85" i="18"/>
  <c r="R85" i="18"/>
  <c r="S85" i="18"/>
  <c r="T85" i="18"/>
  <c r="U85" i="18"/>
  <c r="V85" i="18"/>
  <c r="W85" i="18"/>
  <c r="X85" i="18"/>
  <c r="Y85" i="18"/>
  <c r="Z85" i="18"/>
  <c r="AA85" i="18"/>
  <c r="AB85" i="18"/>
  <c r="AC85" i="18"/>
  <c r="AD85" i="18"/>
  <c r="AE85" i="18"/>
  <c r="AF85" i="18"/>
  <c r="AG85" i="18"/>
  <c r="P86" i="18"/>
  <c r="Q86" i="18"/>
  <c r="R86" i="18"/>
  <c r="S86" i="18"/>
  <c r="T86" i="18"/>
  <c r="U86" i="18"/>
  <c r="V86" i="18"/>
  <c r="W86" i="18"/>
  <c r="X86" i="18"/>
  <c r="Y86" i="18"/>
  <c r="Z86" i="18"/>
  <c r="AA86" i="18"/>
  <c r="AB86" i="18"/>
  <c r="AC86" i="18"/>
  <c r="AD86" i="18"/>
  <c r="AE86" i="18"/>
  <c r="AF86" i="18"/>
  <c r="AG86" i="18"/>
  <c r="P87" i="18"/>
  <c r="Q87" i="18"/>
  <c r="R87" i="18"/>
  <c r="S87" i="18"/>
  <c r="T87" i="18"/>
  <c r="U87" i="18"/>
  <c r="V87" i="18"/>
  <c r="W87" i="18"/>
  <c r="X87" i="18"/>
  <c r="Y87" i="18"/>
  <c r="Z87" i="18"/>
  <c r="AA87" i="18"/>
  <c r="AB87" i="18"/>
  <c r="AC87" i="18"/>
  <c r="AD87" i="18"/>
  <c r="AE87" i="18"/>
  <c r="AF87" i="18"/>
  <c r="AG87" i="18"/>
  <c r="P88" i="18"/>
  <c r="Q88" i="18"/>
  <c r="R88" i="18"/>
  <c r="S88" i="18"/>
  <c r="T88" i="18"/>
  <c r="U88" i="18"/>
  <c r="V88" i="18"/>
  <c r="W88" i="18"/>
  <c r="X88" i="18"/>
  <c r="Y88" i="18"/>
  <c r="Z88" i="18"/>
  <c r="AA88" i="18"/>
  <c r="AB88" i="18"/>
  <c r="AC88" i="18"/>
  <c r="AD88" i="18"/>
  <c r="AE88" i="18"/>
  <c r="AF88" i="18"/>
  <c r="AG88" i="18"/>
  <c r="P89" i="18"/>
  <c r="Q89" i="18"/>
  <c r="R89" i="18"/>
  <c r="S89" i="18"/>
  <c r="T89" i="18"/>
  <c r="U89" i="18"/>
  <c r="V89" i="18"/>
  <c r="W89" i="18"/>
  <c r="X89" i="18"/>
  <c r="Y89" i="18"/>
  <c r="Z89" i="18"/>
  <c r="AA89" i="18"/>
  <c r="AB89" i="18"/>
  <c r="AC89" i="18"/>
  <c r="AD89" i="18"/>
  <c r="AE89" i="18"/>
  <c r="AF89" i="18"/>
  <c r="AG89" i="18"/>
  <c r="P90" i="18"/>
  <c r="Q90" i="18"/>
  <c r="R90" i="18"/>
  <c r="S90" i="18"/>
  <c r="T90" i="18"/>
  <c r="U90" i="18"/>
  <c r="V90" i="18"/>
  <c r="W90" i="18"/>
  <c r="X90" i="18"/>
  <c r="Y90" i="18"/>
  <c r="Z90" i="18"/>
  <c r="AA90" i="18"/>
  <c r="AB90" i="18"/>
  <c r="AC90" i="18"/>
  <c r="AD90" i="18"/>
  <c r="AE90" i="18"/>
  <c r="AF90" i="18"/>
  <c r="AG90" i="18"/>
  <c r="P91" i="18"/>
  <c r="Q91" i="18"/>
  <c r="R91" i="18"/>
  <c r="S91" i="18"/>
  <c r="T91" i="18"/>
  <c r="U91" i="18"/>
  <c r="V91" i="18"/>
  <c r="W91" i="18"/>
  <c r="X91" i="18"/>
  <c r="Y91" i="18"/>
  <c r="Z91" i="18"/>
  <c r="AA91" i="18"/>
  <c r="AB91" i="18"/>
  <c r="AC91" i="18"/>
  <c r="AD91" i="18"/>
  <c r="AE91" i="18"/>
  <c r="AF91" i="18"/>
  <c r="AG91" i="18"/>
  <c r="P92" i="18"/>
  <c r="Q92" i="18"/>
  <c r="R92" i="18"/>
  <c r="S92" i="18"/>
  <c r="T92" i="18"/>
  <c r="U92" i="18"/>
  <c r="V92" i="18"/>
  <c r="W92" i="18"/>
  <c r="X92" i="18"/>
  <c r="Y92" i="18"/>
  <c r="Z92" i="18"/>
  <c r="AA92" i="18"/>
  <c r="AB92" i="18"/>
  <c r="AC92" i="18"/>
  <c r="AD92" i="18"/>
  <c r="AE92" i="18"/>
  <c r="AF92" i="18"/>
  <c r="AG92" i="18"/>
  <c r="P93" i="18"/>
  <c r="Q93" i="18"/>
  <c r="R93" i="18"/>
  <c r="S93" i="18"/>
  <c r="T93" i="18"/>
  <c r="U93" i="18"/>
  <c r="V93" i="18"/>
  <c r="W93" i="18"/>
  <c r="X93" i="18"/>
  <c r="Y93" i="18"/>
  <c r="Z93" i="18"/>
  <c r="AA93" i="18"/>
  <c r="AB93" i="18"/>
  <c r="AC93" i="18"/>
  <c r="AD93" i="18"/>
  <c r="AE93" i="18"/>
  <c r="AF93" i="18"/>
  <c r="AG93" i="18"/>
  <c r="P94" i="18"/>
  <c r="Q94" i="18"/>
  <c r="R94" i="18"/>
  <c r="S94" i="18"/>
  <c r="T94" i="18"/>
  <c r="U94" i="18"/>
  <c r="V94" i="18"/>
  <c r="W94" i="18"/>
  <c r="X94" i="18"/>
  <c r="Y94" i="18"/>
  <c r="Z94" i="18"/>
  <c r="AA94" i="18"/>
  <c r="AB94" i="18"/>
  <c r="AC94" i="18"/>
  <c r="AD94" i="18"/>
  <c r="AE94" i="18"/>
  <c r="AF94" i="18"/>
  <c r="AG94" i="18"/>
  <c r="P95" i="18"/>
  <c r="Q95" i="18"/>
  <c r="R95" i="18"/>
  <c r="S95" i="18"/>
  <c r="T95" i="18"/>
  <c r="U95" i="18"/>
  <c r="V95" i="18"/>
  <c r="W95" i="18"/>
  <c r="X95" i="18"/>
  <c r="Y95" i="18"/>
  <c r="Z95" i="18"/>
  <c r="AA95" i="18"/>
  <c r="AB95" i="18"/>
  <c r="AC95" i="18"/>
  <c r="AD95" i="18"/>
  <c r="AE95" i="18"/>
  <c r="AF95" i="18"/>
  <c r="AG95" i="18"/>
  <c r="P96" i="18"/>
  <c r="Q96" i="18"/>
  <c r="R96" i="18"/>
  <c r="S96" i="18"/>
  <c r="T96" i="18"/>
  <c r="U96" i="18"/>
  <c r="V96" i="18"/>
  <c r="W96" i="18"/>
  <c r="X96" i="18"/>
  <c r="Y96" i="18"/>
  <c r="Z96" i="18"/>
  <c r="AA96" i="18"/>
  <c r="AB96" i="18"/>
  <c r="AC96" i="18"/>
  <c r="AD96" i="18"/>
  <c r="AE96" i="18"/>
  <c r="AF96" i="18"/>
  <c r="AG96" i="18"/>
  <c r="P97" i="18"/>
  <c r="Q97" i="18"/>
  <c r="R97" i="18"/>
  <c r="S97" i="18"/>
  <c r="T97" i="18"/>
  <c r="U97" i="18"/>
  <c r="V97" i="18"/>
  <c r="W97" i="18"/>
  <c r="X97" i="18"/>
  <c r="Y97" i="18"/>
  <c r="Z97" i="18"/>
  <c r="AA97" i="18"/>
  <c r="AB97" i="18"/>
  <c r="AC97" i="18"/>
  <c r="AD97" i="18"/>
  <c r="AE97" i="18"/>
  <c r="AF97" i="18"/>
  <c r="AG97" i="18"/>
  <c r="P98" i="18"/>
  <c r="Q98" i="18"/>
  <c r="R98" i="18"/>
  <c r="S98" i="18"/>
  <c r="T98" i="18"/>
  <c r="U98" i="18"/>
  <c r="V98" i="18"/>
  <c r="W98" i="18"/>
  <c r="X98" i="18"/>
  <c r="Y98" i="18"/>
  <c r="Z98" i="18"/>
  <c r="AA98" i="18"/>
  <c r="AB98" i="18"/>
  <c r="AC98" i="18"/>
  <c r="AD98" i="18"/>
  <c r="AE98" i="18"/>
  <c r="AF98" i="18"/>
  <c r="AG98" i="18"/>
  <c r="P99" i="18"/>
  <c r="Q99" i="18"/>
  <c r="R99" i="18"/>
  <c r="S99" i="18"/>
  <c r="T99" i="18"/>
  <c r="U99" i="18"/>
  <c r="V99" i="18"/>
  <c r="W99" i="18"/>
  <c r="X99" i="18"/>
  <c r="Y99" i="18"/>
  <c r="Z99" i="18"/>
  <c r="AA99" i="18"/>
  <c r="AB99" i="18"/>
  <c r="AC99" i="18"/>
  <c r="AD99" i="18"/>
  <c r="AE99" i="18"/>
  <c r="AF99" i="18"/>
  <c r="AG99" i="18"/>
  <c r="P100" i="18"/>
  <c r="Q100" i="18"/>
  <c r="R100" i="18"/>
  <c r="S100" i="18"/>
  <c r="T100" i="18"/>
  <c r="U100" i="18"/>
  <c r="V100" i="18"/>
  <c r="W100" i="18"/>
  <c r="X100" i="18"/>
  <c r="Y100" i="18"/>
  <c r="Z100" i="18"/>
  <c r="AA100" i="18"/>
  <c r="AB100" i="18"/>
  <c r="AC100" i="18"/>
  <c r="AD100" i="18"/>
  <c r="AE100" i="18"/>
  <c r="AF100" i="18"/>
  <c r="AG100" i="18"/>
  <c r="P101" i="18"/>
  <c r="Q101" i="18"/>
  <c r="R101" i="18"/>
  <c r="S101" i="18"/>
  <c r="T101" i="18"/>
  <c r="U101" i="18"/>
  <c r="V101" i="18"/>
  <c r="W101" i="18"/>
  <c r="X101" i="18"/>
  <c r="Y101" i="18"/>
  <c r="Z101" i="18"/>
  <c r="AA101" i="18"/>
  <c r="AB101" i="18"/>
  <c r="AC101" i="18"/>
  <c r="AD101" i="18"/>
  <c r="AE101" i="18"/>
  <c r="AF101" i="18"/>
  <c r="AG101" i="18"/>
  <c r="P102" i="18"/>
  <c r="Q102" i="18"/>
  <c r="R102" i="18"/>
  <c r="S102" i="18"/>
  <c r="T102" i="18"/>
  <c r="U102" i="18"/>
  <c r="V102" i="18"/>
  <c r="W102" i="18"/>
  <c r="X102" i="18"/>
  <c r="Y102" i="18"/>
  <c r="Z102" i="18"/>
  <c r="AA102" i="18"/>
  <c r="AB102" i="18"/>
  <c r="AC102" i="18"/>
  <c r="AD102" i="18"/>
  <c r="AE102" i="18"/>
  <c r="AF102" i="18"/>
  <c r="AG102" i="18"/>
  <c r="P103" i="18"/>
  <c r="Q103" i="18"/>
  <c r="R103" i="18"/>
  <c r="S103" i="18"/>
  <c r="T103" i="18"/>
  <c r="U103" i="18"/>
  <c r="V103" i="18"/>
  <c r="W103" i="18"/>
  <c r="X103" i="18"/>
  <c r="Y103" i="18"/>
  <c r="Z103" i="18"/>
  <c r="AA103" i="18"/>
  <c r="AB103" i="18"/>
  <c r="AC103" i="18"/>
  <c r="AD103" i="18"/>
  <c r="AE103" i="18"/>
  <c r="AF103" i="18"/>
  <c r="AG103" i="18"/>
  <c r="P104" i="18"/>
  <c r="Q104" i="18"/>
  <c r="R104" i="18"/>
  <c r="S104" i="18"/>
  <c r="T104" i="18"/>
  <c r="U104" i="18"/>
  <c r="V104" i="18"/>
  <c r="W104" i="18"/>
  <c r="X104" i="18"/>
  <c r="Y104" i="18"/>
  <c r="Z104" i="18"/>
  <c r="AA104" i="18"/>
  <c r="AB104" i="18"/>
  <c r="AC104" i="18"/>
  <c r="AD104" i="18"/>
  <c r="AE104" i="18"/>
  <c r="AF104" i="18"/>
  <c r="AG104" i="18"/>
  <c r="P105" i="18"/>
  <c r="Q105" i="18"/>
  <c r="R105" i="18"/>
  <c r="S105" i="18"/>
  <c r="T105" i="18"/>
  <c r="U105" i="18"/>
  <c r="V105" i="18"/>
  <c r="W105" i="18"/>
  <c r="X105" i="18"/>
  <c r="Y105" i="18"/>
  <c r="Z105" i="18"/>
  <c r="AA105" i="18"/>
  <c r="AB105" i="18"/>
  <c r="AC105" i="18"/>
  <c r="AD105" i="18"/>
  <c r="AE105" i="18"/>
  <c r="AF105" i="18"/>
  <c r="AG105" i="18"/>
  <c r="P106" i="18"/>
  <c r="Q106" i="18"/>
  <c r="R106" i="18"/>
  <c r="S106" i="18"/>
  <c r="T106" i="18"/>
  <c r="U106" i="18"/>
  <c r="V106" i="18"/>
  <c r="W106" i="18"/>
  <c r="X106" i="18"/>
  <c r="Y106" i="18"/>
  <c r="Z106" i="18"/>
  <c r="AA106" i="18"/>
  <c r="AB106" i="18"/>
  <c r="AC106" i="18"/>
  <c r="AD106" i="18"/>
  <c r="AE106" i="18"/>
  <c r="AF106" i="18"/>
  <c r="AG106" i="18"/>
  <c r="P107" i="18"/>
  <c r="Q107" i="18"/>
  <c r="R107" i="18"/>
  <c r="S107" i="18"/>
  <c r="T107" i="18"/>
  <c r="U107" i="18"/>
  <c r="V107" i="18"/>
  <c r="W107" i="18"/>
  <c r="X107" i="18"/>
  <c r="Y107" i="18"/>
  <c r="Z107" i="18"/>
  <c r="AA107" i="18"/>
  <c r="AB107" i="18"/>
  <c r="AC107" i="18"/>
  <c r="AD107" i="18"/>
  <c r="AE107" i="18"/>
  <c r="AF107" i="18"/>
  <c r="AG107" i="18"/>
  <c r="P108" i="18"/>
  <c r="Q108" i="18"/>
  <c r="R108" i="18"/>
  <c r="S108" i="18"/>
  <c r="T108" i="18"/>
  <c r="U108" i="18"/>
  <c r="V108" i="18"/>
  <c r="W108" i="18"/>
  <c r="X108" i="18"/>
  <c r="Y108" i="18"/>
  <c r="Z108" i="18"/>
  <c r="AA108" i="18"/>
  <c r="AB108" i="18"/>
  <c r="AC108" i="18"/>
  <c r="AD108" i="18"/>
  <c r="AE108" i="18"/>
  <c r="AF108" i="18"/>
  <c r="AG108" i="18"/>
  <c r="P109" i="18"/>
  <c r="Q109" i="18"/>
  <c r="R109" i="18"/>
  <c r="S109" i="18"/>
  <c r="T109" i="18"/>
  <c r="U109" i="18"/>
  <c r="V109" i="18"/>
  <c r="W109" i="18"/>
  <c r="X109" i="18"/>
  <c r="Y109" i="18"/>
  <c r="Z109" i="18"/>
  <c r="AA109" i="18"/>
  <c r="AB109" i="18"/>
  <c r="AC109" i="18"/>
  <c r="AD109" i="18"/>
  <c r="AE109" i="18"/>
  <c r="AF109" i="18"/>
  <c r="AG109" i="18"/>
  <c r="P110" i="18"/>
  <c r="Q110" i="18"/>
  <c r="R110" i="18"/>
  <c r="S110" i="18"/>
  <c r="T110" i="18"/>
  <c r="U110" i="18"/>
  <c r="V110" i="18"/>
  <c r="W110" i="18"/>
  <c r="X110" i="18"/>
  <c r="Y110" i="18"/>
  <c r="Z110" i="18"/>
  <c r="AA110" i="18"/>
  <c r="AB110" i="18"/>
  <c r="AC110" i="18"/>
  <c r="AD110" i="18"/>
  <c r="AE110" i="18"/>
  <c r="AF110" i="18"/>
  <c r="AG110" i="18"/>
  <c r="P111" i="18"/>
  <c r="Q111" i="18"/>
  <c r="R111" i="18"/>
  <c r="S111" i="18"/>
  <c r="T111" i="18"/>
  <c r="U111" i="18"/>
  <c r="V111" i="18"/>
  <c r="W111" i="18"/>
  <c r="X111" i="18"/>
  <c r="Y111" i="18"/>
  <c r="Z111" i="18"/>
  <c r="AA111" i="18"/>
  <c r="AB111" i="18"/>
  <c r="AC111" i="18"/>
  <c r="AD111" i="18"/>
  <c r="AE111" i="18"/>
  <c r="AF111" i="18"/>
  <c r="AG111" i="18"/>
  <c r="AJ15" i="7"/>
  <c r="BS15" i="7"/>
  <c r="BT15" i="7"/>
  <c r="EO15" i="7" s="1"/>
  <c r="BU15" i="7"/>
  <c r="BV15" i="7"/>
  <c r="BW15" i="7"/>
  <c r="BX15" i="7"/>
  <c r="BZ15" i="7"/>
  <c r="EN15" i="7" s="1"/>
  <c r="CA15" i="7"/>
  <c r="CB15" i="7"/>
  <c r="CC15" i="7"/>
  <c r="CD15" i="7"/>
  <c r="CE15" i="7"/>
  <c r="CF15" i="7"/>
  <c r="CG15" i="7"/>
  <c r="CH15" i="7"/>
  <c r="CI15" i="7"/>
  <c r="CJ15" i="7"/>
  <c r="CK15" i="7"/>
  <c r="DF15" i="7" s="1"/>
  <c r="CL15" i="7"/>
  <c r="CM15" i="7"/>
  <c r="DH15" i="7" s="1"/>
  <c r="DI15" i="7"/>
  <c r="DJ15" i="7"/>
  <c r="DK15" i="7"/>
  <c r="K5" i="32" s="1"/>
  <c r="DL15" i="7"/>
  <c r="DM15" i="7"/>
  <c r="DN15" i="7"/>
  <c r="L5" i="32" s="1"/>
  <c r="DO15" i="7"/>
  <c r="DP15" i="7"/>
  <c r="DQ15" i="7"/>
  <c r="M5" i="32" s="1"/>
  <c r="DR15" i="7"/>
  <c r="EM15" i="7" l="1"/>
  <c r="DG15" i="7"/>
  <c r="EF15" i="7"/>
  <c r="EC15" i="7"/>
  <c r="DV15" i="7"/>
  <c r="L15" i="7"/>
  <c r="BR15" i="7" s="1"/>
  <c r="DZ15" i="7"/>
  <c r="EA15" i="7"/>
  <c r="DW15" i="7"/>
  <c r="EB15" i="7"/>
  <c r="DX15" i="7"/>
  <c r="Q3" i="27"/>
  <c r="C5" i="32" l="1"/>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4" i="27"/>
  <c r="M4" i="27" l="1"/>
  <c r="J5" i="27"/>
  <c r="J6" i="27" s="1"/>
  <c r="J7" i="27" s="1"/>
  <c r="J8" i="27" s="1"/>
  <c r="J9" i="27" s="1"/>
  <c r="J10" i="27" s="1"/>
  <c r="J11" i="27" s="1"/>
  <c r="J12" i="27" s="1"/>
  <c r="J13" i="27" s="1"/>
  <c r="J14" i="27" s="1"/>
  <c r="J15" i="27" s="1"/>
  <c r="J16" i="27" s="1"/>
  <c r="J17" i="27" s="1"/>
  <c r="J18" i="27" s="1"/>
  <c r="J19" i="27" s="1"/>
  <c r="J20" i="27" s="1"/>
  <c r="J21" i="27" s="1"/>
  <c r="J22" i="27" s="1"/>
  <c r="J23" i="27" s="1"/>
  <c r="J24" i="27" s="1"/>
  <c r="J25" i="27" s="1"/>
  <c r="J26" i="27" s="1"/>
  <c r="J27" i="27" s="1"/>
  <c r="J28" i="27" s="1"/>
  <c r="J29" i="27" s="1"/>
  <c r="J30" i="27" s="1"/>
  <c r="J31" i="27" s="1"/>
  <c r="J32" i="27" s="1"/>
  <c r="J33" i="27" s="1"/>
  <c r="I5" i="27"/>
  <c r="I6" i="27" s="1"/>
  <c r="I7" i="27" s="1"/>
  <c r="I8" i="27" s="1"/>
  <c r="I9" i="27" s="1"/>
  <c r="I10" i="27" s="1"/>
  <c r="I11" i="27" s="1"/>
  <c r="I12" i="27" s="1"/>
  <c r="I13" i="27" s="1"/>
  <c r="I14" i="27" s="1"/>
  <c r="I15" i="27" s="1"/>
  <c r="I16" i="27" s="1"/>
  <c r="I17" i="27" s="1"/>
  <c r="I18" i="27" s="1"/>
  <c r="I19" i="27" s="1"/>
  <c r="I20" i="27" s="1"/>
  <c r="I21" i="27" s="1"/>
  <c r="I22" i="27" s="1"/>
  <c r="I23" i="27" s="1"/>
  <c r="I24" i="27" s="1"/>
  <c r="I25" i="27" s="1"/>
  <c r="I26" i="27" s="1"/>
  <c r="I27" i="27" s="1"/>
  <c r="I28" i="27" s="1"/>
  <c r="I29" i="27" s="1"/>
  <c r="I30" i="27" s="1"/>
  <c r="I31" i="27" s="1"/>
  <c r="I32" i="27" s="1"/>
  <c r="I33" i="27" s="1"/>
  <c r="H5" i="27"/>
  <c r="H6" i="27" s="1"/>
  <c r="H7" i="27" s="1"/>
  <c r="H8" i="27" s="1"/>
  <c r="H9" i="27" s="1"/>
  <c r="H10" i="27" s="1"/>
  <c r="H11" i="27" s="1"/>
  <c r="H12" i="27" s="1"/>
  <c r="H13" i="27" s="1"/>
  <c r="H14" i="27" s="1"/>
  <c r="H15" i="27" s="1"/>
  <c r="H16" i="27" s="1"/>
  <c r="H17" i="27" s="1"/>
  <c r="H18" i="27" s="1"/>
  <c r="H19" i="27" s="1"/>
  <c r="H20" i="27" s="1"/>
  <c r="H21" i="27" s="1"/>
  <c r="H22" i="27" s="1"/>
  <c r="H23" i="27" s="1"/>
  <c r="H24" i="27" s="1"/>
  <c r="H25" i="27" s="1"/>
  <c r="H26" i="27" s="1"/>
  <c r="H27" i="27" s="1"/>
  <c r="H28" i="27" s="1"/>
  <c r="H29" i="27" s="1"/>
  <c r="H30" i="27" s="1"/>
  <c r="H31" i="27" s="1"/>
  <c r="H32" i="27" s="1"/>
  <c r="H33" i="27" s="1"/>
  <c r="G5" i="27"/>
  <c r="G6" i="27" s="1"/>
  <c r="G7" i="27" s="1"/>
  <c r="G8" i="27" s="1"/>
  <c r="G9" i="27" s="1"/>
  <c r="G10" i="27" s="1"/>
  <c r="G11" i="27" s="1"/>
  <c r="G12" i="27" s="1"/>
  <c r="G13" i="27" s="1"/>
  <c r="G14" i="27" s="1"/>
  <c r="G15" i="27" s="1"/>
  <c r="G16" i="27" s="1"/>
  <c r="G17" i="27" s="1"/>
  <c r="G18" i="27" s="1"/>
  <c r="G19" i="27" s="1"/>
  <c r="G20" i="27" s="1"/>
  <c r="G21" i="27" s="1"/>
  <c r="G22" i="27" s="1"/>
  <c r="G23" i="27" s="1"/>
  <c r="G24" i="27" s="1"/>
  <c r="G25" i="27" s="1"/>
  <c r="G26" i="27" s="1"/>
  <c r="G27" i="27" s="1"/>
  <c r="G28" i="27" s="1"/>
  <c r="G29" i="27" s="1"/>
  <c r="G30" i="27" s="1"/>
  <c r="G31" i="27" s="1"/>
  <c r="G32" i="27" s="1"/>
  <c r="G33" i="27" s="1"/>
  <c r="F5" i="27"/>
  <c r="F6" i="27" s="1"/>
  <c r="F7" i="27" s="1"/>
  <c r="F8" i="27" s="1"/>
  <c r="F9" i="27" s="1"/>
  <c r="F10" i="27" s="1"/>
  <c r="F11" i="27" s="1"/>
  <c r="F12" i="27" s="1"/>
  <c r="F13" i="27" s="1"/>
  <c r="F14" i="27" s="1"/>
  <c r="F15" i="27" s="1"/>
  <c r="F16" i="27" s="1"/>
  <c r="F17" i="27" s="1"/>
  <c r="F18" i="27" s="1"/>
  <c r="F19" i="27" s="1"/>
  <c r="F20" i="27" s="1"/>
  <c r="F21" i="27" s="1"/>
  <c r="F22" i="27" s="1"/>
  <c r="F23" i="27" s="1"/>
  <c r="F24" i="27" s="1"/>
  <c r="F25" i="27" s="1"/>
  <c r="F26" i="27" s="1"/>
  <c r="F27" i="27" s="1"/>
  <c r="F28" i="27" s="1"/>
  <c r="F29" i="27" s="1"/>
  <c r="F30" i="27" s="1"/>
  <c r="F31" i="27" s="1"/>
  <c r="F32" i="27" s="1"/>
  <c r="F33" i="27" s="1"/>
  <c r="E5" i="27"/>
  <c r="E6" i="27" s="1"/>
  <c r="E7" i="27" s="1"/>
  <c r="E8" i="27" s="1"/>
  <c r="E9" i="27" s="1"/>
  <c r="E10" i="27" s="1"/>
  <c r="E11" i="27" s="1"/>
  <c r="E12" i="27" s="1"/>
  <c r="E13" i="27" s="1"/>
  <c r="E14" i="27" s="1"/>
  <c r="E15" i="27" s="1"/>
  <c r="E16" i="27" s="1"/>
  <c r="E17" i="27" s="1"/>
  <c r="E18" i="27" s="1"/>
  <c r="E19" i="27" s="1"/>
  <c r="E20" i="27" s="1"/>
  <c r="E21" i="27" s="1"/>
  <c r="E22" i="27" s="1"/>
  <c r="E23" i="27" s="1"/>
  <c r="E24" i="27" s="1"/>
  <c r="E25" i="27" s="1"/>
  <c r="E26" i="27" s="1"/>
  <c r="E27" i="27" s="1"/>
  <c r="E28" i="27" s="1"/>
  <c r="E29" i="27" s="1"/>
  <c r="E30" i="27" s="1"/>
  <c r="E31" i="27" s="1"/>
  <c r="E32" i="27" s="1"/>
  <c r="E33" i="27" s="1"/>
  <c r="D5" i="27"/>
  <c r="D6" i="27" s="1"/>
  <c r="D7" i="27" s="1"/>
  <c r="D8" i="27" s="1"/>
  <c r="D9" i="27" s="1"/>
  <c r="D10" i="27" s="1"/>
  <c r="D11" i="27" s="1"/>
  <c r="D12" i="27" s="1"/>
  <c r="D13" i="27" s="1"/>
  <c r="D14" i="27" s="1"/>
  <c r="D15" i="27" s="1"/>
  <c r="D16" i="27" s="1"/>
  <c r="D17" i="27" s="1"/>
  <c r="D18" i="27" s="1"/>
  <c r="D19" i="27" s="1"/>
  <c r="D20" i="27" s="1"/>
  <c r="D21" i="27" s="1"/>
  <c r="D22" i="27" s="1"/>
  <c r="D23" i="27" s="1"/>
  <c r="D24" i="27" s="1"/>
  <c r="D25" i="27" s="1"/>
  <c r="D26" i="27" s="1"/>
  <c r="D27" i="27" s="1"/>
  <c r="D28" i="27" s="1"/>
  <c r="D29" i="27" s="1"/>
  <c r="D30" i="27" s="1"/>
  <c r="D31" i="27" s="1"/>
  <c r="D32" i="27" s="1"/>
  <c r="D33" i="27" s="1"/>
  <c r="C5" i="27"/>
  <c r="C6" i="27" s="1"/>
  <c r="C7" i="27" s="1"/>
  <c r="C8" i="27" s="1"/>
  <c r="C9" i="27" s="1"/>
  <c r="C10" i="27" s="1"/>
  <c r="C11" i="27" s="1"/>
  <c r="C12" i="27" s="1"/>
  <c r="C13" i="27" s="1"/>
  <c r="C14" i="27" s="1"/>
  <c r="C15" i="27" s="1"/>
  <c r="C16" i="27" s="1"/>
  <c r="C17" i="27" s="1"/>
  <c r="C18" i="27" s="1"/>
  <c r="C19" i="27" s="1"/>
  <c r="C20" i="27" s="1"/>
  <c r="C21" i="27" s="1"/>
  <c r="C22" i="27" s="1"/>
  <c r="C23" i="27" s="1"/>
  <c r="C24" i="27" s="1"/>
  <c r="C25" i="27" s="1"/>
  <c r="C26" i="27" s="1"/>
  <c r="C27" i="27" s="1"/>
  <c r="C28" i="27" s="1"/>
  <c r="C29" i="27" s="1"/>
  <c r="C30" i="27" s="1"/>
  <c r="C31" i="27" s="1"/>
  <c r="C32" i="27" s="1"/>
  <c r="C33" i="27" s="1"/>
  <c r="B5" i="27"/>
  <c r="B6" i="27" s="1"/>
  <c r="B7" i="27" s="1"/>
  <c r="B8" i="27" s="1"/>
  <c r="B9" i="27" s="1"/>
  <c r="B10" i="27" s="1"/>
  <c r="B11" i="27" s="1"/>
  <c r="B12" i="27" s="1"/>
  <c r="B13" i="27" s="1"/>
  <c r="B14" i="27" s="1"/>
  <c r="B15" i="27" s="1"/>
  <c r="B16" i="27" s="1"/>
  <c r="B17" i="27" s="1"/>
  <c r="B18" i="27" s="1"/>
  <c r="B19" i="27" s="1"/>
  <c r="B20" i="27" s="1"/>
  <c r="B21" i="27" s="1"/>
  <c r="B22" i="27" s="1"/>
  <c r="B23" i="27" s="1"/>
  <c r="B24" i="27" s="1"/>
  <c r="B25" i="27" s="1"/>
  <c r="B26" i="27" s="1"/>
  <c r="B27" i="27" s="1"/>
  <c r="B28" i="27" s="1"/>
  <c r="B29" i="27" s="1"/>
  <c r="B30" i="27" s="1"/>
  <c r="B31" i="27" s="1"/>
  <c r="B32" i="27" s="1"/>
  <c r="B33" i="27" s="1"/>
  <c r="M33" i="27" l="1"/>
  <c r="M32" i="27"/>
  <c r="M28" i="27"/>
  <c r="M24" i="27"/>
  <c r="M20" i="27"/>
  <c r="M16" i="27"/>
  <c r="M12" i="27"/>
  <c r="M8" i="27"/>
  <c r="M31" i="27"/>
  <c r="M27" i="27"/>
  <c r="M23" i="27"/>
  <c r="M19" i="27"/>
  <c r="M15" i="27"/>
  <c r="M11" i="27"/>
  <c r="M7" i="27"/>
  <c r="M30" i="27"/>
  <c r="M26" i="27"/>
  <c r="M22" i="27"/>
  <c r="M18" i="27"/>
  <c r="M14" i="27"/>
  <c r="M10" i="27"/>
  <c r="M6" i="27"/>
  <c r="M29" i="27"/>
  <c r="M25" i="27"/>
  <c r="M21" i="27"/>
  <c r="M17" i="27"/>
  <c r="M13" i="27"/>
  <c r="M9" i="27"/>
  <c r="M5" i="27"/>
  <c r="O9" i="26"/>
  <c r="O8" i="26"/>
  <c r="C11" i="26"/>
  <c r="D11" i="26"/>
  <c r="E11" i="26"/>
  <c r="F11" i="26"/>
  <c r="G11" i="26"/>
  <c r="H11" i="26"/>
  <c r="I11" i="26"/>
  <c r="J11" i="26"/>
  <c r="K11" i="26"/>
  <c r="L11" i="26"/>
  <c r="M11" i="26"/>
  <c r="N11" i="26"/>
  <c r="D10" i="26"/>
  <c r="E10" i="26"/>
  <c r="F10" i="26"/>
  <c r="G10" i="26"/>
  <c r="H10" i="26"/>
  <c r="I10" i="26"/>
  <c r="J10" i="26"/>
  <c r="K10" i="26"/>
  <c r="L10" i="26"/>
  <c r="M10" i="26"/>
  <c r="N10" i="26"/>
  <c r="C10" i="26"/>
  <c r="H6" i="25"/>
  <c r="H5" i="25"/>
  <c r="H9" i="25"/>
  <c r="O11" i="26" l="1"/>
  <c r="O10" i="26"/>
  <c r="AH25" i="11"/>
  <c r="AG25" i="11"/>
  <c r="AF25" i="11"/>
  <c r="AH20" i="11"/>
  <c r="AH21" i="11" s="1"/>
  <c r="AG20" i="11"/>
  <c r="AG21" i="11" s="1"/>
  <c r="AF20" i="11"/>
  <c r="AF21" i="11" s="1"/>
  <c r="AH7" i="11"/>
  <c r="AH8" i="11" s="1"/>
  <c r="AH9" i="11" s="1"/>
  <c r="AH10" i="11" s="1"/>
  <c r="AH11" i="11" s="1"/>
  <c r="AH12" i="11" s="1"/>
  <c r="AH13" i="11" s="1"/>
  <c r="AH14" i="11" s="1"/>
  <c r="AH15" i="11" s="1"/>
  <c r="AG7" i="11"/>
  <c r="AG8" i="11" s="1"/>
  <c r="AG9" i="11" s="1"/>
  <c r="AG10" i="11" s="1"/>
  <c r="AG11" i="11" s="1"/>
  <c r="AG12" i="11" s="1"/>
  <c r="AG13" i="11" s="1"/>
  <c r="AG14" i="11" s="1"/>
  <c r="AG15" i="11" s="1"/>
  <c r="AF7" i="11"/>
  <c r="AF8" i="11" s="1"/>
  <c r="AF9" i="11" s="1"/>
  <c r="AF10" i="11" s="1"/>
  <c r="AF11" i="11" s="1"/>
  <c r="AF12" i="11" s="1"/>
  <c r="AF13" i="11" s="1"/>
  <c r="AF14" i="11" s="1"/>
  <c r="AF15" i="11" s="1"/>
  <c r="V25" i="11"/>
  <c r="U25" i="11"/>
  <c r="T25" i="11"/>
  <c r="V20" i="11"/>
  <c r="V21" i="11" s="1"/>
  <c r="U20" i="11"/>
  <c r="U21" i="11" s="1"/>
  <c r="T20" i="11"/>
  <c r="T21" i="11" s="1"/>
  <c r="V7" i="11"/>
  <c r="V8" i="11" s="1"/>
  <c r="V9" i="11" s="1"/>
  <c r="V10" i="11" s="1"/>
  <c r="V11" i="11" s="1"/>
  <c r="V12" i="11" s="1"/>
  <c r="V13" i="11" s="1"/>
  <c r="V14" i="11" s="1"/>
  <c r="V15" i="11" s="1"/>
  <c r="U7" i="11"/>
  <c r="U8" i="11" s="1"/>
  <c r="U9" i="11" s="1"/>
  <c r="U10" i="11" s="1"/>
  <c r="U11" i="11" s="1"/>
  <c r="U12" i="11" s="1"/>
  <c r="U13" i="11" s="1"/>
  <c r="U14" i="11" s="1"/>
  <c r="U15" i="11" s="1"/>
  <c r="T7" i="11"/>
  <c r="T8" i="11" s="1"/>
  <c r="T9" i="11" s="1"/>
  <c r="T10" i="11" s="1"/>
  <c r="T11" i="11" s="1"/>
  <c r="T12" i="11" s="1"/>
  <c r="T13" i="11" s="1"/>
  <c r="T14" i="11" s="1"/>
  <c r="T15" i="11" s="1"/>
  <c r="H13" i="25" l="1"/>
  <c r="H12" i="25"/>
  <c r="H11" i="25"/>
  <c r="H10" i="25"/>
  <c r="H8" i="25"/>
  <c r="B9" i="25" s="1"/>
  <c r="H7" i="25"/>
  <c r="C5" i="25"/>
  <c r="B5" i="25"/>
  <c r="H4" i="25"/>
  <c r="H3" i="25"/>
  <c r="D7" i="35" l="1"/>
  <c r="H7" i="35"/>
  <c r="L7" i="35"/>
  <c r="P7" i="35"/>
  <c r="G8" i="35"/>
  <c r="K8" i="35"/>
  <c r="O8" i="35"/>
  <c r="F9" i="35"/>
  <c r="J9" i="35"/>
  <c r="N9" i="35"/>
  <c r="E10" i="35"/>
  <c r="I10" i="35"/>
  <c r="M10" i="35"/>
  <c r="D11" i="35"/>
  <c r="H11" i="35"/>
  <c r="L11" i="35"/>
  <c r="P11" i="35"/>
  <c r="G12" i="35"/>
  <c r="K12" i="35"/>
  <c r="O12" i="35"/>
  <c r="F13" i="35"/>
  <c r="J13" i="35"/>
  <c r="N13" i="35"/>
  <c r="E14" i="35"/>
  <c r="I14" i="35"/>
  <c r="M14" i="35"/>
  <c r="D15" i="35"/>
  <c r="H15" i="35"/>
  <c r="L15" i="35"/>
  <c r="P15" i="35"/>
  <c r="G16" i="35"/>
  <c r="K16" i="35"/>
  <c r="O16" i="35"/>
  <c r="F17" i="35"/>
  <c r="J17" i="35"/>
  <c r="N17" i="35"/>
  <c r="E18" i="35"/>
  <c r="I18" i="35"/>
  <c r="M18" i="35"/>
  <c r="D19" i="35"/>
  <c r="H19" i="35"/>
  <c r="L19" i="35"/>
  <c r="P19" i="35"/>
  <c r="G20" i="35"/>
  <c r="K20" i="35"/>
  <c r="O20" i="35"/>
  <c r="F21" i="35"/>
  <c r="J21" i="35"/>
  <c r="N21" i="35"/>
  <c r="E22" i="35"/>
  <c r="I22" i="35"/>
  <c r="M22" i="35"/>
  <c r="D23" i="35"/>
  <c r="H23" i="35"/>
  <c r="L23" i="35"/>
  <c r="P23" i="35"/>
  <c r="G24" i="35"/>
  <c r="K24" i="35"/>
  <c r="O24" i="35"/>
  <c r="F25" i="35"/>
  <c r="J25" i="35"/>
  <c r="N25" i="35"/>
  <c r="E26" i="35"/>
  <c r="I26" i="35"/>
  <c r="M26" i="35"/>
  <c r="D27" i="35"/>
  <c r="H27" i="35"/>
  <c r="L27" i="35"/>
  <c r="P27" i="35"/>
  <c r="G28" i="35"/>
  <c r="K28" i="35"/>
  <c r="O28" i="35"/>
  <c r="F29" i="35"/>
  <c r="J29" i="35"/>
  <c r="N29" i="35"/>
  <c r="E30" i="35"/>
  <c r="I30" i="35"/>
  <c r="M30" i="35"/>
  <c r="D31" i="35"/>
  <c r="H31" i="35"/>
  <c r="L31" i="35"/>
  <c r="P31" i="35"/>
  <c r="G32" i="35"/>
  <c r="K32" i="35"/>
  <c r="O32" i="35"/>
  <c r="E7" i="35"/>
  <c r="I7" i="35"/>
  <c r="M7" i="35"/>
  <c r="D8" i="35"/>
  <c r="H8" i="35"/>
  <c r="L8" i="35"/>
  <c r="P8" i="35"/>
  <c r="G9" i="35"/>
  <c r="K9" i="35"/>
  <c r="O9" i="35"/>
  <c r="F10" i="35"/>
  <c r="J10" i="35"/>
  <c r="N10" i="35"/>
  <c r="E11" i="35"/>
  <c r="I11" i="35"/>
  <c r="M11" i="35"/>
  <c r="D12" i="35"/>
  <c r="H12" i="35"/>
  <c r="L12" i="35"/>
  <c r="P12" i="35"/>
  <c r="G13" i="35"/>
  <c r="K13" i="35"/>
  <c r="O13" i="35"/>
  <c r="F14" i="35"/>
  <c r="J14" i="35"/>
  <c r="N14" i="35"/>
  <c r="E15" i="35"/>
  <c r="I15" i="35"/>
  <c r="M15" i="35"/>
  <c r="D16" i="35"/>
  <c r="H16" i="35"/>
  <c r="L16" i="35"/>
  <c r="P16" i="35"/>
  <c r="G17" i="35"/>
  <c r="K17" i="35"/>
  <c r="O17" i="35"/>
  <c r="F18" i="35"/>
  <c r="J18" i="35"/>
  <c r="N18" i="35"/>
  <c r="E19" i="35"/>
  <c r="I19" i="35"/>
  <c r="M19" i="35"/>
  <c r="D20" i="35"/>
  <c r="H20" i="35"/>
  <c r="L20" i="35"/>
  <c r="P20" i="35"/>
  <c r="G21" i="35"/>
  <c r="K21" i="35"/>
  <c r="O21" i="35"/>
  <c r="F22" i="35"/>
  <c r="J22" i="35"/>
  <c r="N22" i="35"/>
  <c r="E23" i="35"/>
  <c r="I23" i="35"/>
  <c r="M23" i="35"/>
  <c r="D24" i="35"/>
  <c r="H24" i="35"/>
  <c r="L24" i="35"/>
  <c r="P24" i="35"/>
  <c r="G25" i="35"/>
  <c r="K25" i="35"/>
  <c r="O25" i="35"/>
  <c r="F26" i="35"/>
  <c r="J26" i="35"/>
  <c r="N26" i="35"/>
  <c r="E27" i="35"/>
  <c r="I27" i="35"/>
  <c r="M27" i="35"/>
  <c r="D28" i="35"/>
  <c r="H28" i="35"/>
  <c r="L28" i="35"/>
  <c r="P28" i="35"/>
  <c r="G29" i="35"/>
  <c r="K29" i="35"/>
  <c r="O29" i="35"/>
  <c r="F30" i="35"/>
  <c r="J30" i="35"/>
  <c r="N30" i="35"/>
  <c r="E31" i="35"/>
  <c r="I31" i="35"/>
  <c r="M31" i="35"/>
  <c r="D32" i="35"/>
  <c r="H32" i="35"/>
  <c r="L32" i="35"/>
  <c r="P32" i="35"/>
  <c r="F7" i="35"/>
  <c r="J7" i="35"/>
  <c r="N7" i="35"/>
  <c r="E8" i="35"/>
  <c r="I8" i="35"/>
  <c r="M8" i="35"/>
  <c r="D9" i="35"/>
  <c r="H9" i="35"/>
  <c r="L9" i="35"/>
  <c r="P9" i="35"/>
  <c r="G10" i="35"/>
  <c r="K10" i="35"/>
  <c r="O10" i="35"/>
  <c r="F11" i="35"/>
  <c r="J11" i="35"/>
  <c r="N11" i="35"/>
  <c r="E12" i="35"/>
  <c r="I12" i="35"/>
  <c r="M12" i="35"/>
  <c r="D13" i="35"/>
  <c r="H13" i="35"/>
  <c r="L13" i="35"/>
  <c r="P13" i="35"/>
  <c r="G14" i="35"/>
  <c r="K14" i="35"/>
  <c r="O14" i="35"/>
  <c r="F15" i="35"/>
  <c r="J15" i="35"/>
  <c r="N15" i="35"/>
  <c r="E16" i="35"/>
  <c r="I16" i="35"/>
  <c r="M16" i="35"/>
  <c r="D17" i="35"/>
  <c r="H17" i="35"/>
  <c r="L17" i="35"/>
  <c r="P17" i="35"/>
  <c r="G18" i="35"/>
  <c r="K18" i="35"/>
  <c r="O18" i="35"/>
  <c r="F19" i="35"/>
  <c r="J19" i="35"/>
  <c r="N19" i="35"/>
  <c r="E20" i="35"/>
  <c r="I20" i="35"/>
  <c r="M20" i="35"/>
  <c r="D21" i="35"/>
  <c r="H21" i="35"/>
  <c r="L21" i="35"/>
  <c r="P21" i="35"/>
  <c r="G22" i="35"/>
  <c r="K22" i="35"/>
  <c r="O22" i="35"/>
  <c r="F23" i="35"/>
  <c r="J23" i="35"/>
  <c r="N23" i="35"/>
  <c r="E24" i="35"/>
  <c r="I24" i="35"/>
  <c r="M24" i="35"/>
  <c r="D25" i="35"/>
  <c r="H25" i="35"/>
  <c r="L25" i="35"/>
  <c r="P25" i="35"/>
  <c r="G26" i="35"/>
  <c r="K26" i="35"/>
  <c r="O26" i="35"/>
  <c r="F27" i="35"/>
  <c r="J27" i="35"/>
  <c r="N27" i="35"/>
  <c r="E28" i="35"/>
  <c r="I28" i="35"/>
  <c r="M28" i="35"/>
  <c r="D29" i="35"/>
  <c r="H29" i="35"/>
  <c r="L29" i="35"/>
  <c r="P29" i="35"/>
  <c r="G30" i="35"/>
  <c r="K30" i="35"/>
  <c r="O30" i="35"/>
  <c r="F31" i="35"/>
  <c r="J31" i="35"/>
  <c r="N31" i="35"/>
  <c r="E32" i="35"/>
  <c r="I32" i="35"/>
  <c r="M32" i="35"/>
  <c r="D33" i="35"/>
  <c r="H33" i="35"/>
  <c r="G7" i="35"/>
  <c r="K7" i="35"/>
  <c r="N8" i="35"/>
  <c r="D10" i="35"/>
  <c r="G11" i="35"/>
  <c r="J12" i="35"/>
  <c r="M13" i="35"/>
  <c r="P14" i="35"/>
  <c r="F16" i="35"/>
  <c r="I17" i="35"/>
  <c r="L18" i="35"/>
  <c r="O19" i="35"/>
  <c r="E21" i="35"/>
  <c r="H22" i="35"/>
  <c r="K23" i="35"/>
  <c r="N24" i="35"/>
  <c r="D26" i="35"/>
  <c r="G27" i="35"/>
  <c r="J28" i="35"/>
  <c r="M29" i="35"/>
  <c r="P30" i="35"/>
  <c r="F32" i="35"/>
  <c r="F33" i="35"/>
  <c r="K33" i="35"/>
  <c r="O33" i="35"/>
  <c r="F34" i="35"/>
  <c r="J34" i="35"/>
  <c r="N34" i="35"/>
  <c r="E35" i="35"/>
  <c r="I35" i="35"/>
  <c r="M35" i="35"/>
  <c r="D36" i="35"/>
  <c r="H36" i="35"/>
  <c r="L36" i="35"/>
  <c r="P36" i="35"/>
  <c r="G37" i="35"/>
  <c r="K37" i="35"/>
  <c r="O37" i="35"/>
  <c r="F38" i="35"/>
  <c r="J38" i="35"/>
  <c r="N38" i="35"/>
  <c r="E39" i="35"/>
  <c r="I39" i="35"/>
  <c r="M39" i="35"/>
  <c r="D40" i="35"/>
  <c r="H40" i="35"/>
  <c r="L40" i="35"/>
  <c r="P40" i="35"/>
  <c r="G41" i="35"/>
  <c r="K41" i="35"/>
  <c r="O41" i="35"/>
  <c r="F42" i="35"/>
  <c r="J42" i="35"/>
  <c r="N42" i="35"/>
  <c r="E43" i="35"/>
  <c r="I43" i="35"/>
  <c r="M43" i="35"/>
  <c r="D44" i="35"/>
  <c r="H44" i="35"/>
  <c r="L44" i="35"/>
  <c r="P44" i="35"/>
  <c r="G45" i="35"/>
  <c r="K45" i="35"/>
  <c r="O45" i="35"/>
  <c r="F46" i="35"/>
  <c r="J46" i="35"/>
  <c r="N46" i="35"/>
  <c r="E47" i="35"/>
  <c r="I47" i="35"/>
  <c r="M47" i="35"/>
  <c r="D48" i="35"/>
  <c r="H48" i="35"/>
  <c r="L48" i="35"/>
  <c r="P48" i="35"/>
  <c r="G49" i="35"/>
  <c r="K49" i="35"/>
  <c r="O49" i="35"/>
  <c r="F50" i="35"/>
  <c r="J50" i="35"/>
  <c r="N50" i="35"/>
  <c r="E51" i="35"/>
  <c r="I51" i="35"/>
  <c r="M51" i="35"/>
  <c r="O7" i="35"/>
  <c r="E9" i="35"/>
  <c r="H10" i="35"/>
  <c r="K11" i="35"/>
  <c r="N12" i="35"/>
  <c r="D14" i="35"/>
  <c r="G15" i="35"/>
  <c r="J16" i="35"/>
  <c r="M17" i="35"/>
  <c r="P18" i="35"/>
  <c r="F20" i="35"/>
  <c r="I21" i="35"/>
  <c r="L22" i="35"/>
  <c r="O23" i="35"/>
  <c r="E25" i="35"/>
  <c r="H26" i="35"/>
  <c r="K27" i="35"/>
  <c r="N28" i="35"/>
  <c r="D30" i="35"/>
  <c r="G31" i="35"/>
  <c r="J32" i="35"/>
  <c r="G33" i="35"/>
  <c r="L33" i="35"/>
  <c r="P33" i="35"/>
  <c r="G34" i="35"/>
  <c r="K34" i="35"/>
  <c r="O34" i="35"/>
  <c r="F35" i="35"/>
  <c r="J35" i="35"/>
  <c r="N35" i="35"/>
  <c r="E36" i="35"/>
  <c r="I36" i="35"/>
  <c r="M36" i="35"/>
  <c r="D37" i="35"/>
  <c r="H37" i="35"/>
  <c r="L37" i="35"/>
  <c r="P37" i="35"/>
  <c r="G38" i="35"/>
  <c r="K38" i="35"/>
  <c r="O38" i="35"/>
  <c r="F39" i="35"/>
  <c r="J39" i="35"/>
  <c r="N39" i="35"/>
  <c r="E40" i="35"/>
  <c r="I40" i="35"/>
  <c r="M40" i="35"/>
  <c r="D41" i="35"/>
  <c r="H41" i="35"/>
  <c r="L41" i="35"/>
  <c r="P41" i="35"/>
  <c r="G42" i="35"/>
  <c r="K42" i="35"/>
  <c r="O42" i="35"/>
  <c r="F43" i="35"/>
  <c r="J43" i="35"/>
  <c r="N43" i="35"/>
  <c r="E44" i="35"/>
  <c r="I44" i="35"/>
  <c r="M44" i="35"/>
  <c r="D45" i="35"/>
  <c r="H45" i="35"/>
  <c r="L45" i="35"/>
  <c r="P45" i="35"/>
  <c r="G46" i="35"/>
  <c r="K46" i="35"/>
  <c r="O46" i="35"/>
  <c r="F47" i="35"/>
  <c r="J47" i="35"/>
  <c r="N47" i="35"/>
  <c r="E48" i="35"/>
  <c r="I48" i="35"/>
  <c r="M48" i="35"/>
  <c r="D49" i="35"/>
  <c r="H49" i="35"/>
  <c r="L49" i="35"/>
  <c r="P49" i="35"/>
  <c r="G50" i="35"/>
  <c r="K50" i="35"/>
  <c r="O50" i="35"/>
  <c r="F51" i="35"/>
  <c r="J51" i="35"/>
  <c r="N51" i="35"/>
  <c r="F8" i="35"/>
  <c r="I9" i="35"/>
  <c r="L10" i="35"/>
  <c r="O11" i="35"/>
  <c r="E13" i="35"/>
  <c r="H14" i="35"/>
  <c r="K15" i="35"/>
  <c r="N16" i="35"/>
  <c r="D18" i="35"/>
  <c r="G19" i="35"/>
  <c r="J20" i="35"/>
  <c r="M21" i="35"/>
  <c r="P22" i="35"/>
  <c r="F24" i="35"/>
  <c r="I25" i="35"/>
  <c r="L26" i="35"/>
  <c r="O27" i="35"/>
  <c r="E29" i="35"/>
  <c r="H30" i="35"/>
  <c r="K31" i="35"/>
  <c r="N32" i="35"/>
  <c r="I33" i="35"/>
  <c r="M33" i="35"/>
  <c r="D34" i="35"/>
  <c r="H34" i="35"/>
  <c r="L34" i="35"/>
  <c r="P34" i="35"/>
  <c r="G35" i="35"/>
  <c r="K35" i="35"/>
  <c r="O35" i="35"/>
  <c r="F36" i="35"/>
  <c r="J36" i="35"/>
  <c r="N36" i="35"/>
  <c r="E37" i="35"/>
  <c r="I37" i="35"/>
  <c r="M37" i="35"/>
  <c r="D38" i="35"/>
  <c r="H38" i="35"/>
  <c r="L38" i="35"/>
  <c r="P38" i="35"/>
  <c r="G39" i="35"/>
  <c r="K39" i="35"/>
  <c r="O39" i="35"/>
  <c r="F40" i="35"/>
  <c r="J40" i="35"/>
  <c r="N40" i="35"/>
  <c r="E41" i="35"/>
  <c r="I41" i="35"/>
  <c r="M41" i="35"/>
  <c r="D42" i="35"/>
  <c r="H42" i="35"/>
  <c r="L42" i="35"/>
  <c r="P42" i="35"/>
  <c r="G43" i="35"/>
  <c r="K43" i="35"/>
  <c r="O43" i="35"/>
  <c r="F44" i="35"/>
  <c r="J44" i="35"/>
  <c r="N44" i="35"/>
  <c r="E45" i="35"/>
  <c r="I45" i="35"/>
  <c r="M45" i="35"/>
  <c r="D46" i="35"/>
  <c r="H46" i="35"/>
  <c r="L46" i="35"/>
  <c r="P46" i="35"/>
  <c r="G47" i="35"/>
  <c r="K47" i="35"/>
  <c r="O47" i="35"/>
  <c r="F48" i="35"/>
  <c r="J48" i="35"/>
  <c r="N48" i="35"/>
  <c r="E49" i="35"/>
  <c r="I49" i="35"/>
  <c r="M49" i="35"/>
  <c r="D50" i="35"/>
  <c r="H50" i="35"/>
  <c r="L50" i="35"/>
  <c r="P50" i="35"/>
  <c r="G51" i="35"/>
  <c r="K51" i="35"/>
  <c r="O51" i="35"/>
  <c r="F52" i="35"/>
  <c r="J52" i="35"/>
  <c r="N52" i="35"/>
  <c r="J8" i="35"/>
  <c r="M9" i="35"/>
  <c r="P10" i="35"/>
  <c r="F12" i="35"/>
  <c r="I13" i="35"/>
  <c r="L14" i="35"/>
  <c r="O15" i="35"/>
  <c r="E17" i="35"/>
  <c r="H18" i="35"/>
  <c r="K19" i="35"/>
  <c r="N20" i="35"/>
  <c r="D22" i="35"/>
  <c r="G23" i="35"/>
  <c r="J24" i="35"/>
  <c r="M25" i="35"/>
  <c r="P26" i="35"/>
  <c r="F28" i="35"/>
  <c r="I29" i="35"/>
  <c r="L30" i="35"/>
  <c r="O31" i="35"/>
  <c r="E33" i="35"/>
  <c r="J33" i="35"/>
  <c r="N33" i="35"/>
  <c r="E34" i="35"/>
  <c r="I34" i="35"/>
  <c r="M34" i="35"/>
  <c r="D35" i="35"/>
  <c r="H35" i="35"/>
  <c r="L35" i="35"/>
  <c r="P35" i="35"/>
  <c r="G36" i="35"/>
  <c r="K36" i="35"/>
  <c r="O36" i="35"/>
  <c r="F37" i="35"/>
  <c r="J37" i="35"/>
  <c r="N37" i="35"/>
  <c r="E38" i="35"/>
  <c r="I38" i="35"/>
  <c r="M38" i="35"/>
  <c r="D39" i="35"/>
  <c r="H39" i="35"/>
  <c r="L39" i="35"/>
  <c r="P39" i="35"/>
  <c r="G40" i="35"/>
  <c r="K40" i="35"/>
  <c r="O40" i="35"/>
  <c r="F41" i="35"/>
  <c r="J41" i="35"/>
  <c r="N41" i="35"/>
  <c r="E42" i="35"/>
  <c r="I42" i="35"/>
  <c r="M42" i="35"/>
  <c r="D43" i="35"/>
  <c r="H43" i="35"/>
  <c r="L43" i="35"/>
  <c r="P43" i="35"/>
  <c r="G44" i="35"/>
  <c r="K44" i="35"/>
  <c r="O44" i="35"/>
  <c r="F45" i="35"/>
  <c r="J45" i="35"/>
  <c r="N45" i="35"/>
  <c r="E46" i="35"/>
  <c r="I46" i="35"/>
  <c r="M46" i="35"/>
  <c r="D47" i="35"/>
  <c r="H47" i="35"/>
  <c r="L47" i="35"/>
  <c r="P47" i="35"/>
  <c r="G48" i="35"/>
  <c r="K48" i="35"/>
  <c r="O48" i="35"/>
  <c r="F49" i="35"/>
  <c r="J49" i="35"/>
  <c r="N49" i="35"/>
  <c r="E50" i="35"/>
  <c r="I50" i="35"/>
  <c r="M50" i="35"/>
  <c r="D51" i="35"/>
  <c r="H51" i="35"/>
  <c r="L51" i="35"/>
  <c r="P51" i="35"/>
  <c r="G52" i="35"/>
  <c r="K52" i="35"/>
  <c r="O52" i="35"/>
  <c r="D52" i="35"/>
  <c r="L52" i="35"/>
  <c r="E53" i="35"/>
  <c r="I53" i="35"/>
  <c r="M53" i="35"/>
  <c r="D54" i="35"/>
  <c r="H54" i="35"/>
  <c r="L54" i="35"/>
  <c r="P54" i="35"/>
  <c r="G55" i="35"/>
  <c r="K55" i="35"/>
  <c r="O55" i="35"/>
  <c r="F56" i="35"/>
  <c r="J56" i="35"/>
  <c r="N56" i="35"/>
  <c r="E57" i="35"/>
  <c r="I57" i="35"/>
  <c r="M57" i="35"/>
  <c r="D58" i="35"/>
  <c r="H58" i="35"/>
  <c r="L58" i="35"/>
  <c r="P58" i="35"/>
  <c r="G59" i="35"/>
  <c r="K59" i="35"/>
  <c r="O59" i="35"/>
  <c r="F60" i="35"/>
  <c r="J60" i="35"/>
  <c r="N60" i="35"/>
  <c r="E61" i="35"/>
  <c r="I61" i="35"/>
  <c r="M61" i="35"/>
  <c r="D62" i="35"/>
  <c r="H62" i="35"/>
  <c r="L62" i="35"/>
  <c r="P62" i="35"/>
  <c r="G63" i="35"/>
  <c r="K63" i="35"/>
  <c r="O63" i="35"/>
  <c r="F64" i="35"/>
  <c r="J64" i="35"/>
  <c r="N64" i="35"/>
  <c r="E65" i="35"/>
  <c r="I65" i="35"/>
  <c r="M65" i="35"/>
  <c r="D66" i="35"/>
  <c r="H66" i="35"/>
  <c r="L66" i="35"/>
  <c r="P66" i="35"/>
  <c r="G67" i="35"/>
  <c r="K67" i="35"/>
  <c r="O67" i="35"/>
  <c r="F68" i="35"/>
  <c r="J68" i="35"/>
  <c r="N68" i="35"/>
  <c r="E69" i="35"/>
  <c r="I69" i="35"/>
  <c r="M69" i="35"/>
  <c r="D70" i="35"/>
  <c r="E52" i="35"/>
  <c r="M52" i="35"/>
  <c r="F53" i="35"/>
  <c r="J53" i="35"/>
  <c r="N53" i="35"/>
  <c r="E54" i="35"/>
  <c r="I54" i="35"/>
  <c r="M54" i="35"/>
  <c r="D55" i="35"/>
  <c r="H55" i="35"/>
  <c r="L55" i="35"/>
  <c r="P55" i="35"/>
  <c r="G56" i="35"/>
  <c r="K56" i="35"/>
  <c r="O56" i="35"/>
  <c r="F57" i="35"/>
  <c r="J57" i="35"/>
  <c r="N57" i="35"/>
  <c r="E58" i="35"/>
  <c r="I58" i="35"/>
  <c r="M58" i="35"/>
  <c r="D59" i="35"/>
  <c r="H59" i="35"/>
  <c r="L59" i="35"/>
  <c r="P59" i="35"/>
  <c r="G60" i="35"/>
  <c r="K60" i="35"/>
  <c r="O60" i="35"/>
  <c r="F61" i="35"/>
  <c r="J61" i="35"/>
  <c r="N61" i="35"/>
  <c r="E62" i="35"/>
  <c r="I62" i="35"/>
  <c r="M62" i="35"/>
  <c r="D63" i="35"/>
  <c r="H63" i="35"/>
  <c r="L63" i="35"/>
  <c r="P63" i="35"/>
  <c r="G64" i="35"/>
  <c r="K64" i="35"/>
  <c r="O64" i="35"/>
  <c r="F65" i="35"/>
  <c r="J65" i="35"/>
  <c r="N65" i="35"/>
  <c r="E66" i="35"/>
  <c r="I66" i="35"/>
  <c r="M66" i="35"/>
  <c r="D67" i="35"/>
  <c r="H67" i="35"/>
  <c r="L67" i="35"/>
  <c r="P67" i="35"/>
  <c r="G68" i="35"/>
  <c r="K68" i="35"/>
  <c r="O68" i="35"/>
  <c r="F69" i="35"/>
  <c r="J69" i="35"/>
  <c r="N69" i="35"/>
  <c r="E70" i="35"/>
  <c r="I70" i="35"/>
  <c r="M70" i="35"/>
  <c r="D71" i="35"/>
  <c r="H71" i="35"/>
  <c r="L71" i="35"/>
  <c r="P71" i="35"/>
  <c r="G72" i="35"/>
  <c r="K72" i="35"/>
  <c r="O72" i="35"/>
  <c r="F73" i="35"/>
  <c r="J73" i="35"/>
  <c r="N73" i="35"/>
  <c r="E74" i="35"/>
  <c r="I74" i="35"/>
  <c r="M74" i="35"/>
  <c r="D75" i="35"/>
  <c r="H75" i="35"/>
  <c r="L75" i="35"/>
  <c r="P75" i="35"/>
  <c r="G76" i="35"/>
  <c r="K76" i="35"/>
  <c r="O76" i="35"/>
  <c r="F77" i="35"/>
  <c r="J77" i="35"/>
  <c r="N77" i="35"/>
  <c r="E78" i="35"/>
  <c r="I78" i="35"/>
  <c r="H52" i="35"/>
  <c r="P52" i="35"/>
  <c r="G53" i="35"/>
  <c r="K53" i="35"/>
  <c r="O53" i="35"/>
  <c r="F54" i="35"/>
  <c r="J54" i="35"/>
  <c r="N54" i="35"/>
  <c r="E55" i="35"/>
  <c r="I55" i="35"/>
  <c r="M55" i="35"/>
  <c r="D56" i="35"/>
  <c r="H56" i="35"/>
  <c r="L56" i="35"/>
  <c r="P56" i="35"/>
  <c r="G57" i="35"/>
  <c r="K57" i="35"/>
  <c r="O57" i="35"/>
  <c r="F58" i="35"/>
  <c r="J58" i="35"/>
  <c r="N58" i="35"/>
  <c r="E59" i="35"/>
  <c r="I59" i="35"/>
  <c r="M59" i="35"/>
  <c r="D60" i="35"/>
  <c r="H60" i="35"/>
  <c r="L60" i="35"/>
  <c r="P60" i="35"/>
  <c r="G61" i="35"/>
  <c r="K61" i="35"/>
  <c r="O61" i="35"/>
  <c r="F62" i="35"/>
  <c r="J62" i="35"/>
  <c r="N62" i="35"/>
  <c r="E63" i="35"/>
  <c r="I63" i="35"/>
  <c r="M63" i="35"/>
  <c r="D64" i="35"/>
  <c r="H64" i="35"/>
  <c r="L64" i="35"/>
  <c r="P64" i="35"/>
  <c r="G65" i="35"/>
  <c r="K65" i="35"/>
  <c r="O65" i="35"/>
  <c r="F66" i="35"/>
  <c r="J66" i="35"/>
  <c r="N66" i="35"/>
  <c r="E67" i="35"/>
  <c r="I67" i="35"/>
  <c r="M67" i="35"/>
  <c r="D68" i="35"/>
  <c r="H68" i="35"/>
  <c r="L68" i="35"/>
  <c r="P68" i="35"/>
  <c r="G69" i="35"/>
  <c r="K69" i="35"/>
  <c r="O69" i="35"/>
  <c r="F70" i="35"/>
  <c r="J70" i="35"/>
  <c r="N70" i="35"/>
  <c r="E71" i="35"/>
  <c r="I71" i="35"/>
  <c r="M71" i="35"/>
  <c r="D72" i="35"/>
  <c r="H72" i="35"/>
  <c r="L72" i="35"/>
  <c r="P72" i="35"/>
  <c r="G73" i="35"/>
  <c r="K73" i="35"/>
  <c r="O73" i="35"/>
  <c r="F74" i="35"/>
  <c r="J74" i="35"/>
  <c r="N74" i="35"/>
  <c r="E75" i="35"/>
  <c r="I75" i="35"/>
  <c r="M75" i="35"/>
  <c r="D76" i="35"/>
  <c r="H76" i="35"/>
  <c r="L76" i="35"/>
  <c r="P76" i="35"/>
  <c r="G77" i="35"/>
  <c r="K77" i="35"/>
  <c r="O77" i="35"/>
  <c r="F78" i="35"/>
  <c r="J78" i="35"/>
  <c r="N78" i="35"/>
  <c r="E79" i="35"/>
  <c r="I79" i="35"/>
  <c r="M79" i="35"/>
  <c r="C8" i="35"/>
  <c r="C12" i="35"/>
  <c r="C16" i="35"/>
  <c r="C20" i="35"/>
  <c r="C24" i="35"/>
  <c r="C28" i="35"/>
  <c r="C32" i="35"/>
  <c r="C36" i="35"/>
  <c r="C40" i="35"/>
  <c r="C44" i="35"/>
  <c r="I52" i="35"/>
  <c r="D53" i="35"/>
  <c r="H53" i="35"/>
  <c r="L53" i="35"/>
  <c r="P53" i="35"/>
  <c r="G54" i="35"/>
  <c r="K54" i="35"/>
  <c r="O54" i="35"/>
  <c r="F55" i="35"/>
  <c r="J55" i="35"/>
  <c r="N55" i="35"/>
  <c r="E56" i="35"/>
  <c r="I56" i="35"/>
  <c r="M56" i="35"/>
  <c r="D57" i="35"/>
  <c r="H57" i="35"/>
  <c r="L57" i="35"/>
  <c r="P57" i="35"/>
  <c r="G58" i="35"/>
  <c r="K58" i="35"/>
  <c r="O58" i="35"/>
  <c r="F59" i="35"/>
  <c r="J59" i="35"/>
  <c r="N59" i="35"/>
  <c r="E60" i="35"/>
  <c r="I60" i="35"/>
  <c r="M60" i="35"/>
  <c r="D61" i="35"/>
  <c r="H61" i="35"/>
  <c r="L61" i="35"/>
  <c r="P61" i="35"/>
  <c r="G62" i="35"/>
  <c r="K62" i="35"/>
  <c r="O62" i="35"/>
  <c r="F63" i="35"/>
  <c r="J63" i="35"/>
  <c r="N63" i="35"/>
  <c r="E64" i="35"/>
  <c r="I64" i="35"/>
  <c r="M64" i="35"/>
  <c r="D65" i="35"/>
  <c r="H65" i="35"/>
  <c r="L65" i="35"/>
  <c r="P65" i="35"/>
  <c r="G66" i="35"/>
  <c r="K66" i="35"/>
  <c r="O66" i="35"/>
  <c r="F67" i="35"/>
  <c r="J67" i="35"/>
  <c r="N67" i="35"/>
  <c r="E68" i="35"/>
  <c r="I68" i="35"/>
  <c r="M68" i="35"/>
  <c r="D69" i="35"/>
  <c r="H69" i="35"/>
  <c r="L69" i="35"/>
  <c r="P69" i="35"/>
  <c r="G70" i="35"/>
  <c r="K70" i="35"/>
  <c r="O70" i="35"/>
  <c r="F71" i="35"/>
  <c r="J71" i="35"/>
  <c r="N71" i="35"/>
  <c r="E72" i="35"/>
  <c r="I72" i="35"/>
  <c r="M72" i="35"/>
  <c r="D73" i="35"/>
  <c r="H73" i="35"/>
  <c r="L73" i="35"/>
  <c r="P73" i="35"/>
  <c r="G74" i="35"/>
  <c r="K74" i="35"/>
  <c r="O74" i="35"/>
  <c r="F75" i="35"/>
  <c r="J75" i="35"/>
  <c r="N75" i="35"/>
  <c r="E76" i="35"/>
  <c r="I76" i="35"/>
  <c r="M76" i="35"/>
  <c r="D77" i="35"/>
  <c r="H77" i="35"/>
  <c r="L77" i="35"/>
  <c r="P77" i="35"/>
  <c r="G78" i="35"/>
  <c r="K78" i="35"/>
  <c r="O78" i="35"/>
  <c r="F79" i="35"/>
  <c r="J79" i="35"/>
  <c r="N79" i="35"/>
  <c r="C9" i="35"/>
  <c r="C13" i="35"/>
  <c r="C17" i="35"/>
  <c r="C21" i="35"/>
  <c r="C25" i="35"/>
  <c r="H70" i="35"/>
  <c r="K71" i="35"/>
  <c r="N72" i="35"/>
  <c r="D74" i="35"/>
  <c r="G75" i="35"/>
  <c r="J76" i="35"/>
  <c r="M77" i="35"/>
  <c r="M78" i="35"/>
  <c r="H79" i="35"/>
  <c r="P79" i="35"/>
  <c r="C15" i="35"/>
  <c r="C23" i="35"/>
  <c r="C30" i="35"/>
  <c r="C35" i="35"/>
  <c r="C41" i="35"/>
  <c r="C46" i="35"/>
  <c r="C50" i="35"/>
  <c r="C54" i="35"/>
  <c r="C58" i="35"/>
  <c r="C62" i="35"/>
  <c r="C70" i="35"/>
  <c r="C78" i="35"/>
  <c r="L70" i="35"/>
  <c r="O71" i="35"/>
  <c r="E73" i="35"/>
  <c r="H74" i="35"/>
  <c r="K75" i="35"/>
  <c r="N76" i="35"/>
  <c r="D78" i="35"/>
  <c r="P78" i="35"/>
  <c r="K79" i="35"/>
  <c r="C10" i="35"/>
  <c r="C18" i="35"/>
  <c r="C26" i="35"/>
  <c r="C31" i="35"/>
  <c r="C37" i="35"/>
  <c r="C42" i="35"/>
  <c r="C47" i="35"/>
  <c r="C51" i="35"/>
  <c r="C55" i="35"/>
  <c r="C59" i="35"/>
  <c r="C63" i="35"/>
  <c r="C67" i="35"/>
  <c r="C71" i="35"/>
  <c r="C75" i="35"/>
  <c r="C79" i="35"/>
  <c r="C72" i="35"/>
  <c r="C7" i="35"/>
  <c r="P70" i="35"/>
  <c r="F72" i="35"/>
  <c r="I73" i="35"/>
  <c r="L74" i="35"/>
  <c r="O75" i="35"/>
  <c r="E77" i="35"/>
  <c r="H78" i="35"/>
  <c r="D79" i="35"/>
  <c r="L79" i="35"/>
  <c r="C11" i="35"/>
  <c r="C19" i="35"/>
  <c r="C27" i="35"/>
  <c r="C33" i="35"/>
  <c r="C38" i="35"/>
  <c r="C43" i="35"/>
  <c r="C48" i="35"/>
  <c r="C52" i="35"/>
  <c r="C56" i="35"/>
  <c r="C60" i="35"/>
  <c r="C64" i="35"/>
  <c r="C68" i="35"/>
  <c r="C76" i="35"/>
  <c r="G71" i="35"/>
  <c r="J72" i="35"/>
  <c r="M73" i="35"/>
  <c r="P74" i="35"/>
  <c r="F76" i="35"/>
  <c r="I77" i="35"/>
  <c r="L78" i="35"/>
  <c r="G79" i="35"/>
  <c r="O79" i="35"/>
  <c r="C14" i="35"/>
  <c r="C22" i="35"/>
  <c r="C29" i="35"/>
  <c r="C34" i="35"/>
  <c r="C39" i="35"/>
  <c r="C45" i="35"/>
  <c r="C49" i="35"/>
  <c r="C53" i="35"/>
  <c r="C57" i="35"/>
  <c r="C61" i="35"/>
  <c r="C65" i="35"/>
  <c r="C69" i="35"/>
  <c r="C73" i="35"/>
  <c r="C77" i="35"/>
  <c r="C66" i="35"/>
  <c r="C74" i="35"/>
  <c r="D6" i="25"/>
  <c r="B10" i="25" s="1"/>
  <c r="P8" i="24"/>
  <c r="P4" i="24"/>
  <c r="E6" i="24"/>
  <c r="E7" i="24" s="1"/>
  <c r="C18" i="24"/>
  <c r="D56" i="23"/>
  <c r="E56" i="23"/>
  <c r="F56" i="23"/>
  <c r="G56" i="23"/>
  <c r="H56" i="23"/>
  <c r="I56" i="23"/>
  <c r="J56" i="23"/>
  <c r="K56" i="23"/>
  <c r="L56" i="23"/>
  <c r="M56" i="23"/>
  <c r="N56" i="23"/>
  <c r="O56" i="23"/>
  <c r="C56" i="23"/>
  <c r="D53" i="23"/>
  <c r="E53" i="23"/>
  <c r="F53" i="23"/>
  <c r="G53" i="23"/>
  <c r="H53" i="23"/>
  <c r="I53" i="23"/>
  <c r="J53" i="23"/>
  <c r="K53" i="23"/>
  <c r="L53" i="23"/>
  <c r="M53" i="23"/>
  <c r="N53" i="23"/>
  <c r="O53" i="23"/>
  <c r="C53" i="23"/>
  <c r="I44" i="23"/>
  <c r="H33" i="23"/>
  <c r="J33" i="23"/>
  <c r="G33" i="23"/>
  <c r="D12" i="23"/>
  <c r="E12" i="23"/>
  <c r="F12" i="23"/>
  <c r="G12" i="23"/>
  <c r="H12" i="23"/>
  <c r="I12" i="23"/>
  <c r="J12" i="23"/>
  <c r="K12" i="23"/>
  <c r="L12" i="23"/>
  <c r="M12" i="23"/>
  <c r="N12" i="23"/>
  <c r="O12" i="23"/>
  <c r="C12" i="23"/>
  <c r="O18" i="24"/>
  <c r="N18" i="24"/>
  <c r="M18" i="24"/>
  <c r="L18" i="24"/>
  <c r="K18" i="24"/>
  <c r="J18" i="24"/>
  <c r="I18" i="24"/>
  <c r="H18" i="24"/>
  <c r="G18" i="24"/>
  <c r="F18" i="24"/>
  <c r="E18" i="24"/>
  <c r="D18" i="24"/>
  <c r="O15" i="24"/>
  <c r="N15" i="24"/>
  <c r="M15" i="24"/>
  <c r="L15" i="24"/>
  <c r="K15" i="24"/>
  <c r="J15" i="24"/>
  <c r="I15" i="24"/>
  <c r="H15" i="24"/>
  <c r="G15" i="24"/>
  <c r="F15" i="24"/>
  <c r="E15" i="24"/>
  <c r="D15" i="24"/>
  <c r="C15" i="24"/>
  <c r="O11" i="24"/>
  <c r="N11" i="24"/>
  <c r="M11" i="24"/>
  <c r="L11" i="24"/>
  <c r="K11" i="24"/>
  <c r="J11" i="24"/>
  <c r="I11" i="24"/>
  <c r="H11" i="24"/>
  <c r="G11" i="24"/>
  <c r="F11" i="24"/>
  <c r="E11" i="24"/>
  <c r="D11" i="24"/>
  <c r="C11" i="24"/>
  <c r="N10" i="24"/>
  <c r="M10" i="24"/>
  <c r="L10" i="24"/>
  <c r="K10" i="24"/>
  <c r="J10" i="24"/>
  <c r="I10" i="24"/>
  <c r="H10" i="24"/>
  <c r="G10" i="24"/>
  <c r="F10" i="24"/>
  <c r="E10" i="24"/>
  <c r="D10" i="24"/>
  <c r="C10" i="24"/>
  <c r="T9" i="24"/>
  <c r="O6" i="24"/>
  <c r="O7" i="24" s="1"/>
  <c r="N6" i="24"/>
  <c r="N7" i="24" s="1"/>
  <c r="M6" i="24"/>
  <c r="M7" i="24" s="1"/>
  <c r="L6" i="24"/>
  <c r="L7" i="24" s="1"/>
  <c r="K6" i="24"/>
  <c r="K7" i="24" s="1"/>
  <c r="J7" i="24"/>
  <c r="I6" i="24"/>
  <c r="I7" i="24" s="1"/>
  <c r="H6" i="24"/>
  <c r="H7" i="24" s="1"/>
  <c r="G6" i="24"/>
  <c r="G7" i="24" s="1"/>
  <c r="F6" i="24"/>
  <c r="F7" i="24" s="1"/>
  <c r="D6" i="24"/>
  <c r="D7" i="24" s="1"/>
  <c r="C6" i="24"/>
  <c r="C7" i="24" s="1"/>
  <c r="P7" i="24" s="1"/>
  <c r="Q7" i="24" s="1"/>
  <c r="K6" i="23"/>
  <c r="K7" i="23" s="1"/>
  <c r="O20" i="23"/>
  <c r="N20" i="23"/>
  <c r="M20" i="23"/>
  <c r="L20" i="23"/>
  <c r="K20" i="23"/>
  <c r="G20" i="23"/>
  <c r="F20" i="23"/>
  <c r="E20" i="23"/>
  <c r="D20" i="23"/>
  <c r="C20" i="23"/>
  <c r="O11" i="23"/>
  <c r="N11" i="23"/>
  <c r="M11" i="23"/>
  <c r="L11" i="23"/>
  <c r="K11" i="23"/>
  <c r="J11" i="23"/>
  <c r="I11" i="23"/>
  <c r="H11" i="23"/>
  <c r="G11" i="23"/>
  <c r="F11" i="23"/>
  <c r="E11" i="23"/>
  <c r="D11" i="23"/>
  <c r="C11" i="23"/>
  <c r="N10" i="23"/>
  <c r="M10" i="23"/>
  <c r="L10" i="23"/>
  <c r="K10" i="23"/>
  <c r="J10" i="23"/>
  <c r="I10" i="23"/>
  <c r="H10" i="23"/>
  <c r="G10" i="23"/>
  <c r="F10" i="23"/>
  <c r="E10" i="23"/>
  <c r="D10" i="23"/>
  <c r="C10" i="23"/>
  <c r="T6" i="23"/>
  <c r="O6" i="23"/>
  <c r="O7" i="23" s="1"/>
  <c r="N6" i="23"/>
  <c r="N7" i="23" s="1"/>
  <c r="M6" i="23"/>
  <c r="M7" i="23" s="1"/>
  <c r="L6" i="23"/>
  <c r="L7" i="23" s="1"/>
  <c r="J6" i="23"/>
  <c r="J7" i="23" s="1"/>
  <c r="I6" i="23"/>
  <c r="I7" i="23" s="1"/>
  <c r="H6" i="23"/>
  <c r="H7" i="23" s="1"/>
  <c r="G6" i="23"/>
  <c r="G7" i="23" s="1"/>
  <c r="F6" i="23"/>
  <c r="F7" i="23" s="1"/>
  <c r="E6" i="23"/>
  <c r="E7" i="23" s="1"/>
  <c r="D6" i="23"/>
  <c r="D7" i="23" s="1"/>
  <c r="C6" i="23"/>
  <c r="C7" i="23" s="1"/>
  <c r="CG4" i="8"/>
  <c r="CH4" i="8"/>
  <c r="CI4" i="8"/>
  <c r="CJ4" i="8"/>
  <c r="AO4" i="8"/>
  <c r="AO5" i="8" s="1"/>
  <c r="AO6" i="8" s="1"/>
  <c r="AO7" i="8" s="1"/>
  <c r="AO8" i="8" s="1"/>
  <c r="AO9" i="8" s="1"/>
  <c r="AO10" i="8" s="1"/>
  <c r="AO11" i="8" s="1"/>
  <c r="AO12" i="8" s="1"/>
  <c r="AO13" i="8" s="1"/>
  <c r="AP4" i="8"/>
  <c r="AQ4" i="8"/>
  <c r="AR4" i="8"/>
  <c r="AR5" i="8" s="1"/>
  <c r="AR6" i="8" s="1"/>
  <c r="AR7" i="8" s="1"/>
  <c r="AR8" i="8" s="1"/>
  <c r="AR9" i="8" s="1"/>
  <c r="AR10" i="8" s="1"/>
  <c r="AR11" i="8" s="1"/>
  <c r="AR12" i="8" s="1"/>
  <c r="AR13" i="8" s="1"/>
  <c r="AS4" i="8"/>
  <c r="AS5" i="8" s="1"/>
  <c r="AS6" i="8" s="1"/>
  <c r="AS7" i="8" s="1"/>
  <c r="AS8" i="8" s="1"/>
  <c r="AS9" i="8" s="1"/>
  <c r="AS10" i="8" s="1"/>
  <c r="AS11" i="8" s="1"/>
  <c r="AS12" i="8" s="1"/>
  <c r="AS13" i="8" s="1"/>
  <c r="AT4" i="8"/>
  <c r="AT5" i="8" s="1"/>
  <c r="AT6" i="8" s="1"/>
  <c r="AT7" i="8" s="1"/>
  <c r="AT8" i="8" s="1"/>
  <c r="AT9" i="8" s="1"/>
  <c r="AT10" i="8" s="1"/>
  <c r="AT11" i="8" s="1"/>
  <c r="AT12" i="8" s="1"/>
  <c r="AT13" i="8" s="1"/>
  <c r="AU4" i="8"/>
  <c r="AU5" i="8" s="1"/>
  <c r="AU6" i="8" s="1"/>
  <c r="AU7" i="8" s="1"/>
  <c r="AU8" i="8" s="1"/>
  <c r="AU9" i="8" s="1"/>
  <c r="AU10" i="8" s="1"/>
  <c r="AU11" i="8" s="1"/>
  <c r="AU12" i="8" s="1"/>
  <c r="AU13" i="8" s="1"/>
  <c r="AV4" i="8"/>
  <c r="AV5" i="8" s="1"/>
  <c r="AV6" i="8" s="1"/>
  <c r="AV7" i="8" s="1"/>
  <c r="AV8" i="8" s="1"/>
  <c r="AV9" i="8" s="1"/>
  <c r="AV10" i="8" s="1"/>
  <c r="AV11" i="8" s="1"/>
  <c r="AV12" i="8" s="1"/>
  <c r="AV13" i="8" s="1"/>
  <c r="AW4" i="8"/>
  <c r="AW5" i="8" s="1"/>
  <c r="AW6" i="8" s="1"/>
  <c r="AW7" i="8" s="1"/>
  <c r="AW8" i="8" s="1"/>
  <c r="AW9" i="8" s="1"/>
  <c r="AW10" i="8" s="1"/>
  <c r="AW11" i="8" s="1"/>
  <c r="AW12" i="8" s="1"/>
  <c r="AW13" i="8" s="1"/>
  <c r="AX4" i="8"/>
  <c r="AX5" i="8" s="1"/>
  <c r="AX6" i="8" s="1"/>
  <c r="AX7" i="8" s="1"/>
  <c r="AX8" i="8" s="1"/>
  <c r="AX9" i="8" s="1"/>
  <c r="AX10" i="8" s="1"/>
  <c r="AX11" i="8" s="1"/>
  <c r="AX12" i="8" s="1"/>
  <c r="AX13" i="8" s="1"/>
  <c r="AY4" i="8"/>
  <c r="AY5" i="8" s="1"/>
  <c r="AY6" i="8" s="1"/>
  <c r="AY7" i="8" s="1"/>
  <c r="AY8" i="8" s="1"/>
  <c r="AY9" i="8" s="1"/>
  <c r="AY10" i="8" s="1"/>
  <c r="AY11" i="8" s="1"/>
  <c r="AY12" i="8" s="1"/>
  <c r="AY13" i="8" s="1"/>
  <c r="AZ4" i="8"/>
  <c r="AZ5" i="8" s="1"/>
  <c r="AZ6" i="8" s="1"/>
  <c r="AZ7" i="8" s="1"/>
  <c r="AZ8" i="8" s="1"/>
  <c r="AZ9" i="8" s="1"/>
  <c r="AZ10" i="8" s="1"/>
  <c r="AZ11" i="8" s="1"/>
  <c r="AZ12" i="8" s="1"/>
  <c r="AZ13" i="8" s="1"/>
  <c r="BA4" i="8"/>
  <c r="BA5" i="8" s="1"/>
  <c r="BA6" i="8" s="1"/>
  <c r="BA7" i="8" s="1"/>
  <c r="BA8" i="8" s="1"/>
  <c r="BA9" i="8" s="1"/>
  <c r="BA10" i="8" s="1"/>
  <c r="BA11" i="8" s="1"/>
  <c r="BA12" i="8" s="1"/>
  <c r="BA13" i="8" s="1"/>
  <c r="BB4" i="8"/>
  <c r="BB5" i="8" s="1"/>
  <c r="BB6" i="8" s="1"/>
  <c r="BB7" i="8" s="1"/>
  <c r="BB8" i="8" s="1"/>
  <c r="BB9" i="8" s="1"/>
  <c r="BB10" i="8" s="1"/>
  <c r="BB11" i="8" s="1"/>
  <c r="BB12" i="8" s="1"/>
  <c r="BB13" i="8" s="1"/>
  <c r="BC4" i="8"/>
  <c r="BC5" i="8" s="1"/>
  <c r="BC6" i="8" s="1"/>
  <c r="BC7" i="8" s="1"/>
  <c r="BC8" i="8" s="1"/>
  <c r="BC9" i="8" s="1"/>
  <c r="BC10" i="8" s="1"/>
  <c r="BC11" i="8" s="1"/>
  <c r="BC12" i="8" s="1"/>
  <c r="BC13" i="8" s="1"/>
  <c r="BD4" i="8"/>
  <c r="BD5" i="8" s="1"/>
  <c r="BD6" i="8" s="1"/>
  <c r="BD7" i="8" s="1"/>
  <c r="BD8" i="8" s="1"/>
  <c r="BD9" i="8" s="1"/>
  <c r="BD10" i="8" s="1"/>
  <c r="BD11" i="8" s="1"/>
  <c r="BD12" i="8" s="1"/>
  <c r="BD13" i="8" s="1"/>
  <c r="BE4" i="8"/>
  <c r="BE5" i="8" s="1"/>
  <c r="BE6" i="8" s="1"/>
  <c r="BE7" i="8" s="1"/>
  <c r="BE8" i="8" s="1"/>
  <c r="BE9" i="8" s="1"/>
  <c r="BE10" i="8" s="1"/>
  <c r="BE11" i="8" s="1"/>
  <c r="BE12" i="8" s="1"/>
  <c r="BE13" i="8" s="1"/>
  <c r="BF4" i="8"/>
  <c r="BF5" i="8" s="1"/>
  <c r="BF6" i="8" s="1"/>
  <c r="BF7" i="8" s="1"/>
  <c r="BF8" i="8" s="1"/>
  <c r="BF9" i="8" s="1"/>
  <c r="BF10" i="8" s="1"/>
  <c r="BF11" i="8" s="1"/>
  <c r="BF12" i="8" s="1"/>
  <c r="BF13" i="8" s="1"/>
  <c r="BG4" i="8"/>
  <c r="BG5" i="8" s="1"/>
  <c r="BG6" i="8" s="1"/>
  <c r="BG7" i="8" s="1"/>
  <c r="BG8" i="8" s="1"/>
  <c r="BG9" i="8" s="1"/>
  <c r="BG10" i="8" s="1"/>
  <c r="BG11" i="8" s="1"/>
  <c r="BG12" i="8" s="1"/>
  <c r="BG13" i="8" s="1"/>
  <c r="BH4" i="8"/>
  <c r="BH5" i="8" s="1"/>
  <c r="BH6" i="8" s="1"/>
  <c r="BH7" i="8" s="1"/>
  <c r="BH8" i="8" s="1"/>
  <c r="BH9" i="8" s="1"/>
  <c r="BH10" i="8" s="1"/>
  <c r="BH11" i="8" s="1"/>
  <c r="BH12" i="8" s="1"/>
  <c r="BH13" i="8" s="1"/>
  <c r="BI4" i="8"/>
  <c r="BI5" i="8" s="1"/>
  <c r="BI6" i="8" s="1"/>
  <c r="BI7" i="8" s="1"/>
  <c r="BI8" i="8" s="1"/>
  <c r="BI9" i="8" s="1"/>
  <c r="BI10" i="8" s="1"/>
  <c r="BI11" i="8" s="1"/>
  <c r="BI12" i="8" s="1"/>
  <c r="BI13" i="8" s="1"/>
  <c r="BJ4" i="8"/>
  <c r="BJ5" i="8" s="1"/>
  <c r="BJ6" i="8" s="1"/>
  <c r="BJ7" i="8" s="1"/>
  <c r="BJ8" i="8" s="1"/>
  <c r="BJ9" i="8" s="1"/>
  <c r="BJ10" i="8" s="1"/>
  <c r="BJ11" i="8" s="1"/>
  <c r="BJ12" i="8" s="1"/>
  <c r="BJ13" i="8" s="1"/>
  <c r="BK4" i="8"/>
  <c r="BK5" i="8" s="1"/>
  <c r="BK6" i="8" s="1"/>
  <c r="BK7" i="8" s="1"/>
  <c r="BK8" i="8" s="1"/>
  <c r="BK9" i="8" s="1"/>
  <c r="BK10" i="8" s="1"/>
  <c r="BK11" i="8" s="1"/>
  <c r="BK12" i="8" s="1"/>
  <c r="BK13" i="8" s="1"/>
  <c r="BL4" i="8"/>
  <c r="BL5" i="8" s="1"/>
  <c r="BL6" i="8" s="1"/>
  <c r="BL7" i="8" s="1"/>
  <c r="BL8" i="8" s="1"/>
  <c r="BL9" i="8" s="1"/>
  <c r="BL10" i="8" s="1"/>
  <c r="BL11" i="8" s="1"/>
  <c r="BL12" i="8" s="1"/>
  <c r="BL13" i="8" s="1"/>
  <c r="BM4" i="8"/>
  <c r="BM5" i="8" s="1"/>
  <c r="BM6" i="8" s="1"/>
  <c r="BM7" i="8" s="1"/>
  <c r="BM8" i="8" s="1"/>
  <c r="BM9" i="8" s="1"/>
  <c r="BM10" i="8" s="1"/>
  <c r="BM11" i="8" s="1"/>
  <c r="BM12" i="8" s="1"/>
  <c r="BM13" i="8" s="1"/>
  <c r="BN4" i="8"/>
  <c r="BN5" i="8" s="1"/>
  <c r="BN6" i="8" s="1"/>
  <c r="BN7" i="8" s="1"/>
  <c r="BN8" i="8" s="1"/>
  <c r="BN9" i="8" s="1"/>
  <c r="BN10" i="8" s="1"/>
  <c r="BN11" i="8" s="1"/>
  <c r="BN12" i="8" s="1"/>
  <c r="BN13" i="8" s="1"/>
  <c r="BO4" i="8"/>
  <c r="BO5" i="8" s="1"/>
  <c r="BO6" i="8" s="1"/>
  <c r="BO7" i="8" s="1"/>
  <c r="BO8" i="8" s="1"/>
  <c r="BO9" i="8" s="1"/>
  <c r="BO10" i="8" s="1"/>
  <c r="BO11" i="8" s="1"/>
  <c r="BO12" i="8" s="1"/>
  <c r="BO13" i="8" s="1"/>
  <c r="BP4" i="8"/>
  <c r="BP5" i="8" s="1"/>
  <c r="BP6" i="8" s="1"/>
  <c r="BP7" i="8" s="1"/>
  <c r="BP8" i="8" s="1"/>
  <c r="BP9" i="8" s="1"/>
  <c r="BP10" i="8" s="1"/>
  <c r="BP11" i="8" s="1"/>
  <c r="BP12" i="8" s="1"/>
  <c r="BP13" i="8" s="1"/>
  <c r="BQ4" i="8"/>
  <c r="BQ5" i="8" s="1"/>
  <c r="BQ6" i="8" s="1"/>
  <c r="BQ7" i="8" s="1"/>
  <c r="BQ8" i="8" s="1"/>
  <c r="BQ9" i="8" s="1"/>
  <c r="BQ10" i="8" s="1"/>
  <c r="BQ11" i="8" s="1"/>
  <c r="BQ12" i="8" s="1"/>
  <c r="BQ13" i="8" s="1"/>
  <c r="BR4" i="8"/>
  <c r="BR5" i="8" s="1"/>
  <c r="BR6" i="8" s="1"/>
  <c r="BR7" i="8" s="1"/>
  <c r="BR8" i="8" s="1"/>
  <c r="BR9" i="8" s="1"/>
  <c r="BR10" i="8" s="1"/>
  <c r="BR11" i="8" s="1"/>
  <c r="BR12" i="8" s="1"/>
  <c r="BR13" i="8" s="1"/>
  <c r="BS4" i="8"/>
  <c r="BS5" i="8" s="1"/>
  <c r="BS6" i="8" s="1"/>
  <c r="BS7" i="8" s="1"/>
  <c r="BS8" i="8" s="1"/>
  <c r="BS9" i="8" s="1"/>
  <c r="BS10" i="8" s="1"/>
  <c r="BS11" i="8" s="1"/>
  <c r="BS12" i="8" s="1"/>
  <c r="BS13" i="8" s="1"/>
  <c r="BT4" i="8"/>
  <c r="BT5" i="8" s="1"/>
  <c r="BT6" i="8" s="1"/>
  <c r="BT7" i="8" s="1"/>
  <c r="BT8" i="8" s="1"/>
  <c r="BT9" i="8" s="1"/>
  <c r="BT10" i="8" s="1"/>
  <c r="BT11" i="8" s="1"/>
  <c r="BT12" i="8" s="1"/>
  <c r="BT13" i="8" s="1"/>
  <c r="BU4" i="8"/>
  <c r="BU5" i="8" s="1"/>
  <c r="BU6" i="8" s="1"/>
  <c r="BU7" i="8" s="1"/>
  <c r="BU8" i="8" s="1"/>
  <c r="BU9" i="8" s="1"/>
  <c r="BU10" i="8" s="1"/>
  <c r="BU11" i="8" s="1"/>
  <c r="BU12" i="8" s="1"/>
  <c r="BU13" i="8" s="1"/>
  <c r="BV4" i="8"/>
  <c r="BV5" i="8" s="1"/>
  <c r="BV6" i="8" s="1"/>
  <c r="BV7" i="8" s="1"/>
  <c r="BV8" i="8" s="1"/>
  <c r="BV9" i="8" s="1"/>
  <c r="BV10" i="8" s="1"/>
  <c r="BV11" i="8" s="1"/>
  <c r="BV12" i="8" s="1"/>
  <c r="BV13" i="8" s="1"/>
  <c r="BW4" i="8"/>
  <c r="BW5" i="8" s="1"/>
  <c r="BW6" i="8" s="1"/>
  <c r="BW7" i="8" s="1"/>
  <c r="BW8" i="8" s="1"/>
  <c r="BW9" i="8" s="1"/>
  <c r="BW10" i="8" s="1"/>
  <c r="BW11" i="8" s="1"/>
  <c r="BW12" i="8" s="1"/>
  <c r="BW13" i="8" s="1"/>
  <c r="BX4" i="8"/>
  <c r="BX5" i="8" s="1"/>
  <c r="BX6" i="8" s="1"/>
  <c r="BX7" i="8" s="1"/>
  <c r="BX8" i="8" s="1"/>
  <c r="BX9" i="8" s="1"/>
  <c r="BX10" i="8" s="1"/>
  <c r="BX11" i="8" s="1"/>
  <c r="BX12" i="8" s="1"/>
  <c r="BX13" i="8" s="1"/>
  <c r="BY4" i="8"/>
  <c r="BZ4" i="8"/>
  <c r="CA4" i="8"/>
  <c r="CB4" i="8"/>
  <c r="CC4" i="8"/>
  <c r="CD4" i="8"/>
  <c r="CE4" i="8"/>
  <c r="CF4" i="8"/>
  <c r="AN4" i="8"/>
  <c r="AN5" i="8" s="1"/>
  <c r="AN6" i="8" s="1"/>
  <c r="AN7" i="8" s="1"/>
  <c r="AN8" i="8" s="1"/>
  <c r="AN9" i="8" s="1"/>
  <c r="AN10" i="8" s="1"/>
  <c r="AN11" i="8" s="1"/>
  <c r="AN12" i="8" s="1"/>
  <c r="AN13" i="8" s="1"/>
  <c r="AP5" i="8"/>
  <c r="AP6" i="8" s="1"/>
  <c r="AP7" i="8" s="1"/>
  <c r="AP8" i="8" s="1"/>
  <c r="AP9" i="8" s="1"/>
  <c r="AP10" i="8" s="1"/>
  <c r="AP11" i="8" s="1"/>
  <c r="AP12" i="8" s="1"/>
  <c r="AP13" i="8" s="1"/>
  <c r="AQ5" i="8"/>
  <c r="AQ6" i="8" s="1"/>
  <c r="AQ7" i="8" s="1"/>
  <c r="AQ8" i="8" s="1"/>
  <c r="AQ9" i="8" s="1"/>
  <c r="AQ10" i="8" s="1"/>
  <c r="AQ11" i="8" s="1"/>
  <c r="AQ12" i="8" s="1"/>
  <c r="AQ13" i="8" s="1"/>
  <c r="AM4" i="8"/>
  <c r="AM5" i="8" s="1"/>
  <c r="AM6" i="8" s="1"/>
  <c r="AM7" i="8" s="1"/>
  <c r="AM8" i="8" s="1"/>
  <c r="AM9" i="8" s="1"/>
  <c r="AM10" i="8" s="1"/>
  <c r="AM11" i="8" s="1"/>
  <c r="AM12" i="8" s="1"/>
  <c r="AM13" i="8" s="1"/>
  <c r="AL4" i="8"/>
  <c r="AL5" i="8" s="1"/>
  <c r="AL6" i="8" s="1"/>
  <c r="AL7" i="8" s="1"/>
  <c r="AL8" i="8" s="1"/>
  <c r="AL9" i="8" s="1"/>
  <c r="AL10" i="8" s="1"/>
  <c r="AL11" i="8" s="1"/>
  <c r="AL12" i="8" s="1"/>
  <c r="AL13" i="8" s="1"/>
  <c r="AK4" i="8"/>
  <c r="AK5" i="8" s="1"/>
  <c r="AK6" i="8" s="1"/>
  <c r="AK7" i="8" s="1"/>
  <c r="AK8" i="8" s="1"/>
  <c r="AK9" i="8" s="1"/>
  <c r="AK10" i="8" s="1"/>
  <c r="AK11" i="8" s="1"/>
  <c r="AK12" i="8" s="1"/>
  <c r="AK13" i="8" s="1"/>
  <c r="P29" i="23" l="1"/>
  <c r="Q29" i="23" s="1"/>
  <c r="P41" i="23"/>
  <c r="Q41" i="23" s="1"/>
  <c r="P16" i="23"/>
  <c r="Q16" i="23" s="1"/>
  <c r="C12" i="25"/>
  <c r="B13" i="25"/>
  <c r="B14" i="25" s="1"/>
  <c r="C14" i="25"/>
  <c r="C1" i="24"/>
  <c r="C12" i="24" s="1"/>
  <c r="P7" i="23"/>
  <c r="D1" i="23" s="1"/>
  <c r="B4" i="9"/>
  <c r="E8" i="9"/>
  <c r="F8" i="9"/>
  <c r="G8" i="9"/>
  <c r="E5" i="9"/>
  <c r="F5" i="9"/>
  <c r="G5" i="9"/>
  <c r="B8" i="9"/>
  <c r="B5" i="9"/>
  <c r="BP15" i="7"/>
  <c r="U16" i="7"/>
  <c r="U17" i="7" s="1"/>
  <c r="U18" i="7" s="1"/>
  <c r="U19" i="7" s="1"/>
  <c r="U20" i="7" s="1"/>
  <c r="U21" i="7" s="1"/>
  <c r="U22" i="7" s="1"/>
  <c r="U23" i="7" s="1"/>
  <c r="U24" i="7" s="1"/>
  <c r="U25" i="7" s="1"/>
  <c r="U26" i="7" s="1"/>
  <c r="U27" i="7" s="1"/>
  <c r="U28" i="7" s="1"/>
  <c r="U29" i="7" s="1"/>
  <c r="U30" i="7" s="1"/>
  <c r="U31" i="7" s="1"/>
  <c r="U32" i="7" s="1"/>
  <c r="U33" i="7" s="1"/>
  <c r="U34" i="7" s="1"/>
  <c r="U35" i="7" s="1"/>
  <c r="U36" i="7" s="1"/>
  <c r="U37" i="7" s="1"/>
  <c r="U38" i="7" s="1"/>
  <c r="U39" i="7" s="1"/>
  <c r="U40" i="7" s="1"/>
  <c r="U41" i="7" s="1"/>
  <c r="U42" i="7" s="1"/>
  <c r="U43" i="7" s="1"/>
  <c r="U44" i="7" s="1"/>
  <c r="U45" i="7" s="1"/>
  <c r="U46" i="7" s="1"/>
  <c r="U47" i="7" s="1"/>
  <c r="U48" i="7" s="1"/>
  <c r="U49" i="7" s="1"/>
  <c r="U50" i="7" s="1"/>
  <c r="U51" i="7" s="1"/>
  <c r="U52" i="7" s="1"/>
  <c r="U53" i="7" s="1"/>
  <c r="U54" i="7" s="1"/>
  <c r="U55" i="7" s="1"/>
  <c r="U56" i="7" s="1"/>
  <c r="U57" i="7" s="1"/>
  <c r="U58" i="7" s="1"/>
  <c r="U59" i="7" s="1"/>
  <c r="U60" i="7" s="1"/>
  <c r="U61" i="7" s="1"/>
  <c r="U62" i="7" s="1"/>
  <c r="U63" i="7" s="1"/>
  <c r="U64" i="7" s="1"/>
  <c r="U65" i="7" s="1"/>
  <c r="U66" i="7" s="1"/>
  <c r="U67" i="7" s="1"/>
  <c r="U68" i="7" s="1"/>
  <c r="U69" i="7" s="1"/>
  <c r="U70" i="7" s="1"/>
  <c r="U71" i="7" s="1"/>
  <c r="U72" i="7" s="1"/>
  <c r="U73" i="7" s="1"/>
  <c r="U74" i="7" s="1"/>
  <c r="U75" i="7" s="1"/>
  <c r="U76" i="7" s="1"/>
  <c r="U77" i="7" s="1"/>
  <c r="U78" i="7" s="1"/>
  <c r="U79" i="7" s="1"/>
  <c r="U80" i="7" s="1"/>
  <c r="U81" i="7" s="1"/>
  <c r="U82" i="7" s="1"/>
  <c r="U83" i="7" s="1"/>
  <c r="U84" i="7" s="1"/>
  <c r="U85" i="7" s="1"/>
  <c r="U86" i="7" s="1"/>
  <c r="U87" i="7" s="1"/>
  <c r="U88" i="7" s="1"/>
  <c r="U89" i="7" s="1"/>
  <c r="U90" i="7" s="1"/>
  <c r="U91" i="7" s="1"/>
  <c r="U92" i="7" s="1"/>
  <c r="U93" i="7" s="1"/>
  <c r="U94" i="7" s="1"/>
  <c r="U95" i="7" s="1"/>
  <c r="U96" i="7" s="1"/>
  <c r="U97" i="7" s="1"/>
  <c r="U98" i="7" s="1"/>
  <c r="U99" i="7" s="1"/>
  <c r="U100" i="7" s="1"/>
  <c r="U101" i="7" s="1"/>
  <c r="U102" i="7" s="1"/>
  <c r="U103" i="7" s="1"/>
  <c r="U104" i="7" s="1"/>
  <c r="U105" i="7" s="1"/>
  <c r="U106" i="7" s="1"/>
  <c r="U107" i="7" s="1"/>
  <c r="U108" i="7" s="1"/>
  <c r="U109" i="7" s="1"/>
  <c r="U110" i="7" s="1"/>
  <c r="U111" i="7" s="1"/>
  <c r="U112" i="7" s="1"/>
  <c r="U113" i="7" s="1"/>
  <c r="U114" i="7" s="1"/>
  <c r="U115" i="7" s="1"/>
  <c r="U116" i="7" s="1"/>
  <c r="U117" i="7" s="1"/>
  <c r="U118" i="7" s="1"/>
  <c r="U119" i="7" s="1"/>
  <c r="U120" i="7" s="1"/>
  <c r="U121" i="7" s="1"/>
  <c r="U122" i="7" s="1"/>
  <c r="U123" i="7" s="1"/>
  <c r="U124" i="7" s="1"/>
  <c r="U125" i="7" s="1"/>
  <c r="U126" i="7" s="1"/>
  <c r="U127" i="7" s="1"/>
  <c r="U128" i="7" s="1"/>
  <c r="U129" i="7" s="1"/>
  <c r="U130" i="7" s="1"/>
  <c r="U131" i="7" s="1"/>
  <c r="U132" i="7" s="1"/>
  <c r="U133" i="7" s="1"/>
  <c r="U134" i="7" s="1"/>
  <c r="U135" i="7" s="1"/>
  <c r="U136" i="7" s="1"/>
  <c r="U137" i="7" s="1"/>
  <c r="U138" i="7" s="1"/>
  <c r="U139" i="7" s="1"/>
  <c r="U140" i="7" s="1"/>
  <c r="U141" i="7" s="1"/>
  <c r="U142" i="7" s="1"/>
  <c r="U143" i="7" s="1"/>
  <c r="U144" i="7" s="1"/>
  <c r="U145" i="7" s="1"/>
  <c r="U146" i="7" s="1"/>
  <c r="U147" i="7" s="1"/>
  <c r="U148" i="7" s="1"/>
  <c r="U149" i="7" s="1"/>
  <c r="U150" i="7" s="1"/>
  <c r="U151" i="7" s="1"/>
  <c r="U152" i="7" s="1"/>
  <c r="U153" i="7" s="1"/>
  <c r="U154" i="7" s="1"/>
  <c r="U155" i="7" s="1"/>
  <c r="U156" i="7" s="1"/>
  <c r="U157" i="7" s="1"/>
  <c r="U158" i="7" s="1"/>
  <c r="U159" i="7" s="1"/>
  <c r="U160" i="7" s="1"/>
  <c r="U161" i="7" s="1"/>
  <c r="U162" i="7" s="1"/>
  <c r="U163" i="7" s="1"/>
  <c r="U164" i="7" s="1"/>
  <c r="U165" i="7" s="1"/>
  <c r="U166" i="7" s="1"/>
  <c r="U167" i="7" s="1"/>
  <c r="U168" i="7" s="1"/>
  <c r="U169" i="7" s="1"/>
  <c r="U170" i="7" s="1"/>
  <c r="U171" i="7" s="1"/>
  <c r="U172" i="7" s="1"/>
  <c r="U173" i="7" s="1"/>
  <c r="U174" i="7" s="1"/>
  <c r="U175" i="7" s="1"/>
  <c r="U176" i="7" s="1"/>
  <c r="U177" i="7" s="1"/>
  <c r="U178" i="7" s="1"/>
  <c r="U179" i="7" s="1"/>
  <c r="U180" i="7" s="1"/>
  <c r="U181" i="7" s="1"/>
  <c r="U182" i="7" s="1"/>
  <c r="U183" i="7" s="1"/>
  <c r="U184" i="7" s="1"/>
  <c r="U185" i="7" s="1"/>
  <c r="U186" i="7" s="1"/>
  <c r="U187" i="7" s="1"/>
  <c r="U188" i="7" s="1"/>
  <c r="U189" i="7" s="1"/>
  <c r="U190" i="7" s="1"/>
  <c r="U191" i="7" s="1"/>
  <c r="U192" i="7" s="1"/>
  <c r="U193" i="7" s="1"/>
  <c r="U194" i="7" s="1"/>
  <c r="U195" i="7" s="1"/>
  <c r="U196" i="7" s="1"/>
  <c r="U197" i="7" s="1"/>
  <c r="U198" i="7" s="1"/>
  <c r="U199" i="7" s="1"/>
  <c r="U200" i="7" s="1"/>
  <c r="U201" i="7" s="1"/>
  <c r="U202" i="7" s="1"/>
  <c r="U203" i="7" s="1"/>
  <c r="U204" i="7" s="1"/>
  <c r="U205" i="7" s="1"/>
  <c r="U206" i="7" s="1"/>
  <c r="U207" i="7" s="1"/>
  <c r="U208" i="7" s="1"/>
  <c r="U209" i="7" s="1"/>
  <c r="U210" i="7" s="1"/>
  <c r="U211" i="7" s="1"/>
  <c r="U212" i="7" s="1"/>
  <c r="U213" i="7" s="1"/>
  <c r="U214" i="7" s="1"/>
  <c r="U215" i="7" s="1"/>
  <c r="U216" i="7" s="1"/>
  <c r="U217" i="7" s="1"/>
  <c r="U218" i="7" s="1"/>
  <c r="U219" i="7" s="1"/>
  <c r="U220" i="7" s="1"/>
  <c r="U221" i="7" s="1"/>
  <c r="U222" i="7" s="1"/>
  <c r="U223" i="7" s="1"/>
  <c r="U224" i="7" s="1"/>
  <c r="U225" i="7" s="1"/>
  <c r="U226" i="7" s="1"/>
  <c r="U227" i="7" s="1"/>
  <c r="U228" i="7" s="1"/>
  <c r="U229" i="7" s="1"/>
  <c r="U230" i="7" s="1"/>
  <c r="U231" i="7" s="1"/>
  <c r="U232" i="7" s="1"/>
  <c r="U233" i="7" s="1"/>
  <c r="U234" i="7" s="1"/>
  <c r="U235" i="7" s="1"/>
  <c r="U236" i="7" s="1"/>
  <c r="U237" i="7" s="1"/>
  <c r="U238" i="7" s="1"/>
  <c r="U239" i="7" s="1"/>
  <c r="U240" i="7" s="1"/>
  <c r="U241" i="7" s="1"/>
  <c r="U242" i="7" s="1"/>
  <c r="U243" i="7" s="1"/>
  <c r="U244" i="7" s="1"/>
  <c r="U245" i="7" s="1"/>
  <c r="U246" i="7" s="1"/>
  <c r="U247" i="7" s="1"/>
  <c r="U248" i="7" s="1"/>
  <c r="U249" i="7" s="1"/>
  <c r="U250" i="7" s="1"/>
  <c r="U251" i="7" s="1"/>
  <c r="U252" i="7" s="1"/>
  <c r="U253" i="7" s="1"/>
  <c r="U254" i="7" s="1"/>
  <c r="U255" i="7" s="1"/>
  <c r="U256" i="7" s="1"/>
  <c r="U257" i="7" s="1"/>
  <c r="U258" i="7" s="1"/>
  <c r="U259" i="7" s="1"/>
  <c r="U260" i="7" s="1"/>
  <c r="U261" i="7" s="1"/>
  <c r="U262" i="7" s="1"/>
  <c r="U263" i="7" s="1"/>
  <c r="U264" i="7" s="1"/>
  <c r="U265" i="7" s="1"/>
  <c r="U266" i="7" s="1"/>
  <c r="U267" i="7" s="1"/>
  <c r="U268" i="7" s="1"/>
  <c r="U269" i="7" s="1"/>
  <c r="U270" i="7" s="1"/>
  <c r="U271" i="7" s="1"/>
  <c r="U272" i="7" s="1"/>
  <c r="U273" i="7" s="1"/>
  <c r="U274" i="7" s="1"/>
  <c r="U275" i="7" s="1"/>
  <c r="U276" i="7" s="1"/>
  <c r="U277" i="7" s="1"/>
  <c r="U278" i="7" s="1"/>
  <c r="U279" i="7" s="1"/>
  <c r="U280" i="7" s="1"/>
  <c r="U281" i="7" s="1"/>
  <c r="U282" i="7" s="1"/>
  <c r="U283" i="7" s="1"/>
  <c r="U284" i="7" s="1"/>
  <c r="U285" i="7" s="1"/>
  <c r="U286" i="7" s="1"/>
  <c r="U287" i="7" s="1"/>
  <c r="U288" i="7" s="1"/>
  <c r="U289" i="7" s="1"/>
  <c r="U290" i="7" s="1"/>
  <c r="U291" i="7" s="1"/>
  <c r="U292" i="7" s="1"/>
  <c r="U293" i="7" s="1"/>
  <c r="U294" i="7" s="1"/>
  <c r="U295" i="7" s="1"/>
  <c r="U296" i="7" s="1"/>
  <c r="U297" i="7" s="1"/>
  <c r="U298" i="7" s="1"/>
  <c r="U299" i="7" s="1"/>
  <c r="U300" i="7" s="1"/>
  <c r="U301" i="7" s="1"/>
  <c r="U302" i="7" s="1"/>
  <c r="U303" i="7" s="1"/>
  <c r="U304" i="7" s="1"/>
  <c r="U305" i="7" s="1"/>
  <c r="U306" i="7" s="1"/>
  <c r="U307" i="7" s="1"/>
  <c r="U308" i="7" s="1"/>
  <c r="U309" i="7" s="1"/>
  <c r="U310" i="7" s="1"/>
  <c r="U311" i="7" s="1"/>
  <c r="U312" i="7" s="1"/>
  <c r="U313" i="7" s="1"/>
  <c r="U314" i="7" s="1"/>
  <c r="U315" i="7" s="1"/>
  <c r="U316" i="7" s="1"/>
  <c r="U317" i="7" s="1"/>
  <c r="U318" i="7" s="1"/>
  <c r="U319" i="7" s="1"/>
  <c r="U320" i="7" s="1"/>
  <c r="U321" i="7" s="1"/>
  <c r="U322" i="7" s="1"/>
  <c r="U323" i="7" s="1"/>
  <c r="U324" i="7" s="1"/>
  <c r="U325" i="7" s="1"/>
  <c r="U326" i="7" s="1"/>
  <c r="U327" i="7" s="1"/>
  <c r="U328" i="7" s="1"/>
  <c r="U329" i="7" s="1"/>
  <c r="U330" i="7" s="1"/>
  <c r="U331" i="7" s="1"/>
  <c r="U332" i="7" s="1"/>
  <c r="U333" i="7" s="1"/>
  <c r="U334" i="7" s="1"/>
  <c r="U335" i="7" s="1"/>
  <c r="U336" i="7" s="1"/>
  <c r="U337" i="7" s="1"/>
  <c r="U338" i="7" s="1"/>
  <c r="U339" i="7" s="1"/>
  <c r="U340" i="7" s="1"/>
  <c r="U341" i="7" s="1"/>
  <c r="U342" i="7" s="1"/>
  <c r="U343" i="7" s="1"/>
  <c r="U344" i="7" s="1"/>
  <c r="U345" i="7" s="1"/>
  <c r="U346" i="7" s="1"/>
  <c r="U347" i="7" s="1"/>
  <c r="U348" i="7" s="1"/>
  <c r="U349" i="7" s="1"/>
  <c r="U350" i="7" s="1"/>
  <c r="U351" i="7" s="1"/>
  <c r="U352" i="7" s="1"/>
  <c r="U353" i="7" s="1"/>
  <c r="U354" i="7" s="1"/>
  <c r="U355" i="7" s="1"/>
  <c r="U356" i="7" s="1"/>
  <c r="U357" i="7" s="1"/>
  <c r="U358" i="7" s="1"/>
  <c r="U359" i="7" s="1"/>
  <c r="U360" i="7" s="1"/>
  <c r="U361" i="7" s="1"/>
  <c r="U362" i="7" s="1"/>
  <c r="U363" i="7" s="1"/>
  <c r="U364" i="7" s="1"/>
  <c r="U365" i="7" s="1"/>
  <c r="U366" i="7" s="1"/>
  <c r="U367" i="7" s="1"/>
  <c r="U368" i="7" s="1"/>
  <c r="U369" i="7" s="1"/>
  <c r="U370" i="7" s="1"/>
  <c r="U371" i="7" s="1"/>
  <c r="U372" i="7" s="1"/>
  <c r="U373" i="7" s="1"/>
  <c r="U374" i="7" s="1"/>
  <c r="U375" i="7" s="1"/>
  <c r="U376" i="7" s="1"/>
  <c r="U377" i="7" s="1"/>
  <c r="U378" i="7" s="1"/>
  <c r="U379" i="7" s="1"/>
  <c r="U380" i="7" s="1"/>
  <c r="U381" i="7" s="1"/>
  <c r="U382" i="7" s="1"/>
  <c r="U383" i="7" s="1"/>
  <c r="U384" i="7" s="1"/>
  <c r="U385" i="7" s="1"/>
  <c r="U386" i="7" s="1"/>
  <c r="U387" i="7" s="1"/>
  <c r="U388" i="7" s="1"/>
  <c r="U389" i="7" s="1"/>
  <c r="U390" i="7" s="1"/>
  <c r="U391" i="7" s="1"/>
  <c r="U392" i="7" s="1"/>
  <c r="U393" i="7" s="1"/>
  <c r="U394" i="7" s="1"/>
  <c r="U395" i="7" s="1"/>
  <c r="U396" i="7" s="1"/>
  <c r="U397" i="7" s="1"/>
  <c r="U398" i="7" s="1"/>
  <c r="U399" i="7" s="1"/>
  <c r="U400" i="7" s="1"/>
  <c r="U401" i="7" s="1"/>
  <c r="U402" i="7" s="1"/>
  <c r="U403" i="7" s="1"/>
  <c r="U404" i="7" s="1"/>
  <c r="U405" i="7" s="1"/>
  <c r="U406" i="7" s="1"/>
  <c r="U407" i="7" s="1"/>
  <c r="U408" i="7" s="1"/>
  <c r="U409" i="7" s="1"/>
  <c r="U410" i="7" s="1"/>
  <c r="U411" i="7" s="1"/>
  <c r="U412" i="7" s="1"/>
  <c r="U413" i="7" s="1"/>
  <c r="U414" i="7" s="1"/>
  <c r="U415" i="7" s="1"/>
  <c r="U416" i="7" s="1"/>
  <c r="U417" i="7" s="1"/>
  <c r="U418" i="7" s="1"/>
  <c r="U419" i="7" s="1"/>
  <c r="U420" i="7" s="1"/>
  <c r="U421" i="7" s="1"/>
  <c r="U422" i="7" s="1"/>
  <c r="U423" i="7" s="1"/>
  <c r="U424" i="7" s="1"/>
  <c r="U425" i="7" s="1"/>
  <c r="U426" i="7" s="1"/>
  <c r="U427" i="7" s="1"/>
  <c r="U428" i="7" s="1"/>
  <c r="U429" i="7" s="1"/>
  <c r="U430" i="7" s="1"/>
  <c r="U431" i="7" s="1"/>
  <c r="U432" i="7" s="1"/>
  <c r="U433" i="7" s="1"/>
  <c r="U434" i="7" s="1"/>
  <c r="U435" i="7" s="1"/>
  <c r="U436" i="7" s="1"/>
  <c r="U437" i="7" s="1"/>
  <c r="U438" i="7" s="1"/>
  <c r="U439" i="7" s="1"/>
  <c r="U440" i="7" s="1"/>
  <c r="U441" i="7" s="1"/>
  <c r="U442" i="7" s="1"/>
  <c r="U443" i="7" s="1"/>
  <c r="U444" i="7" s="1"/>
  <c r="U445" i="7" s="1"/>
  <c r="U446" i="7" s="1"/>
  <c r="U447" i="7" s="1"/>
  <c r="U448" i="7" s="1"/>
  <c r="U449" i="7" s="1"/>
  <c r="U450" i="7" s="1"/>
  <c r="U451" i="7" s="1"/>
  <c r="U452" i="7" s="1"/>
  <c r="U453" i="7" s="1"/>
  <c r="U454" i="7" s="1"/>
  <c r="U455" i="7" s="1"/>
  <c r="U456" i="7" s="1"/>
  <c r="U457" i="7" s="1"/>
  <c r="U458" i="7" s="1"/>
  <c r="U459" i="7" s="1"/>
  <c r="U460" i="7" s="1"/>
  <c r="U461" i="7" s="1"/>
  <c r="U462" i="7" s="1"/>
  <c r="U463" i="7" s="1"/>
  <c r="U464" i="7" s="1"/>
  <c r="U465" i="7" s="1"/>
  <c r="U466" i="7" s="1"/>
  <c r="U467" i="7" s="1"/>
  <c r="U468" i="7" s="1"/>
  <c r="U469" i="7" s="1"/>
  <c r="U470" i="7" s="1"/>
  <c r="U471" i="7" s="1"/>
  <c r="U472" i="7" s="1"/>
  <c r="U473" i="7" s="1"/>
  <c r="U474" i="7" s="1"/>
  <c r="U475" i="7" s="1"/>
  <c r="U476" i="7" s="1"/>
  <c r="U477" i="7" s="1"/>
  <c r="U478" i="7" s="1"/>
  <c r="U479" i="7" s="1"/>
  <c r="U480" i="7" s="1"/>
  <c r="U481" i="7" s="1"/>
  <c r="U482" i="7" s="1"/>
  <c r="U483" i="7" s="1"/>
  <c r="U484" i="7" s="1"/>
  <c r="U485" i="7" s="1"/>
  <c r="U486" i="7" s="1"/>
  <c r="U487" i="7" s="1"/>
  <c r="U488" i="7" s="1"/>
  <c r="U489" i="7" s="1"/>
  <c r="U490" i="7" s="1"/>
  <c r="U491" i="7" s="1"/>
  <c r="U492" i="7" s="1"/>
  <c r="U493" i="7" s="1"/>
  <c r="U494" i="7" s="1"/>
  <c r="U495" i="7" s="1"/>
  <c r="U496" i="7" s="1"/>
  <c r="U497" i="7" s="1"/>
  <c r="U498" i="7" s="1"/>
  <c r="U499" i="7" s="1"/>
  <c r="U500" i="7" s="1"/>
  <c r="U501" i="7" s="1"/>
  <c r="U502" i="7" s="1"/>
  <c r="U503" i="7" s="1"/>
  <c r="U504" i="7" s="1"/>
  <c r="U505" i="7" s="1"/>
  <c r="U506" i="7" s="1"/>
  <c r="U507" i="7" s="1"/>
  <c r="U508" i="7" s="1"/>
  <c r="U509" i="7" s="1"/>
  <c r="U22" i="8"/>
  <c r="U21" i="8" s="1"/>
  <c r="U20" i="8" s="1"/>
  <c r="U19" i="8" s="1"/>
  <c r="U18" i="8" s="1"/>
  <c r="U17" i="8" s="1"/>
  <c r="U16" i="8" s="1"/>
  <c r="U15" i="8" s="1"/>
  <c r="U14" i="8" s="1"/>
  <c r="U13" i="8" s="1"/>
  <c r="U12" i="8" s="1"/>
  <c r="U11" i="8" s="1"/>
  <c r="U10" i="8" s="1"/>
  <c r="U9" i="8" s="1"/>
  <c r="U8" i="8" s="1"/>
  <c r="U7" i="8" s="1"/>
  <c r="U6" i="8" s="1"/>
  <c r="U5" i="8" s="1"/>
  <c r="U23" i="8"/>
  <c r="R28" i="8"/>
  <c r="R27" i="8" s="1"/>
  <c r="R26" i="8" s="1"/>
  <c r="E30" i="23" l="1"/>
  <c r="E36" i="23"/>
  <c r="I36" i="23"/>
  <c r="M36" i="23"/>
  <c r="F36" i="23"/>
  <c r="J36" i="23"/>
  <c r="N36" i="23"/>
  <c r="G36" i="23"/>
  <c r="K36" i="23"/>
  <c r="O36" i="23"/>
  <c r="D36" i="23"/>
  <c r="H36" i="23"/>
  <c r="L36" i="23"/>
  <c r="C36" i="23"/>
  <c r="E12" i="24"/>
  <c r="J12" i="24"/>
  <c r="D12" i="24"/>
  <c r="P12" i="24" s="1"/>
  <c r="O12" i="24"/>
  <c r="L12" i="24"/>
  <c r="N12" i="24"/>
  <c r="G12" i="24"/>
  <c r="I12" i="24"/>
  <c r="F12" i="24"/>
  <c r="K12" i="24"/>
  <c r="H12" i="24"/>
  <c r="M12" i="24"/>
  <c r="N30" i="23"/>
  <c r="O30" i="23"/>
  <c r="M30" i="23"/>
  <c r="Q7" i="23"/>
  <c r="B1" i="23"/>
  <c r="J13" i="23" s="1"/>
  <c r="J30" i="23"/>
  <c r="L30" i="23"/>
  <c r="G30" i="23"/>
  <c r="I30" i="23"/>
  <c r="H30" i="23"/>
  <c r="K30" i="23"/>
  <c r="F30" i="23"/>
  <c r="D30" i="23"/>
  <c r="C30" i="23"/>
  <c r="F1" i="23"/>
  <c r="H5" i="9"/>
  <c r="H8" i="9"/>
  <c r="R25" i="8"/>
  <c r="AD4" i="18"/>
  <c r="AD5" i="18"/>
  <c r="AD8" i="18"/>
  <c r="AD9" i="18"/>
  <c r="AD10" i="18"/>
  <c r="AD11" i="18"/>
  <c r="Y4" i="18"/>
  <c r="Z4" i="18"/>
  <c r="AA4" i="18"/>
  <c r="AB4" i="18"/>
  <c r="AC4" i="18"/>
  <c r="Y5" i="18"/>
  <c r="Z5" i="18"/>
  <c r="AA5" i="18"/>
  <c r="AB5" i="18"/>
  <c r="AC5" i="18"/>
  <c r="Y9" i="18"/>
  <c r="Z9" i="18"/>
  <c r="AA9" i="18"/>
  <c r="AB9" i="18"/>
  <c r="AC9" i="18"/>
  <c r="Y10" i="18"/>
  <c r="Z10" i="18"/>
  <c r="AA10" i="18"/>
  <c r="AB10" i="18"/>
  <c r="AC10" i="18"/>
  <c r="Y11" i="18"/>
  <c r="Z11" i="18"/>
  <c r="AA11" i="18"/>
  <c r="AB11" i="18"/>
  <c r="AC11" i="18"/>
  <c r="AC8" i="18"/>
  <c r="AB8" i="18"/>
  <c r="AA8" i="18"/>
  <c r="Z8" i="18"/>
  <c r="Y8" i="18"/>
  <c r="P9" i="18"/>
  <c r="Q9" i="18"/>
  <c r="R9" i="18"/>
  <c r="P10" i="18"/>
  <c r="Q10" i="18"/>
  <c r="R10" i="18"/>
  <c r="P11" i="18"/>
  <c r="Q11" i="18"/>
  <c r="R11" i="18"/>
  <c r="R8" i="18"/>
  <c r="Q8" i="18"/>
  <c r="P8" i="18"/>
  <c r="B2" i="18"/>
  <c r="B1" i="18"/>
  <c r="E3" i="18"/>
  <c r="B5" i="18" s="1"/>
  <c r="E19" i="18"/>
  <c r="B7" i="18"/>
  <c r="C11" i="18" l="1"/>
  <c r="D11" i="18"/>
  <c r="B11" i="18"/>
  <c r="E11" i="18"/>
  <c r="N13" i="23"/>
  <c r="C13" i="23"/>
  <c r="M13" i="23"/>
  <c r="O13" i="23"/>
  <c r="G47" i="23"/>
  <c r="K47" i="23"/>
  <c r="O47" i="23"/>
  <c r="D47" i="23"/>
  <c r="H47" i="23"/>
  <c r="L47" i="23"/>
  <c r="C47" i="23"/>
  <c r="E47" i="23"/>
  <c r="I47" i="23"/>
  <c r="M47" i="23"/>
  <c r="F47" i="23"/>
  <c r="J47" i="23"/>
  <c r="N47" i="23"/>
  <c r="I13" i="23"/>
  <c r="D23" i="23"/>
  <c r="H23" i="23"/>
  <c r="L23" i="23"/>
  <c r="C23" i="23"/>
  <c r="E23" i="23"/>
  <c r="I23" i="23"/>
  <c r="M23" i="23"/>
  <c r="F23" i="23"/>
  <c r="J23" i="23"/>
  <c r="N23" i="23"/>
  <c r="G23" i="23"/>
  <c r="K23" i="23"/>
  <c r="O23" i="23"/>
  <c r="C18" i="18"/>
  <c r="C20" i="18" s="1"/>
  <c r="Q12" i="24"/>
  <c r="F13" i="23"/>
  <c r="L13" i="23"/>
  <c r="G13" i="23"/>
  <c r="D13" i="23"/>
  <c r="E13" i="23"/>
  <c r="J42" i="23"/>
  <c r="G42" i="23"/>
  <c r="K42" i="23"/>
  <c r="O42" i="23"/>
  <c r="E42" i="23"/>
  <c r="I42" i="23"/>
  <c r="M42" i="23"/>
  <c r="D42" i="23"/>
  <c r="H42" i="23"/>
  <c r="L42" i="23"/>
  <c r="C42" i="23"/>
  <c r="F42" i="23"/>
  <c r="N42" i="23"/>
  <c r="K13" i="23"/>
  <c r="H13" i="23"/>
  <c r="P30" i="23"/>
  <c r="Q30" i="23" s="1"/>
  <c r="O17" i="23"/>
  <c r="F17" i="23"/>
  <c r="N17" i="23"/>
  <c r="J17" i="23"/>
  <c r="G17" i="23"/>
  <c r="H17" i="23"/>
  <c r="M17" i="23"/>
  <c r="C17" i="23"/>
  <c r="D17" i="23"/>
  <c r="K17" i="23"/>
  <c r="L17" i="23"/>
  <c r="E17" i="23"/>
  <c r="I17" i="23"/>
  <c r="R24" i="8"/>
  <c r="D18" i="18"/>
  <c r="D20" i="18" s="1"/>
  <c r="E29" i="18"/>
  <c r="E14" i="18"/>
  <c r="Q15" i="24" l="1"/>
  <c r="H19" i="24" s="1"/>
  <c r="Q14" i="24"/>
  <c r="H16" i="24" s="1"/>
  <c r="E30" i="18"/>
  <c r="E31" i="18" s="1"/>
  <c r="E32" i="18" s="1"/>
  <c r="E33" i="18" s="1"/>
  <c r="E34" i="18" s="1"/>
  <c r="E35" i="18" s="1"/>
  <c r="E36" i="18" s="1"/>
  <c r="E37" i="18" s="1"/>
  <c r="E38" i="18" s="1"/>
  <c r="E39" i="18" s="1"/>
  <c r="E40" i="18" s="1"/>
  <c r="E41" i="18" s="1"/>
  <c r="E42" i="18" s="1"/>
  <c r="E43" i="18" s="1"/>
  <c r="E44" i="18" s="1"/>
  <c r="E45" i="18" s="1"/>
  <c r="E46" i="18" s="1"/>
  <c r="E47" i="18" s="1"/>
  <c r="E48" i="18" s="1"/>
  <c r="E49" i="18" s="1"/>
  <c r="E50" i="18" s="1"/>
  <c r="E51" i="18" s="1"/>
  <c r="E52" i="18" s="1"/>
  <c r="E53" i="18" s="1"/>
  <c r="E54" i="18" s="1"/>
  <c r="E55" i="18" s="1"/>
  <c r="E56" i="18" s="1"/>
  <c r="E57" i="18" s="1"/>
  <c r="E58" i="18" s="1"/>
  <c r="E59" i="18" s="1"/>
  <c r="E60" i="18" s="1"/>
  <c r="E61" i="18" s="1"/>
  <c r="E62" i="18" s="1"/>
  <c r="E63" i="18" s="1"/>
  <c r="E64" i="18" s="1"/>
  <c r="E65" i="18" s="1"/>
  <c r="E66" i="18" s="1"/>
  <c r="E67" i="18" s="1"/>
  <c r="E68" i="18" s="1"/>
  <c r="E69" i="18" s="1"/>
  <c r="E70" i="18" s="1"/>
  <c r="E71" i="18" s="1"/>
  <c r="E72" i="18" s="1"/>
  <c r="E73" i="18" s="1"/>
  <c r="E74" i="18" s="1"/>
  <c r="E75" i="18" s="1"/>
  <c r="E76" i="18" s="1"/>
  <c r="E77" i="18" s="1"/>
  <c r="E78" i="18" s="1"/>
  <c r="E79" i="18" s="1"/>
  <c r="E80" i="18" s="1"/>
  <c r="E81" i="18" s="1"/>
  <c r="E82" i="18" s="1"/>
  <c r="E83" i="18" s="1"/>
  <c r="E84" i="18" s="1"/>
  <c r="E85" i="18" s="1"/>
  <c r="E86" i="18" s="1"/>
  <c r="E87" i="18" s="1"/>
  <c r="E88" i="18" s="1"/>
  <c r="E89" i="18" s="1"/>
  <c r="E90" i="18" s="1"/>
  <c r="E91" i="18" s="1"/>
  <c r="E92" i="18" s="1"/>
  <c r="E93" i="18" s="1"/>
  <c r="E94" i="18" s="1"/>
  <c r="E95" i="18" s="1"/>
  <c r="E96" i="18" s="1"/>
  <c r="E97" i="18" s="1"/>
  <c r="E98" i="18" s="1"/>
  <c r="E99" i="18" s="1"/>
  <c r="E100" i="18" s="1"/>
  <c r="E101" i="18" s="1"/>
  <c r="E102" i="18" s="1"/>
  <c r="E103" i="18" s="1"/>
  <c r="E104" i="18" s="1"/>
  <c r="E105" i="18" s="1"/>
  <c r="E106" i="18" s="1"/>
  <c r="E107" i="18" s="1"/>
  <c r="E108" i="18" s="1"/>
  <c r="E109" i="18" s="1"/>
  <c r="E110" i="18" s="1"/>
  <c r="E111" i="18" s="1"/>
  <c r="E112" i="18" s="1"/>
  <c r="E113" i="18" s="1"/>
  <c r="E114" i="18" s="1"/>
  <c r="E115" i="18" s="1"/>
  <c r="E116" i="18" s="1"/>
  <c r="E117" i="18" s="1"/>
  <c r="E118" i="18" s="1"/>
  <c r="E119" i="18" s="1"/>
  <c r="E120" i="18" s="1"/>
  <c r="E121" i="18" s="1"/>
  <c r="E122" i="18" s="1"/>
  <c r="E123" i="18" s="1"/>
  <c r="E124" i="18" s="1"/>
  <c r="E125" i="18" s="1"/>
  <c r="E126" i="18" s="1"/>
  <c r="E127" i="18" s="1"/>
  <c r="E128" i="18" s="1"/>
  <c r="Q32" i="23"/>
  <c r="K34" i="23"/>
  <c r="K35" i="23" s="1"/>
  <c r="D34" i="23"/>
  <c r="D35" i="23" s="1"/>
  <c r="H34" i="23"/>
  <c r="E34" i="23"/>
  <c r="E35" i="23" s="1"/>
  <c r="M34" i="23"/>
  <c r="M35" i="23" s="1"/>
  <c r="P13" i="23"/>
  <c r="Q13" i="23" s="1"/>
  <c r="Q14" i="23" s="1"/>
  <c r="P17" i="23"/>
  <c r="Q17" i="23" s="1"/>
  <c r="P42" i="23"/>
  <c r="Q42" i="23" s="1"/>
  <c r="R23" i="8"/>
  <c r="B18" i="18"/>
  <c r="B20" i="18" s="1"/>
  <c r="G19" i="24" l="1"/>
  <c r="C19" i="24"/>
  <c r="F19" i="24"/>
  <c r="L19" i="24"/>
  <c r="K19" i="24"/>
  <c r="D19" i="24"/>
  <c r="O19" i="24"/>
  <c r="M19" i="24"/>
  <c r="N19" i="24"/>
  <c r="E19" i="24"/>
  <c r="J19" i="24"/>
  <c r="I19" i="24"/>
  <c r="I16" i="24"/>
  <c r="J16" i="24"/>
  <c r="K16" i="24"/>
  <c r="T10" i="24" s="1"/>
  <c r="T11" i="24" s="1"/>
  <c r="L16" i="24"/>
  <c r="F16" i="24"/>
  <c r="O16" i="24"/>
  <c r="C16" i="24"/>
  <c r="G16" i="24"/>
  <c r="E16" i="24"/>
  <c r="D16" i="24"/>
  <c r="M16" i="24"/>
  <c r="N16" i="24"/>
  <c r="N17" i="24" s="1"/>
  <c r="F34" i="23"/>
  <c r="F35" i="23" s="1"/>
  <c r="N34" i="23"/>
  <c r="N35" i="23" s="1"/>
  <c r="J34" i="23"/>
  <c r="J35" i="23" s="1"/>
  <c r="C34" i="23"/>
  <c r="C35" i="23" s="1"/>
  <c r="G34" i="23"/>
  <c r="G54" i="23" s="1"/>
  <c r="G55" i="23" s="1"/>
  <c r="I34" i="23"/>
  <c r="I35" i="23" s="1"/>
  <c r="L34" i="23"/>
  <c r="L35" i="23" s="1"/>
  <c r="O34" i="23"/>
  <c r="O35" i="23" s="1"/>
  <c r="Q44" i="23"/>
  <c r="F45" i="23"/>
  <c r="F46" i="23" s="1"/>
  <c r="H20" i="24"/>
  <c r="E45" i="23"/>
  <c r="E46" i="23" s="1"/>
  <c r="I45" i="23"/>
  <c r="M45" i="23"/>
  <c r="M46" i="23" s="1"/>
  <c r="J45" i="23"/>
  <c r="J46" i="23" s="1"/>
  <c r="N45" i="23"/>
  <c r="N46" i="23" s="1"/>
  <c r="G45" i="23"/>
  <c r="G46" i="23" s="1"/>
  <c r="O45" i="23"/>
  <c r="O46" i="23" s="1"/>
  <c r="D45" i="23"/>
  <c r="D46" i="23" s="1"/>
  <c r="H45" i="23"/>
  <c r="H46" i="23" s="1"/>
  <c r="L45" i="23"/>
  <c r="L46" i="23" s="1"/>
  <c r="C45" i="23"/>
  <c r="C46" i="23" s="1"/>
  <c r="H35" i="23"/>
  <c r="H54" i="23"/>
  <c r="H55" i="23" s="1"/>
  <c r="F37" i="23"/>
  <c r="F38" i="23" s="1"/>
  <c r="J37" i="23"/>
  <c r="J38" i="23" s="1"/>
  <c r="N37" i="23"/>
  <c r="N38" i="23" s="1"/>
  <c r="I37" i="23"/>
  <c r="I38" i="23" s="1"/>
  <c r="G37" i="23"/>
  <c r="G38" i="23" s="1"/>
  <c r="K37" i="23"/>
  <c r="K38" i="23" s="1"/>
  <c r="O37" i="23"/>
  <c r="O38" i="23" s="1"/>
  <c r="D37" i="23"/>
  <c r="D38" i="23" s="1"/>
  <c r="H37" i="23"/>
  <c r="H38" i="23" s="1"/>
  <c r="L37" i="23"/>
  <c r="L38" i="23" s="1"/>
  <c r="C37" i="23"/>
  <c r="C38" i="23" s="1"/>
  <c r="E37" i="23"/>
  <c r="E38" i="23" s="1"/>
  <c r="M37" i="23"/>
  <c r="M38" i="23" s="1"/>
  <c r="R22" i="8"/>
  <c r="E20" i="18"/>
  <c r="G35" i="23" l="1"/>
  <c r="J54" i="23"/>
  <c r="J55" i="23" s="1"/>
  <c r="K45" i="23"/>
  <c r="K46" i="23" s="1"/>
  <c r="J20" i="24"/>
  <c r="O20" i="24"/>
  <c r="D20" i="24"/>
  <c r="N20" i="24"/>
  <c r="M20" i="24"/>
  <c r="K20" i="24"/>
  <c r="E20" i="24"/>
  <c r="C20" i="24"/>
  <c r="G20" i="24"/>
  <c r="L20" i="24"/>
  <c r="F20" i="24"/>
  <c r="I20" i="24"/>
  <c r="I46" i="23"/>
  <c r="I54" i="23"/>
  <c r="I55" i="23" s="1"/>
  <c r="C48" i="23"/>
  <c r="F48" i="23"/>
  <c r="L48" i="23"/>
  <c r="H48" i="23"/>
  <c r="M48" i="23"/>
  <c r="D48" i="23"/>
  <c r="I48" i="23"/>
  <c r="N48" i="23"/>
  <c r="E48" i="23"/>
  <c r="J48" i="23"/>
  <c r="K48" i="23"/>
  <c r="O48" i="23"/>
  <c r="G48" i="23"/>
  <c r="O17" i="24"/>
  <c r="C17" i="24"/>
  <c r="G17" i="24"/>
  <c r="L17" i="24"/>
  <c r="D17" i="24"/>
  <c r="E17" i="24"/>
  <c r="K17" i="24"/>
  <c r="J17" i="24"/>
  <c r="M17" i="24"/>
  <c r="H17" i="24"/>
  <c r="I17" i="24"/>
  <c r="F17" i="24"/>
  <c r="D21" i="23"/>
  <c r="H21" i="23"/>
  <c r="H22" i="23" s="1"/>
  <c r="L21" i="23"/>
  <c r="G21" i="23"/>
  <c r="G22" i="23" s="1"/>
  <c r="E21" i="23"/>
  <c r="I21" i="23"/>
  <c r="I22" i="23" s="1"/>
  <c r="M21" i="23"/>
  <c r="C21" i="23"/>
  <c r="O21" i="23"/>
  <c r="F21" i="23"/>
  <c r="F54" i="23" s="1"/>
  <c r="F55" i="23" s="1"/>
  <c r="J21" i="23"/>
  <c r="J22" i="23" s="1"/>
  <c r="N21" i="23"/>
  <c r="K21" i="23"/>
  <c r="R21" i="8"/>
  <c r="F22" i="23" l="1"/>
  <c r="J49" i="23"/>
  <c r="D49" i="23"/>
  <c r="F49" i="23"/>
  <c r="G49" i="23"/>
  <c r="E49" i="23"/>
  <c r="M49" i="23"/>
  <c r="C49" i="23"/>
  <c r="L22" i="23"/>
  <c r="L54" i="23"/>
  <c r="L55" i="23" s="1"/>
  <c r="K54" i="23"/>
  <c r="K55" i="23" s="1"/>
  <c r="T7" i="23"/>
  <c r="T8" i="23" s="1"/>
  <c r="O22" i="23"/>
  <c r="O54" i="23"/>
  <c r="O55" i="23" s="1"/>
  <c r="E22" i="23"/>
  <c r="E54" i="23"/>
  <c r="E55" i="23" s="1"/>
  <c r="D22" i="23"/>
  <c r="D54" i="23"/>
  <c r="D55" i="23" s="1"/>
  <c r="O49" i="23"/>
  <c r="N49" i="23"/>
  <c r="H49" i="23"/>
  <c r="M22" i="23"/>
  <c r="M54" i="23"/>
  <c r="M55" i="23" s="1"/>
  <c r="N22" i="23"/>
  <c r="N54" i="23"/>
  <c r="N55" i="23" s="1"/>
  <c r="C22" i="23"/>
  <c r="C54" i="23"/>
  <c r="C55" i="23" s="1"/>
  <c r="E18" i="18"/>
  <c r="K49" i="23"/>
  <c r="I49" i="23"/>
  <c r="L49" i="23"/>
  <c r="D24" i="23"/>
  <c r="D25" i="23" s="1"/>
  <c r="H24" i="23"/>
  <c r="H25" i="23" s="1"/>
  <c r="L24" i="23"/>
  <c r="L25" i="23" s="1"/>
  <c r="C24" i="23"/>
  <c r="C25" i="23" s="1"/>
  <c r="E24" i="23"/>
  <c r="E25" i="23" s="1"/>
  <c r="I24" i="23"/>
  <c r="I25" i="23" s="1"/>
  <c r="M24" i="23"/>
  <c r="M25" i="23" s="1"/>
  <c r="G24" i="23"/>
  <c r="G25" i="23" s="1"/>
  <c r="O24" i="23"/>
  <c r="O25" i="23" s="1"/>
  <c r="F24" i="23"/>
  <c r="F25" i="23" s="1"/>
  <c r="J24" i="23"/>
  <c r="J25" i="23" s="1"/>
  <c r="N24" i="23"/>
  <c r="N25" i="23" s="1"/>
  <c r="K24" i="23"/>
  <c r="K25" i="23" s="1"/>
  <c r="K22" i="23"/>
  <c r="R20" i="8"/>
  <c r="I57" i="23" l="1"/>
  <c r="I58" i="23" s="1"/>
  <c r="D57" i="23"/>
  <c r="D58" i="23" s="1"/>
  <c r="L57" i="23"/>
  <c r="L58" i="23" s="1"/>
  <c r="N57" i="23"/>
  <c r="N58" i="23" s="1"/>
  <c r="M57" i="23"/>
  <c r="M58" i="23" s="1"/>
  <c r="G57" i="23"/>
  <c r="G58" i="23" s="1"/>
  <c r="K57" i="23"/>
  <c r="K58" i="23" s="1"/>
  <c r="H57" i="23"/>
  <c r="H58" i="23" s="1"/>
  <c r="O57" i="23"/>
  <c r="O58" i="23" s="1"/>
  <c r="C57" i="23"/>
  <c r="C58" i="23" s="1"/>
  <c r="E57" i="23"/>
  <c r="E58" i="23" s="1"/>
  <c r="F57" i="23"/>
  <c r="F58" i="23" s="1"/>
  <c r="J57" i="23"/>
  <c r="J58" i="23" s="1"/>
  <c r="R19" i="8"/>
  <c r="R18" i="8" l="1"/>
  <c r="AB10" i="17"/>
  <c r="R17" i="8" l="1"/>
  <c r="V15" i="8"/>
  <c r="V16" i="8" s="1"/>
  <c r="V17" i="8" s="1"/>
  <c r="V18" i="8" s="1"/>
  <c r="V19" i="8" s="1"/>
  <c r="V20" i="8" s="1"/>
  <c r="V21" i="8" s="1"/>
  <c r="V22" i="8" s="1"/>
  <c r="V23" i="8" s="1"/>
  <c r="V24" i="8" s="1"/>
  <c r="S15" i="8"/>
  <c r="S16" i="8" s="1"/>
  <c r="S17" i="8" s="1"/>
  <c r="S18" i="8" s="1"/>
  <c r="S19" i="8" s="1"/>
  <c r="S20" i="8" s="1"/>
  <c r="S21" i="8" s="1"/>
  <c r="S22" i="8" s="1"/>
  <c r="S23" i="8" s="1"/>
  <c r="S24" i="8" s="1"/>
  <c r="T15" i="8"/>
  <c r="T16" i="8" s="1"/>
  <c r="T17" i="8" s="1"/>
  <c r="T18" i="8" s="1"/>
  <c r="T19" i="8" s="1"/>
  <c r="T20" i="8" s="1"/>
  <c r="T21" i="8" s="1"/>
  <c r="T22" i="8" s="1"/>
  <c r="B1" i="8"/>
  <c r="B1" i="1"/>
  <c r="H4" i="1" l="1"/>
  <c r="H13" i="1" s="1"/>
  <c r="T4" i="1"/>
  <c r="T5" i="1" s="1"/>
  <c r="T6" i="1" s="1"/>
  <c r="T7" i="1" s="1"/>
  <c r="T8" i="1" s="1"/>
  <c r="T9" i="1" s="1"/>
  <c r="T10" i="1" s="1"/>
  <c r="T11" i="1" s="1"/>
  <c r="T12" i="1" s="1"/>
  <c r="T13" i="1" s="1"/>
  <c r="T14" i="1" s="1"/>
  <c r="T15" i="1" s="1"/>
  <c r="T16" i="1" s="1"/>
  <c r="T17" i="1" s="1"/>
  <c r="T18" i="1" s="1"/>
  <c r="T19" i="1" s="1"/>
  <c r="T20" i="1" s="1"/>
  <c r="T21" i="1" s="1"/>
  <c r="T22" i="1" s="1"/>
  <c r="T23" i="1" s="1"/>
  <c r="T24" i="1" s="1"/>
  <c r="T25" i="1" s="1"/>
  <c r="T26" i="1" s="1"/>
  <c r="T27" i="1" s="1"/>
  <c r="T28" i="1" s="1"/>
  <c r="T29" i="1" s="1"/>
  <c r="T30" i="1" s="1"/>
  <c r="T31" i="1" s="1"/>
  <c r="T32" i="1" s="1"/>
  <c r="T33" i="1" s="1"/>
  <c r="T34" i="1" s="1"/>
  <c r="I4" i="1"/>
  <c r="I5" i="1" s="1"/>
  <c r="H11" i="1"/>
  <c r="H7" i="1"/>
  <c r="H5" i="8"/>
  <c r="H9" i="8"/>
  <c r="H13" i="8"/>
  <c r="H17" i="8"/>
  <c r="H21" i="8"/>
  <c r="E27" i="8"/>
  <c r="H24" i="8"/>
  <c r="H6" i="8"/>
  <c r="H10" i="8"/>
  <c r="H14" i="8"/>
  <c r="H18" i="8"/>
  <c r="H22" i="8"/>
  <c r="E28" i="8"/>
  <c r="H12" i="8"/>
  <c r="H20" i="8"/>
  <c r="H7" i="8"/>
  <c r="H11" i="8"/>
  <c r="H15" i="8"/>
  <c r="H19" i="8"/>
  <c r="D8" i="9" s="1"/>
  <c r="H23" i="8"/>
  <c r="E29" i="8"/>
  <c r="H8" i="8"/>
  <c r="H16" i="8"/>
  <c r="E26" i="8"/>
  <c r="E25" i="8"/>
  <c r="E24" i="8"/>
  <c r="E23" i="8"/>
  <c r="E22" i="8"/>
  <c r="E21" i="8"/>
  <c r="E20" i="8"/>
  <c r="E19" i="8"/>
  <c r="E18" i="8"/>
  <c r="E17" i="8"/>
  <c r="R16" i="8"/>
  <c r="T23" i="8"/>
  <c r="G22" i="8"/>
  <c r="E3" i="7"/>
  <c r="C3" i="34" s="1"/>
  <c r="G7" i="34" l="1"/>
  <c r="G8" i="34"/>
  <c r="I7" i="34"/>
  <c r="H7" i="34"/>
  <c r="H8" i="34"/>
  <c r="I8" i="34"/>
  <c r="H8" i="1"/>
  <c r="H5" i="1"/>
  <c r="H9" i="1"/>
  <c r="H6" i="1"/>
  <c r="H14" i="1"/>
  <c r="H15" i="1" s="1"/>
  <c r="H16" i="1" s="1"/>
  <c r="H17" i="1" s="1"/>
  <c r="H18" i="1" s="1"/>
  <c r="H19" i="1" s="1"/>
  <c r="H20" i="1" s="1"/>
  <c r="H21" i="1" s="1"/>
  <c r="H22" i="1" s="1"/>
  <c r="H23" i="1" s="1"/>
  <c r="H24" i="1" s="1"/>
  <c r="H10" i="1"/>
  <c r="H12" i="1"/>
  <c r="I6" i="1"/>
  <c r="I1" i="1"/>
  <c r="B3" i="18"/>
  <c r="P4" i="18" s="1"/>
  <c r="L1" i="27"/>
  <c r="AN15" i="7"/>
  <c r="AM15" i="7"/>
  <c r="AO15" i="7"/>
  <c r="V26" i="18"/>
  <c r="V30" i="18"/>
  <c r="R15" i="8"/>
  <c r="E16" i="8"/>
  <c r="G23" i="8"/>
  <c r="T24" i="8"/>
  <c r="G24" i="8" s="1"/>
  <c r="J8" i="34" l="1"/>
  <c r="J7" i="34"/>
  <c r="P5" i="18"/>
  <c r="R5" i="18"/>
  <c r="Q5" i="18"/>
  <c r="R3" i="18"/>
  <c r="P3" i="18"/>
  <c r="B10" i="18" s="1"/>
  <c r="Q4" i="18"/>
  <c r="Q3" i="18"/>
  <c r="R4" i="18"/>
  <c r="K8" i="27"/>
  <c r="K12" i="27"/>
  <c r="K16" i="27"/>
  <c r="K20" i="27"/>
  <c r="K24" i="27"/>
  <c r="K28" i="27"/>
  <c r="K32" i="27"/>
  <c r="K6" i="27"/>
  <c r="K14" i="27"/>
  <c r="K22" i="27"/>
  <c r="K26" i="27"/>
  <c r="K4" i="27"/>
  <c r="K11" i="27"/>
  <c r="K19" i="27"/>
  <c r="K27" i="27"/>
  <c r="K31" i="27"/>
  <c r="K5" i="27"/>
  <c r="K9" i="27"/>
  <c r="K13" i="27"/>
  <c r="K17" i="27"/>
  <c r="K21" i="27"/>
  <c r="K25" i="27"/>
  <c r="K29" i="27"/>
  <c r="K33" i="27"/>
  <c r="K10" i="27"/>
  <c r="K18" i="27"/>
  <c r="K30" i="27"/>
  <c r="K7" i="27"/>
  <c r="K15" i="27"/>
  <c r="K23" i="27"/>
  <c r="V23" i="18"/>
  <c r="V27" i="18"/>
  <c r="V28" i="18"/>
  <c r="V32" i="18"/>
  <c r="V24" i="18"/>
  <c r="V29" i="18"/>
  <c r="V17" i="18"/>
  <c r="V22" i="18"/>
  <c r="V31" i="18"/>
  <c r="V16" i="18"/>
  <c r="V20" i="18"/>
  <c r="V25" i="18"/>
  <c r="V19" i="18"/>
  <c r="V33" i="18"/>
  <c r="R14" i="8"/>
  <c r="E15" i="8"/>
  <c r="L7" i="8"/>
  <c r="L6" i="8"/>
  <c r="L5" i="8"/>
  <c r="K7" i="34" l="1"/>
  <c r="L7" i="34"/>
  <c r="L8" i="34"/>
  <c r="K8" i="34"/>
  <c r="N8" i="34" s="1"/>
  <c r="D10" i="18"/>
  <c r="D12" i="18" s="1"/>
  <c r="D22" i="18" s="1"/>
  <c r="C10" i="18"/>
  <c r="C12" i="18" s="1"/>
  <c r="C21" i="18" s="1"/>
  <c r="L6" i="27"/>
  <c r="N6" i="27" s="1"/>
  <c r="Q6" i="27" s="1"/>
  <c r="B12" i="18"/>
  <c r="L10" i="27"/>
  <c r="N10" i="27" s="1"/>
  <c r="Q10" i="27" s="1"/>
  <c r="L33" i="27"/>
  <c r="N33" i="27" s="1"/>
  <c r="L17" i="27"/>
  <c r="N17" i="27" s="1"/>
  <c r="L4" i="27"/>
  <c r="N4" i="27" s="1"/>
  <c r="L20" i="27"/>
  <c r="N20" i="27" s="1"/>
  <c r="L30" i="27"/>
  <c r="N30" i="27" s="1"/>
  <c r="L29" i="27"/>
  <c r="N29" i="27" s="1"/>
  <c r="L13" i="27"/>
  <c r="N13" i="27" s="1"/>
  <c r="L27" i="27"/>
  <c r="N27" i="27" s="1"/>
  <c r="L26" i="27"/>
  <c r="N26" i="27" s="1"/>
  <c r="L32" i="27"/>
  <c r="N32" i="27" s="1"/>
  <c r="Q32" i="27" s="1"/>
  <c r="L16" i="27"/>
  <c r="N16" i="27" s="1"/>
  <c r="Q16" i="27" s="1"/>
  <c r="L23" i="27"/>
  <c r="N23" i="27" s="1"/>
  <c r="L18" i="27"/>
  <c r="N18" i="27" s="1"/>
  <c r="Q18" i="27" s="1"/>
  <c r="L25" i="27"/>
  <c r="N25" i="27" s="1"/>
  <c r="L9" i="27"/>
  <c r="N9" i="27" s="1"/>
  <c r="L19" i="27"/>
  <c r="N19" i="27" s="1"/>
  <c r="L22" i="27"/>
  <c r="N22" i="27" s="1"/>
  <c r="Q22" i="27" s="1"/>
  <c r="L28" i="27"/>
  <c r="N28" i="27" s="1"/>
  <c r="L12" i="27"/>
  <c r="N12" i="27" s="1"/>
  <c r="L7" i="27"/>
  <c r="N7" i="27" s="1"/>
  <c r="L31" i="27"/>
  <c r="N31" i="27" s="1"/>
  <c r="L15" i="27"/>
  <c r="N15" i="27" s="1"/>
  <c r="L21" i="27"/>
  <c r="N21" i="27" s="1"/>
  <c r="L5" i="27"/>
  <c r="N5" i="27" s="1"/>
  <c r="Q5" i="27" s="1"/>
  <c r="L11" i="27"/>
  <c r="N11" i="27" s="1"/>
  <c r="L14" i="27"/>
  <c r="N14" i="27" s="1"/>
  <c r="L24" i="27"/>
  <c r="N24" i="27" s="1"/>
  <c r="Q24" i="27" s="1"/>
  <c r="L8" i="27"/>
  <c r="N8" i="27" s="1"/>
  <c r="Q8" i="27" s="1"/>
  <c r="R13" i="8"/>
  <c r="E14" i="8"/>
  <c r="AB5" i="17"/>
  <c r="O1" i="17"/>
  <c r="V23" i="17" s="1"/>
  <c r="E10" i="18" l="1"/>
  <c r="E12" i="18" s="1"/>
  <c r="E21" i="18" s="1"/>
  <c r="Q4" i="27"/>
  <c r="D21" i="18"/>
  <c r="C22" i="18"/>
  <c r="Q7" i="27"/>
  <c r="Q30" i="27"/>
  <c r="Q15" i="27"/>
  <c r="Q13" i="27"/>
  <c r="Q28" i="27"/>
  <c r="Q9" i="27"/>
  <c r="Q23" i="27"/>
  <c r="Q26" i="27"/>
  <c r="Q33" i="27"/>
  <c r="B21" i="18"/>
  <c r="B22" i="18"/>
  <c r="Q14" i="27"/>
  <c r="Q21" i="27"/>
  <c r="Q31" i="27"/>
  <c r="Q12" i="27"/>
  <c r="Q27" i="27"/>
  <c r="Q29" i="27"/>
  <c r="Q20" i="27"/>
  <c r="Q17" i="27"/>
  <c r="Q11" i="27"/>
  <c r="Q19" i="27"/>
  <c r="Q25" i="27"/>
  <c r="E13" i="8"/>
  <c r="R12" i="8"/>
  <c r="C6" i="17"/>
  <c r="D7" i="17"/>
  <c r="D8" i="17"/>
  <c r="C9" i="17"/>
  <c r="G9" i="17"/>
  <c r="E10" i="17"/>
  <c r="I10" i="17"/>
  <c r="F11" i="17"/>
  <c r="J11" i="17"/>
  <c r="F12" i="17"/>
  <c r="J12" i="17"/>
  <c r="E13" i="17"/>
  <c r="I13" i="17"/>
  <c r="C14" i="17"/>
  <c r="G14" i="17"/>
  <c r="K14" i="17"/>
  <c r="D15" i="17"/>
  <c r="H15" i="17"/>
  <c r="L15" i="17"/>
  <c r="D16" i="17"/>
  <c r="H16" i="17"/>
  <c r="L16" i="17"/>
  <c r="C17" i="17"/>
  <c r="G17" i="17"/>
  <c r="K17" i="17"/>
  <c r="O17" i="17"/>
  <c r="E18" i="17"/>
  <c r="I18" i="17"/>
  <c r="M18" i="17"/>
  <c r="Q18" i="17"/>
  <c r="F19" i="17"/>
  <c r="J19" i="17"/>
  <c r="N19" i="17"/>
  <c r="R19" i="17"/>
  <c r="F20" i="17"/>
  <c r="J20" i="17"/>
  <c r="N20" i="17"/>
  <c r="R20" i="17"/>
  <c r="E21" i="17"/>
  <c r="I21" i="17"/>
  <c r="M21" i="17"/>
  <c r="Q21" i="17"/>
  <c r="C22" i="17"/>
  <c r="G22" i="17"/>
  <c r="K22" i="17"/>
  <c r="O22" i="17"/>
  <c r="S22" i="17"/>
  <c r="D23" i="17"/>
  <c r="H23" i="17"/>
  <c r="L23" i="17"/>
  <c r="P23" i="17"/>
  <c r="T23" i="17"/>
  <c r="D5" i="17"/>
  <c r="C7" i="17"/>
  <c r="G8" i="17"/>
  <c r="D10" i="17"/>
  <c r="E11" i="17"/>
  <c r="E12" i="17"/>
  <c r="D13" i="17"/>
  <c r="L13" i="17"/>
  <c r="J14" i="17"/>
  <c r="G15" i="17"/>
  <c r="C16" i="17"/>
  <c r="G16" i="17"/>
  <c r="O16" i="17"/>
  <c r="J17" i="17"/>
  <c r="D18" i="17"/>
  <c r="L18" i="17"/>
  <c r="E19" i="17"/>
  <c r="M19" i="17"/>
  <c r="E20" i="17"/>
  <c r="M20" i="17"/>
  <c r="D21" i="17"/>
  <c r="L21" i="17"/>
  <c r="T21" i="17"/>
  <c r="J22" i="17"/>
  <c r="R22" i="17"/>
  <c r="G23" i="17"/>
  <c r="O23" i="17"/>
  <c r="C4" i="17"/>
  <c r="E7" i="17"/>
  <c r="E8" i="17"/>
  <c r="D9" i="17"/>
  <c r="H9" i="17"/>
  <c r="F10" i="17"/>
  <c r="C11" i="17"/>
  <c r="G11" i="17"/>
  <c r="C12" i="17"/>
  <c r="G12" i="17"/>
  <c r="K12" i="17"/>
  <c r="F13" i="17"/>
  <c r="J13" i="17"/>
  <c r="D14" i="17"/>
  <c r="H14" i="17"/>
  <c r="L14" i="17"/>
  <c r="E15" i="17"/>
  <c r="I15" i="17"/>
  <c r="M15" i="17"/>
  <c r="E16" i="17"/>
  <c r="I16" i="17"/>
  <c r="M16" i="17"/>
  <c r="D17" i="17"/>
  <c r="H17" i="17"/>
  <c r="L17" i="17"/>
  <c r="P17" i="17"/>
  <c r="F18" i="17"/>
  <c r="J18" i="17"/>
  <c r="N18" i="17"/>
  <c r="C19" i="17"/>
  <c r="G19" i="17"/>
  <c r="K19" i="17"/>
  <c r="O19" i="17"/>
  <c r="C20" i="17"/>
  <c r="G20" i="17"/>
  <c r="K20" i="17"/>
  <c r="O20" i="17"/>
  <c r="S20" i="17"/>
  <c r="F21" i="17"/>
  <c r="J21" i="17"/>
  <c r="N21" i="17"/>
  <c r="R21" i="17"/>
  <c r="D22" i="17"/>
  <c r="H22" i="17"/>
  <c r="L22" i="17"/>
  <c r="P22" i="17"/>
  <c r="T22" i="17"/>
  <c r="E23" i="17"/>
  <c r="I23" i="17"/>
  <c r="M23" i="17"/>
  <c r="Q23" i="17"/>
  <c r="U23" i="17"/>
  <c r="C8" i="17"/>
  <c r="F9" i="17"/>
  <c r="H10" i="17"/>
  <c r="I11" i="17"/>
  <c r="I12" i="17"/>
  <c r="H13" i="17"/>
  <c r="F14" i="17"/>
  <c r="C15" i="17"/>
  <c r="K15" i="17"/>
  <c r="K16" i="17"/>
  <c r="F17" i="17"/>
  <c r="N17" i="17"/>
  <c r="H18" i="17"/>
  <c r="P18" i="17"/>
  <c r="I19" i="17"/>
  <c r="Q19" i="17"/>
  <c r="I20" i="17"/>
  <c r="Q20" i="17"/>
  <c r="H21" i="17"/>
  <c r="P21" i="17"/>
  <c r="F22" i="17"/>
  <c r="N22" i="17"/>
  <c r="C23" i="17"/>
  <c r="K23" i="17"/>
  <c r="S23" i="17"/>
  <c r="D6" i="17"/>
  <c r="C5" i="17"/>
  <c r="E6" i="17"/>
  <c r="F7" i="17"/>
  <c r="F8" i="17"/>
  <c r="E9" i="17"/>
  <c r="C10" i="17"/>
  <c r="G10" i="17"/>
  <c r="D11" i="17"/>
  <c r="H11" i="17"/>
  <c r="D12" i="17"/>
  <c r="H12" i="17"/>
  <c r="C13" i="17"/>
  <c r="G13" i="17"/>
  <c r="K13" i="17"/>
  <c r="E14" i="17"/>
  <c r="I14" i="17"/>
  <c r="M14" i="17"/>
  <c r="F15" i="17"/>
  <c r="J15" i="17"/>
  <c r="N15" i="17"/>
  <c r="F16" i="17"/>
  <c r="J16" i="17"/>
  <c r="N16" i="17"/>
  <c r="E17" i="17"/>
  <c r="I17" i="17"/>
  <c r="M17" i="17"/>
  <c r="C18" i="17"/>
  <c r="G18" i="17"/>
  <c r="K18" i="17"/>
  <c r="O18" i="17"/>
  <c r="D19" i="17"/>
  <c r="H19" i="17"/>
  <c r="L19" i="17"/>
  <c r="P19" i="17"/>
  <c r="D20" i="17"/>
  <c r="H20" i="17"/>
  <c r="L20" i="17"/>
  <c r="P20" i="17"/>
  <c r="C21" i="17"/>
  <c r="G21" i="17"/>
  <c r="K21" i="17"/>
  <c r="O21" i="17"/>
  <c r="S21" i="17"/>
  <c r="E22" i="17"/>
  <c r="I22" i="17"/>
  <c r="M22" i="17"/>
  <c r="Q22" i="17"/>
  <c r="U22" i="17"/>
  <c r="F23" i="17"/>
  <c r="J23" i="17"/>
  <c r="N23" i="17"/>
  <c r="R23" i="17"/>
  <c r="E22" i="18" l="1"/>
  <c r="R11" i="8"/>
  <c r="E12" i="8"/>
  <c r="Q1" i="14"/>
  <c r="AE32" i="14" l="1"/>
  <c r="AA28" i="14"/>
  <c r="W24" i="14"/>
  <c r="S20" i="14"/>
  <c r="O16" i="14"/>
  <c r="K12" i="14"/>
  <c r="G8" i="14"/>
  <c r="AF33" i="14"/>
  <c r="D8" i="14"/>
  <c r="E9" i="14"/>
  <c r="E10" i="14"/>
  <c r="D11" i="14"/>
  <c r="H11" i="14"/>
  <c r="F12" i="14"/>
  <c r="J12" i="14"/>
  <c r="G13" i="14"/>
  <c r="K13" i="14"/>
  <c r="G14" i="14"/>
  <c r="K14" i="14"/>
  <c r="F15" i="14"/>
  <c r="J15" i="14"/>
  <c r="D16" i="14"/>
  <c r="H16" i="14"/>
  <c r="L16" i="14"/>
  <c r="E17" i="14"/>
  <c r="I17" i="14"/>
  <c r="M17" i="14"/>
  <c r="E18" i="14"/>
  <c r="I18" i="14"/>
  <c r="M18" i="14"/>
  <c r="D19" i="14"/>
  <c r="H19" i="14"/>
  <c r="L19" i="14"/>
  <c r="P19" i="14"/>
  <c r="F20" i="14"/>
  <c r="J20" i="14"/>
  <c r="N20" i="14"/>
  <c r="R20" i="14"/>
  <c r="G21" i="14"/>
  <c r="K21" i="14"/>
  <c r="O21" i="14"/>
  <c r="S21" i="14"/>
  <c r="G22" i="14"/>
  <c r="K22" i="14"/>
  <c r="O22" i="14"/>
  <c r="S22" i="14"/>
  <c r="F23" i="14"/>
  <c r="J23" i="14"/>
  <c r="N23" i="14"/>
  <c r="R23" i="14"/>
  <c r="D24" i="14"/>
  <c r="H24" i="14"/>
  <c r="L24" i="14"/>
  <c r="P24" i="14"/>
  <c r="T24" i="14"/>
  <c r="E25" i="14"/>
  <c r="I25" i="14"/>
  <c r="M25" i="14"/>
  <c r="Q25" i="14"/>
  <c r="U25" i="14"/>
  <c r="E26" i="14"/>
  <c r="I26" i="14"/>
  <c r="M26" i="14"/>
  <c r="Q26" i="14"/>
  <c r="U26" i="14"/>
  <c r="D27" i="14"/>
  <c r="H27" i="14"/>
  <c r="L27" i="14"/>
  <c r="P27" i="14"/>
  <c r="T27" i="14"/>
  <c r="X27" i="14"/>
  <c r="F28" i="14"/>
  <c r="J28" i="14"/>
  <c r="N28" i="14"/>
  <c r="R28" i="14"/>
  <c r="V28" i="14"/>
  <c r="Z28" i="14"/>
  <c r="G29" i="14"/>
  <c r="K29" i="14"/>
  <c r="O29" i="14"/>
  <c r="S29" i="14"/>
  <c r="W29" i="14"/>
  <c r="AA29" i="14"/>
  <c r="G30" i="14"/>
  <c r="K30" i="14"/>
  <c r="AD31" i="14"/>
  <c r="Z27" i="14"/>
  <c r="V23" i="14"/>
  <c r="R19" i="14"/>
  <c r="N15" i="14"/>
  <c r="J11" i="14"/>
  <c r="F7" i="14"/>
  <c r="D6" i="14"/>
  <c r="E8" i="14"/>
  <c r="F9" i="14"/>
  <c r="F10" i="14"/>
  <c r="E11" i="14"/>
  <c r="I11" i="14"/>
  <c r="G12" i="14"/>
  <c r="D13" i="14"/>
  <c r="H13" i="14"/>
  <c r="D14" i="14"/>
  <c r="H14" i="14"/>
  <c r="L14" i="14"/>
  <c r="G15" i="14"/>
  <c r="K15" i="14"/>
  <c r="E16" i="14"/>
  <c r="I16" i="14"/>
  <c r="M16" i="14"/>
  <c r="F17" i="14"/>
  <c r="J17" i="14"/>
  <c r="N17" i="14"/>
  <c r="F18" i="14"/>
  <c r="J18" i="14"/>
  <c r="N18" i="14"/>
  <c r="E19" i="14"/>
  <c r="I19" i="14"/>
  <c r="M19" i="14"/>
  <c r="Q19" i="14"/>
  <c r="G20" i="14"/>
  <c r="K20" i="14"/>
  <c r="O20" i="14"/>
  <c r="D21" i="14"/>
  <c r="H21" i="14"/>
  <c r="L21" i="14"/>
  <c r="P21" i="14"/>
  <c r="D22" i="14"/>
  <c r="H22" i="14"/>
  <c r="L22" i="14"/>
  <c r="P22" i="14"/>
  <c r="T22" i="14"/>
  <c r="G23" i="14"/>
  <c r="K23" i="14"/>
  <c r="O23" i="14"/>
  <c r="S23" i="14"/>
  <c r="E24" i="14"/>
  <c r="I24" i="14"/>
  <c r="M24" i="14"/>
  <c r="Q24" i="14"/>
  <c r="U24" i="14"/>
  <c r="F25" i="14"/>
  <c r="J25" i="14"/>
  <c r="N25" i="14"/>
  <c r="R25" i="14"/>
  <c r="V25" i="14"/>
  <c r="F26" i="14"/>
  <c r="J26" i="14"/>
  <c r="N26" i="14"/>
  <c r="R26" i="14"/>
  <c r="V26" i="14"/>
  <c r="E27" i="14"/>
  <c r="I27" i="14"/>
  <c r="M27" i="14"/>
  <c r="Q27" i="14"/>
  <c r="U27" i="14"/>
  <c r="Y27" i="14"/>
  <c r="G28" i="14"/>
  <c r="K28" i="14"/>
  <c r="O28" i="14"/>
  <c r="S28" i="14"/>
  <c r="W28" i="14"/>
  <c r="D29" i="14"/>
  <c r="H29" i="14"/>
  <c r="L29" i="14"/>
  <c r="P29" i="14"/>
  <c r="T29" i="14"/>
  <c r="X29" i="14"/>
  <c r="D30" i="14"/>
  <c r="H30" i="14"/>
  <c r="L30" i="14"/>
  <c r="AC30" i="14"/>
  <c r="Y26" i="14"/>
  <c r="U22" i="14"/>
  <c r="Q18" i="14"/>
  <c r="M14" i="14"/>
  <c r="I10" i="14"/>
  <c r="E6" i="14"/>
  <c r="D7" i="14"/>
  <c r="F8" i="14"/>
  <c r="G9" i="14"/>
  <c r="G10" i="14"/>
  <c r="F11" i="14"/>
  <c r="D12" i="14"/>
  <c r="H12" i="14"/>
  <c r="E13" i="14"/>
  <c r="I13" i="14"/>
  <c r="E14" i="14"/>
  <c r="I14" i="14"/>
  <c r="D15" i="14"/>
  <c r="H15" i="14"/>
  <c r="L15" i="14"/>
  <c r="F16" i="14"/>
  <c r="J16" i="14"/>
  <c r="N16" i="14"/>
  <c r="G17" i="14"/>
  <c r="K17" i="14"/>
  <c r="O17" i="14"/>
  <c r="G18" i="14"/>
  <c r="K18" i="14"/>
  <c r="O18" i="14"/>
  <c r="F19" i="14"/>
  <c r="J19" i="14"/>
  <c r="N19" i="14"/>
  <c r="D20" i="14"/>
  <c r="H20" i="14"/>
  <c r="L20" i="14"/>
  <c r="P20" i="14"/>
  <c r="E21" i="14"/>
  <c r="I21" i="14"/>
  <c r="M21" i="14"/>
  <c r="Q21" i="14"/>
  <c r="E22" i="14"/>
  <c r="I22" i="14"/>
  <c r="M22" i="14"/>
  <c r="Q22" i="14"/>
  <c r="D23" i="14"/>
  <c r="H23" i="14"/>
  <c r="L23" i="14"/>
  <c r="P23" i="14"/>
  <c r="T23" i="14"/>
  <c r="F24" i="14"/>
  <c r="J24" i="14"/>
  <c r="N24" i="14"/>
  <c r="R24" i="14"/>
  <c r="V24" i="14"/>
  <c r="G25" i="14"/>
  <c r="K25" i="14"/>
  <c r="O25" i="14"/>
  <c r="S25" i="14"/>
  <c r="W25" i="14"/>
  <c r="G26" i="14"/>
  <c r="K26" i="14"/>
  <c r="O26" i="14"/>
  <c r="S26" i="14"/>
  <c r="W26" i="14"/>
  <c r="F27" i="14"/>
  <c r="J27" i="14"/>
  <c r="N27" i="14"/>
  <c r="R27" i="14"/>
  <c r="V27" i="14"/>
  <c r="D28" i="14"/>
  <c r="H28" i="14"/>
  <c r="L28" i="14"/>
  <c r="P28" i="14"/>
  <c r="T28" i="14"/>
  <c r="X28" i="14"/>
  <c r="E29" i="14"/>
  <c r="I29" i="14"/>
  <c r="M29" i="14"/>
  <c r="Q29" i="14"/>
  <c r="U29" i="14"/>
  <c r="Y29" i="14"/>
  <c r="E30" i="14"/>
  <c r="I30" i="14"/>
  <c r="AB29" i="14"/>
  <c r="L13" i="14"/>
  <c r="D9" i="14"/>
  <c r="E12" i="14"/>
  <c r="F14" i="14"/>
  <c r="M15" i="14"/>
  <c r="H17" i="14"/>
  <c r="L18" i="14"/>
  <c r="O19" i="14"/>
  <c r="Q20" i="14"/>
  <c r="R21" i="14"/>
  <c r="R22" i="14"/>
  <c r="Q23" i="14"/>
  <c r="O24" i="14"/>
  <c r="L25" i="14"/>
  <c r="H26" i="14"/>
  <c r="X26" i="14"/>
  <c r="S27" i="14"/>
  <c r="M28" i="14"/>
  <c r="F29" i="14"/>
  <c r="V29" i="14"/>
  <c r="M30" i="14"/>
  <c r="Q30" i="14"/>
  <c r="U30" i="14"/>
  <c r="Y30" i="14"/>
  <c r="D31" i="14"/>
  <c r="H31" i="14"/>
  <c r="L31" i="14"/>
  <c r="P31" i="14"/>
  <c r="T31" i="14"/>
  <c r="X31" i="14"/>
  <c r="AB31" i="14"/>
  <c r="F32" i="14"/>
  <c r="J32" i="14"/>
  <c r="N32" i="14"/>
  <c r="R32" i="14"/>
  <c r="V32" i="14"/>
  <c r="Z32" i="14"/>
  <c r="AD32" i="14"/>
  <c r="G33" i="14"/>
  <c r="K33" i="14"/>
  <c r="O33" i="14"/>
  <c r="S33" i="14"/>
  <c r="W33" i="14"/>
  <c r="AA33" i="14"/>
  <c r="AE33" i="14"/>
  <c r="C8" i="14"/>
  <c r="C12" i="14"/>
  <c r="C16" i="14"/>
  <c r="C20" i="14"/>
  <c r="C24" i="14"/>
  <c r="C28" i="14"/>
  <c r="C32" i="14"/>
  <c r="N29" i="14"/>
  <c r="O30" i="14"/>
  <c r="AA30" i="14"/>
  <c r="J31" i="14"/>
  <c r="R31" i="14"/>
  <c r="Z31" i="14"/>
  <c r="L32" i="14"/>
  <c r="T32" i="14"/>
  <c r="E33" i="14"/>
  <c r="M33" i="14"/>
  <c r="U33" i="14"/>
  <c r="X25" i="14"/>
  <c r="H9" i="14"/>
  <c r="D10" i="14"/>
  <c r="I12" i="14"/>
  <c r="J14" i="14"/>
  <c r="G16" i="14"/>
  <c r="L17" i="14"/>
  <c r="P18" i="14"/>
  <c r="E20" i="14"/>
  <c r="F21" i="14"/>
  <c r="F22" i="14"/>
  <c r="E23" i="14"/>
  <c r="U23" i="14"/>
  <c r="S24" i="14"/>
  <c r="P25" i="14"/>
  <c r="L26" i="14"/>
  <c r="G27" i="14"/>
  <c r="W27" i="14"/>
  <c r="Q28" i="14"/>
  <c r="J29" i="14"/>
  <c r="Z29" i="14"/>
  <c r="N30" i="14"/>
  <c r="R30" i="14"/>
  <c r="V30" i="14"/>
  <c r="Z30" i="14"/>
  <c r="E31" i="14"/>
  <c r="I31" i="14"/>
  <c r="M31" i="14"/>
  <c r="Q31" i="14"/>
  <c r="U31" i="14"/>
  <c r="Y31" i="14"/>
  <c r="AC31" i="14"/>
  <c r="G32" i="14"/>
  <c r="K32" i="14"/>
  <c r="O32" i="14"/>
  <c r="S32" i="14"/>
  <c r="W32" i="14"/>
  <c r="AA32" i="14"/>
  <c r="D33" i="14"/>
  <c r="H33" i="14"/>
  <c r="L33" i="14"/>
  <c r="P33" i="14"/>
  <c r="T33" i="14"/>
  <c r="X33" i="14"/>
  <c r="AB33" i="14"/>
  <c r="C5" i="14"/>
  <c r="C9" i="14"/>
  <c r="C13" i="14"/>
  <c r="C17" i="14"/>
  <c r="C21" i="14"/>
  <c r="C25" i="14"/>
  <c r="C29" i="14"/>
  <c r="C33" i="14"/>
  <c r="T21" i="14"/>
  <c r="D5" i="14"/>
  <c r="H10" i="14"/>
  <c r="F13" i="14"/>
  <c r="E15" i="14"/>
  <c r="K16" i="14"/>
  <c r="D18" i="14"/>
  <c r="G19" i="14"/>
  <c r="I20" i="14"/>
  <c r="J21" i="14"/>
  <c r="J22" i="14"/>
  <c r="I23" i="14"/>
  <c r="G24" i="14"/>
  <c r="D25" i="14"/>
  <c r="T25" i="14"/>
  <c r="P26" i="14"/>
  <c r="K27" i="14"/>
  <c r="E28" i="14"/>
  <c r="U28" i="14"/>
  <c r="F30" i="14"/>
  <c r="S30" i="14"/>
  <c r="W30" i="14"/>
  <c r="F31" i="14"/>
  <c r="N31" i="14"/>
  <c r="V31" i="14"/>
  <c r="D32" i="14"/>
  <c r="H32" i="14"/>
  <c r="P32" i="14"/>
  <c r="X32" i="14"/>
  <c r="AB32" i="14"/>
  <c r="I33" i="14"/>
  <c r="Q33" i="14"/>
  <c r="P17" i="14"/>
  <c r="I15" i="14"/>
  <c r="M20" i="14"/>
  <c r="K24" i="14"/>
  <c r="O27" i="14"/>
  <c r="J30" i="14"/>
  <c r="AB30" i="14"/>
  <c r="S31" i="14"/>
  <c r="I32" i="14"/>
  <c r="Y32" i="14"/>
  <c r="N33" i="14"/>
  <c r="Z33" i="14"/>
  <c r="C7" i="14"/>
  <c r="C15" i="14"/>
  <c r="C23" i="14"/>
  <c r="C31" i="14"/>
  <c r="Q32" i="14"/>
  <c r="V33" i="14"/>
  <c r="C11" i="14"/>
  <c r="C27" i="14"/>
  <c r="K19" i="14"/>
  <c r="R29" i="14"/>
  <c r="O31" i="14"/>
  <c r="U32" i="14"/>
  <c r="C6" i="14"/>
  <c r="C22" i="14"/>
  <c r="E7" i="14"/>
  <c r="D17" i="14"/>
  <c r="N21" i="14"/>
  <c r="H25" i="14"/>
  <c r="I28" i="14"/>
  <c r="P30" i="14"/>
  <c r="G31" i="14"/>
  <c r="W31" i="14"/>
  <c r="M32" i="14"/>
  <c r="AC32" i="14"/>
  <c r="R33" i="14"/>
  <c r="AC33" i="14"/>
  <c r="C10" i="14"/>
  <c r="C18" i="14"/>
  <c r="C26" i="14"/>
  <c r="C4" i="14"/>
  <c r="G11" i="14"/>
  <c r="H18" i="14"/>
  <c r="N22" i="14"/>
  <c r="D26" i="14"/>
  <c r="Y28" i="14"/>
  <c r="T30" i="14"/>
  <c r="K31" i="14"/>
  <c r="AA31" i="14"/>
  <c r="F33" i="14"/>
  <c r="AD33" i="14"/>
  <c r="C19" i="14"/>
  <c r="J13" i="14"/>
  <c r="M23" i="14"/>
  <c r="T26" i="14"/>
  <c r="X30" i="14"/>
  <c r="E32" i="14"/>
  <c r="J33" i="14"/>
  <c r="Y33" i="14"/>
  <c r="C14" i="14"/>
  <c r="C30" i="14"/>
  <c r="R10" i="8"/>
  <c r="E11" i="8"/>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 i="15"/>
  <c r="C4" i="15" l="1"/>
  <c r="R9" i="8"/>
  <c r="E10" i="8"/>
  <c r="C31" i="15"/>
  <c r="C28" i="15"/>
  <c r="C19" i="15"/>
  <c r="C14" i="15"/>
  <c r="C3" i="15"/>
  <c r="C27" i="15"/>
  <c r="C11" i="15"/>
  <c r="C32" i="15"/>
  <c r="H5" i="15" s="1"/>
  <c r="C22" i="15"/>
  <c r="C30" i="15"/>
  <c r="C26" i="15"/>
  <c r="C18" i="15"/>
  <c r="C10" i="15"/>
  <c r="C29" i="15"/>
  <c r="C23" i="15"/>
  <c r="C15" i="15"/>
  <c r="C6" i="15"/>
  <c r="C7" i="15"/>
  <c r="C25" i="15"/>
  <c r="C21" i="15"/>
  <c r="C17" i="15"/>
  <c r="C13" i="15"/>
  <c r="C9" i="15"/>
  <c r="C5" i="15"/>
  <c r="C24" i="15"/>
  <c r="C20" i="15"/>
  <c r="C16" i="15"/>
  <c r="C12" i="15"/>
  <c r="C8" i="15"/>
  <c r="AT25" i="11"/>
  <c r="AS25" i="11"/>
  <c r="AR25" i="11"/>
  <c r="AP25" i="11"/>
  <c r="AO25" i="11"/>
  <c r="AN25" i="11"/>
  <c r="AL25" i="11"/>
  <c r="AK25" i="11"/>
  <c r="AJ25" i="11"/>
  <c r="AD25" i="11"/>
  <c r="AC25" i="11"/>
  <c r="AB25" i="11"/>
  <c r="Z25" i="11"/>
  <c r="Y25" i="11"/>
  <c r="X25" i="11"/>
  <c r="R25" i="11"/>
  <c r="Q25" i="11"/>
  <c r="P25" i="11"/>
  <c r="N25" i="11"/>
  <c r="M25" i="11"/>
  <c r="L25" i="11"/>
  <c r="K25" i="11"/>
  <c r="J25" i="11"/>
  <c r="I25" i="11"/>
  <c r="H25" i="11"/>
  <c r="N21" i="11"/>
  <c r="M21" i="11"/>
  <c r="L21" i="11"/>
  <c r="J21" i="11"/>
  <c r="I21" i="11"/>
  <c r="H21" i="11"/>
  <c r="AU20" i="11"/>
  <c r="AU21" i="11" s="1"/>
  <c r="AT20" i="11"/>
  <c r="AT21" i="11" s="1"/>
  <c r="AS20" i="11"/>
  <c r="AS21" i="11" s="1"/>
  <c r="AR20" i="11"/>
  <c r="AR21" i="11" s="1"/>
  <c r="AQ20" i="11"/>
  <c r="AQ21" i="11" s="1"/>
  <c r="AP20" i="11"/>
  <c r="AP21" i="11" s="1"/>
  <c r="AO20" i="11"/>
  <c r="AO21" i="11" s="1"/>
  <c r="AN20" i="11"/>
  <c r="AN21" i="11" s="1"/>
  <c r="AM20" i="11"/>
  <c r="AM21" i="11" s="1"/>
  <c r="AL20" i="11"/>
  <c r="AL21" i="11" s="1"/>
  <c r="AK20" i="11"/>
  <c r="AK21" i="11" s="1"/>
  <c r="AJ20" i="11"/>
  <c r="AJ21" i="11" s="1"/>
  <c r="AE20" i="11"/>
  <c r="AE21" i="11" s="1"/>
  <c r="AD20" i="11"/>
  <c r="AD21" i="11" s="1"/>
  <c r="AC20" i="11"/>
  <c r="AC21" i="11" s="1"/>
  <c r="AB20" i="11"/>
  <c r="AB21" i="11" s="1"/>
  <c r="AA20" i="11"/>
  <c r="AA21" i="11" s="1"/>
  <c r="Z20" i="11"/>
  <c r="Z21" i="11" s="1"/>
  <c r="Y20" i="11"/>
  <c r="Y21" i="11" s="1"/>
  <c r="X20" i="11"/>
  <c r="X21" i="11" s="1"/>
  <c r="S20" i="11"/>
  <c r="S21" i="11" s="1"/>
  <c r="R20" i="11"/>
  <c r="R21" i="11" s="1"/>
  <c r="Q20" i="11"/>
  <c r="Q21" i="11" s="1"/>
  <c r="P20" i="11"/>
  <c r="P21" i="11" s="1"/>
  <c r="O20" i="11"/>
  <c r="O21" i="11" s="1"/>
  <c r="AO10" i="11"/>
  <c r="AO11" i="11" s="1"/>
  <c r="AO12" i="11" s="1"/>
  <c r="AO13" i="11" s="1"/>
  <c r="AO14" i="11" s="1"/>
  <c r="AO15" i="11" s="1"/>
  <c r="AO8" i="11"/>
  <c r="AO9" i="11" s="1"/>
  <c r="AC8" i="11"/>
  <c r="AC9" i="11" s="1"/>
  <c r="AC10" i="11" s="1"/>
  <c r="AC11" i="11" s="1"/>
  <c r="AC12" i="11" s="1"/>
  <c r="AC13" i="11" s="1"/>
  <c r="AC14" i="11" s="1"/>
  <c r="AC15" i="11" s="1"/>
  <c r="AT7" i="11"/>
  <c r="AT8" i="11" s="1"/>
  <c r="AT9" i="11" s="1"/>
  <c r="AT10" i="11" s="1"/>
  <c r="AT11" i="11" s="1"/>
  <c r="AT12" i="11" s="1"/>
  <c r="AT13" i="11" s="1"/>
  <c r="AT14" i="11" s="1"/>
  <c r="AT15" i="11" s="1"/>
  <c r="AS7" i="11"/>
  <c r="AS8" i="11" s="1"/>
  <c r="AS9" i="11" s="1"/>
  <c r="AS10" i="11" s="1"/>
  <c r="AS11" i="11" s="1"/>
  <c r="AS12" i="11" s="1"/>
  <c r="AS13" i="11" s="1"/>
  <c r="AS14" i="11" s="1"/>
  <c r="AS15" i="11" s="1"/>
  <c r="AR7" i="11"/>
  <c r="AR8" i="11" s="1"/>
  <c r="AR9" i="11" s="1"/>
  <c r="AR10" i="11" s="1"/>
  <c r="AR11" i="11" s="1"/>
  <c r="AR12" i="11" s="1"/>
  <c r="AR13" i="11" s="1"/>
  <c r="AR14" i="11" s="1"/>
  <c r="AR15" i="11" s="1"/>
  <c r="AP7" i="11"/>
  <c r="AP8" i="11" s="1"/>
  <c r="AP9" i="11" s="1"/>
  <c r="AP10" i="11" s="1"/>
  <c r="AP11" i="11" s="1"/>
  <c r="AP12" i="11" s="1"/>
  <c r="AP13" i="11" s="1"/>
  <c r="AP14" i="11" s="1"/>
  <c r="AP15" i="11" s="1"/>
  <c r="AO7" i="11"/>
  <c r="AN7" i="11"/>
  <c r="AN8" i="11" s="1"/>
  <c r="AN9" i="11" s="1"/>
  <c r="AN10" i="11" s="1"/>
  <c r="AN11" i="11" s="1"/>
  <c r="AN12" i="11" s="1"/>
  <c r="AN13" i="11" s="1"/>
  <c r="AN14" i="11" s="1"/>
  <c r="AN15" i="11" s="1"/>
  <c r="AL7" i="11"/>
  <c r="AL8" i="11" s="1"/>
  <c r="AL9" i="11" s="1"/>
  <c r="AL10" i="11" s="1"/>
  <c r="AL11" i="11" s="1"/>
  <c r="AL12" i="11" s="1"/>
  <c r="AL13" i="11" s="1"/>
  <c r="AL14" i="11" s="1"/>
  <c r="AL15" i="11" s="1"/>
  <c r="AK7" i="11"/>
  <c r="AK8" i="11" s="1"/>
  <c r="AK9" i="11" s="1"/>
  <c r="AK10" i="11" s="1"/>
  <c r="AK11" i="11" s="1"/>
  <c r="AK12" i="11" s="1"/>
  <c r="AK13" i="11" s="1"/>
  <c r="AK14" i="11" s="1"/>
  <c r="AK15" i="11" s="1"/>
  <c r="AJ7" i="11"/>
  <c r="AJ8" i="11" s="1"/>
  <c r="AJ9" i="11" s="1"/>
  <c r="AJ10" i="11" s="1"/>
  <c r="AJ11" i="11" s="1"/>
  <c r="AJ12" i="11" s="1"/>
  <c r="AJ13" i="11" s="1"/>
  <c r="AJ14" i="11" s="1"/>
  <c r="AJ15" i="11" s="1"/>
  <c r="AD7" i="11"/>
  <c r="AD8" i="11" s="1"/>
  <c r="AD9" i="11" s="1"/>
  <c r="AD10" i="11" s="1"/>
  <c r="AD11" i="11" s="1"/>
  <c r="AD12" i="11" s="1"/>
  <c r="AD13" i="11" s="1"/>
  <c r="AD14" i="11" s="1"/>
  <c r="AD15" i="11" s="1"/>
  <c r="AC7" i="11"/>
  <c r="AB7" i="11"/>
  <c r="AB8" i="11" s="1"/>
  <c r="AB9" i="11" s="1"/>
  <c r="AB10" i="11" s="1"/>
  <c r="AB11" i="11" s="1"/>
  <c r="AB12" i="11" s="1"/>
  <c r="AB13" i="11" s="1"/>
  <c r="AB14" i="11" s="1"/>
  <c r="AB15" i="11" s="1"/>
  <c r="R7" i="11"/>
  <c r="R8" i="11" s="1"/>
  <c r="R9" i="11" s="1"/>
  <c r="R10" i="11" s="1"/>
  <c r="R11" i="11" s="1"/>
  <c r="R12" i="11" s="1"/>
  <c r="R13" i="11" s="1"/>
  <c r="R14" i="11" s="1"/>
  <c r="R15" i="11" s="1"/>
  <c r="Q7" i="11"/>
  <c r="Q8" i="11" s="1"/>
  <c r="Q9" i="11" s="1"/>
  <c r="Q10" i="11" s="1"/>
  <c r="Q11" i="11" s="1"/>
  <c r="Q12" i="11" s="1"/>
  <c r="Q13" i="11" s="1"/>
  <c r="Q14" i="11" s="1"/>
  <c r="Q15" i="11" s="1"/>
  <c r="P7" i="11"/>
  <c r="P8" i="11" s="1"/>
  <c r="P9" i="11" s="1"/>
  <c r="P10" i="11" s="1"/>
  <c r="P11" i="11" s="1"/>
  <c r="P12" i="11" s="1"/>
  <c r="P13" i="11" s="1"/>
  <c r="P14" i="11" s="1"/>
  <c r="P15" i="11" s="1"/>
  <c r="N7" i="11"/>
  <c r="N8" i="11" s="1"/>
  <c r="N9" i="11" s="1"/>
  <c r="N10" i="11" s="1"/>
  <c r="N11" i="11" s="1"/>
  <c r="N12" i="11" s="1"/>
  <c r="N13" i="11" s="1"/>
  <c r="N14" i="11" s="1"/>
  <c r="N15" i="11" s="1"/>
  <c r="M7" i="11"/>
  <c r="M8" i="11" s="1"/>
  <c r="M9" i="11" s="1"/>
  <c r="M10" i="11" s="1"/>
  <c r="M11" i="11" s="1"/>
  <c r="M12" i="11" s="1"/>
  <c r="M13" i="11" s="1"/>
  <c r="M14" i="11" s="1"/>
  <c r="M15" i="11" s="1"/>
  <c r="L7" i="11"/>
  <c r="L8" i="11" s="1"/>
  <c r="L9" i="11" s="1"/>
  <c r="L10" i="11" s="1"/>
  <c r="L11" i="11" s="1"/>
  <c r="L12" i="11" s="1"/>
  <c r="L13" i="11" s="1"/>
  <c r="L14" i="11" s="1"/>
  <c r="L15" i="11" s="1"/>
  <c r="J7" i="11"/>
  <c r="J8" i="11" s="1"/>
  <c r="J9" i="11" s="1"/>
  <c r="J10" i="11" s="1"/>
  <c r="J11" i="11" s="1"/>
  <c r="J12" i="11" s="1"/>
  <c r="J13" i="11" s="1"/>
  <c r="J14" i="11" s="1"/>
  <c r="J15" i="11" s="1"/>
  <c r="I7" i="11"/>
  <c r="I8" i="11" s="1"/>
  <c r="I9" i="11" s="1"/>
  <c r="I10" i="11" s="1"/>
  <c r="I11" i="11" s="1"/>
  <c r="I12" i="11" s="1"/>
  <c r="I13" i="11" s="1"/>
  <c r="I14" i="11" s="1"/>
  <c r="I15" i="11" s="1"/>
  <c r="H7" i="11"/>
  <c r="H8" i="11" s="1"/>
  <c r="H9" i="11" s="1"/>
  <c r="H10" i="11" s="1"/>
  <c r="H11" i="11" s="1"/>
  <c r="H12" i="11" s="1"/>
  <c r="H13" i="11" s="1"/>
  <c r="H14" i="11" s="1"/>
  <c r="H15" i="11" s="1"/>
  <c r="AA5" i="11"/>
  <c r="E9" i="8" l="1"/>
  <c r="R8" i="8"/>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5" i="5"/>
  <c r="R7" i="8" l="1"/>
  <c r="E8" i="8"/>
  <c r="R6" i="8" l="1"/>
  <c r="E7" i="8"/>
  <c r="D5" i="9" s="1"/>
  <c r="CK16" i="7"/>
  <c r="DF16" i="7" s="1"/>
  <c r="CL16" i="7"/>
  <c r="EM16" i="7" l="1"/>
  <c r="DG16" i="7"/>
  <c r="CK17" i="7"/>
  <c r="DF17" i="7" s="1"/>
  <c r="R5" i="8"/>
  <c r="E5" i="8" s="1"/>
  <c r="E6" i="8"/>
  <c r="E5" i="6"/>
  <c r="B5" i="11" s="1"/>
  <c r="E6" i="6"/>
  <c r="B6" i="11" s="1"/>
  <c r="E7" i="6"/>
  <c r="B7" i="11" s="1"/>
  <c r="E8" i="6"/>
  <c r="B8" i="11" s="1"/>
  <c r="E9" i="6"/>
  <c r="B9" i="11" s="1"/>
  <c r="E10" i="6"/>
  <c r="B10" i="11" s="1"/>
  <c r="E11" i="6"/>
  <c r="B11" i="11" s="1"/>
  <c r="E12" i="6"/>
  <c r="B12" i="11" s="1"/>
  <c r="E13" i="6"/>
  <c r="B13" i="11" s="1"/>
  <c r="E14" i="6"/>
  <c r="B14" i="11" s="1"/>
  <c r="E15" i="6"/>
  <c r="B15" i="11" s="1"/>
  <c r="E16" i="6"/>
  <c r="B16" i="11" s="1"/>
  <c r="E17" i="6"/>
  <c r="B17" i="11" s="1"/>
  <c r="E18" i="6"/>
  <c r="B18" i="11" s="1"/>
  <c r="E19" i="6"/>
  <c r="B19" i="11" s="1"/>
  <c r="E20" i="6"/>
  <c r="B20" i="11" s="1"/>
  <c r="E21" i="6"/>
  <c r="B21" i="11" s="1"/>
  <c r="E22" i="6"/>
  <c r="B22" i="11" s="1"/>
  <c r="E23" i="6"/>
  <c r="B23" i="11" s="1"/>
  <c r="E4" i="6"/>
  <c r="B4" i="11" s="1"/>
  <c r="AQ6" i="11" l="1"/>
  <c r="AQ7" i="11" s="1"/>
  <c r="AQ8" i="11" s="1"/>
  <c r="AQ9" i="11" s="1"/>
  <c r="AQ10" i="11" s="1"/>
  <c r="AQ11" i="11" s="1"/>
  <c r="AQ12" i="11" s="1"/>
  <c r="AQ13" i="11" s="1"/>
  <c r="AQ14" i="11" s="1"/>
  <c r="AQ15" i="11" s="1"/>
  <c r="AI6" i="11"/>
  <c r="AI7" i="11" s="1"/>
  <c r="AI8" i="11" s="1"/>
  <c r="AI9" i="11" s="1"/>
  <c r="AI10" i="11" s="1"/>
  <c r="AI11" i="11" s="1"/>
  <c r="AI12" i="11" s="1"/>
  <c r="AI13" i="11" s="1"/>
  <c r="AI14" i="11" s="1"/>
  <c r="AI15" i="11" s="1"/>
  <c r="W6" i="11"/>
  <c r="W7" i="11" s="1"/>
  <c r="W8" i="11" s="1"/>
  <c r="W9" i="11" s="1"/>
  <c r="W10" i="11" s="1"/>
  <c r="W11" i="11" s="1"/>
  <c r="W12" i="11" s="1"/>
  <c r="W13" i="11" s="1"/>
  <c r="W14" i="11" s="1"/>
  <c r="W15" i="11" s="1"/>
  <c r="AU6" i="11"/>
  <c r="AU7" i="11" s="1"/>
  <c r="AU8" i="11" s="1"/>
  <c r="AU9" i="11" s="1"/>
  <c r="AU10" i="11" s="1"/>
  <c r="AU11" i="11" s="1"/>
  <c r="AU12" i="11" s="1"/>
  <c r="AU13" i="11" s="1"/>
  <c r="AU14" i="11" s="1"/>
  <c r="AU15" i="11" s="1"/>
  <c r="O6" i="11"/>
  <c r="O7" i="11" s="1"/>
  <c r="O8" i="11" s="1"/>
  <c r="O9" i="11" s="1"/>
  <c r="O10" i="11" s="1"/>
  <c r="O11" i="11" s="1"/>
  <c r="O12" i="11" s="1"/>
  <c r="O13" i="11" s="1"/>
  <c r="O14" i="11" s="1"/>
  <c r="O15" i="11" s="1"/>
  <c r="S6" i="11"/>
  <c r="S7" i="11" s="1"/>
  <c r="S8" i="11" s="1"/>
  <c r="S9" i="11" s="1"/>
  <c r="S10" i="11" s="1"/>
  <c r="S11" i="11" s="1"/>
  <c r="S12" i="11" s="1"/>
  <c r="S13" i="11" s="1"/>
  <c r="S14" i="11" s="1"/>
  <c r="S15" i="11" s="1"/>
  <c r="AE6" i="11"/>
  <c r="AE7" i="11" s="1"/>
  <c r="AE8" i="11" s="1"/>
  <c r="AE9" i="11" s="1"/>
  <c r="AE10" i="11" s="1"/>
  <c r="AE11" i="11" s="1"/>
  <c r="AE12" i="11" s="1"/>
  <c r="AE13" i="11" s="1"/>
  <c r="AE14" i="11" s="1"/>
  <c r="AE15" i="11" s="1"/>
  <c r="K7" i="11"/>
  <c r="K8" i="11" s="1"/>
  <c r="K9" i="11" s="1"/>
  <c r="K10" i="11" s="1"/>
  <c r="K11" i="11" s="1"/>
  <c r="K12" i="11" s="1"/>
  <c r="K13" i="11" s="1"/>
  <c r="K14" i="11" s="1"/>
  <c r="K15" i="11" s="1"/>
  <c r="J5" i="8"/>
  <c r="K5" i="8"/>
  <c r="J6" i="8"/>
  <c r="K6" i="8"/>
  <c r="S6" i="8"/>
  <c r="F6" i="8" s="1"/>
  <c r="T6" i="8"/>
  <c r="T5" i="8" s="1"/>
  <c r="G5" i="8" s="1"/>
  <c r="V6" i="8"/>
  <c r="I6" i="8" s="1"/>
  <c r="X26" i="18" l="1"/>
  <c r="X19" i="18"/>
  <c r="X35" i="18"/>
  <c r="X27" i="18"/>
  <c r="X28" i="18"/>
  <c r="V18" i="18"/>
  <c r="V21" i="18"/>
  <c r="X21" i="18"/>
  <c r="X34" i="18"/>
  <c r="X18" i="18"/>
  <c r="S5" i="8"/>
  <c r="F5" i="8" s="1"/>
  <c r="V5" i="8"/>
  <c r="I5" i="8" s="1"/>
  <c r="G6" i="8"/>
  <c r="R16" i="7"/>
  <c r="R17" i="7" s="1"/>
  <c r="R18" i="7" s="1"/>
  <c r="R19" i="7" s="1"/>
  <c r="R20" i="7" s="1"/>
  <c r="R21" i="7" s="1"/>
  <c r="R22" i="7" s="1"/>
  <c r="R23" i="7" s="1"/>
  <c r="R24" i="7" s="1"/>
  <c r="R25" i="7" s="1"/>
  <c r="R26" i="7" s="1"/>
  <c r="R27" i="7" s="1"/>
  <c r="R28" i="7" s="1"/>
  <c r="R29" i="7" s="1"/>
  <c r="R30" i="7" s="1"/>
  <c r="R31" i="7" s="1"/>
  <c r="R32" i="7" s="1"/>
  <c r="R33" i="7" s="1"/>
  <c r="R34" i="7" s="1"/>
  <c r="R35" i="7" s="1"/>
  <c r="R36" i="7" s="1"/>
  <c r="R37" i="7" s="1"/>
  <c r="R38" i="7" s="1"/>
  <c r="R39" i="7" s="1"/>
  <c r="R40" i="7" s="1"/>
  <c r="R41" i="7" s="1"/>
  <c r="R42" i="7" s="1"/>
  <c r="R43" i="7" s="1"/>
  <c r="R44" i="7" s="1"/>
  <c r="R45" i="7" s="1"/>
  <c r="R46" i="7" s="1"/>
  <c r="R47" i="7" s="1"/>
  <c r="R48" i="7" s="1"/>
  <c r="R49" i="7" s="1"/>
  <c r="R50" i="7" s="1"/>
  <c r="R51" i="7" s="1"/>
  <c r="R52" i="7" s="1"/>
  <c r="R53" i="7" s="1"/>
  <c r="R54" i="7" s="1"/>
  <c r="R55" i="7" s="1"/>
  <c r="R56" i="7" s="1"/>
  <c r="R57" i="7" s="1"/>
  <c r="R58" i="7" s="1"/>
  <c r="R59" i="7" s="1"/>
  <c r="R60" i="7" s="1"/>
  <c r="R61" i="7" s="1"/>
  <c r="R62" i="7" s="1"/>
  <c r="R63" i="7" s="1"/>
  <c r="R64" i="7" s="1"/>
  <c r="R65" i="7" s="1"/>
  <c r="R66" i="7" s="1"/>
  <c r="R67" i="7" s="1"/>
  <c r="R68" i="7" s="1"/>
  <c r="R69" i="7" s="1"/>
  <c r="R70" i="7" s="1"/>
  <c r="R71" i="7" s="1"/>
  <c r="R72" i="7" s="1"/>
  <c r="R73" i="7" s="1"/>
  <c r="R74" i="7" s="1"/>
  <c r="R75" i="7" s="1"/>
  <c r="R76" i="7" s="1"/>
  <c r="R77" i="7" s="1"/>
  <c r="R78" i="7" s="1"/>
  <c r="R79" i="7" s="1"/>
  <c r="R80" i="7" s="1"/>
  <c r="R81" i="7" s="1"/>
  <c r="R82" i="7" s="1"/>
  <c r="R83" i="7" s="1"/>
  <c r="R84" i="7" s="1"/>
  <c r="R85" i="7" s="1"/>
  <c r="R86" i="7" s="1"/>
  <c r="R87" i="7" s="1"/>
  <c r="R88" i="7" s="1"/>
  <c r="R89" i="7" s="1"/>
  <c r="R90" i="7" s="1"/>
  <c r="R91" i="7" s="1"/>
  <c r="R92" i="7" s="1"/>
  <c r="R93" i="7" s="1"/>
  <c r="R94" i="7" s="1"/>
  <c r="R95" i="7" s="1"/>
  <c r="R96" i="7" s="1"/>
  <c r="R97" i="7" s="1"/>
  <c r="R98" i="7" s="1"/>
  <c r="R99" i="7" s="1"/>
  <c r="R100" i="7" s="1"/>
  <c r="R101" i="7" s="1"/>
  <c r="R102" i="7" s="1"/>
  <c r="R103" i="7" s="1"/>
  <c r="R104" i="7" s="1"/>
  <c r="R105" i="7" s="1"/>
  <c r="R106" i="7" s="1"/>
  <c r="R107" i="7" s="1"/>
  <c r="R108" i="7" s="1"/>
  <c r="R109" i="7" s="1"/>
  <c r="R110" i="7" s="1"/>
  <c r="R111" i="7" s="1"/>
  <c r="R112" i="7" s="1"/>
  <c r="R113" i="7" s="1"/>
  <c r="R114" i="7" s="1"/>
  <c r="R115" i="7" s="1"/>
  <c r="R116" i="7" s="1"/>
  <c r="R117" i="7" s="1"/>
  <c r="R118" i="7" s="1"/>
  <c r="R119" i="7" s="1"/>
  <c r="R120" i="7" s="1"/>
  <c r="R121" i="7" s="1"/>
  <c r="R122" i="7" s="1"/>
  <c r="R123" i="7" s="1"/>
  <c r="R124" i="7" s="1"/>
  <c r="R125" i="7" s="1"/>
  <c r="R126" i="7" s="1"/>
  <c r="R127" i="7" s="1"/>
  <c r="R128" i="7" s="1"/>
  <c r="R129" i="7" s="1"/>
  <c r="R130" i="7" s="1"/>
  <c r="R131" i="7" s="1"/>
  <c r="R132" i="7" s="1"/>
  <c r="R133" i="7" s="1"/>
  <c r="R134" i="7" s="1"/>
  <c r="R135" i="7" s="1"/>
  <c r="R136" i="7" s="1"/>
  <c r="R137" i="7" s="1"/>
  <c r="R138" i="7" s="1"/>
  <c r="R139" i="7" s="1"/>
  <c r="R140" i="7" s="1"/>
  <c r="R141" i="7" s="1"/>
  <c r="R142" i="7" s="1"/>
  <c r="R143" i="7" s="1"/>
  <c r="R144" i="7" s="1"/>
  <c r="R145" i="7" s="1"/>
  <c r="R146" i="7" s="1"/>
  <c r="R147" i="7" s="1"/>
  <c r="R148" i="7" s="1"/>
  <c r="R149" i="7" s="1"/>
  <c r="R150" i="7" s="1"/>
  <c r="R151" i="7" s="1"/>
  <c r="R152" i="7" s="1"/>
  <c r="R153" i="7" s="1"/>
  <c r="R154" i="7" s="1"/>
  <c r="R155" i="7" s="1"/>
  <c r="R156" i="7" s="1"/>
  <c r="R157" i="7" s="1"/>
  <c r="R158" i="7" s="1"/>
  <c r="R159" i="7" s="1"/>
  <c r="R160" i="7" s="1"/>
  <c r="R161" i="7" s="1"/>
  <c r="R162" i="7" s="1"/>
  <c r="R163" i="7" s="1"/>
  <c r="R164" i="7" s="1"/>
  <c r="R165" i="7" s="1"/>
  <c r="R166" i="7" s="1"/>
  <c r="R167" i="7" s="1"/>
  <c r="R168" i="7" s="1"/>
  <c r="R169" i="7" s="1"/>
  <c r="R170" i="7" s="1"/>
  <c r="R171" i="7" s="1"/>
  <c r="R172" i="7" s="1"/>
  <c r="R173" i="7" s="1"/>
  <c r="R174" i="7" s="1"/>
  <c r="R175" i="7" s="1"/>
  <c r="R176" i="7" s="1"/>
  <c r="R177" i="7" s="1"/>
  <c r="R178" i="7" s="1"/>
  <c r="R179" i="7" s="1"/>
  <c r="R180" i="7" s="1"/>
  <c r="R181" i="7" s="1"/>
  <c r="R182" i="7" s="1"/>
  <c r="R183" i="7" s="1"/>
  <c r="R184" i="7" s="1"/>
  <c r="R185" i="7" s="1"/>
  <c r="R186" i="7" s="1"/>
  <c r="R187" i="7" s="1"/>
  <c r="R188" i="7" s="1"/>
  <c r="R189" i="7" s="1"/>
  <c r="R190" i="7" s="1"/>
  <c r="R191" i="7" s="1"/>
  <c r="R192" i="7" s="1"/>
  <c r="R193" i="7" s="1"/>
  <c r="R194" i="7" s="1"/>
  <c r="R195" i="7" s="1"/>
  <c r="R196" i="7" s="1"/>
  <c r="R197" i="7" s="1"/>
  <c r="R198" i="7" s="1"/>
  <c r="R199" i="7" s="1"/>
  <c r="R200" i="7" s="1"/>
  <c r="R201" i="7" s="1"/>
  <c r="R202" i="7" s="1"/>
  <c r="R203" i="7" s="1"/>
  <c r="R204" i="7" s="1"/>
  <c r="R205" i="7" s="1"/>
  <c r="R206" i="7" s="1"/>
  <c r="R207" i="7" s="1"/>
  <c r="R208" i="7" s="1"/>
  <c r="R209" i="7" s="1"/>
  <c r="R210" i="7" s="1"/>
  <c r="R211" i="7" s="1"/>
  <c r="R212" i="7" s="1"/>
  <c r="R213" i="7" s="1"/>
  <c r="R214" i="7" s="1"/>
  <c r="R215" i="7" s="1"/>
  <c r="R216" i="7" s="1"/>
  <c r="R217" i="7" s="1"/>
  <c r="R218" i="7" s="1"/>
  <c r="R219" i="7" s="1"/>
  <c r="R220" i="7" s="1"/>
  <c r="R221" i="7" s="1"/>
  <c r="R222" i="7" s="1"/>
  <c r="R223" i="7" s="1"/>
  <c r="R224" i="7" s="1"/>
  <c r="R225" i="7" s="1"/>
  <c r="R226" i="7" s="1"/>
  <c r="R227" i="7" s="1"/>
  <c r="R228" i="7" s="1"/>
  <c r="R229" i="7" s="1"/>
  <c r="R230" i="7" s="1"/>
  <c r="R231" i="7" s="1"/>
  <c r="R232" i="7" s="1"/>
  <c r="R233" i="7" s="1"/>
  <c r="R234" i="7" s="1"/>
  <c r="R235" i="7" s="1"/>
  <c r="R236" i="7" s="1"/>
  <c r="R237" i="7" s="1"/>
  <c r="R238" i="7" s="1"/>
  <c r="R239" i="7" s="1"/>
  <c r="R240" i="7" s="1"/>
  <c r="R241" i="7" s="1"/>
  <c r="R242" i="7" s="1"/>
  <c r="R243" i="7" s="1"/>
  <c r="R244" i="7" s="1"/>
  <c r="R245" i="7" s="1"/>
  <c r="R246" i="7" s="1"/>
  <c r="R247" i="7" s="1"/>
  <c r="R248" i="7" s="1"/>
  <c r="R249" i="7" s="1"/>
  <c r="R250" i="7" s="1"/>
  <c r="R251" i="7" s="1"/>
  <c r="R252" i="7" s="1"/>
  <c r="R253" i="7" s="1"/>
  <c r="R254" i="7" s="1"/>
  <c r="R255" i="7" s="1"/>
  <c r="R256" i="7" s="1"/>
  <c r="R257" i="7" s="1"/>
  <c r="R258" i="7" s="1"/>
  <c r="R259" i="7" s="1"/>
  <c r="R260" i="7" s="1"/>
  <c r="R261" i="7" s="1"/>
  <c r="R262" i="7" s="1"/>
  <c r="R263" i="7" s="1"/>
  <c r="R264" i="7" s="1"/>
  <c r="R265" i="7" s="1"/>
  <c r="R266" i="7" s="1"/>
  <c r="R267" i="7" s="1"/>
  <c r="R268" i="7" s="1"/>
  <c r="R269" i="7" s="1"/>
  <c r="R270" i="7" s="1"/>
  <c r="R271" i="7" s="1"/>
  <c r="R272" i="7" s="1"/>
  <c r="R273" i="7" s="1"/>
  <c r="R274" i="7" s="1"/>
  <c r="R275" i="7" s="1"/>
  <c r="R276" i="7" s="1"/>
  <c r="R277" i="7" s="1"/>
  <c r="R278" i="7" s="1"/>
  <c r="R279" i="7" s="1"/>
  <c r="R280" i="7" s="1"/>
  <c r="R281" i="7" s="1"/>
  <c r="R282" i="7" s="1"/>
  <c r="R283" i="7" s="1"/>
  <c r="R284" i="7" s="1"/>
  <c r="R285" i="7" s="1"/>
  <c r="R286" i="7" s="1"/>
  <c r="R287" i="7" s="1"/>
  <c r="R288" i="7" s="1"/>
  <c r="R289" i="7" s="1"/>
  <c r="R290" i="7" s="1"/>
  <c r="R291" i="7" s="1"/>
  <c r="R292" i="7" s="1"/>
  <c r="R293" i="7" s="1"/>
  <c r="R294" i="7" s="1"/>
  <c r="R295" i="7" s="1"/>
  <c r="R296" i="7" s="1"/>
  <c r="R297" i="7" s="1"/>
  <c r="R298" i="7" s="1"/>
  <c r="R299" i="7" s="1"/>
  <c r="R300" i="7" s="1"/>
  <c r="R301" i="7" s="1"/>
  <c r="R302" i="7" s="1"/>
  <c r="R303" i="7" s="1"/>
  <c r="R304" i="7" s="1"/>
  <c r="R305" i="7" s="1"/>
  <c r="R306" i="7" s="1"/>
  <c r="R307" i="7" s="1"/>
  <c r="R308" i="7" s="1"/>
  <c r="R309" i="7" s="1"/>
  <c r="R310" i="7" s="1"/>
  <c r="R311" i="7" s="1"/>
  <c r="R312" i="7" s="1"/>
  <c r="R313" i="7" s="1"/>
  <c r="R314" i="7" s="1"/>
  <c r="R315" i="7" s="1"/>
  <c r="R316" i="7" s="1"/>
  <c r="R317" i="7" s="1"/>
  <c r="R318" i="7" s="1"/>
  <c r="R319" i="7" s="1"/>
  <c r="R320" i="7" s="1"/>
  <c r="R321" i="7" s="1"/>
  <c r="R322" i="7" s="1"/>
  <c r="R323" i="7" s="1"/>
  <c r="R324" i="7" s="1"/>
  <c r="R325" i="7" s="1"/>
  <c r="R326" i="7" s="1"/>
  <c r="R327" i="7" s="1"/>
  <c r="R328" i="7" s="1"/>
  <c r="R329" i="7" s="1"/>
  <c r="R330" i="7" s="1"/>
  <c r="R331" i="7" s="1"/>
  <c r="R332" i="7" s="1"/>
  <c r="R333" i="7" s="1"/>
  <c r="R334" i="7" s="1"/>
  <c r="R335" i="7" s="1"/>
  <c r="R336" i="7" s="1"/>
  <c r="R337" i="7" s="1"/>
  <c r="R338" i="7" s="1"/>
  <c r="R339" i="7" s="1"/>
  <c r="R340" i="7" s="1"/>
  <c r="R341" i="7" s="1"/>
  <c r="R342" i="7" s="1"/>
  <c r="R343" i="7" s="1"/>
  <c r="R344" i="7" s="1"/>
  <c r="R345" i="7" s="1"/>
  <c r="R346" i="7" s="1"/>
  <c r="R347" i="7" s="1"/>
  <c r="R348" i="7" s="1"/>
  <c r="R349" i="7" s="1"/>
  <c r="R350" i="7" s="1"/>
  <c r="R351" i="7" s="1"/>
  <c r="R352" i="7" s="1"/>
  <c r="R353" i="7" s="1"/>
  <c r="R354" i="7" s="1"/>
  <c r="R355" i="7" s="1"/>
  <c r="R356" i="7" s="1"/>
  <c r="R357" i="7" s="1"/>
  <c r="R358" i="7" s="1"/>
  <c r="R359" i="7" s="1"/>
  <c r="R360" i="7" s="1"/>
  <c r="R361" i="7" s="1"/>
  <c r="R362" i="7" s="1"/>
  <c r="R363" i="7" s="1"/>
  <c r="R364" i="7" s="1"/>
  <c r="R365" i="7" s="1"/>
  <c r="R366" i="7" s="1"/>
  <c r="R367" i="7" s="1"/>
  <c r="R368" i="7" s="1"/>
  <c r="R369" i="7" s="1"/>
  <c r="R370" i="7" s="1"/>
  <c r="R371" i="7" s="1"/>
  <c r="R372" i="7" s="1"/>
  <c r="R373" i="7" s="1"/>
  <c r="R374" i="7" s="1"/>
  <c r="R375" i="7" s="1"/>
  <c r="R376" i="7" s="1"/>
  <c r="R377" i="7" s="1"/>
  <c r="R378" i="7" s="1"/>
  <c r="R379" i="7" s="1"/>
  <c r="R380" i="7" s="1"/>
  <c r="R381" i="7" s="1"/>
  <c r="R382" i="7" s="1"/>
  <c r="R383" i="7" s="1"/>
  <c r="R384" i="7" s="1"/>
  <c r="R385" i="7" s="1"/>
  <c r="R386" i="7" s="1"/>
  <c r="R387" i="7" s="1"/>
  <c r="R388" i="7" s="1"/>
  <c r="R389" i="7" s="1"/>
  <c r="R390" i="7" s="1"/>
  <c r="R391" i="7" s="1"/>
  <c r="R392" i="7" s="1"/>
  <c r="R393" i="7" s="1"/>
  <c r="R394" i="7" s="1"/>
  <c r="R395" i="7" s="1"/>
  <c r="R396" i="7" s="1"/>
  <c r="R397" i="7" s="1"/>
  <c r="R398" i="7" s="1"/>
  <c r="R399" i="7" s="1"/>
  <c r="R400" i="7" s="1"/>
  <c r="R401" i="7" s="1"/>
  <c r="R402" i="7" s="1"/>
  <c r="R403" i="7" s="1"/>
  <c r="R404" i="7" s="1"/>
  <c r="R405" i="7" s="1"/>
  <c r="R406" i="7" s="1"/>
  <c r="R407" i="7" s="1"/>
  <c r="R408" i="7" s="1"/>
  <c r="R409" i="7" s="1"/>
  <c r="R410" i="7" s="1"/>
  <c r="R411" i="7" s="1"/>
  <c r="R412" i="7" s="1"/>
  <c r="R413" i="7" s="1"/>
  <c r="R414" i="7" s="1"/>
  <c r="R415" i="7" s="1"/>
  <c r="R416" i="7" s="1"/>
  <c r="R417" i="7" s="1"/>
  <c r="R418" i="7" s="1"/>
  <c r="R419" i="7" s="1"/>
  <c r="R420" i="7" s="1"/>
  <c r="R421" i="7" s="1"/>
  <c r="R422" i="7" s="1"/>
  <c r="R423" i="7" s="1"/>
  <c r="R424" i="7" s="1"/>
  <c r="R425" i="7" s="1"/>
  <c r="R426" i="7" s="1"/>
  <c r="R427" i="7" s="1"/>
  <c r="R428" i="7" s="1"/>
  <c r="R429" i="7" s="1"/>
  <c r="R430" i="7" s="1"/>
  <c r="R431" i="7" s="1"/>
  <c r="R432" i="7" s="1"/>
  <c r="R433" i="7" s="1"/>
  <c r="R434" i="7" s="1"/>
  <c r="R435" i="7" s="1"/>
  <c r="R436" i="7" s="1"/>
  <c r="R437" i="7" s="1"/>
  <c r="R438" i="7" s="1"/>
  <c r="R439" i="7" s="1"/>
  <c r="R440" i="7" s="1"/>
  <c r="R441" i="7" s="1"/>
  <c r="R442" i="7" s="1"/>
  <c r="R443" i="7" s="1"/>
  <c r="R444" i="7" s="1"/>
  <c r="R445" i="7" s="1"/>
  <c r="R446" i="7" s="1"/>
  <c r="R447" i="7" s="1"/>
  <c r="R448" i="7" s="1"/>
  <c r="R449" i="7" s="1"/>
  <c r="R450" i="7" s="1"/>
  <c r="R451" i="7" s="1"/>
  <c r="R452" i="7" s="1"/>
  <c r="R453" i="7" s="1"/>
  <c r="R454" i="7" s="1"/>
  <c r="R455" i="7" s="1"/>
  <c r="R456" i="7" s="1"/>
  <c r="R457" i="7" s="1"/>
  <c r="R458" i="7" s="1"/>
  <c r="R459" i="7" s="1"/>
  <c r="R460" i="7" s="1"/>
  <c r="R461" i="7" s="1"/>
  <c r="R462" i="7" s="1"/>
  <c r="R463" i="7" s="1"/>
  <c r="R464" i="7" s="1"/>
  <c r="R465" i="7" s="1"/>
  <c r="R466" i="7" s="1"/>
  <c r="R467" i="7" s="1"/>
  <c r="R468" i="7" s="1"/>
  <c r="R469" i="7" s="1"/>
  <c r="R470" i="7" s="1"/>
  <c r="R471" i="7" s="1"/>
  <c r="R472" i="7" s="1"/>
  <c r="R473" i="7" s="1"/>
  <c r="R474" i="7" s="1"/>
  <c r="R475" i="7" s="1"/>
  <c r="R476" i="7" s="1"/>
  <c r="R477" i="7" s="1"/>
  <c r="R478" i="7" s="1"/>
  <c r="R479" i="7" s="1"/>
  <c r="R480" i="7" s="1"/>
  <c r="R481" i="7" s="1"/>
  <c r="R482" i="7" s="1"/>
  <c r="R483" i="7" s="1"/>
  <c r="R484" i="7" s="1"/>
  <c r="R485" i="7" s="1"/>
  <c r="R486" i="7" s="1"/>
  <c r="R487" i="7" s="1"/>
  <c r="R488" i="7" s="1"/>
  <c r="R489" i="7" s="1"/>
  <c r="R490" i="7" s="1"/>
  <c r="R491" i="7" s="1"/>
  <c r="R492" i="7" s="1"/>
  <c r="R493" i="7" s="1"/>
  <c r="R494" i="7" s="1"/>
  <c r="R495" i="7" s="1"/>
  <c r="R496" i="7" s="1"/>
  <c r="R497" i="7" s="1"/>
  <c r="R498" i="7" s="1"/>
  <c r="R499" i="7" s="1"/>
  <c r="R500" i="7" s="1"/>
  <c r="R501" i="7" s="1"/>
  <c r="R502" i="7" s="1"/>
  <c r="R503" i="7" s="1"/>
  <c r="R504" i="7" s="1"/>
  <c r="R505" i="7" s="1"/>
  <c r="R506" i="7" s="1"/>
  <c r="R507" i="7" s="1"/>
  <c r="R508" i="7" s="1"/>
  <c r="R509" i="7" s="1"/>
  <c r="S16" i="7"/>
  <c r="S17" i="7" s="1"/>
  <c r="S18" i="7" s="1"/>
  <c r="S19" i="7" s="1"/>
  <c r="S20" i="7" s="1"/>
  <c r="S21" i="7" s="1"/>
  <c r="S22" i="7" s="1"/>
  <c r="S23" i="7" s="1"/>
  <c r="S24" i="7" s="1"/>
  <c r="S25" i="7" s="1"/>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S102" i="7" s="1"/>
  <c r="S103" i="7" s="1"/>
  <c r="S104" i="7" s="1"/>
  <c r="S105" i="7" s="1"/>
  <c r="S106" i="7" s="1"/>
  <c r="S107" i="7" s="1"/>
  <c r="S108" i="7" s="1"/>
  <c r="S109" i="7" s="1"/>
  <c r="S110" i="7" s="1"/>
  <c r="S111" i="7" s="1"/>
  <c r="S112" i="7" s="1"/>
  <c r="S113" i="7" s="1"/>
  <c r="S114" i="7" s="1"/>
  <c r="S115" i="7" s="1"/>
  <c r="S116" i="7" s="1"/>
  <c r="S117" i="7" s="1"/>
  <c r="S118" i="7" s="1"/>
  <c r="S119" i="7" s="1"/>
  <c r="S120" i="7" s="1"/>
  <c r="S121" i="7" s="1"/>
  <c r="S122" i="7" s="1"/>
  <c r="S123" i="7" s="1"/>
  <c r="S124" i="7" s="1"/>
  <c r="S125" i="7" s="1"/>
  <c r="S126" i="7" s="1"/>
  <c r="S127" i="7" s="1"/>
  <c r="S128" i="7" s="1"/>
  <c r="S129" i="7" s="1"/>
  <c r="S130" i="7" s="1"/>
  <c r="S131" i="7" s="1"/>
  <c r="S132" i="7" s="1"/>
  <c r="S133" i="7" s="1"/>
  <c r="S134" i="7" s="1"/>
  <c r="S135" i="7" s="1"/>
  <c r="S136" i="7" s="1"/>
  <c r="S137" i="7" s="1"/>
  <c r="S138" i="7" s="1"/>
  <c r="S139" i="7" s="1"/>
  <c r="S140" i="7" s="1"/>
  <c r="S141" i="7" s="1"/>
  <c r="S142" i="7" s="1"/>
  <c r="S143" i="7" s="1"/>
  <c r="S144" i="7" s="1"/>
  <c r="S145" i="7" s="1"/>
  <c r="S146" i="7" s="1"/>
  <c r="S147" i="7" s="1"/>
  <c r="S148" i="7" s="1"/>
  <c r="S149" i="7" s="1"/>
  <c r="S150" i="7" s="1"/>
  <c r="S151" i="7" s="1"/>
  <c r="S152" i="7" s="1"/>
  <c r="S153" i="7" s="1"/>
  <c r="S154" i="7" s="1"/>
  <c r="S155" i="7" s="1"/>
  <c r="S156" i="7" s="1"/>
  <c r="S157" i="7" s="1"/>
  <c r="S158" i="7" s="1"/>
  <c r="S159" i="7" s="1"/>
  <c r="S160" i="7" s="1"/>
  <c r="S161" i="7" s="1"/>
  <c r="S162" i="7" s="1"/>
  <c r="S163" i="7" s="1"/>
  <c r="S164" i="7" s="1"/>
  <c r="S165" i="7" s="1"/>
  <c r="S166" i="7" s="1"/>
  <c r="S167" i="7" s="1"/>
  <c r="S168" i="7" s="1"/>
  <c r="S169" i="7" s="1"/>
  <c r="S170" i="7" s="1"/>
  <c r="S171" i="7" s="1"/>
  <c r="S172" i="7" s="1"/>
  <c r="S173" i="7" s="1"/>
  <c r="S174" i="7" s="1"/>
  <c r="S175" i="7" s="1"/>
  <c r="S176" i="7" s="1"/>
  <c r="S177" i="7" s="1"/>
  <c r="S178" i="7" s="1"/>
  <c r="S179" i="7" s="1"/>
  <c r="S180" i="7" s="1"/>
  <c r="S181" i="7" s="1"/>
  <c r="S182" i="7" s="1"/>
  <c r="S183" i="7" s="1"/>
  <c r="S184" i="7" s="1"/>
  <c r="S185" i="7" s="1"/>
  <c r="S186" i="7" s="1"/>
  <c r="S187" i="7" s="1"/>
  <c r="S188" i="7" s="1"/>
  <c r="S189" i="7" s="1"/>
  <c r="S190" i="7" s="1"/>
  <c r="S191" i="7" s="1"/>
  <c r="S192" i="7" s="1"/>
  <c r="S193" i="7" s="1"/>
  <c r="S194" i="7" s="1"/>
  <c r="S195" i="7" s="1"/>
  <c r="S196" i="7" s="1"/>
  <c r="S197" i="7" s="1"/>
  <c r="S198" i="7" s="1"/>
  <c r="S199" i="7" s="1"/>
  <c r="S200" i="7" s="1"/>
  <c r="S201" i="7" s="1"/>
  <c r="S202" i="7" s="1"/>
  <c r="S203" i="7" s="1"/>
  <c r="S204" i="7" s="1"/>
  <c r="S205" i="7" s="1"/>
  <c r="S206" i="7" s="1"/>
  <c r="S207" i="7" s="1"/>
  <c r="S208" i="7" s="1"/>
  <c r="S209" i="7" s="1"/>
  <c r="S210" i="7" s="1"/>
  <c r="S211" i="7" s="1"/>
  <c r="S212" i="7" s="1"/>
  <c r="S213" i="7" s="1"/>
  <c r="S214" i="7" s="1"/>
  <c r="S215" i="7" s="1"/>
  <c r="S216" i="7" s="1"/>
  <c r="S217" i="7" s="1"/>
  <c r="S218" i="7" s="1"/>
  <c r="S219" i="7" s="1"/>
  <c r="S220" i="7" s="1"/>
  <c r="S221" i="7" s="1"/>
  <c r="S222" i="7" s="1"/>
  <c r="S223" i="7" s="1"/>
  <c r="S224" i="7" s="1"/>
  <c r="S225" i="7" s="1"/>
  <c r="S226" i="7" s="1"/>
  <c r="S227" i="7" s="1"/>
  <c r="S228" i="7" s="1"/>
  <c r="S229" i="7" s="1"/>
  <c r="S230" i="7" s="1"/>
  <c r="S231" i="7" s="1"/>
  <c r="S232" i="7" s="1"/>
  <c r="S233" i="7" s="1"/>
  <c r="S234" i="7" s="1"/>
  <c r="S235" i="7" s="1"/>
  <c r="S236" i="7" s="1"/>
  <c r="S237" i="7" s="1"/>
  <c r="S238" i="7" s="1"/>
  <c r="S239" i="7" s="1"/>
  <c r="S240" i="7" s="1"/>
  <c r="S241" i="7" s="1"/>
  <c r="S242" i="7" s="1"/>
  <c r="S243" i="7" s="1"/>
  <c r="S244" i="7" s="1"/>
  <c r="S245" i="7" s="1"/>
  <c r="S246" i="7" s="1"/>
  <c r="S247" i="7" s="1"/>
  <c r="S248" i="7" s="1"/>
  <c r="S249" i="7" s="1"/>
  <c r="S250" i="7" s="1"/>
  <c r="S251" i="7" s="1"/>
  <c r="S252" i="7" s="1"/>
  <c r="S253" i="7" s="1"/>
  <c r="S254" i="7" s="1"/>
  <c r="S255" i="7" s="1"/>
  <c r="S256" i="7" s="1"/>
  <c r="S257" i="7" s="1"/>
  <c r="S258" i="7" s="1"/>
  <c r="S259" i="7" s="1"/>
  <c r="S260" i="7" s="1"/>
  <c r="S261" i="7" s="1"/>
  <c r="S262" i="7" s="1"/>
  <c r="S263" i="7" s="1"/>
  <c r="S264" i="7" s="1"/>
  <c r="S265" i="7" s="1"/>
  <c r="S266" i="7" s="1"/>
  <c r="S267" i="7" s="1"/>
  <c r="S268" i="7" s="1"/>
  <c r="S269" i="7" s="1"/>
  <c r="S270" i="7" s="1"/>
  <c r="S271" i="7" s="1"/>
  <c r="S272" i="7" s="1"/>
  <c r="S273" i="7" s="1"/>
  <c r="S274" i="7" s="1"/>
  <c r="S275" i="7" s="1"/>
  <c r="S276" i="7" s="1"/>
  <c r="S277" i="7" s="1"/>
  <c r="S278" i="7" s="1"/>
  <c r="S279" i="7" s="1"/>
  <c r="S280" i="7" s="1"/>
  <c r="S281" i="7" s="1"/>
  <c r="S282" i="7" s="1"/>
  <c r="S283" i="7" s="1"/>
  <c r="S284" i="7" s="1"/>
  <c r="S285" i="7" s="1"/>
  <c r="S286" i="7" s="1"/>
  <c r="S287" i="7" s="1"/>
  <c r="S288" i="7" s="1"/>
  <c r="S289" i="7" s="1"/>
  <c r="S290" i="7" s="1"/>
  <c r="S291" i="7" s="1"/>
  <c r="S292" i="7" s="1"/>
  <c r="S293" i="7" s="1"/>
  <c r="S294" i="7" s="1"/>
  <c r="S295" i="7" s="1"/>
  <c r="S296" i="7" s="1"/>
  <c r="S297" i="7" s="1"/>
  <c r="S298" i="7" s="1"/>
  <c r="S299" i="7" s="1"/>
  <c r="S300" i="7" s="1"/>
  <c r="S301" i="7" s="1"/>
  <c r="S302" i="7" s="1"/>
  <c r="S303" i="7" s="1"/>
  <c r="S304" i="7" s="1"/>
  <c r="S305" i="7" s="1"/>
  <c r="S306" i="7" s="1"/>
  <c r="S307" i="7" s="1"/>
  <c r="S308" i="7" s="1"/>
  <c r="S309" i="7" s="1"/>
  <c r="S310" i="7" s="1"/>
  <c r="S311" i="7" s="1"/>
  <c r="S312" i="7" s="1"/>
  <c r="S313" i="7" s="1"/>
  <c r="S314" i="7" s="1"/>
  <c r="S315" i="7" s="1"/>
  <c r="S316" i="7" s="1"/>
  <c r="S317" i="7" s="1"/>
  <c r="S318" i="7" s="1"/>
  <c r="S319" i="7" s="1"/>
  <c r="S320" i="7" s="1"/>
  <c r="S321" i="7" s="1"/>
  <c r="S322" i="7" s="1"/>
  <c r="S323" i="7" s="1"/>
  <c r="S324" i="7" s="1"/>
  <c r="S325" i="7" s="1"/>
  <c r="S326" i="7" s="1"/>
  <c r="S327" i="7" s="1"/>
  <c r="S328" i="7" s="1"/>
  <c r="S329" i="7" s="1"/>
  <c r="S330" i="7" s="1"/>
  <c r="S331" i="7" s="1"/>
  <c r="S332" i="7" s="1"/>
  <c r="S333" i="7" s="1"/>
  <c r="S334" i="7" s="1"/>
  <c r="S335" i="7" s="1"/>
  <c r="S336" i="7" s="1"/>
  <c r="S337" i="7" s="1"/>
  <c r="S338" i="7" s="1"/>
  <c r="S339" i="7" s="1"/>
  <c r="S340" i="7" s="1"/>
  <c r="S341" i="7" s="1"/>
  <c r="S342" i="7" s="1"/>
  <c r="S343" i="7" s="1"/>
  <c r="S344" i="7" s="1"/>
  <c r="S345" i="7" s="1"/>
  <c r="S346" i="7" s="1"/>
  <c r="S347" i="7" s="1"/>
  <c r="S348" i="7" s="1"/>
  <c r="S349" i="7" s="1"/>
  <c r="S350" i="7" s="1"/>
  <c r="S351" i="7" s="1"/>
  <c r="S352" i="7" s="1"/>
  <c r="S353" i="7" s="1"/>
  <c r="S354" i="7" s="1"/>
  <c r="S355" i="7" s="1"/>
  <c r="S356" i="7" s="1"/>
  <c r="S357" i="7" s="1"/>
  <c r="S358" i="7" s="1"/>
  <c r="S359" i="7" s="1"/>
  <c r="S360" i="7" s="1"/>
  <c r="S361" i="7" s="1"/>
  <c r="S362" i="7" s="1"/>
  <c r="S363" i="7" s="1"/>
  <c r="S364" i="7" s="1"/>
  <c r="S365" i="7" s="1"/>
  <c r="S366" i="7" s="1"/>
  <c r="S367" i="7" s="1"/>
  <c r="S368" i="7" s="1"/>
  <c r="S369" i="7" s="1"/>
  <c r="S370" i="7" s="1"/>
  <c r="S371" i="7" s="1"/>
  <c r="S372" i="7" s="1"/>
  <c r="S373" i="7" s="1"/>
  <c r="S374" i="7" s="1"/>
  <c r="S375" i="7" s="1"/>
  <c r="S376" i="7" s="1"/>
  <c r="S377" i="7" s="1"/>
  <c r="S378" i="7" s="1"/>
  <c r="S379" i="7" s="1"/>
  <c r="S380" i="7" s="1"/>
  <c r="S381" i="7" s="1"/>
  <c r="S382" i="7" s="1"/>
  <c r="S383" i="7" s="1"/>
  <c r="S384" i="7" s="1"/>
  <c r="S385" i="7" s="1"/>
  <c r="S386" i="7" s="1"/>
  <c r="S387" i="7" s="1"/>
  <c r="S388" i="7" s="1"/>
  <c r="S389" i="7" s="1"/>
  <c r="S390" i="7" s="1"/>
  <c r="S391" i="7" s="1"/>
  <c r="S392" i="7" s="1"/>
  <c r="S393" i="7" s="1"/>
  <c r="S394" i="7" s="1"/>
  <c r="S395" i="7" s="1"/>
  <c r="S396" i="7" s="1"/>
  <c r="S397" i="7" s="1"/>
  <c r="S398" i="7" s="1"/>
  <c r="S399" i="7" s="1"/>
  <c r="S400" i="7" s="1"/>
  <c r="S401" i="7" s="1"/>
  <c r="S402" i="7" s="1"/>
  <c r="S403" i="7" s="1"/>
  <c r="S404" i="7" s="1"/>
  <c r="S405" i="7" s="1"/>
  <c r="S406" i="7" s="1"/>
  <c r="S407" i="7" s="1"/>
  <c r="S408" i="7" s="1"/>
  <c r="S409" i="7" s="1"/>
  <c r="S410" i="7" s="1"/>
  <c r="S411" i="7" s="1"/>
  <c r="S412" i="7" s="1"/>
  <c r="S413" i="7" s="1"/>
  <c r="S414" i="7" s="1"/>
  <c r="S415" i="7" s="1"/>
  <c r="S416" i="7" s="1"/>
  <c r="S417" i="7" s="1"/>
  <c r="S418" i="7" s="1"/>
  <c r="S419" i="7" s="1"/>
  <c r="S420" i="7" s="1"/>
  <c r="S421" i="7" s="1"/>
  <c r="S422" i="7" s="1"/>
  <c r="S423" i="7" s="1"/>
  <c r="S424" i="7" s="1"/>
  <c r="S425" i="7" s="1"/>
  <c r="S426" i="7" s="1"/>
  <c r="S427" i="7" s="1"/>
  <c r="S428" i="7" s="1"/>
  <c r="S429" i="7" s="1"/>
  <c r="S430" i="7" s="1"/>
  <c r="S431" i="7" s="1"/>
  <c r="S432" i="7" s="1"/>
  <c r="S433" i="7" s="1"/>
  <c r="S434" i="7" s="1"/>
  <c r="S435" i="7" s="1"/>
  <c r="S436" i="7" s="1"/>
  <c r="S437" i="7" s="1"/>
  <c r="S438" i="7" s="1"/>
  <c r="S439" i="7" s="1"/>
  <c r="S440" i="7" s="1"/>
  <c r="S441" i="7" s="1"/>
  <c r="S442" i="7" s="1"/>
  <c r="S443" i="7" s="1"/>
  <c r="S444" i="7" s="1"/>
  <c r="S445" i="7" s="1"/>
  <c r="S446" i="7" s="1"/>
  <c r="S447" i="7" s="1"/>
  <c r="S448" i="7" s="1"/>
  <c r="S449" i="7" s="1"/>
  <c r="S450" i="7" s="1"/>
  <c r="S451" i="7" s="1"/>
  <c r="S452" i="7" s="1"/>
  <c r="S453" i="7" s="1"/>
  <c r="S454" i="7" s="1"/>
  <c r="S455" i="7" s="1"/>
  <c r="S456" i="7" s="1"/>
  <c r="S457" i="7" s="1"/>
  <c r="S458" i="7" s="1"/>
  <c r="S459" i="7" s="1"/>
  <c r="S460" i="7" s="1"/>
  <c r="S461" i="7" s="1"/>
  <c r="S462" i="7" s="1"/>
  <c r="S463" i="7" s="1"/>
  <c r="S464" i="7" s="1"/>
  <c r="S465" i="7" s="1"/>
  <c r="S466" i="7" s="1"/>
  <c r="S467" i="7" s="1"/>
  <c r="S468" i="7" s="1"/>
  <c r="S469" i="7" s="1"/>
  <c r="S470" i="7" s="1"/>
  <c r="S471" i="7" s="1"/>
  <c r="S472" i="7" s="1"/>
  <c r="S473" i="7" s="1"/>
  <c r="S474" i="7" s="1"/>
  <c r="S475" i="7" s="1"/>
  <c r="S476" i="7" s="1"/>
  <c r="S477" i="7" s="1"/>
  <c r="S478" i="7" s="1"/>
  <c r="S479" i="7" s="1"/>
  <c r="S480" i="7" s="1"/>
  <c r="S481" i="7" s="1"/>
  <c r="S482" i="7" s="1"/>
  <c r="S483" i="7" s="1"/>
  <c r="S484" i="7" s="1"/>
  <c r="S485" i="7" s="1"/>
  <c r="S486" i="7" s="1"/>
  <c r="S487" i="7" s="1"/>
  <c r="S488" i="7" s="1"/>
  <c r="S489" i="7" s="1"/>
  <c r="S490" i="7" s="1"/>
  <c r="S491" i="7" s="1"/>
  <c r="S492" i="7" s="1"/>
  <c r="S493" i="7" s="1"/>
  <c r="S494" i="7" s="1"/>
  <c r="S495" i="7" s="1"/>
  <c r="S496" i="7" s="1"/>
  <c r="S497" i="7" s="1"/>
  <c r="S498" i="7" s="1"/>
  <c r="S499" i="7" s="1"/>
  <c r="S500" i="7" s="1"/>
  <c r="S501" i="7" s="1"/>
  <c r="S502" i="7" s="1"/>
  <c r="S503" i="7" s="1"/>
  <c r="S504" i="7" s="1"/>
  <c r="S505" i="7" s="1"/>
  <c r="S506" i="7" s="1"/>
  <c r="S507" i="7" s="1"/>
  <c r="S508" i="7" s="1"/>
  <c r="S509" i="7" s="1"/>
  <c r="V16" i="7"/>
  <c r="V17" i="7" s="1"/>
  <c r="V18" i="7" s="1"/>
  <c r="V19" i="7" s="1"/>
  <c r="V20" i="7" s="1"/>
  <c r="V21" i="7" s="1"/>
  <c r="V22" i="7" s="1"/>
  <c r="V23" i="7" s="1"/>
  <c r="V24" i="7" s="1"/>
  <c r="V25" i="7" s="1"/>
  <c r="V26" i="7" s="1"/>
  <c r="V27" i="7" s="1"/>
  <c r="V28" i="7" s="1"/>
  <c r="V29" i="7" s="1"/>
  <c r="V30" i="7" s="1"/>
  <c r="V31" i="7" s="1"/>
  <c r="V32" i="7" s="1"/>
  <c r="V33" i="7" s="1"/>
  <c r="V34" i="7" s="1"/>
  <c r="V35" i="7" s="1"/>
  <c r="V36" i="7" s="1"/>
  <c r="V37" i="7" s="1"/>
  <c r="V38" i="7" s="1"/>
  <c r="V39" i="7" s="1"/>
  <c r="V40" i="7" s="1"/>
  <c r="V41" i="7" s="1"/>
  <c r="V42" i="7" s="1"/>
  <c r="V43" i="7" s="1"/>
  <c r="V44" i="7" s="1"/>
  <c r="V45" i="7" s="1"/>
  <c r="V46" i="7" s="1"/>
  <c r="V47" i="7" s="1"/>
  <c r="V48" i="7" s="1"/>
  <c r="V49" i="7" s="1"/>
  <c r="V50" i="7" s="1"/>
  <c r="V51" i="7" s="1"/>
  <c r="V52" i="7" s="1"/>
  <c r="V53" i="7" s="1"/>
  <c r="V54" i="7" s="1"/>
  <c r="V55" i="7" s="1"/>
  <c r="V56" i="7" s="1"/>
  <c r="V57" i="7" s="1"/>
  <c r="V58" i="7" s="1"/>
  <c r="V59" i="7" s="1"/>
  <c r="V60" i="7" s="1"/>
  <c r="V61" i="7" s="1"/>
  <c r="V62" i="7" s="1"/>
  <c r="V63" i="7" s="1"/>
  <c r="V64" i="7" s="1"/>
  <c r="V65" i="7" s="1"/>
  <c r="V66" i="7" s="1"/>
  <c r="V67" i="7" s="1"/>
  <c r="V68" i="7" s="1"/>
  <c r="V69" i="7" s="1"/>
  <c r="V70" i="7" s="1"/>
  <c r="V71" i="7" s="1"/>
  <c r="V72" i="7" s="1"/>
  <c r="V73" i="7" s="1"/>
  <c r="V74" i="7" s="1"/>
  <c r="V75" i="7" s="1"/>
  <c r="V76" i="7" s="1"/>
  <c r="V77" i="7" s="1"/>
  <c r="V78" i="7" s="1"/>
  <c r="V79" i="7" s="1"/>
  <c r="V80" i="7" s="1"/>
  <c r="V81" i="7" s="1"/>
  <c r="V82" i="7" s="1"/>
  <c r="V83" i="7" s="1"/>
  <c r="V84" i="7" s="1"/>
  <c r="V85" i="7" s="1"/>
  <c r="V86" i="7" s="1"/>
  <c r="V87" i="7" s="1"/>
  <c r="V88" i="7" s="1"/>
  <c r="V89" i="7" s="1"/>
  <c r="V90" i="7" s="1"/>
  <c r="V91" i="7" s="1"/>
  <c r="V92" i="7" s="1"/>
  <c r="V93" i="7" s="1"/>
  <c r="V94" i="7" s="1"/>
  <c r="V95" i="7" s="1"/>
  <c r="V96" i="7" s="1"/>
  <c r="V97" i="7" s="1"/>
  <c r="V98" i="7" s="1"/>
  <c r="V99" i="7" s="1"/>
  <c r="V100" i="7" s="1"/>
  <c r="V101" i="7" s="1"/>
  <c r="V102" i="7" s="1"/>
  <c r="V103" i="7" s="1"/>
  <c r="V104" i="7" s="1"/>
  <c r="V105" i="7" s="1"/>
  <c r="V106" i="7" s="1"/>
  <c r="V107" i="7" s="1"/>
  <c r="V108" i="7" s="1"/>
  <c r="V109" i="7" s="1"/>
  <c r="V110" i="7" s="1"/>
  <c r="V111" i="7" s="1"/>
  <c r="V112" i="7" s="1"/>
  <c r="V113" i="7" s="1"/>
  <c r="V114" i="7" s="1"/>
  <c r="V115" i="7" s="1"/>
  <c r="V116" i="7" s="1"/>
  <c r="V117" i="7" s="1"/>
  <c r="V118" i="7" s="1"/>
  <c r="V119" i="7" s="1"/>
  <c r="V120" i="7" s="1"/>
  <c r="V121" i="7" s="1"/>
  <c r="V122" i="7" s="1"/>
  <c r="V123" i="7" s="1"/>
  <c r="V124" i="7" s="1"/>
  <c r="V125" i="7" s="1"/>
  <c r="V126" i="7" s="1"/>
  <c r="V127" i="7" s="1"/>
  <c r="V128" i="7" s="1"/>
  <c r="V129" i="7" s="1"/>
  <c r="V130" i="7" s="1"/>
  <c r="V131" i="7" s="1"/>
  <c r="V132" i="7" s="1"/>
  <c r="V133" i="7" s="1"/>
  <c r="V134" i="7" s="1"/>
  <c r="V135" i="7" s="1"/>
  <c r="V136" i="7" s="1"/>
  <c r="V137" i="7" s="1"/>
  <c r="V138" i="7" s="1"/>
  <c r="V139" i="7" s="1"/>
  <c r="V140" i="7" s="1"/>
  <c r="V141" i="7" s="1"/>
  <c r="V142" i="7" s="1"/>
  <c r="V143" i="7" s="1"/>
  <c r="V144" i="7" s="1"/>
  <c r="V145" i="7" s="1"/>
  <c r="V146" i="7" s="1"/>
  <c r="V147" i="7" s="1"/>
  <c r="V148" i="7" s="1"/>
  <c r="V149" i="7" s="1"/>
  <c r="V150" i="7" s="1"/>
  <c r="V151" i="7" s="1"/>
  <c r="V152" i="7" s="1"/>
  <c r="V153" i="7" s="1"/>
  <c r="V154" i="7" s="1"/>
  <c r="V155" i="7" s="1"/>
  <c r="V156" i="7" s="1"/>
  <c r="V157" i="7" s="1"/>
  <c r="V158" i="7" s="1"/>
  <c r="V159" i="7" s="1"/>
  <c r="V160" i="7" s="1"/>
  <c r="V161" i="7" s="1"/>
  <c r="V162" i="7" s="1"/>
  <c r="V163" i="7" s="1"/>
  <c r="V164" i="7" s="1"/>
  <c r="V165" i="7" s="1"/>
  <c r="V166" i="7" s="1"/>
  <c r="V167" i="7" s="1"/>
  <c r="V168" i="7" s="1"/>
  <c r="V169" i="7" s="1"/>
  <c r="V170" i="7" s="1"/>
  <c r="V171" i="7" s="1"/>
  <c r="V172" i="7" s="1"/>
  <c r="V173" i="7" s="1"/>
  <c r="V174" i="7" s="1"/>
  <c r="V175" i="7" s="1"/>
  <c r="V176" i="7" s="1"/>
  <c r="V177" i="7" s="1"/>
  <c r="V178" i="7" s="1"/>
  <c r="V179" i="7" s="1"/>
  <c r="V180" i="7" s="1"/>
  <c r="V181" i="7" s="1"/>
  <c r="V182" i="7" s="1"/>
  <c r="V183" i="7" s="1"/>
  <c r="V184" i="7" s="1"/>
  <c r="V185" i="7" s="1"/>
  <c r="V186" i="7" s="1"/>
  <c r="V187" i="7" s="1"/>
  <c r="V188" i="7" s="1"/>
  <c r="V189" i="7" s="1"/>
  <c r="V190" i="7" s="1"/>
  <c r="V191" i="7" s="1"/>
  <c r="V192" i="7" s="1"/>
  <c r="V193" i="7" s="1"/>
  <c r="V194" i="7" s="1"/>
  <c r="V195" i="7" s="1"/>
  <c r="V196" i="7" s="1"/>
  <c r="V197" i="7" s="1"/>
  <c r="V198" i="7" s="1"/>
  <c r="V199" i="7" s="1"/>
  <c r="V200" i="7" s="1"/>
  <c r="V201" i="7" s="1"/>
  <c r="V202" i="7" s="1"/>
  <c r="V203" i="7" s="1"/>
  <c r="V204" i="7" s="1"/>
  <c r="V205" i="7" s="1"/>
  <c r="V206" i="7" s="1"/>
  <c r="V207" i="7" s="1"/>
  <c r="V208" i="7" s="1"/>
  <c r="V209" i="7" s="1"/>
  <c r="V210" i="7" s="1"/>
  <c r="V211" i="7" s="1"/>
  <c r="V212" i="7" s="1"/>
  <c r="V213" i="7" s="1"/>
  <c r="V214" i="7" s="1"/>
  <c r="V215" i="7" s="1"/>
  <c r="V216" i="7" s="1"/>
  <c r="V217" i="7" s="1"/>
  <c r="V218" i="7" s="1"/>
  <c r="V219" i="7" s="1"/>
  <c r="V220" i="7" s="1"/>
  <c r="V221" i="7" s="1"/>
  <c r="V222" i="7" s="1"/>
  <c r="V223" i="7" s="1"/>
  <c r="V224" i="7" s="1"/>
  <c r="V225" i="7" s="1"/>
  <c r="V226" i="7" s="1"/>
  <c r="V227" i="7" s="1"/>
  <c r="V228" i="7" s="1"/>
  <c r="V229" i="7" s="1"/>
  <c r="V230" i="7" s="1"/>
  <c r="V231" i="7" s="1"/>
  <c r="V232" i="7" s="1"/>
  <c r="V233" i="7" s="1"/>
  <c r="V234" i="7" s="1"/>
  <c r="V235" i="7" s="1"/>
  <c r="V236" i="7" s="1"/>
  <c r="V237" i="7" s="1"/>
  <c r="V238" i="7" s="1"/>
  <c r="V239" i="7" s="1"/>
  <c r="V240" i="7" s="1"/>
  <c r="V241" i="7" s="1"/>
  <c r="V242" i="7" s="1"/>
  <c r="V243" i="7" s="1"/>
  <c r="V244" i="7" s="1"/>
  <c r="V245" i="7" s="1"/>
  <c r="V246" i="7" s="1"/>
  <c r="V247" i="7" s="1"/>
  <c r="V248" i="7" s="1"/>
  <c r="V249" i="7" s="1"/>
  <c r="V250" i="7" s="1"/>
  <c r="V251" i="7" s="1"/>
  <c r="V252" i="7" s="1"/>
  <c r="V253" i="7" s="1"/>
  <c r="V254" i="7" s="1"/>
  <c r="V255" i="7" s="1"/>
  <c r="V256" i="7" s="1"/>
  <c r="V257" i="7" s="1"/>
  <c r="V258" i="7" s="1"/>
  <c r="V259" i="7" s="1"/>
  <c r="V260" i="7" s="1"/>
  <c r="V261" i="7" s="1"/>
  <c r="V262" i="7" s="1"/>
  <c r="V263" i="7" s="1"/>
  <c r="V264" i="7" s="1"/>
  <c r="V265" i="7" s="1"/>
  <c r="V266" i="7" s="1"/>
  <c r="V267" i="7" s="1"/>
  <c r="V268" i="7" s="1"/>
  <c r="V269" i="7" s="1"/>
  <c r="V270" i="7" s="1"/>
  <c r="V271" i="7" s="1"/>
  <c r="V272" i="7" s="1"/>
  <c r="V273" i="7" s="1"/>
  <c r="V274" i="7" s="1"/>
  <c r="V275" i="7" s="1"/>
  <c r="V276" i="7" s="1"/>
  <c r="V277" i="7" s="1"/>
  <c r="V278" i="7" s="1"/>
  <c r="V279" i="7" s="1"/>
  <c r="V280" i="7" s="1"/>
  <c r="V281" i="7" s="1"/>
  <c r="V282" i="7" s="1"/>
  <c r="V283" i="7" s="1"/>
  <c r="V284" i="7" s="1"/>
  <c r="V285" i="7" s="1"/>
  <c r="V286" i="7" s="1"/>
  <c r="V287" i="7" s="1"/>
  <c r="V288" i="7" s="1"/>
  <c r="V289" i="7" s="1"/>
  <c r="V290" i="7" s="1"/>
  <c r="V291" i="7" s="1"/>
  <c r="V292" i="7" s="1"/>
  <c r="V293" i="7" s="1"/>
  <c r="V294" i="7" s="1"/>
  <c r="V295" i="7" s="1"/>
  <c r="V296" i="7" s="1"/>
  <c r="V297" i="7" s="1"/>
  <c r="V298" i="7" s="1"/>
  <c r="V299" i="7" s="1"/>
  <c r="V300" i="7" s="1"/>
  <c r="V301" i="7" s="1"/>
  <c r="V302" i="7" s="1"/>
  <c r="V303" i="7" s="1"/>
  <c r="V304" i="7" s="1"/>
  <c r="V305" i="7" s="1"/>
  <c r="V306" i="7" s="1"/>
  <c r="V307" i="7" s="1"/>
  <c r="V308" i="7" s="1"/>
  <c r="V309" i="7" s="1"/>
  <c r="V310" i="7" s="1"/>
  <c r="V311" i="7" s="1"/>
  <c r="V312" i="7" s="1"/>
  <c r="V313" i="7" s="1"/>
  <c r="V314" i="7" s="1"/>
  <c r="V315" i="7" s="1"/>
  <c r="V316" i="7" s="1"/>
  <c r="V317" i="7" s="1"/>
  <c r="V318" i="7" s="1"/>
  <c r="V319" i="7" s="1"/>
  <c r="V320" i="7" s="1"/>
  <c r="V321" i="7" s="1"/>
  <c r="V322" i="7" s="1"/>
  <c r="V323" i="7" s="1"/>
  <c r="V324" i="7" s="1"/>
  <c r="V325" i="7" s="1"/>
  <c r="V326" i="7" s="1"/>
  <c r="V327" i="7" s="1"/>
  <c r="V328" i="7" s="1"/>
  <c r="V329" i="7" s="1"/>
  <c r="V330" i="7" s="1"/>
  <c r="V331" i="7" s="1"/>
  <c r="V332" i="7" s="1"/>
  <c r="V333" i="7" s="1"/>
  <c r="V334" i="7" s="1"/>
  <c r="V335" i="7" s="1"/>
  <c r="V336" i="7" s="1"/>
  <c r="V337" i="7" s="1"/>
  <c r="V338" i="7" s="1"/>
  <c r="V339" i="7" s="1"/>
  <c r="V340" i="7" s="1"/>
  <c r="V341" i="7" s="1"/>
  <c r="V342" i="7" s="1"/>
  <c r="V343" i="7" s="1"/>
  <c r="V344" i="7" s="1"/>
  <c r="V345" i="7" s="1"/>
  <c r="V346" i="7" s="1"/>
  <c r="V347" i="7" s="1"/>
  <c r="V348" i="7" s="1"/>
  <c r="V349" i="7" s="1"/>
  <c r="V350" i="7" s="1"/>
  <c r="V351" i="7" s="1"/>
  <c r="V352" i="7" s="1"/>
  <c r="V353" i="7" s="1"/>
  <c r="V354" i="7" s="1"/>
  <c r="V355" i="7" s="1"/>
  <c r="V356" i="7" s="1"/>
  <c r="V357" i="7" s="1"/>
  <c r="V358" i="7" s="1"/>
  <c r="V359" i="7" s="1"/>
  <c r="V360" i="7" s="1"/>
  <c r="V361" i="7" s="1"/>
  <c r="V362" i="7" s="1"/>
  <c r="V363" i="7" s="1"/>
  <c r="V364" i="7" s="1"/>
  <c r="V365" i="7" s="1"/>
  <c r="V366" i="7" s="1"/>
  <c r="V367" i="7" s="1"/>
  <c r="V368" i="7" s="1"/>
  <c r="V369" i="7" s="1"/>
  <c r="V370" i="7" s="1"/>
  <c r="V371" i="7" s="1"/>
  <c r="V372" i="7" s="1"/>
  <c r="V373" i="7" s="1"/>
  <c r="V374" i="7" s="1"/>
  <c r="V375" i="7" s="1"/>
  <c r="V376" i="7" s="1"/>
  <c r="V377" i="7" s="1"/>
  <c r="V378" i="7" s="1"/>
  <c r="V379" i="7" s="1"/>
  <c r="V380" i="7" s="1"/>
  <c r="V381" i="7" s="1"/>
  <c r="V382" i="7" s="1"/>
  <c r="V383" i="7" s="1"/>
  <c r="V384" i="7" s="1"/>
  <c r="V385" i="7" s="1"/>
  <c r="V386" i="7" s="1"/>
  <c r="V387" i="7" s="1"/>
  <c r="V388" i="7" s="1"/>
  <c r="V389" i="7" s="1"/>
  <c r="V390" i="7" s="1"/>
  <c r="V391" i="7" s="1"/>
  <c r="V392" i="7" s="1"/>
  <c r="V393" i="7" s="1"/>
  <c r="V394" i="7" s="1"/>
  <c r="V395" i="7" s="1"/>
  <c r="V396" i="7" s="1"/>
  <c r="V397" i="7" s="1"/>
  <c r="V398" i="7" s="1"/>
  <c r="V399" i="7" s="1"/>
  <c r="V400" i="7" s="1"/>
  <c r="V401" i="7" s="1"/>
  <c r="V402" i="7" s="1"/>
  <c r="V403" i="7" s="1"/>
  <c r="V404" i="7" s="1"/>
  <c r="V405" i="7" s="1"/>
  <c r="V406" i="7" s="1"/>
  <c r="V407" i="7" s="1"/>
  <c r="V408" i="7" s="1"/>
  <c r="V409" i="7" s="1"/>
  <c r="V410" i="7" s="1"/>
  <c r="V411" i="7" s="1"/>
  <c r="V412" i="7" s="1"/>
  <c r="V413" i="7" s="1"/>
  <c r="V414" i="7" s="1"/>
  <c r="V415" i="7" s="1"/>
  <c r="V416" i="7" s="1"/>
  <c r="V417" i="7" s="1"/>
  <c r="V418" i="7" s="1"/>
  <c r="V419" i="7" s="1"/>
  <c r="V420" i="7" s="1"/>
  <c r="V421" i="7" s="1"/>
  <c r="V422" i="7" s="1"/>
  <c r="V423" i="7" s="1"/>
  <c r="V424" i="7" s="1"/>
  <c r="V425" i="7" s="1"/>
  <c r="V426" i="7" s="1"/>
  <c r="V427" i="7" s="1"/>
  <c r="V428" i="7" s="1"/>
  <c r="V429" i="7" s="1"/>
  <c r="V430" i="7" s="1"/>
  <c r="V431" i="7" s="1"/>
  <c r="V432" i="7" s="1"/>
  <c r="V433" i="7" s="1"/>
  <c r="V434" i="7" s="1"/>
  <c r="V435" i="7" s="1"/>
  <c r="V436" i="7" s="1"/>
  <c r="V437" i="7" s="1"/>
  <c r="V438" i="7" s="1"/>
  <c r="V439" i="7" s="1"/>
  <c r="V440" i="7" s="1"/>
  <c r="V441" i="7" s="1"/>
  <c r="V442" i="7" s="1"/>
  <c r="V443" i="7" s="1"/>
  <c r="V444" i="7" s="1"/>
  <c r="V445" i="7" s="1"/>
  <c r="V446" i="7" s="1"/>
  <c r="V447" i="7" s="1"/>
  <c r="V448" i="7" s="1"/>
  <c r="V449" i="7" s="1"/>
  <c r="V450" i="7" s="1"/>
  <c r="V451" i="7" s="1"/>
  <c r="V452" i="7" s="1"/>
  <c r="V453" i="7" s="1"/>
  <c r="V454" i="7" s="1"/>
  <c r="V455" i="7" s="1"/>
  <c r="V456" i="7" s="1"/>
  <c r="V457" i="7" s="1"/>
  <c r="V458" i="7" s="1"/>
  <c r="V459" i="7" s="1"/>
  <c r="V460" i="7" s="1"/>
  <c r="V461" i="7" s="1"/>
  <c r="V462" i="7" s="1"/>
  <c r="V463" i="7" s="1"/>
  <c r="V464" i="7" s="1"/>
  <c r="V465" i="7" s="1"/>
  <c r="V466" i="7" s="1"/>
  <c r="V467" i="7" s="1"/>
  <c r="V468" i="7" s="1"/>
  <c r="V469" i="7" s="1"/>
  <c r="V470" i="7" s="1"/>
  <c r="V471" i="7" s="1"/>
  <c r="V472" i="7" s="1"/>
  <c r="V473" i="7" s="1"/>
  <c r="V474" i="7" s="1"/>
  <c r="V475" i="7" s="1"/>
  <c r="V476" i="7" s="1"/>
  <c r="V477" i="7" s="1"/>
  <c r="V478" i="7" s="1"/>
  <c r="V479" i="7" s="1"/>
  <c r="V480" i="7" s="1"/>
  <c r="V481" i="7" s="1"/>
  <c r="V482" i="7" s="1"/>
  <c r="V483" i="7" s="1"/>
  <c r="V484" i="7" s="1"/>
  <c r="V485" i="7" s="1"/>
  <c r="V486" i="7" s="1"/>
  <c r="V487" i="7" s="1"/>
  <c r="V488" i="7" s="1"/>
  <c r="V489" i="7" s="1"/>
  <c r="V490" i="7" s="1"/>
  <c r="V491" i="7" s="1"/>
  <c r="V492" i="7" s="1"/>
  <c r="V493" i="7" s="1"/>
  <c r="V494" i="7" s="1"/>
  <c r="V495" i="7" s="1"/>
  <c r="V496" i="7" s="1"/>
  <c r="V497" i="7" s="1"/>
  <c r="V498" i="7" s="1"/>
  <c r="V499" i="7" s="1"/>
  <c r="V500" i="7" s="1"/>
  <c r="V501" i="7" s="1"/>
  <c r="V502" i="7" s="1"/>
  <c r="V503" i="7" s="1"/>
  <c r="V504" i="7" s="1"/>
  <c r="V505" i="7" s="1"/>
  <c r="V506" i="7" s="1"/>
  <c r="V507" i="7" s="1"/>
  <c r="V508" i="7" s="1"/>
  <c r="V509" i="7" s="1"/>
  <c r="W16" i="7"/>
  <c r="W17" i="7" s="1"/>
  <c r="W18" i="7" s="1"/>
  <c r="W19" i="7" s="1"/>
  <c r="W20" i="7" s="1"/>
  <c r="W21" i="7" s="1"/>
  <c r="W22" i="7" s="1"/>
  <c r="W23" i="7" s="1"/>
  <c r="W24" i="7" s="1"/>
  <c r="W25" i="7" s="1"/>
  <c r="W26" i="7" s="1"/>
  <c r="W27" i="7" s="1"/>
  <c r="W28" i="7" s="1"/>
  <c r="W29" i="7" s="1"/>
  <c r="W30" i="7" s="1"/>
  <c r="W31" i="7" s="1"/>
  <c r="W32" i="7" s="1"/>
  <c r="W33" i="7" s="1"/>
  <c r="W34" i="7" s="1"/>
  <c r="W35" i="7" s="1"/>
  <c r="W36" i="7" s="1"/>
  <c r="W37" i="7" s="1"/>
  <c r="W38" i="7" s="1"/>
  <c r="W39" i="7" s="1"/>
  <c r="W40" i="7" s="1"/>
  <c r="W41" i="7" s="1"/>
  <c r="W42" i="7" s="1"/>
  <c r="W43" i="7" s="1"/>
  <c r="W44" i="7" s="1"/>
  <c r="W45" i="7" s="1"/>
  <c r="W46" i="7" s="1"/>
  <c r="W47" i="7" s="1"/>
  <c r="W48" i="7" s="1"/>
  <c r="W49" i="7" s="1"/>
  <c r="W50" i="7" s="1"/>
  <c r="W51" i="7" s="1"/>
  <c r="W52" i="7" s="1"/>
  <c r="W53" i="7" s="1"/>
  <c r="W54" i="7" s="1"/>
  <c r="W55" i="7" s="1"/>
  <c r="W56" i="7" s="1"/>
  <c r="W57" i="7" s="1"/>
  <c r="W58" i="7" s="1"/>
  <c r="W59" i="7" s="1"/>
  <c r="W60" i="7" s="1"/>
  <c r="W61" i="7" s="1"/>
  <c r="W62" i="7" s="1"/>
  <c r="W63" i="7" s="1"/>
  <c r="W64" i="7" s="1"/>
  <c r="W65" i="7" s="1"/>
  <c r="W66" i="7" s="1"/>
  <c r="W67" i="7" s="1"/>
  <c r="W68" i="7" s="1"/>
  <c r="W69" i="7" s="1"/>
  <c r="W70" i="7" s="1"/>
  <c r="W71" i="7" s="1"/>
  <c r="W72" i="7" s="1"/>
  <c r="W73" i="7" s="1"/>
  <c r="W74" i="7" s="1"/>
  <c r="W75" i="7" s="1"/>
  <c r="W76" i="7" s="1"/>
  <c r="W77" i="7" s="1"/>
  <c r="W78" i="7" s="1"/>
  <c r="W79" i="7" s="1"/>
  <c r="W80" i="7" s="1"/>
  <c r="W81" i="7" s="1"/>
  <c r="W82" i="7" s="1"/>
  <c r="W83" i="7" s="1"/>
  <c r="W84" i="7" s="1"/>
  <c r="W85" i="7" s="1"/>
  <c r="W86" i="7" s="1"/>
  <c r="W87" i="7" s="1"/>
  <c r="W88" i="7" s="1"/>
  <c r="W89" i="7" s="1"/>
  <c r="W90" i="7" s="1"/>
  <c r="W91" i="7" s="1"/>
  <c r="W92" i="7" s="1"/>
  <c r="W93" i="7" s="1"/>
  <c r="W94" i="7" s="1"/>
  <c r="W95" i="7" s="1"/>
  <c r="W96" i="7" s="1"/>
  <c r="W97" i="7" s="1"/>
  <c r="W98" i="7" s="1"/>
  <c r="W99" i="7" s="1"/>
  <c r="W100" i="7" s="1"/>
  <c r="W101" i="7" s="1"/>
  <c r="W102" i="7" s="1"/>
  <c r="W103" i="7" s="1"/>
  <c r="W104" i="7" s="1"/>
  <c r="W105" i="7" s="1"/>
  <c r="W106" i="7" s="1"/>
  <c r="W107" i="7" s="1"/>
  <c r="W108" i="7" s="1"/>
  <c r="W109" i="7" s="1"/>
  <c r="W110" i="7" s="1"/>
  <c r="W111" i="7" s="1"/>
  <c r="W112" i="7" s="1"/>
  <c r="W113" i="7" s="1"/>
  <c r="W114" i="7" s="1"/>
  <c r="W115" i="7" s="1"/>
  <c r="W116" i="7" s="1"/>
  <c r="W117" i="7" s="1"/>
  <c r="W118" i="7" s="1"/>
  <c r="W119" i="7" s="1"/>
  <c r="W120" i="7" s="1"/>
  <c r="W121" i="7" s="1"/>
  <c r="W122" i="7" s="1"/>
  <c r="W123" i="7" s="1"/>
  <c r="W124" i="7" s="1"/>
  <c r="W125" i="7" s="1"/>
  <c r="W126" i="7" s="1"/>
  <c r="W127" i="7" s="1"/>
  <c r="W128" i="7" s="1"/>
  <c r="W129" i="7" s="1"/>
  <c r="W130" i="7" s="1"/>
  <c r="W131" i="7" s="1"/>
  <c r="W132" i="7" s="1"/>
  <c r="W133" i="7" s="1"/>
  <c r="W134" i="7" s="1"/>
  <c r="W135" i="7" s="1"/>
  <c r="W136" i="7" s="1"/>
  <c r="W137" i="7" s="1"/>
  <c r="W138" i="7" s="1"/>
  <c r="W139" i="7" s="1"/>
  <c r="W140" i="7" s="1"/>
  <c r="W141" i="7" s="1"/>
  <c r="W142" i="7" s="1"/>
  <c r="W143" i="7" s="1"/>
  <c r="W144" i="7" s="1"/>
  <c r="W145" i="7" s="1"/>
  <c r="W146" i="7" s="1"/>
  <c r="W147" i="7" s="1"/>
  <c r="W148" i="7" s="1"/>
  <c r="W149" i="7" s="1"/>
  <c r="W150" i="7" s="1"/>
  <c r="W151" i="7" s="1"/>
  <c r="W152" i="7" s="1"/>
  <c r="W153" i="7" s="1"/>
  <c r="W154" i="7" s="1"/>
  <c r="W155" i="7" s="1"/>
  <c r="W156" i="7" s="1"/>
  <c r="W157" i="7" s="1"/>
  <c r="W158" i="7" s="1"/>
  <c r="W159" i="7" s="1"/>
  <c r="W160" i="7" s="1"/>
  <c r="W161" i="7" s="1"/>
  <c r="W162" i="7" s="1"/>
  <c r="W163" i="7" s="1"/>
  <c r="W164" i="7" s="1"/>
  <c r="W165" i="7" s="1"/>
  <c r="W166" i="7" s="1"/>
  <c r="W167" i="7" s="1"/>
  <c r="W168" i="7" s="1"/>
  <c r="W169" i="7" s="1"/>
  <c r="W170" i="7" s="1"/>
  <c r="W171" i="7" s="1"/>
  <c r="W172" i="7" s="1"/>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W193" i="7" s="1"/>
  <c r="W194" i="7" s="1"/>
  <c r="W195" i="7" s="1"/>
  <c r="W196" i="7" s="1"/>
  <c r="W197" i="7" s="1"/>
  <c r="W198" i="7" s="1"/>
  <c r="W199" i="7" s="1"/>
  <c r="W200" i="7" s="1"/>
  <c r="W201" i="7" s="1"/>
  <c r="W202" i="7" s="1"/>
  <c r="W203" i="7" s="1"/>
  <c r="W204" i="7" s="1"/>
  <c r="W205" i="7" s="1"/>
  <c r="W206" i="7" s="1"/>
  <c r="W207" i="7" s="1"/>
  <c r="W208" i="7" s="1"/>
  <c r="W209" i="7" s="1"/>
  <c r="W210" i="7" s="1"/>
  <c r="W211" i="7" s="1"/>
  <c r="W212" i="7" s="1"/>
  <c r="W213" i="7" s="1"/>
  <c r="W214" i="7" s="1"/>
  <c r="W215" i="7" s="1"/>
  <c r="W216" i="7" s="1"/>
  <c r="W217" i="7" s="1"/>
  <c r="W218" i="7" s="1"/>
  <c r="W219" i="7" s="1"/>
  <c r="W220" i="7" s="1"/>
  <c r="W221" i="7" s="1"/>
  <c r="W222" i="7" s="1"/>
  <c r="W223" i="7" s="1"/>
  <c r="W224" i="7" s="1"/>
  <c r="W225" i="7" s="1"/>
  <c r="W226" i="7" s="1"/>
  <c r="W227" i="7" s="1"/>
  <c r="W228" i="7" s="1"/>
  <c r="W229" i="7" s="1"/>
  <c r="W230" i="7" s="1"/>
  <c r="W231" i="7" s="1"/>
  <c r="W232" i="7" s="1"/>
  <c r="W233" i="7" s="1"/>
  <c r="W234" i="7" s="1"/>
  <c r="W235" i="7" s="1"/>
  <c r="W236" i="7" s="1"/>
  <c r="W237" i="7" s="1"/>
  <c r="W238" i="7" s="1"/>
  <c r="W239" i="7" s="1"/>
  <c r="W240" i="7" s="1"/>
  <c r="W241" i="7" s="1"/>
  <c r="W242" i="7" s="1"/>
  <c r="W243" i="7" s="1"/>
  <c r="W244" i="7" s="1"/>
  <c r="W245" i="7" s="1"/>
  <c r="W246" i="7" s="1"/>
  <c r="W247" i="7" s="1"/>
  <c r="W248" i="7" s="1"/>
  <c r="W249" i="7" s="1"/>
  <c r="W250" i="7" s="1"/>
  <c r="W251" i="7" s="1"/>
  <c r="W252" i="7" s="1"/>
  <c r="W253" i="7" s="1"/>
  <c r="W254" i="7" s="1"/>
  <c r="W255" i="7" s="1"/>
  <c r="W256" i="7" s="1"/>
  <c r="W257" i="7" s="1"/>
  <c r="W258" i="7" s="1"/>
  <c r="W259" i="7" s="1"/>
  <c r="W260" i="7" s="1"/>
  <c r="W261" i="7" s="1"/>
  <c r="W262" i="7" s="1"/>
  <c r="W263" i="7" s="1"/>
  <c r="W264" i="7" s="1"/>
  <c r="W265" i="7" s="1"/>
  <c r="W266" i="7" s="1"/>
  <c r="W267" i="7" s="1"/>
  <c r="W268" i="7" s="1"/>
  <c r="W269" i="7" s="1"/>
  <c r="W270" i="7" s="1"/>
  <c r="W271" i="7" s="1"/>
  <c r="W272" i="7" s="1"/>
  <c r="W273" i="7" s="1"/>
  <c r="W274" i="7" s="1"/>
  <c r="W275" i="7" s="1"/>
  <c r="W276" i="7" s="1"/>
  <c r="W277" i="7" s="1"/>
  <c r="W278" i="7" s="1"/>
  <c r="W279" i="7" s="1"/>
  <c r="W280" i="7" s="1"/>
  <c r="W281" i="7" s="1"/>
  <c r="W282" i="7" s="1"/>
  <c r="W283" i="7" s="1"/>
  <c r="W284" i="7" s="1"/>
  <c r="W285" i="7" s="1"/>
  <c r="W286" i="7" s="1"/>
  <c r="W287" i="7" s="1"/>
  <c r="W288" i="7" s="1"/>
  <c r="W289" i="7" s="1"/>
  <c r="W290" i="7" s="1"/>
  <c r="W291" i="7" s="1"/>
  <c r="W292" i="7" s="1"/>
  <c r="W293" i="7" s="1"/>
  <c r="W294" i="7" s="1"/>
  <c r="W295" i="7" s="1"/>
  <c r="W296" i="7" s="1"/>
  <c r="W297" i="7" s="1"/>
  <c r="W298" i="7" s="1"/>
  <c r="W299" i="7" s="1"/>
  <c r="W300" i="7" s="1"/>
  <c r="W301" i="7" s="1"/>
  <c r="W302" i="7" s="1"/>
  <c r="W303" i="7" s="1"/>
  <c r="W304" i="7" s="1"/>
  <c r="W305" i="7" s="1"/>
  <c r="W306" i="7" s="1"/>
  <c r="W307" i="7" s="1"/>
  <c r="W308" i="7" s="1"/>
  <c r="W309" i="7" s="1"/>
  <c r="W310" i="7" s="1"/>
  <c r="W311" i="7" s="1"/>
  <c r="W312" i="7" s="1"/>
  <c r="W313" i="7" s="1"/>
  <c r="W314" i="7" s="1"/>
  <c r="W315" i="7" s="1"/>
  <c r="W316" i="7" s="1"/>
  <c r="W317" i="7" s="1"/>
  <c r="W318" i="7" s="1"/>
  <c r="W319" i="7" s="1"/>
  <c r="W320" i="7" s="1"/>
  <c r="W321" i="7" s="1"/>
  <c r="W322" i="7" s="1"/>
  <c r="W323" i="7" s="1"/>
  <c r="W324" i="7" s="1"/>
  <c r="W325" i="7" s="1"/>
  <c r="W326" i="7" s="1"/>
  <c r="W327" i="7" s="1"/>
  <c r="W328" i="7" s="1"/>
  <c r="W329" i="7" s="1"/>
  <c r="W330" i="7" s="1"/>
  <c r="W331" i="7" s="1"/>
  <c r="W332" i="7" s="1"/>
  <c r="W333" i="7" s="1"/>
  <c r="W334" i="7" s="1"/>
  <c r="W335" i="7" s="1"/>
  <c r="W336" i="7" s="1"/>
  <c r="W337" i="7" s="1"/>
  <c r="W338" i="7" s="1"/>
  <c r="W339" i="7" s="1"/>
  <c r="W340" i="7" s="1"/>
  <c r="W341" i="7" s="1"/>
  <c r="W342" i="7" s="1"/>
  <c r="W343" i="7" s="1"/>
  <c r="W344" i="7" s="1"/>
  <c r="W345" i="7" s="1"/>
  <c r="W346" i="7" s="1"/>
  <c r="W347" i="7" s="1"/>
  <c r="W348" i="7" s="1"/>
  <c r="W349" i="7" s="1"/>
  <c r="W350" i="7" s="1"/>
  <c r="W351" i="7" s="1"/>
  <c r="W352" i="7" s="1"/>
  <c r="W353" i="7" s="1"/>
  <c r="W354" i="7" s="1"/>
  <c r="W355" i="7" s="1"/>
  <c r="W356" i="7" s="1"/>
  <c r="W357" i="7" s="1"/>
  <c r="W358" i="7" s="1"/>
  <c r="W359" i="7" s="1"/>
  <c r="W360" i="7" s="1"/>
  <c r="W361" i="7" s="1"/>
  <c r="W362" i="7" s="1"/>
  <c r="W363" i="7" s="1"/>
  <c r="W364" i="7" s="1"/>
  <c r="W365" i="7" s="1"/>
  <c r="W366" i="7" s="1"/>
  <c r="W367" i="7" s="1"/>
  <c r="W368" i="7" s="1"/>
  <c r="W369" i="7" s="1"/>
  <c r="W370" i="7" s="1"/>
  <c r="W371" i="7" s="1"/>
  <c r="W372" i="7" s="1"/>
  <c r="W373" i="7" s="1"/>
  <c r="W374" i="7" s="1"/>
  <c r="W375" i="7" s="1"/>
  <c r="W376" i="7" s="1"/>
  <c r="W377" i="7" s="1"/>
  <c r="W378" i="7" s="1"/>
  <c r="W379" i="7" s="1"/>
  <c r="W380" i="7" s="1"/>
  <c r="W381" i="7" s="1"/>
  <c r="W382" i="7" s="1"/>
  <c r="W383" i="7" s="1"/>
  <c r="W384" i="7" s="1"/>
  <c r="W385" i="7" s="1"/>
  <c r="W386" i="7" s="1"/>
  <c r="W387" i="7" s="1"/>
  <c r="W388" i="7" s="1"/>
  <c r="W389" i="7" s="1"/>
  <c r="W390" i="7" s="1"/>
  <c r="W391" i="7" s="1"/>
  <c r="W392" i="7" s="1"/>
  <c r="W393" i="7" s="1"/>
  <c r="W394" i="7" s="1"/>
  <c r="W395" i="7" s="1"/>
  <c r="W396" i="7" s="1"/>
  <c r="W397" i="7" s="1"/>
  <c r="W398" i="7" s="1"/>
  <c r="W399" i="7" s="1"/>
  <c r="W400" i="7" s="1"/>
  <c r="W401" i="7" s="1"/>
  <c r="W402" i="7" s="1"/>
  <c r="W403" i="7" s="1"/>
  <c r="W404" i="7" s="1"/>
  <c r="W405" i="7" s="1"/>
  <c r="W406" i="7" s="1"/>
  <c r="W407" i="7" s="1"/>
  <c r="W408" i="7" s="1"/>
  <c r="W409" i="7" s="1"/>
  <c r="W410" i="7" s="1"/>
  <c r="W411" i="7" s="1"/>
  <c r="W412" i="7" s="1"/>
  <c r="W413" i="7" s="1"/>
  <c r="W414" i="7" s="1"/>
  <c r="W415" i="7" s="1"/>
  <c r="W416" i="7" s="1"/>
  <c r="W417" i="7" s="1"/>
  <c r="W418" i="7" s="1"/>
  <c r="W419" i="7" s="1"/>
  <c r="W420" i="7" s="1"/>
  <c r="W421" i="7" s="1"/>
  <c r="W422" i="7" s="1"/>
  <c r="W423" i="7" s="1"/>
  <c r="W424" i="7" s="1"/>
  <c r="W425" i="7" s="1"/>
  <c r="W426" i="7" s="1"/>
  <c r="W427" i="7" s="1"/>
  <c r="W428" i="7" s="1"/>
  <c r="W429" i="7" s="1"/>
  <c r="W430" i="7" s="1"/>
  <c r="W431" i="7" s="1"/>
  <c r="W432" i="7" s="1"/>
  <c r="W433" i="7" s="1"/>
  <c r="W434" i="7" s="1"/>
  <c r="W435" i="7" s="1"/>
  <c r="W436" i="7" s="1"/>
  <c r="W437" i="7" s="1"/>
  <c r="W438" i="7" s="1"/>
  <c r="W439" i="7" s="1"/>
  <c r="W440" i="7" s="1"/>
  <c r="W441" i="7" s="1"/>
  <c r="W442" i="7" s="1"/>
  <c r="W443" i="7" s="1"/>
  <c r="W444" i="7" s="1"/>
  <c r="W445" i="7" s="1"/>
  <c r="W446" i="7" s="1"/>
  <c r="W447" i="7" s="1"/>
  <c r="W448" i="7" s="1"/>
  <c r="W449" i="7" s="1"/>
  <c r="W450" i="7" s="1"/>
  <c r="W451" i="7" s="1"/>
  <c r="W452" i="7" s="1"/>
  <c r="W453" i="7" s="1"/>
  <c r="W454" i="7" s="1"/>
  <c r="W455" i="7" s="1"/>
  <c r="W456" i="7" s="1"/>
  <c r="W457" i="7" s="1"/>
  <c r="W458" i="7" s="1"/>
  <c r="W459" i="7" s="1"/>
  <c r="W460" i="7" s="1"/>
  <c r="W461" i="7" s="1"/>
  <c r="W462" i="7" s="1"/>
  <c r="W463" i="7" s="1"/>
  <c r="W464" i="7" s="1"/>
  <c r="W465" i="7" s="1"/>
  <c r="W466" i="7" s="1"/>
  <c r="W467" i="7" s="1"/>
  <c r="W468" i="7" s="1"/>
  <c r="W469" i="7" s="1"/>
  <c r="W470" i="7" s="1"/>
  <c r="W471" i="7" s="1"/>
  <c r="W472" i="7" s="1"/>
  <c r="W473" i="7" s="1"/>
  <c r="W474" i="7" s="1"/>
  <c r="W475" i="7" s="1"/>
  <c r="W476" i="7" s="1"/>
  <c r="W477" i="7" s="1"/>
  <c r="W478" i="7" s="1"/>
  <c r="W479" i="7" s="1"/>
  <c r="W480" i="7" s="1"/>
  <c r="W481" i="7" s="1"/>
  <c r="W482" i="7" s="1"/>
  <c r="W483" i="7" s="1"/>
  <c r="W484" i="7" s="1"/>
  <c r="W485" i="7" s="1"/>
  <c r="W486" i="7" s="1"/>
  <c r="W487" i="7" s="1"/>
  <c r="W488" i="7" s="1"/>
  <c r="W489" i="7" s="1"/>
  <c r="W490" i="7" s="1"/>
  <c r="W491" i="7" s="1"/>
  <c r="W492" i="7" s="1"/>
  <c r="W493" i="7" s="1"/>
  <c r="W494" i="7" s="1"/>
  <c r="W495" i="7" s="1"/>
  <c r="W496" i="7" s="1"/>
  <c r="W497" i="7" s="1"/>
  <c r="W498" i="7" s="1"/>
  <c r="W499" i="7" s="1"/>
  <c r="W500" i="7" s="1"/>
  <c r="W501" i="7" s="1"/>
  <c r="W502" i="7" s="1"/>
  <c r="W503" i="7" s="1"/>
  <c r="W504" i="7" s="1"/>
  <c r="W505" i="7" s="1"/>
  <c r="W506" i="7" s="1"/>
  <c r="W507" i="7" s="1"/>
  <c r="W508" i="7" s="1"/>
  <c r="W509" i="7" s="1"/>
  <c r="Y16" i="7"/>
  <c r="Y17" i="7" s="1"/>
  <c r="Y18" i="7" s="1"/>
  <c r="Y19" i="7" s="1"/>
  <c r="Y20" i="7" s="1"/>
  <c r="Y21" i="7" s="1"/>
  <c r="Y22" i="7" s="1"/>
  <c r="Y23" i="7" s="1"/>
  <c r="Y24" i="7" s="1"/>
  <c r="Y25" i="7" s="1"/>
  <c r="Y26" i="7" s="1"/>
  <c r="Y27" i="7" s="1"/>
  <c r="Y28" i="7" s="1"/>
  <c r="Y29" i="7" s="1"/>
  <c r="Y30" i="7" s="1"/>
  <c r="Y31" i="7" s="1"/>
  <c r="Y32" i="7" s="1"/>
  <c r="Y33" i="7" s="1"/>
  <c r="Y34" i="7" s="1"/>
  <c r="Y35" i="7" s="1"/>
  <c r="Y36" i="7" s="1"/>
  <c r="Y37" i="7" s="1"/>
  <c r="Y38" i="7" s="1"/>
  <c r="Y39" i="7" s="1"/>
  <c r="Y40" i="7" s="1"/>
  <c r="Y41" i="7" s="1"/>
  <c r="Y42" i="7" s="1"/>
  <c r="Y43" i="7" s="1"/>
  <c r="Y44" i="7" s="1"/>
  <c r="Y45" i="7" s="1"/>
  <c r="Y46" i="7" s="1"/>
  <c r="Y47" i="7" s="1"/>
  <c r="Y48" i="7" s="1"/>
  <c r="Y49" i="7" s="1"/>
  <c r="Y50" i="7" s="1"/>
  <c r="Y51" i="7" s="1"/>
  <c r="Y52" i="7" s="1"/>
  <c r="Y53" i="7" s="1"/>
  <c r="Y54" i="7" s="1"/>
  <c r="Y55" i="7" s="1"/>
  <c r="Y56" i="7" s="1"/>
  <c r="Y57" i="7" s="1"/>
  <c r="Y58" i="7" s="1"/>
  <c r="Y59" i="7" s="1"/>
  <c r="Y60" i="7" s="1"/>
  <c r="Y61" i="7" s="1"/>
  <c r="Y62" i="7" s="1"/>
  <c r="Y63" i="7" s="1"/>
  <c r="Y64" i="7" s="1"/>
  <c r="Y65" i="7" s="1"/>
  <c r="Y66" i="7" s="1"/>
  <c r="Y67" i="7" s="1"/>
  <c r="Y68" i="7" s="1"/>
  <c r="Y69" i="7" s="1"/>
  <c r="Y70" i="7" s="1"/>
  <c r="Y71" i="7" s="1"/>
  <c r="Y72" i="7" s="1"/>
  <c r="Y73" i="7" s="1"/>
  <c r="Y74" i="7" s="1"/>
  <c r="Y75" i="7" s="1"/>
  <c r="Y76" i="7" s="1"/>
  <c r="Y77" i="7" s="1"/>
  <c r="Y78" i="7" s="1"/>
  <c r="Y79" i="7" s="1"/>
  <c r="Y80" i="7" s="1"/>
  <c r="Y81" i="7" s="1"/>
  <c r="Y82" i="7" s="1"/>
  <c r="Y83" i="7" s="1"/>
  <c r="Y84" i="7" s="1"/>
  <c r="Y85" i="7" s="1"/>
  <c r="Y86" i="7" s="1"/>
  <c r="Y87" i="7" s="1"/>
  <c r="Y88" i="7" s="1"/>
  <c r="Y89" i="7" s="1"/>
  <c r="Y90" i="7" s="1"/>
  <c r="Y91" i="7" s="1"/>
  <c r="Y92" i="7" s="1"/>
  <c r="Y93" i="7" s="1"/>
  <c r="Y94" i="7" s="1"/>
  <c r="Y95" i="7" s="1"/>
  <c r="Y96" i="7" s="1"/>
  <c r="Y97" i="7" s="1"/>
  <c r="Y98" i="7" s="1"/>
  <c r="Y99" i="7" s="1"/>
  <c r="Y100" i="7" s="1"/>
  <c r="Y101" i="7" s="1"/>
  <c r="Y102" i="7" s="1"/>
  <c r="Y103" i="7" s="1"/>
  <c r="Y104" i="7" s="1"/>
  <c r="Y105" i="7" s="1"/>
  <c r="Y106" i="7" s="1"/>
  <c r="Y107" i="7" s="1"/>
  <c r="Y108" i="7" s="1"/>
  <c r="Y109" i="7" s="1"/>
  <c r="Y110" i="7" s="1"/>
  <c r="Y111" i="7" s="1"/>
  <c r="Y112" i="7" s="1"/>
  <c r="Y113" i="7" s="1"/>
  <c r="Y114" i="7" s="1"/>
  <c r="Y115" i="7" s="1"/>
  <c r="Y116" i="7" s="1"/>
  <c r="Y117" i="7" s="1"/>
  <c r="Y118" i="7" s="1"/>
  <c r="Y119" i="7" s="1"/>
  <c r="Y120" i="7" s="1"/>
  <c r="Y121" i="7" s="1"/>
  <c r="Y122" i="7" s="1"/>
  <c r="Y123" i="7" s="1"/>
  <c r="Y124" i="7" s="1"/>
  <c r="Y125" i="7" s="1"/>
  <c r="Y126" i="7" s="1"/>
  <c r="Y127" i="7" s="1"/>
  <c r="Y128" i="7" s="1"/>
  <c r="Y129" i="7" s="1"/>
  <c r="Y130" i="7" s="1"/>
  <c r="Y131" i="7" s="1"/>
  <c r="Y132" i="7" s="1"/>
  <c r="Y133" i="7" s="1"/>
  <c r="Y134" i="7" s="1"/>
  <c r="Y135" i="7" s="1"/>
  <c r="Y136" i="7" s="1"/>
  <c r="Y137" i="7" s="1"/>
  <c r="Y138" i="7" s="1"/>
  <c r="Y139" i="7" s="1"/>
  <c r="Y140" i="7" s="1"/>
  <c r="Y141" i="7" s="1"/>
  <c r="Y142" i="7" s="1"/>
  <c r="Y143" i="7" s="1"/>
  <c r="Y144" i="7" s="1"/>
  <c r="Y145" i="7" s="1"/>
  <c r="Y146" i="7" s="1"/>
  <c r="Y147" i="7" s="1"/>
  <c r="Y148" i="7" s="1"/>
  <c r="Y149" i="7" s="1"/>
  <c r="Y150" i="7" s="1"/>
  <c r="Y151" i="7" s="1"/>
  <c r="Y152" i="7" s="1"/>
  <c r="Y153" i="7" s="1"/>
  <c r="Y154" i="7" s="1"/>
  <c r="Y155" i="7" s="1"/>
  <c r="Y156" i="7" s="1"/>
  <c r="Y157" i="7" s="1"/>
  <c r="Y158" i="7" s="1"/>
  <c r="Y159" i="7" s="1"/>
  <c r="Y160" i="7" s="1"/>
  <c r="Y161" i="7" s="1"/>
  <c r="Y162" i="7" s="1"/>
  <c r="Y163" i="7" s="1"/>
  <c r="Y164" i="7" s="1"/>
  <c r="Y165" i="7" s="1"/>
  <c r="Y166" i="7" s="1"/>
  <c r="Y167" i="7" s="1"/>
  <c r="Y168" i="7" s="1"/>
  <c r="Y169" i="7" s="1"/>
  <c r="Y170" i="7" s="1"/>
  <c r="Y171" i="7" s="1"/>
  <c r="Y172" i="7" s="1"/>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Y193" i="7" s="1"/>
  <c r="Y194" i="7" s="1"/>
  <c r="Y195" i="7" s="1"/>
  <c r="Y196" i="7" s="1"/>
  <c r="Y197" i="7" s="1"/>
  <c r="Y198" i="7" s="1"/>
  <c r="Y199" i="7" s="1"/>
  <c r="Y200" i="7" s="1"/>
  <c r="Y201" i="7" s="1"/>
  <c r="Y202" i="7" s="1"/>
  <c r="Y203" i="7" s="1"/>
  <c r="Y204" i="7" s="1"/>
  <c r="Y205" i="7" s="1"/>
  <c r="Y206" i="7" s="1"/>
  <c r="Y207" i="7" s="1"/>
  <c r="Y208" i="7" s="1"/>
  <c r="Y209" i="7" s="1"/>
  <c r="Y210" i="7" s="1"/>
  <c r="Y211" i="7" s="1"/>
  <c r="Y212" i="7" s="1"/>
  <c r="Y213" i="7" s="1"/>
  <c r="Y214" i="7" s="1"/>
  <c r="Y215" i="7" s="1"/>
  <c r="Y216" i="7" s="1"/>
  <c r="Y217" i="7" s="1"/>
  <c r="Y218" i="7" s="1"/>
  <c r="Y219" i="7" s="1"/>
  <c r="Y220" i="7" s="1"/>
  <c r="Y221" i="7" s="1"/>
  <c r="Y222" i="7" s="1"/>
  <c r="Y223" i="7" s="1"/>
  <c r="Y224" i="7" s="1"/>
  <c r="Y225" i="7" s="1"/>
  <c r="Y226" i="7" s="1"/>
  <c r="Y227" i="7" s="1"/>
  <c r="Y228" i="7" s="1"/>
  <c r="Y229" i="7" s="1"/>
  <c r="Y230" i="7" s="1"/>
  <c r="Y231" i="7" s="1"/>
  <c r="Y232" i="7" s="1"/>
  <c r="Y233" i="7" s="1"/>
  <c r="Y234" i="7" s="1"/>
  <c r="Y235" i="7" s="1"/>
  <c r="Y236" i="7" s="1"/>
  <c r="Y237" i="7" s="1"/>
  <c r="Y238" i="7" s="1"/>
  <c r="Y239" i="7" s="1"/>
  <c r="Y240" i="7" s="1"/>
  <c r="Y241" i="7" s="1"/>
  <c r="Y242" i="7" s="1"/>
  <c r="Y243" i="7" s="1"/>
  <c r="Y244" i="7" s="1"/>
  <c r="Y245" i="7" s="1"/>
  <c r="Y246" i="7" s="1"/>
  <c r="Y247" i="7" s="1"/>
  <c r="Y248" i="7" s="1"/>
  <c r="Y249" i="7" s="1"/>
  <c r="Y250" i="7" s="1"/>
  <c r="Y251" i="7" s="1"/>
  <c r="Y252" i="7" s="1"/>
  <c r="Y253" i="7" s="1"/>
  <c r="Y254" i="7" s="1"/>
  <c r="Y255" i="7" s="1"/>
  <c r="Y256" i="7" s="1"/>
  <c r="Y257" i="7" s="1"/>
  <c r="Y258" i="7" s="1"/>
  <c r="Y259" i="7" s="1"/>
  <c r="Y260" i="7" s="1"/>
  <c r="Y261" i="7" s="1"/>
  <c r="Y262" i="7" s="1"/>
  <c r="Y263" i="7" s="1"/>
  <c r="Y264" i="7" s="1"/>
  <c r="Y265" i="7" s="1"/>
  <c r="Y266" i="7" s="1"/>
  <c r="Y267" i="7" s="1"/>
  <c r="Y268" i="7" s="1"/>
  <c r="Y269" i="7" s="1"/>
  <c r="Y270" i="7" s="1"/>
  <c r="Y271" i="7" s="1"/>
  <c r="Y272" i="7" s="1"/>
  <c r="Y273" i="7" s="1"/>
  <c r="Y274" i="7" s="1"/>
  <c r="Y275" i="7" s="1"/>
  <c r="Y276" i="7" s="1"/>
  <c r="Y277" i="7" s="1"/>
  <c r="Y278" i="7" s="1"/>
  <c r="Y279" i="7" s="1"/>
  <c r="Y280" i="7" s="1"/>
  <c r="Y281" i="7" s="1"/>
  <c r="Y282" i="7" s="1"/>
  <c r="Y283" i="7" s="1"/>
  <c r="Y284" i="7" s="1"/>
  <c r="Y285" i="7" s="1"/>
  <c r="Y286" i="7" s="1"/>
  <c r="Y287" i="7" s="1"/>
  <c r="Y288" i="7" s="1"/>
  <c r="Y289" i="7" s="1"/>
  <c r="Y290" i="7" s="1"/>
  <c r="Y291" i="7" s="1"/>
  <c r="Y292" i="7" s="1"/>
  <c r="Y293" i="7" s="1"/>
  <c r="Y294" i="7" s="1"/>
  <c r="Y295" i="7" s="1"/>
  <c r="Y296" i="7" s="1"/>
  <c r="Y297" i="7" s="1"/>
  <c r="Y298" i="7" s="1"/>
  <c r="Y299" i="7" s="1"/>
  <c r="Y300" i="7" s="1"/>
  <c r="Y301" i="7" s="1"/>
  <c r="Y302" i="7" s="1"/>
  <c r="Y303" i="7" s="1"/>
  <c r="Y304" i="7" s="1"/>
  <c r="Y305" i="7" s="1"/>
  <c r="Y306" i="7" s="1"/>
  <c r="Y307" i="7" s="1"/>
  <c r="Y308" i="7" s="1"/>
  <c r="Y309" i="7" s="1"/>
  <c r="Y310" i="7" s="1"/>
  <c r="Y311" i="7" s="1"/>
  <c r="Y312" i="7" s="1"/>
  <c r="Y313" i="7" s="1"/>
  <c r="Y314" i="7" s="1"/>
  <c r="Y315" i="7" s="1"/>
  <c r="Y316" i="7" s="1"/>
  <c r="Y317" i="7" s="1"/>
  <c r="Y318" i="7" s="1"/>
  <c r="Y319" i="7" s="1"/>
  <c r="Y320" i="7" s="1"/>
  <c r="Y321" i="7" s="1"/>
  <c r="Y322" i="7" s="1"/>
  <c r="Y323" i="7" s="1"/>
  <c r="Y324" i="7" s="1"/>
  <c r="Y325" i="7" s="1"/>
  <c r="Y326" i="7" s="1"/>
  <c r="Y327" i="7" s="1"/>
  <c r="Y328" i="7" s="1"/>
  <c r="Y329" i="7" s="1"/>
  <c r="Y330" i="7" s="1"/>
  <c r="Y331" i="7" s="1"/>
  <c r="Y332" i="7" s="1"/>
  <c r="Y333" i="7" s="1"/>
  <c r="Y334" i="7" s="1"/>
  <c r="Y335" i="7" s="1"/>
  <c r="Y336" i="7" s="1"/>
  <c r="Y337" i="7" s="1"/>
  <c r="Y338" i="7" s="1"/>
  <c r="Y339" i="7" s="1"/>
  <c r="Y340" i="7" s="1"/>
  <c r="Y341" i="7" s="1"/>
  <c r="Y342" i="7" s="1"/>
  <c r="Y343" i="7" s="1"/>
  <c r="Y344" i="7" s="1"/>
  <c r="Y345" i="7" s="1"/>
  <c r="Y346" i="7" s="1"/>
  <c r="Y347" i="7" s="1"/>
  <c r="Y348" i="7" s="1"/>
  <c r="Y349" i="7" s="1"/>
  <c r="Y350" i="7" s="1"/>
  <c r="Y351" i="7" s="1"/>
  <c r="Y352" i="7" s="1"/>
  <c r="Y353" i="7" s="1"/>
  <c r="Y354" i="7" s="1"/>
  <c r="Y355" i="7" s="1"/>
  <c r="Y356" i="7" s="1"/>
  <c r="Y357" i="7" s="1"/>
  <c r="Y358" i="7" s="1"/>
  <c r="Y359" i="7" s="1"/>
  <c r="Y360" i="7" s="1"/>
  <c r="Y361" i="7" s="1"/>
  <c r="Y362" i="7" s="1"/>
  <c r="Y363" i="7" s="1"/>
  <c r="Y364" i="7" s="1"/>
  <c r="Y365" i="7" s="1"/>
  <c r="Y366" i="7" s="1"/>
  <c r="Y367" i="7" s="1"/>
  <c r="Y368" i="7" s="1"/>
  <c r="Y369" i="7" s="1"/>
  <c r="Y370" i="7" s="1"/>
  <c r="Y371" i="7" s="1"/>
  <c r="Y372" i="7" s="1"/>
  <c r="Y373" i="7" s="1"/>
  <c r="Y374" i="7" s="1"/>
  <c r="Y375" i="7" s="1"/>
  <c r="Y376" i="7" s="1"/>
  <c r="Y377" i="7" s="1"/>
  <c r="Y378" i="7" s="1"/>
  <c r="Y379" i="7" s="1"/>
  <c r="Y380" i="7" s="1"/>
  <c r="Y381" i="7" s="1"/>
  <c r="Y382" i="7" s="1"/>
  <c r="Y383" i="7" s="1"/>
  <c r="Y384" i="7" s="1"/>
  <c r="Y385" i="7" s="1"/>
  <c r="Y386" i="7" s="1"/>
  <c r="Y387" i="7" s="1"/>
  <c r="Y388" i="7" s="1"/>
  <c r="Y389" i="7" s="1"/>
  <c r="Y390" i="7" s="1"/>
  <c r="Y391" i="7" s="1"/>
  <c r="Y392" i="7" s="1"/>
  <c r="Y393" i="7" s="1"/>
  <c r="Y394" i="7" s="1"/>
  <c r="Y395" i="7" s="1"/>
  <c r="Y396" i="7" s="1"/>
  <c r="Y397" i="7" s="1"/>
  <c r="Y398" i="7" s="1"/>
  <c r="Y399" i="7" s="1"/>
  <c r="Y400" i="7" s="1"/>
  <c r="Y401" i="7" s="1"/>
  <c r="Y402" i="7" s="1"/>
  <c r="Y403" i="7" s="1"/>
  <c r="Y404" i="7" s="1"/>
  <c r="Y405" i="7" s="1"/>
  <c r="Y406" i="7" s="1"/>
  <c r="Y407" i="7" s="1"/>
  <c r="Y408" i="7" s="1"/>
  <c r="Y409" i="7" s="1"/>
  <c r="Y410" i="7" s="1"/>
  <c r="Y411" i="7" s="1"/>
  <c r="Y412" i="7" s="1"/>
  <c r="Y413" i="7" s="1"/>
  <c r="Y414" i="7" s="1"/>
  <c r="Y415" i="7" s="1"/>
  <c r="Y416" i="7" s="1"/>
  <c r="Y417" i="7" s="1"/>
  <c r="Y418" i="7" s="1"/>
  <c r="Y419" i="7" s="1"/>
  <c r="Y420" i="7" s="1"/>
  <c r="Y421" i="7" s="1"/>
  <c r="Y422" i="7" s="1"/>
  <c r="Y423" i="7" s="1"/>
  <c r="Y424" i="7" s="1"/>
  <c r="Y425" i="7" s="1"/>
  <c r="Y426" i="7" s="1"/>
  <c r="Y427" i="7" s="1"/>
  <c r="Y428" i="7" s="1"/>
  <c r="Y429" i="7" s="1"/>
  <c r="Y430" i="7" s="1"/>
  <c r="Y431" i="7" s="1"/>
  <c r="Y432" i="7" s="1"/>
  <c r="Y433" i="7" s="1"/>
  <c r="Y434" i="7" s="1"/>
  <c r="Y435" i="7" s="1"/>
  <c r="Y436" i="7" s="1"/>
  <c r="Y437" i="7" s="1"/>
  <c r="Y438" i="7" s="1"/>
  <c r="Y439" i="7" s="1"/>
  <c r="Y440" i="7" s="1"/>
  <c r="Y441" i="7" s="1"/>
  <c r="Y442" i="7" s="1"/>
  <c r="Y443" i="7" s="1"/>
  <c r="Y444" i="7" s="1"/>
  <c r="Y445" i="7" s="1"/>
  <c r="Y446" i="7" s="1"/>
  <c r="Y447" i="7" s="1"/>
  <c r="Y448" i="7" s="1"/>
  <c r="Y449" i="7" s="1"/>
  <c r="Y450" i="7" s="1"/>
  <c r="Y451" i="7" s="1"/>
  <c r="Y452" i="7" s="1"/>
  <c r="Y453" i="7" s="1"/>
  <c r="Y454" i="7" s="1"/>
  <c r="Y455" i="7" s="1"/>
  <c r="Y456" i="7" s="1"/>
  <c r="Y457" i="7" s="1"/>
  <c r="Y458" i="7" s="1"/>
  <c r="Y459" i="7" s="1"/>
  <c r="Y460" i="7" s="1"/>
  <c r="Y461" i="7" s="1"/>
  <c r="Y462" i="7" s="1"/>
  <c r="Y463" i="7" s="1"/>
  <c r="Y464" i="7" s="1"/>
  <c r="Y465" i="7" s="1"/>
  <c r="Y466" i="7" s="1"/>
  <c r="Y467" i="7" s="1"/>
  <c r="Y468" i="7" s="1"/>
  <c r="Y469" i="7" s="1"/>
  <c r="Y470" i="7" s="1"/>
  <c r="Y471" i="7" s="1"/>
  <c r="Y472" i="7" s="1"/>
  <c r="Y473" i="7" s="1"/>
  <c r="Y474" i="7" s="1"/>
  <c r="Y475" i="7" s="1"/>
  <c r="Y476" i="7" s="1"/>
  <c r="Y477" i="7" s="1"/>
  <c r="Y478" i="7" s="1"/>
  <c r="Y479" i="7" s="1"/>
  <c r="Y480" i="7" s="1"/>
  <c r="Y481" i="7" s="1"/>
  <c r="Y482" i="7" s="1"/>
  <c r="Y483" i="7" s="1"/>
  <c r="Y484" i="7" s="1"/>
  <c r="Y485" i="7" s="1"/>
  <c r="Y486" i="7" s="1"/>
  <c r="Y487" i="7" s="1"/>
  <c r="Y488" i="7" s="1"/>
  <c r="Y489" i="7" s="1"/>
  <c r="Y490" i="7" s="1"/>
  <c r="Y491" i="7" s="1"/>
  <c r="Y492" i="7" s="1"/>
  <c r="Y493" i="7" s="1"/>
  <c r="Y494" i="7" s="1"/>
  <c r="Y495" i="7" s="1"/>
  <c r="Y496" i="7" s="1"/>
  <c r="Y497" i="7" s="1"/>
  <c r="Y498" i="7" s="1"/>
  <c r="Y499" i="7" s="1"/>
  <c r="Y500" i="7" s="1"/>
  <c r="Y501" i="7" s="1"/>
  <c r="Y502" i="7" s="1"/>
  <c r="Y503" i="7" s="1"/>
  <c r="Y504" i="7" s="1"/>
  <c r="Y505" i="7" s="1"/>
  <c r="Y506" i="7" s="1"/>
  <c r="Y507" i="7" s="1"/>
  <c r="Y508" i="7" s="1"/>
  <c r="Y509" i="7" s="1"/>
  <c r="Z16" i="7"/>
  <c r="Z17" i="7" s="1"/>
  <c r="Z18" i="7" s="1"/>
  <c r="Z19" i="7" s="1"/>
  <c r="Z20" i="7" s="1"/>
  <c r="Z21" i="7" s="1"/>
  <c r="Z22" i="7" s="1"/>
  <c r="Z23" i="7" s="1"/>
  <c r="Z24" i="7" s="1"/>
  <c r="Z25" i="7" s="1"/>
  <c r="Z26" i="7" s="1"/>
  <c r="Z27" i="7" s="1"/>
  <c r="Z28" i="7" s="1"/>
  <c r="Z29" i="7" s="1"/>
  <c r="Z30" i="7" s="1"/>
  <c r="Z31" i="7" s="1"/>
  <c r="Z32" i="7" s="1"/>
  <c r="Z33" i="7" s="1"/>
  <c r="Z34" i="7" s="1"/>
  <c r="Z35" i="7" s="1"/>
  <c r="Z36" i="7" s="1"/>
  <c r="Z37" i="7" s="1"/>
  <c r="Z38" i="7" s="1"/>
  <c r="Z39" i="7" s="1"/>
  <c r="Z40" i="7" s="1"/>
  <c r="Z41" i="7" s="1"/>
  <c r="Z42" i="7" s="1"/>
  <c r="Z43" i="7" s="1"/>
  <c r="Z44" i="7" s="1"/>
  <c r="Z45" i="7" s="1"/>
  <c r="Z46" i="7" s="1"/>
  <c r="Z47" i="7" s="1"/>
  <c r="Z48" i="7" s="1"/>
  <c r="Z49" i="7" s="1"/>
  <c r="Z50" i="7" s="1"/>
  <c r="Z51" i="7" s="1"/>
  <c r="Z52" i="7" s="1"/>
  <c r="Z53" i="7" s="1"/>
  <c r="Z54" i="7" s="1"/>
  <c r="Z55" i="7" s="1"/>
  <c r="Z56" i="7" s="1"/>
  <c r="Z57" i="7" s="1"/>
  <c r="Z58" i="7" s="1"/>
  <c r="Z59" i="7" s="1"/>
  <c r="Z60" i="7" s="1"/>
  <c r="Z61" i="7" s="1"/>
  <c r="Z62" i="7" s="1"/>
  <c r="Z63" i="7" s="1"/>
  <c r="Z64" i="7" s="1"/>
  <c r="Z65" i="7" s="1"/>
  <c r="Z66" i="7" s="1"/>
  <c r="Z67" i="7" s="1"/>
  <c r="Z68" i="7" s="1"/>
  <c r="Z69" i="7" s="1"/>
  <c r="Z70" i="7" s="1"/>
  <c r="Z71" i="7" s="1"/>
  <c r="Z72" i="7" s="1"/>
  <c r="Z73" i="7" s="1"/>
  <c r="Z74" i="7" s="1"/>
  <c r="Z75" i="7" s="1"/>
  <c r="Z76" i="7" s="1"/>
  <c r="Z77" i="7" s="1"/>
  <c r="Z78" i="7" s="1"/>
  <c r="Z79" i="7" s="1"/>
  <c r="Z80" i="7" s="1"/>
  <c r="Z81" i="7" s="1"/>
  <c r="Z82" i="7" s="1"/>
  <c r="Z83" i="7" s="1"/>
  <c r="Z84" i="7" s="1"/>
  <c r="Z85" i="7" s="1"/>
  <c r="Z86" i="7" s="1"/>
  <c r="Z87" i="7" s="1"/>
  <c r="Z88" i="7" s="1"/>
  <c r="Z89" i="7" s="1"/>
  <c r="Z90" i="7" s="1"/>
  <c r="Z91" i="7" s="1"/>
  <c r="Z92" i="7" s="1"/>
  <c r="Z93" i="7" s="1"/>
  <c r="Z94" i="7" s="1"/>
  <c r="Z95" i="7" s="1"/>
  <c r="Z96" i="7" s="1"/>
  <c r="Z97" i="7" s="1"/>
  <c r="Z98" i="7" s="1"/>
  <c r="Z99" i="7" s="1"/>
  <c r="Z100" i="7" s="1"/>
  <c r="Z101" i="7" s="1"/>
  <c r="Z102" i="7" s="1"/>
  <c r="Z103" i="7" s="1"/>
  <c r="Z104" i="7" s="1"/>
  <c r="Z105" i="7" s="1"/>
  <c r="Z106" i="7" s="1"/>
  <c r="Z107" i="7" s="1"/>
  <c r="Z108" i="7" s="1"/>
  <c r="Z109" i="7" s="1"/>
  <c r="Z110" i="7" s="1"/>
  <c r="Z111" i="7" s="1"/>
  <c r="Z112" i="7" s="1"/>
  <c r="Z113" i="7" s="1"/>
  <c r="Z114" i="7" s="1"/>
  <c r="Z115" i="7" s="1"/>
  <c r="Z116" i="7" s="1"/>
  <c r="Z117" i="7" s="1"/>
  <c r="Z118" i="7" s="1"/>
  <c r="Z119" i="7" s="1"/>
  <c r="Z120" i="7" s="1"/>
  <c r="Z121" i="7" s="1"/>
  <c r="Z122" i="7" s="1"/>
  <c r="Z123" i="7" s="1"/>
  <c r="Z124" i="7" s="1"/>
  <c r="Z125" i="7" s="1"/>
  <c r="Z126" i="7" s="1"/>
  <c r="Z127" i="7" s="1"/>
  <c r="Z128" i="7" s="1"/>
  <c r="Z129" i="7" s="1"/>
  <c r="Z130" i="7" s="1"/>
  <c r="Z131" i="7" s="1"/>
  <c r="Z132" i="7" s="1"/>
  <c r="Z133" i="7" s="1"/>
  <c r="Z134" i="7" s="1"/>
  <c r="Z135" i="7" s="1"/>
  <c r="Z136" i="7" s="1"/>
  <c r="Z137" i="7" s="1"/>
  <c r="Z138" i="7" s="1"/>
  <c r="Z139" i="7" s="1"/>
  <c r="Z140" i="7" s="1"/>
  <c r="Z141" i="7" s="1"/>
  <c r="Z142" i="7" s="1"/>
  <c r="Z143" i="7" s="1"/>
  <c r="Z144" i="7" s="1"/>
  <c r="Z145" i="7" s="1"/>
  <c r="Z146" i="7" s="1"/>
  <c r="Z147" i="7" s="1"/>
  <c r="Z148" i="7" s="1"/>
  <c r="Z149" i="7" s="1"/>
  <c r="Z150" i="7" s="1"/>
  <c r="Z151" i="7" s="1"/>
  <c r="Z152" i="7" s="1"/>
  <c r="Z153" i="7" s="1"/>
  <c r="Z154" i="7" s="1"/>
  <c r="Z155" i="7" s="1"/>
  <c r="Z156" i="7" s="1"/>
  <c r="Z157" i="7" s="1"/>
  <c r="Z158" i="7" s="1"/>
  <c r="Z159" i="7" s="1"/>
  <c r="Z160" i="7" s="1"/>
  <c r="Z161" i="7" s="1"/>
  <c r="Z162" i="7" s="1"/>
  <c r="Z163" i="7" s="1"/>
  <c r="Z164" i="7" s="1"/>
  <c r="Z165" i="7" s="1"/>
  <c r="Z166" i="7" s="1"/>
  <c r="Z167" i="7" s="1"/>
  <c r="Z168" i="7" s="1"/>
  <c r="Z169" i="7" s="1"/>
  <c r="Z170" i="7" s="1"/>
  <c r="Z171" i="7" s="1"/>
  <c r="Z172" i="7" s="1"/>
  <c r="Z173" i="7" s="1"/>
  <c r="Z174" i="7" s="1"/>
  <c r="Z175" i="7" s="1"/>
  <c r="Z176" i="7" s="1"/>
  <c r="Z177" i="7" s="1"/>
  <c r="Z178" i="7" s="1"/>
  <c r="Z179" i="7" s="1"/>
  <c r="Z180" i="7" s="1"/>
  <c r="Z181" i="7" s="1"/>
  <c r="Z182" i="7" s="1"/>
  <c r="Z183" i="7" s="1"/>
  <c r="Z184" i="7" s="1"/>
  <c r="Z185" i="7" s="1"/>
  <c r="Z186" i="7" s="1"/>
  <c r="Z187" i="7" s="1"/>
  <c r="Z188" i="7" s="1"/>
  <c r="Z189" i="7" s="1"/>
  <c r="Z190" i="7" s="1"/>
  <c r="Z191" i="7" s="1"/>
  <c r="Z192" i="7" s="1"/>
  <c r="Z193" i="7" s="1"/>
  <c r="Z194" i="7" s="1"/>
  <c r="Z195" i="7" s="1"/>
  <c r="Z196" i="7" s="1"/>
  <c r="Z197" i="7" s="1"/>
  <c r="Z198" i="7" s="1"/>
  <c r="Z199" i="7" s="1"/>
  <c r="Z200" i="7" s="1"/>
  <c r="Z201" i="7" s="1"/>
  <c r="Z202" i="7" s="1"/>
  <c r="Z203" i="7" s="1"/>
  <c r="Z204" i="7" s="1"/>
  <c r="Z205" i="7" s="1"/>
  <c r="Z206" i="7" s="1"/>
  <c r="Z207" i="7" s="1"/>
  <c r="Z208" i="7" s="1"/>
  <c r="Z209" i="7" s="1"/>
  <c r="Z210" i="7" s="1"/>
  <c r="Z211" i="7" s="1"/>
  <c r="Z212" i="7" s="1"/>
  <c r="Z213" i="7" s="1"/>
  <c r="Z214" i="7" s="1"/>
  <c r="Z215" i="7" s="1"/>
  <c r="Z216" i="7" s="1"/>
  <c r="Z217" i="7" s="1"/>
  <c r="Z218" i="7" s="1"/>
  <c r="Z219" i="7" s="1"/>
  <c r="Z220" i="7" s="1"/>
  <c r="Z221" i="7" s="1"/>
  <c r="Z222" i="7" s="1"/>
  <c r="Z223" i="7" s="1"/>
  <c r="Z224" i="7" s="1"/>
  <c r="Z225" i="7" s="1"/>
  <c r="Z226" i="7" s="1"/>
  <c r="Z227" i="7" s="1"/>
  <c r="Z228" i="7" s="1"/>
  <c r="Z229" i="7" s="1"/>
  <c r="Z230" i="7" s="1"/>
  <c r="Z231" i="7" s="1"/>
  <c r="Z232" i="7" s="1"/>
  <c r="Z233" i="7" s="1"/>
  <c r="Z234" i="7" s="1"/>
  <c r="Z235" i="7" s="1"/>
  <c r="Z236" i="7" s="1"/>
  <c r="Z237" i="7" s="1"/>
  <c r="Z238" i="7" s="1"/>
  <c r="Z239" i="7" s="1"/>
  <c r="Z240" i="7" s="1"/>
  <c r="Z241" i="7" s="1"/>
  <c r="Z242" i="7" s="1"/>
  <c r="Z243" i="7" s="1"/>
  <c r="Z244" i="7" s="1"/>
  <c r="Z245" i="7" s="1"/>
  <c r="Z246" i="7" s="1"/>
  <c r="Z247" i="7" s="1"/>
  <c r="Z248" i="7" s="1"/>
  <c r="Z249" i="7" s="1"/>
  <c r="Z250" i="7" s="1"/>
  <c r="Z251" i="7" s="1"/>
  <c r="Z252" i="7" s="1"/>
  <c r="Z253" i="7" s="1"/>
  <c r="Z254" i="7" s="1"/>
  <c r="Z255" i="7" s="1"/>
  <c r="Z256" i="7" s="1"/>
  <c r="Z257" i="7" s="1"/>
  <c r="Z258" i="7" s="1"/>
  <c r="Z259" i="7" s="1"/>
  <c r="Z260" i="7" s="1"/>
  <c r="Z261" i="7" s="1"/>
  <c r="Z262" i="7" s="1"/>
  <c r="Z263" i="7" s="1"/>
  <c r="Z264" i="7" s="1"/>
  <c r="Z265" i="7" s="1"/>
  <c r="Z266" i="7" s="1"/>
  <c r="Z267" i="7" s="1"/>
  <c r="Z268" i="7" s="1"/>
  <c r="Z269" i="7" s="1"/>
  <c r="Z270" i="7" s="1"/>
  <c r="Z271" i="7" s="1"/>
  <c r="Z272" i="7" s="1"/>
  <c r="Z273" i="7" s="1"/>
  <c r="Z274" i="7" s="1"/>
  <c r="Z275" i="7" s="1"/>
  <c r="Z276" i="7" s="1"/>
  <c r="Z277" i="7" s="1"/>
  <c r="Z278" i="7" s="1"/>
  <c r="Z279" i="7" s="1"/>
  <c r="Z280" i="7" s="1"/>
  <c r="Z281" i="7" s="1"/>
  <c r="Z282" i="7" s="1"/>
  <c r="Z283" i="7" s="1"/>
  <c r="Z284" i="7" s="1"/>
  <c r="Z285" i="7" s="1"/>
  <c r="Z286" i="7" s="1"/>
  <c r="Z287" i="7" s="1"/>
  <c r="Z288" i="7" s="1"/>
  <c r="Z289" i="7" s="1"/>
  <c r="Z290" i="7" s="1"/>
  <c r="Z291" i="7" s="1"/>
  <c r="Z292" i="7" s="1"/>
  <c r="Z293" i="7" s="1"/>
  <c r="Z294" i="7" s="1"/>
  <c r="Z295" i="7" s="1"/>
  <c r="Z296" i="7" s="1"/>
  <c r="Z297" i="7" s="1"/>
  <c r="Z298" i="7" s="1"/>
  <c r="Z299" i="7" s="1"/>
  <c r="Z300" i="7" s="1"/>
  <c r="Z301" i="7" s="1"/>
  <c r="Z302" i="7" s="1"/>
  <c r="Z303" i="7" s="1"/>
  <c r="Z304" i="7" s="1"/>
  <c r="Z305" i="7" s="1"/>
  <c r="Z306" i="7" s="1"/>
  <c r="Z307" i="7" s="1"/>
  <c r="Z308" i="7" s="1"/>
  <c r="Z309" i="7" s="1"/>
  <c r="Z310" i="7" s="1"/>
  <c r="Z311" i="7" s="1"/>
  <c r="Z312" i="7" s="1"/>
  <c r="Z313" i="7" s="1"/>
  <c r="Z314" i="7" s="1"/>
  <c r="Z315" i="7" s="1"/>
  <c r="Z316" i="7" s="1"/>
  <c r="Z317" i="7" s="1"/>
  <c r="Z318" i="7" s="1"/>
  <c r="Z319" i="7" s="1"/>
  <c r="Z320" i="7" s="1"/>
  <c r="Z321" i="7" s="1"/>
  <c r="Z322" i="7" s="1"/>
  <c r="Z323" i="7" s="1"/>
  <c r="Z324" i="7" s="1"/>
  <c r="Z325" i="7" s="1"/>
  <c r="Z326" i="7" s="1"/>
  <c r="Z327" i="7" s="1"/>
  <c r="Z328" i="7" s="1"/>
  <c r="Z329" i="7" s="1"/>
  <c r="Z330" i="7" s="1"/>
  <c r="Z331" i="7" s="1"/>
  <c r="Z332" i="7" s="1"/>
  <c r="Z333" i="7" s="1"/>
  <c r="Z334" i="7" s="1"/>
  <c r="Z335" i="7" s="1"/>
  <c r="Z336" i="7" s="1"/>
  <c r="Z337" i="7" s="1"/>
  <c r="Z338" i="7" s="1"/>
  <c r="Z339" i="7" s="1"/>
  <c r="Z340" i="7" s="1"/>
  <c r="Z341" i="7" s="1"/>
  <c r="Z342" i="7" s="1"/>
  <c r="Z343" i="7" s="1"/>
  <c r="Z344" i="7" s="1"/>
  <c r="Z345" i="7" s="1"/>
  <c r="Z346" i="7" s="1"/>
  <c r="Z347" i="7" s="1"/>
  <c r="Z348" i="7" s="1"/>
  <c r="Z349" i="7" s="1"/>
  <c r="Z350" i="7" s="1"/>
  <c r="Z351" i="7" s="1"/>
  <c r="Z352" i="7" s="1"/>
  <c r="Z353" i="7" s="1"/>
  <c r="Z354" i="7" s="1"/>
  <c r="Z355" i="7" s="1"/>
  <c r="Z356" i="7" s="1"/>
  <c r="Z357" i="7" s="1"/>
  <c r="Z358" i="7" s="1"/>
  <c r="Z359" i="7" s="1"/>
  <c r="Z360" i="7" s="1"/>
  <c r="Z361" i="7" s="1"/>
  <c r="Z362" i="7" s="1"/>
  <c r="Z363" i="7" s="1"/>
  <c r="Z364" i="7" s="1"/>
  <c r="Z365" i="7" s="1"/>
  <c r="Z366" i="7" s="1"/>
  <c r="Z367" i="7" s="1"/>
  <c r="Z368" i="7" s="1"/>
  <c r="Z369" i="7" s="1"/>
  <c r="Z370" i="7" s="1"/>
  <c r="Z371" i="7" s="1"/>
  <c r="Z372" i="7" s="1"/>
  <c r="Z373" i="7" s="1"/>
  <c r="Z374" i="7" s="1"/>
  <c r="Z375" i="7" s="1"/>
  <c r="Z376" i="7" s="1"/>
  <c r="Z377" i="7" s="1"/>
  <c r="Z378" i="7" s="1"/>
  <c r="Z379" i="7" s="1"/>
  <c r="Z380" i="7" s="1"/>
  <c r="Z381" i="7" s="1"/>
  <c r="Z382" i="7" s="1"/>
  <c r="Z383" i="7" s="1"/>
  <c r="Z384" i="7" s="1"/>
  <c r="Z385" i="7" s="1"/>
  <c r="Z386" i="7" s="1"/>
  <c r="Z387" i="7" s="1"/>
  <c r="Z388" i="7" s="1"/>
  <c r="Z389" i="7" s="1"/>
  <c r="Z390" i="7" s="1"/>
  <c r="Z391" i="7" s="1"/>
  <c r="Z392" i="7" s="1"/>
  <c r="Z393" i="7" s="1"/>
  <c r="Z394" i="7" s="1"/>
  <c r="Z395" i="7" s="1"/>
  <c r="Z396" i="7" s="1"/>
  <c r="Z397" i="7" s="1"/>
  <c r="Z398" i="7" s="1"/>
  <c r="Z399" i="7" s="1"/>
  <c r="Z400" i="7" s="1"/>
  <c r="Z401" i="7" s="1"/>
  <c r="Z402" i="7" s="1"/>
  <c r="Z403" i="7" s="1"/>
  <c r="Z404" i="7" s="1"/>
  <c r="Z405" i="7" s="1"/>
  <c r="Z406" i="7" s="1"/>
  <c r="Z407" i="7" s="1"/>
  <c r="Z408" i="7" s="1"/>
  <c r="Z409" i="7" s="1"/>
  <c r="Z410" i="7" s="1"/>
  <c r="Z411" i="7" s="1"/>
  <c r="Z412" i="7" s="1"/>
  <c r="Z413" i="7" s="1"/>
  <c r="Z414" i="7" s="1"/>
  <c r="Z415" i="7" s="1"/>
  <c r="Z416" i="7" s="1"/>
  <c r="Z417" i="7" s="1"/>
  <c r="Z418" i="7" s="1"/>
  <c r="Z419" i="7" s="1"/>
  <c r="Z420" i="7" s="1"/>
  <c r="Z421" i="7" s="1"/>
  <c r="Z422" i="7" s="1"/>
  <c r="Z423" i="7" s="1"/>
  <c r="Z424" i="7" s="1"/>
  <c r="Z425" i="7" s="1"/>
  <c r="Z426" i="7" s="1"/>
  <c r="Z427" i="7" s="1"/>
  <c r="Z428" i="7" s="1"/>
  <c r="Z429" i="7" s="1"/>
  <c r="Z430" i="7" s="1"/>
  <c r="Z431" i="7" s="1"/>
  <c r="Z432" i="7" s="1"/>
  <c r="Z433" i="7" s="1"/>
  <c r="Z434" i="7" s="1"/>
  <c r="Z435" i="7" s="1"/>
  <c r="Z436" i="7" s="1"/>
  <c r="Z437" i="7" s="1"/>
  <c r="Z438" i="7" s="1"/>
  <c r="Z439" i="7" s="1"/>
  <c r="Z440" i="7" s="1"/>
  <c r="Z441" i="7" s="1"/>
  <c r="Z442" i="7" s="1"/>
  <c r="Z443" i="7" s="1"/>
  <c r="Z444" i="7" s="1"/>
  <c r="Z445" i="7" s="1"/>
  <c r="Z446" i="7" s="1"/>
  <c r="Z447" i="7" s="1"/>
  <c r="Z448" i="7" s="1"/>
  <c r="Z449" i="7" s="1"/>
  <c r="Z450" i="7" s="1"/>
  <c r="Z451" i="7" s="1"/>
  <c r="Z452" i="7" s="1"/>
  <c r="Z453" i="7" s="1"/>
  <c r="Z454" i="7" s="1"/>
  <c r="Z455" i="7" s="1"/>
  <c r="Z456" i="7" s="1"/>
  <c r="Z457" i="7" s="1"/>
  <c r="Z458" i="7" s="1"/>
  <c r="Z459" i="7" s="1"/>
  <c r="Z460" i="7" s="1"/>
  <c r="Z461" i="7" s="1"/>
  <c r="Z462" i="7" s="1"/>
  <c r="Z463" i="7" s="1"/>
  <c r="Z464" i="7" s="1"/>
  <c r="Z465" i="7" s="1"/>
  <c r="Z466" i="7" s="1"/>
  <c r="Z467" i="7" s="1"/>
  <c r="Z468" i="7" s="1"/>
  <c r="Z469" i="7" s="1"/>
  <c r="Z470" i="7" s="1"/>
  <c r="Z471" i="7" s="1"/>
  <c r="Z472" i="7" s="1"/>
  <c r="Z473" i="7" s="1"/>
  <c r="Z474" i="7" s="1"/>
  <c r="Z475" i="7" s="1"/>
  <c r="Z476" i="7" s="1"/>
  <c r="Z477" i="7" s="1"/>
  <c r="Z478" i="7" s="1"/>
  <c r="Z479" i="7" s="1"/>
  <c r="Z480" i="7" s="1"/>
  <c r="Z481" i="7" s="1"/>
  <c r="Z482" i="7" s="1"/>
  <c r="Z483" i="7" s="1"/>
  <c r="Z484" i="7" s="1"/>
  <c r="Z485" i="7" s="1"/>
  <c r="Z486" i="7" s="1"/>
  <c r="Z487" i="7" s="1"/>
  <c r="Z488" i="7" s="1"/>
  <c r="Z489" i="7" s="1"/>
  <c r="Z490" i="7" s="1"/>
  <c r="Z491" i="7" s="1"/>
  <c r="Z492" i="7" s="1"/>
  <c r="Z493" i="7" s="1"/>
  <c r="Z494" i="7" s="1"/>
  <c r="Z495" i="7" s="1"/>
  <c r="Z496" i="7" s="1"/>
  <c r="Z497" i="7" s="1"/>
  <c r="Z498" i="7" s="1"/>
  <c r="Z499" i="7" s="1"/>
  <c r="Z500" i="7" s="1"/>
  <c r="Z501" i="7" s="1"/>
  <c r="Z502" i="7" s="1"/>
  <c r="Z503" i="7" s="1"/>
  <c r="Z504" i="7" s="1"/>
  <c r="Z505" i="7" s="1"/>
  <c r="Z506" i="7" s="1"/>
  <c r="Z507" i="7" s="1"/>
  <c r="Z508" i="7" s="1"/>
  <c r="Z509" i="7" s="1"/>
  <c r="AA16" i="7"/>
  <c r="AA17" i="7" s="1"/>
  <c r="AA18" i="7" s="1"/>
  <c r="AA19" i="7" s="1"/>
  <c r="AA20" i="7" s="1"/>
  <c r="AA21" i="7" s="1"/>
  <c r="AA22" i="7" s="1"/>
  <c r="AA23" i="7" s="1"/>
  <c r="AA24" i="7" s="1"/>
  <c r="AA25" i="7" s="1"/>
  <c r="AA26" i="7" s="1"/>
  <c r="AA27" i="7" s="1"/>
  <c r="AA28" i="7" s="1"/>
  <c r="AA29" i="7" s="1"/>
  <c r="AA30" i="7" s="1"/>
  <c r="AA31" i="7" s="1"/>
  <c r="AA32" i="7" s="1"/>
  <c r="AA33" i="7" s="1"/>
  <c r="AA34" i="7" s="1"/>
  <c r="AA35" i="7" s="1"/>
  <c r="AA36" i="7" s="1"/>
  <c r="AA37" i="7" s="1"/>
  <c r="AA38" i="7" s="1"/>
  <c r="AA39" i="7" s="1"/>
  <c r="AA40" i="7" s="1"/>
  <c r="AA41" i="7" s="1"/>
  <c r="AA42" i="7" s="1"/>
  <c r="AA43" i="7" s="1"/>
  <c r="AA44" i="7" s="1"/>
  <c r="AA45" i="7" s="1"/>
  <c r="AA46" i="7" s="1"/>
  <c r="AA47" i="7" s="1"/>
  <c r="AA48" i="7" s="1"/>
  <c r="AA49" i="7" s="1"/>
  <c r="AA50" i="7" s="1"/>
  <c r="AA51" i="7" s="1"/>
  <c r="AA52" i="7" s="1"/>
  <c r="AA53" i="7" s="1"/>
  <c r="AA54" i="7" s="1"/>
  <c r="AA55" i="7" s="1"/>
  <c r="AA56" i="7" s="1"/>
  <c r="AA57" i="7" s="1"/>
  <c r="AA58" i="7" s="1"/>
  <c r="AA59" i="7" s="1"/>
  <c r="AA60" i="7" s="1"/>
  <c r="AA61" i="7" s="1"/>
  <c r="AA62" i="7" s="1"/>
  <c r="AA63" i="7" s="1"/>
  <c r="AA64" i="7" s="1"/>
  <c r="AA65" i="7" s="1"/>
  <c r="AA66" i="7" s="1"/>
  <c r="AA67" i="7" s="1"/>
  <c r="AA68" i="7" s="1"/>
  <c r="AA69" i="7" s="1"/>
  <c r="AA70" i="7" s="1"/>
  <c r="AA71" i="7" s="1"/>
  <c r="AA72" i="7" s="1"/>
  <c r="AA73" i="7" s="1"/>
  <c r="AA74" i="7" s="1"/>
  <c r="AA75" i="7" s="1"/>
  <c r="AA76" i="7" s="1"/>
  <c r="AA77" i="7" s="1"/>
  <c r="AA78" i="7" s="1"/>
  <c r="AA79" i="7" s="1"/>
  <c r="AA80" i="7" s="1"/>
  <c r="AA81" i="7" s="1"/>
  <c r="AA82" i="7" s="1"/>
  <c r="AA83" i="7" s="1"/>
  <c r="AA84" i="7" s="1"/>
  <c r="AA85" i="7" s="1"/>
  <c r="AA86" i="7" s="1"/>
  <c r="AA87" i="7" s="1"/>
  <c r="AA88" i="7" s="1"/>
  <c r="AA89" i="7" s="1"/>
  <c r="AA90" i="7" s="1"/>
  <c r="AA91" i="7" s="1"/>
  <c r="AA92" i="7" s="1"/>
  <c r="AA93" i="7" s="1"/>
  <c r="AA94" i="7" s="1"/>
  <c r="AA95" i="7" s="1"/>
  <c r="AA96" i="7" s="1"/>
  <c r="AA97" i="7" s="1"/>
  <c r="AA98" i="7" s="1"/>
  <c r="AA99" i="7" s="1"/>
  <c r="AA100" i="7" s="1"/>
  <c r="AA101" i="7" s="1"/>
  <c r="AA102" i="7" s="1"/>
  <c r="AA103" i="7" s="1"/>
  <c r="AA104" i="7" s="1"/>
  <c r="AA105" i="7" s="1"/>
  <c r="AA106" i="7" s="1"/>
  <c r="AA107" i="7" s="1"/>
  <c r="AA108" i="7" s="1"/>
  <c r="AA109" i="7" s="1"/>
  <c r="AA110" i="7" s="1"/>
  <c r="AA111" i="7" s="1"/>
  <c r="AA112" i="7" s="1"/>
  <c r="AA113" i="7" s="1"/>
  <c r="AA114" i="7" s="1"/>
  <c r="AA115" i="7" s="1"/>
  <c r="AA116" i="7" s="1"/>
  <c r="AA117" i="7" s="1"/>
  <c r="AA118" i="7" s="1"/>
  <c r="AA119" i="7" s="1"/>
  <c r="AA120" i="7" s="1"/>
  <c r="AA121" i="7" s="1"/>
  <c r="AA122" i="7" s="1"/>
  <c r="AA123" i="7" s="1"/>
  <c r="AA124" i="7" s="1"/>
  <c r="AA125" i="7" s="1"/>
  <c r="AA126" i="7" s="1"/>
  <c r="AA127" i="7" s="1"/>
  <c r="AA128" i="7" s="1"/>
  <c r="AA129" i="7" s="1"/>
  <c r="AA130" i="7" s="1"/>
  <c r="AA131" i="7" s="1"/>
  <c r="AA132" i="7" s="1"/>
  <c r="AA133" i="7" s="1"/>
  <c r="AA134" i="7" s="1"/>
  <c r="AA135" i="7" s="1"/>
  <c r="AA136" i="7" s="1"/>
  <c r="AA137" i="7" s="1"/>
  <c r="AA138" i="7" s="1"/>
  <c r="AA139" i="7" s="1"/>
  <c r="AA140" i="7" s="1"/>
  <c r="AA141" i="7" s="1"/>
  <c r="AA142" i="7" s="1"/>
  <c r="AA143" i="7" s="1"/>
  <c r="AA144" i="7" s="1"/>
  <c r="AA145" i="7" s="1"/>
  <c r="AA146" i="7" s="1"/>
  <c r="AA147" i="7" s="1"/>
  <c r="AA148" i="7" s="1"/>
  <c r="AA149" i="7" s="1"/>
  <c r="AA150" i="7" s="1"/>
  <c r="AA151" i="7" s="1"/>
  <c r="AA152" i="7" s="1"/>
  <c r="AA153" i="7" s="1"/>
  <c r="AA154" i="7" s="1"/>
  <c r="AA155" i="7" s="1"/>
  <c r="AA156" i="7" s="1"/>
  <c r="AA157" i="7" s="1"/>
  <c r="AA158" i="7" s="1"/>
  <c r="AA159" i="7" s="1"/>
  <c r="AA160" i="7" s="1"/>
  <c r="AA161" i="7" s="1"/>
  <c r="AA162" i="7" s="1"/>
  <c r="AA163" i="7" s="1"/>
  <c r="AA164" i="7" s="1"/>
  <c r="AA165" i="7" s="1"/>
  <c r="AA166" i="7" s="1"/>
  <c r="AA167" i="7" s="1"/>
  <c r="AA168" i="7" s="1"/>
  <c r="AA169" i="7" s="1"/>
  <c r="AA170" i="7" s="1"/>
  <c r="AA171" i="7" s="1"/>
  <c r="AA172" i="7" s="1"/>
  <c r="AA173" i="7" s="1"/>
  <c r="AA174" i="7" s="1"/>
  <c r="AA175" i="7" s="1"/>
  <c r="AA176" i="7" s="1"/>
  <c r="AA177" i="7" s="1"/>
  <c r="AA178" i="7" s="1"/>
  <c r="AA179" i="7" s="1"/>
  <c r="AA180" i="7" s="1"/>
  <c r="AA181" i="7" s="1"/>
  <c r="AA182" i="7" s="1"/>
  <c r="AA183" i="7" s="1"/>
  <c r="AA184" i="7" s="1"/>
  <c r="AA185" i="7" s="1"/>
  <c r="AA186" i="7" s="1"/>
  <c r="AA187" i="7" s="1"/>
  <c r="AA188" i="7" s="1"/>
  <c r="AA189" i="7" s="1"/>
  <c r="AA190" i="7" s="1"/>
  <c r="AA191" i="7" s="1"/>
  <c r="AA192" i="7" s="1"/>
  <c r="AA193" i="7" s="1"/>
  <c r="AA194" i="7" s="1"/>
  <c r="AA195" i="7" s="1"/>
  <c r="AA196" i="7" s="1"/>
  <c r="AA197" i="7" s="1"/>
  <c r="AA198" i="7" s="1"/>
  <c r="AA199" i="7" s="1"/>
  <c r="AA200" i="7" s="1"/>
  <c r="AA201" i="7" s="1"/>
  <c r="AA202" i="7" s="1"/>
  <c r="AA203" i="7" s="1"/>
  <c r="AA204" i="7" s="1"/>
  <c r="AA205" i="7" s="1"/>
  <c r="AA206" i="7" s="1"/>
  <c r="AA207" i="7" s="1"/>
  <c r="AA208" i="7" s="1"/>
  <c r="AA209" i="7" s="1"/>
  <c r="AA210" i="7" s="1"/>
  <c r="AA211" i="7" s="1"/>
  <c r="AA212" i="7" s="1"/>
  <c r="AA213" i="7" s="1"/>
  <c r="AA214" i="7" s="1"/>
  <c r="AA215" i="7" s="1"/>
  <c r="AA216" i="7" s="1"/>
  <c r="AA217" i="7" s="1"/>
  <c r="AA218" i="7" s="1"/>
  <c r="AA219" i="7" s="1"/>
  <c r="AA220" i="7" s="1"/>
  <c r="AA221" i="7" s="1"/>
  <c r="AA222" i="7" s="1"/>
  <c r="AA223" i="7" s="1"/>
  <c r="AA224" i="7" s="1"/>
  <c r="AA225" i="7" s="1"/>
  <c r="AA226" i="7" s="1"/>
  <c r="AA227" i="7" s="1"/>
  <c r="AA228" i="7" s="1"/>
  <c r="AA229" i="7" s="1"/>
  <c r="AA230" i="7" s="1"/>
  <c r="AA231" i="7" s="1"/>
  <c r="AA232" i="7" s="1"/>
  <c r="AA233" i="7" s="1"/>
  <c r="AA234" i="7" s="1"/>
  <c r="AA235" i="7" s="1"/>
  <c r="AA236" i="7" s="1"/>
  <c r="AA237" i="7" s="1"/>
  <c r="AA238" i="7" s="1"/>
  <c r="AA239" i="7" s="1"/>
  <c r="AA240" i="7" s="1"/>
  <c r="AA241" i="7" s="1"/>
  <c r="AA242" i="7" s="1"/>
  <c r="AA243" i="7" s="1"/>
  <c r="AA244" i="7" s="1"/>
  <c r="AA245" i="7" s="1"/>
  <c r="AA246" i="7" s="1"/>
  <c r="AA247" i="7" s="1"/>
  <c r="AA248" i="7" s="1"/>
  <c r="AA249" i="7" s="1"/>
  <c r="AA250" i="7" s="1"/>
  <c r="AA251" i="7" s="1"/>
  <c r="AA252" i="7" s="1"/>
  <c r="AA253" i="7" s="1"/>
  <c r="AA254" i="7" s="1"/>
  <c r="AA255" i="7" s="1"/>
  <c r="AA256" i="7" s="1"/>
  <c r="AA257" i="7" s="1"/>
  <c r="AA258" i="7" s="1"/>
  <c r="AA259" i="7" s="1"/>
  <c r="AA260" i="7" s="1"/>
  <c r="AA261" i="7" s="1"/>
  <c r="AA262" i="7" s="1"/>
  <c r="AA263" i="7" s="1"/>
  <c r="AA264" i="7" s="1"/>
  <c r="AA265" i="7" s="1"/>
  <c r="AA266" i="7" s="1"/>
  <c r="AA267" i="7" s="1"/>
  <c r="AA268" i="7" s="1"/>
  <c r="AA269" i="7" s="1"/>
  <c r="AA270" i="7" s="1"/>
  <c r="AA271" i="7" s="1"/>
  <c r="AA272" i="7" s="1"/>
  <c r="AA273" i="7" s="1"/>
  <c r="AA274" i="7" s="1"/>
  <c r="AA275" i="7" s="1"/>
  <c r="AA276" i="7" s="1"/>
  <c r="AA277" i="7" s="1"/>
  <c r="AA278" i="7" s="1"/>
  <c r="AA279" i="7" s="1"/>
  <c r="AA280" i="7" s="1"/>
  <c r="AA281" i="7" s="1"/>
  <c r="AA282" i="7" s="1"/>
  <c r="AA283" i="7" s="1"/>
  <c r="AA284" i="7" s="1"/>
  <c r="AA285" i="7" s="1"/>
  <c r="AA286" i="7" s="1"/>
  <c r="AA287" i="7" s="1"/>
  <c r="AA288" i="7" s="1"/>
  <c r="AA289" i="7" s="1"/>
  <c r="AA290" i="7" s="1"/>
  <c r="AA291" i="7" s="1"/>
  <c r="AA292" i="7" s="1"/>
  <c r="AA293" i="7" s="1"/>
  <c r="AA294" i="7" s="1"/>
  <c r="AA295" i="7" s="1"/>
  <c r="AA296" i="7" s="1"/>
  <c r="AA297" i="7" s="1"/>
  <c r="AA298" i="7" s="1"/>
  <c r="AA299" i="7" s="1"/>
  <c r="AA300" i="7" s="1"/>
  <c r="AA301" i="7" s="1"/>
  <c r="AA302" i="7" s="1"/>
  <c r="AA303" i="7" s="1"/>
  <c r="AA304" i="7" s="1"/>
  <c r="AA305" i="7" s="1"/>
  <c r="AA306" i="7" s="1"/>
  <c r="AA307" i="7" s="1"/>
  <c r="AA308" i="7" s="1"/>
  <c r="AA309" i="7" s="1"/>
  <c r="AA310" i="7" s="1"/>
  <c r="AA311" i="7" s="1"/>
  <c r="AA312" i="7" s="1"/>
  <c r="AA313" i="7" s="1"/>
  <c r="AA314" i="7" s="1"/>
  <c r="AA315" i="7" s="1"/>
  <c r="AA316" i="7" s="1"/>
  <c r="AA317" i="7" s="1"/>
  <c r="AA318" i="7" s="1"/>
  <c r="AA319" i="7" s="1"/>
  <c r="AA320" i="7" s="1"/>
  <c r="AA321" i="7" s="1"/>
  <c r="AA322" i="7" s="1"/>
  <c r="AA323" i="7" s="1"/>
  <c r="AA324" i="7" s="1"/>
  <c r="AA325" i="7" s="1"/>
  <c r="AA326" i="7" s="1"/>
  <c r="AA327" i="7" s="1"/>
  <c r="AA328" i="7" s="1"/>
  <c r="AA329" i="7" s="1"/>
  <c r="AA330" i="7" s="1"/>
  <c r="AA331" i="7" s="1"/>
  <c r="AA332" i="7" s="1"/>
  <c r="AA333" i="7" s="1"/>
  <c r="AA334" i="7" s="1"/>
  <c r="AA335" i="7" s="1"/>
  <c r="AA336" i="7" s="1"/>
  <c r="AA337" i="7" s="1"/>
  <c r="AA338" i="7" s="1"/>
  <c r="AA339" i="7" s="1"/>
  <c r="AA340" i="7" s="1"/>
  <c r="AA341" i="7" s="1"/>
  <c r="AA342" i="7" s="1"/>
  <c r="AA343" i="7" s="1"/>
  <c r="AA344" i="7" s="1"/>
  <c r="AA345" i="7" s="1"/>
  <c r="AA346" i="7" s="1"/>
  <c r="AA347" i="7" s="1"/>
  <c r="AA348" i="7" s="1"/>
  <c r="AA349" i="7" s="1"/>
  <c r="AA350" i="7" s="1"/>
  <c r="AA351" i="7" s="1"/>
  <c r="AA352" i="7" s="1"/>
  <c r="AA353" i="7" s="1"/>
  <c r="AA354" i="7" s="1"/>
  <c r="AA355" i="7" s="1"/>
  <c r="AA356" i="7" s="1"/>
  <c r="AA357" i="7" s="1"/>
  <c r="AA358" i="7" s="1"/>
  <c r="AA359" i="7" s="1"/>
  <c r="AA360" i="7" s="1"/>
  <c r="AA361" i="7" s="1"/>
  <c r="AA362" i="7" s="1"/>
  <c r="AA363" i="7" s="1"/>
  <c r="AA364" i="7" s="1"/>
  <c r="AA365" i="7" s="1"/>
  <c r="AA366" i="7" s="1"/>
  <c r="AA367" i="7" s="1"/>
  <c r="AA368" i="7" s="1"/>
  <c r="AA369" i="7" s="1"/>
  <c r="AA370" i="7" s="1"/>
  <c r="AA371" i="7" s="1"/>
  <c r="AA372" i="7" s="1"/>
  <c r="AA373" i="7" s="1"/>
  <c r="AA374" i="7" s="1"/>
  <c r="AA375" i="7" s="1"/>
  <c r="AA376" i="7" s="1"/>
  <c r="AA377" i="7" s="1"/>
  <c r="AA378" i="7" s="1"/>
  <c r="AA379" i="7" s="1"/>
  <c r="AA380" i="7" s="1"/>
  <c r="AA381" i="7" s="1"/>
  <c r="AA382" i="7" s="1"/>
  <c r="AA383" i="7" s="1"/>
  <c r="AA384" i="7" s="1"/>
  <c r="AA385" i="7" s="1"/>
  <c r="AA386" i="7" s="1"/>
  <c r="AA387" i="7" s="1"/>
  <c r="AA388" i="7" s="1"/>
  <c r="AA389" i="7" s="1"/>
  <c r="AA390" i="7" s="1"/>
  <c r="AA391" i="7" s="1"/>
  <c r="AA392" i="7" s="1"/>
  <c r="AA393" i="7" s="1"/>
  <c r="AA394" i="7" s="1"/>
  <c r="AA395" i="7" s="1"/>
  <c r="AA396" i="7" s="1"/>
  <c r="AA397" i="7" s="1"/>
  <c r="AA398" i="7" s="1"/>
  <c r="AA399" i="7" s="1"/>
  <c r="AA400" i="7" s="1"/>
  <c r="AA401" i="7" s="1"/>
  <c r="AA402" i="7" s="1"/>
  <c r="AA403" i="7" s="1"/>
  <c r="AA404" i="7" s="1"/>
  <c r="AA405" i="7" s="1"/>
  <c r="AA406" i="7" s="1"/>
  <c r="AA407" i="7" s="1"/>
  <c r="AA408" i="7" s="1"/>
  <c r="AA409" i="7" s="1"/>
  <c r="AA410" i="7" s="1"/>
  <c r="AA411" i="7" s="1"/>
  <c r="AA412" i="7" s="1"/>
  <c r="AA413" i="7" s="1"/>
  <c r="AA414" i="7" s="1"/>
  <c r="AA415" i="7" s="1"/>
  <c r="AA416" i="7" s="1"/>
  <c r="AA417" i="7" s="1"/>
  <c r="AA418" i="7" s="1"/>
  <c r="AA419" i="7" s="1"/>
  <c r="AA420" i="7" s="1"/>
  <c r="AA421" i="7" s="1"/>
  <c r="AA422" i="7" s="1"/>
  <c r="AA423" i="7" s="1"/>
  <c r="AA424" i="7" s="1"/>
  <c r="AA425" i="7" s="1"/>
  <c r="AA426" i="7" s="1"/>
  <c r="AA427" i="7" s="1"/>
  <c r="AA428" i="7" s="1"/>
  <c r="AA429" i="7" s="1"/>
  <c r="AA430" i="7" s="1"/>
  <c r="AA431" i="7" s="1"/>
  <c r="AA432" i="7" s="1"/>
  <c r="AA433" i="7" s="1"/>
  <c r="AA434" i="7" s="1"/>
  <c r="AA435" i="7" s="1"/>
  <c r="AA436" i="7" s="1"/>
  <c r="AA437" i="7" s="1"/>
  <c r="AA438" i="7" s="1"/>
  <c r="AA439" i="7" s="1"/>
  <c r="AA440" i="7" s="1"/>
  <c r="AA441" i="7" s="1"/>
  <c r="AA442" i="7" s="1"/>
  <c r="AA443" i="7" s="1"/>
  <c r="AA444" i="7" s="1"/>
  <c r="AA445" i="7" s="1"/>
  <c r="AA446" i="7" s="1"/>
  <c r="AA447" i="7" s="1"/>
  <c r="AA448" i="7" s="1"/>
  <c r="AA449" i="7" s="1"/>
  <c r="AA450" i="7" s="1"/>
  <c r="AA451" i="7" s="1"/>
  <c r="AA452" i="7" s="1"/>
  <c r="AA453" i="7" s="1"/>
  <c r="AA454" i="7" s="1"/>
  <c r="AA455" i="7" s="1"/>
  <c r="AA456" i="7" s="1"/>
  <c r="AA457" i="7" s="1"/>
  <c r="AA458" i="7" s="1"/>
  <c r="AA459" i="7" s="1"/>
  <c r="AA460" i="7" s="1"/>
  <c r="AA461" i="7" s="1"/>
  <c r="AA462" i="7" s="1"/>
  <c r="AA463" i="7" s="1"/>
  <c r="AA464" i="7" s="1"/>
  <c r="AA465" i="7" s="1"/>
  <c r="AA466" i="7" s="1"/>
  <c r="AA467" i="7" s="1"/>
  <c r="AA468" i="7" s="1"/>
  <c r="AA469" i="7" s="1"/>
  <c r="AA470" i="7" s="1"/>
  <c r="AA471" i="7" s="1"/>
  <c r="AA472" i="7" s="1"/>
  <c r="AA473" i="7" s="1"/>
  <c r="AA474" i="7" s="1"/>
  <c r="AA475" i="7" s="1"/>
  <c r="AA476" i="7" s="1"/>
  <c r="AA477" i="7" s="1"/>
  <c r="AA478" i="7" s="1"/>
  <c r="AA479" i="7" s="1"/>
  <c r="AA480" i="7" s="1"/>
  <c r="AA481" i="7" s="1"/>
  <c r="AA482" i="7" s="1"/>
  <c r="AA483" i="7" s="1"/>
  <c r="AA484" i="7" s="1"/>
  <c r="AA485" i="7" s="1"/>
  <c r="AA486" i="7" s="1"/>
  <c r="AA487" i="7" s="1"/>
  <c r="AA488" i="7" s="1"/>
  <c r="AA489" i="7" s="1"/>
  <c r="AA490" i="7" s="1"/>
  <c r="AA491" i="7" s="1"/>
  <c r="AA492" i="7" s="1"/>
  <c r="AA493" i="7" s="1"/>
  <c r="AA494" i="7" s="1"/>
  <c r="AA495" i="7" s="1"/>
  <c r="AA496" i="7" s="1"/>
  <c r="AA497" i="7" s="1"/>
  <c r="AA498" i="7" s="1"/>
  <c r="AA499" i="7" s="1"/>
  <c r="AA500" i="7" s="1"/>
  <c r="AA501" i="7" s="1"/>
  <c r="AA502" i="7" s="1"/>
  <c r="AA503" i="7" s="1"/>
  <c r="AA504" i="7" s="1"/>
  <c r="AA505" i="7" s="1"/>
  <c r="AA506" i="7" s="1"/>
  <c r="AA507" i="7" s="1"/>
  <c r="AA508" i="7" s="1"/>
  <c r="AA509" i="7" s="1"/>
  <c r="W18" i="18" l="1"/>
  <c r="W21" i="18"/>
  <c r="DT16" i="7" l="1"/>
  <c r="B11" i="9" l="1"/>
  <c r="B9" i="9"/>
  <c r="B7" i="9"/>
  <c r="B6" i="9"/>
  <c r="B3" i="9"/>
  <c r="B2" i="9"/>
  <c r="F2" i="9"/>
  <c r="G2" i="9"/>
  <c r="F3" i="9"/>
  <c r="G3" i="9"/>
  <c r="F4" i="9"/>
  <c r="G4" i="9"/>
  <c r="F6" i="9"/>
  <c r="G6" i="9"/>
  <c r="F7" i="9"/>
  <c r="G7" i="9"/>
  <c r="F9" i="9"/>
  <c r="G9" i="9"/>
  <c r="F10" i="9"/>
  <c r="G10" i="9"/>
  <c r="F11" i="9"/>
  <c r="G11" i="9"/>
  <c r="E3" i="9"/>
  <c r="E4" i="9"/>
  <c r="E6" i="9"/>
  <c r="E7" i="9"/>
  <c r="E9" i="9"/>
  <c r="E10" i="9"/>
  <c r="E11" i="9"/>
  <c r="E2" i="9"/>
  <c r="C5" i="8"/>
  <c r="D5" i="8"/>
  <c r="C6" i="8"/>
  <c r="D6" i="8"/>
  <c r="C7" i="8"/>
  <c r="D7" i="8"/>
  <c r="F7" i="8"/>
  <c r="G7" i="8"/>
  <c r="I7" i="8"/>
  <c r="J7" i="8"/>
  <c r="X30" i="18" s="1"/>
  <c r="K7" i="8"/>
  <c r="C8" i="8"/>
  <c r="D8" i="8"/>
  <c r="F8" i="8"/>
  <c r="G8" i="8"/>
  <c r="I8" i="8"/>
  <c r="J8" i="8"/>
  <c r="X29" i="18" s="1"/>
  <c r="K8" i="8"/>
  <c r="C9" i="8"/>
  <c r="D9" i="8"/>
  <c r="F9" i="8"/>
  <c r="G9" i="8"/>
  <c r="I9" i="8"/>
  <c r="J9" i="8"/>
  <c r="K9" i="8"/>
  <c r="C10" i="8"/>
  <c r="D10" i="8"/>
  <c r="F10" i="8"/>
  <c r="G10" i="8"/>
  <c r="I10" i="8"/>
  <c r="J10" i="8"/>
  <c r="X24" i="18" s="1"/>
  <c r="K10" i="8"/>
  <c r="C11" i="8"/>
  <c r="D11" i="8"/>
  <c r="F11" i="8"/>
  <c r="G11" i="8"/>
  <c r="I11" i="8"/>
  <c r="J11" i="8"/>
  <c r="X3" i="18" s="1"/>
  <c r="K11" i="8"/>
  <c r="C12" i="8"/>
  <c r="D12" i="8"/>
  <c r="F12" i="8"/>
  <c r="G12" i="8"/>
  <c r="I12" i="8"/>
  <c r="J12" i="8"/>
  <c r="K12" i="8"/>
  <c r="C13" i="8"/>
  <c r="T21" i="18" s="1"/>
  <c r="D13" i="8"/>
  <c r="U21" i="18" s="1"/>
  <c r="F13" i="8"/>
  <c r="G13" i="8"/>
  <c r="I13" i="8"/>
  <c r="J13" i="8"/>
  <c r="K13" i="8"/>
  <c r="C14" i="8"/>
  <c r="T18" i="18" s="1"/>
  <c r="D14" i="8"/>
  <c r="U18" i="18" s="1"/>
  <c r="F14" i="8"/>
  <c r="G14" i="8"/>
  <c r="I14" i="8"/>
  <c r="J14" i="8"/>
  <c r="X23" i="18" s="1"/>
  <c r="K14" i="8"/>
  <c r="C15" i="8"/>
  <c r="D15" i="8"/>
  <c r="F15" i="8"/>
  <c r="G15" i="8"/>
  <c r="I15" i="8"/>
  <c r="J15" i="8"/>
  <c r="K15" i="8"/>
  <c r="C16" i="8"/>
  <c r="D16" i="8"/>
  <c r="F16" i="8"/>
  <c r="G16" i="8"/>
  <c r="I16" i="8"/>
  <c r="J16" i="8"/>
  <c r="K16" i="8"/>
  <c r="C17" i="8"/>
  <c r="D17" i="8"/>
  <c r="F17" i="8"/>
  <c r="G17" i="8"/>
  <c r="I17" i="8"/>
  <c r="J17" i="8"/>
  <c r="K17" i="8"/>
  <c r="C18" i="8"/>
  <c r="D18" i="8"/>
  <c r="F18" i="8"/>
  <c r="G18" i="8"/>
  <c r="V11" i="18" s="1"/>
  <c r="I18" i="8"/>
  <c r="J18" i="8"/>
  <c r="K18" i="8"/>
  <c r="C19" i="8"/>
  <c r="D19" i="8"/>
  <c r="F19" i="8"/>
  <c r="G19" i="8"/>
  <c r="V35" i="18" s="1"/>
  <c r="I19" i="8"/>
  <c r="W35" i="18" s="1"/>
  <c r="J19" i="8"/>
  <c r="K19" i="8"/>
  <c r="C20" i="8"/>
  <c r="D20" i="8"/>
  <c r="U10" i="18" s="1"/>
  <c r="F20" i="8"/>
  <c r="G20" i="8"/>
  <c r="V3" i="18" s="1"/>
  <c r="I20" i="8"/>
  <c r="W3" i="18" s="1"/>
  <c r="C21" i="8"/>
  <c r="T12" i="18" s="1"/>
  <c r="D21" i="8"/>
  <c r="F21" i="8"/>
  <c r="G21" i="8"/>
  <c r="I21" i="8"/>
  <c r="C22" i="8"/>
  <c r="D22" i="8"/>
  <c r="F22" i="8"/>
  <c r="I22" i="8"/>
  <c r="C23" i="8"/>
  <c r="T35" i="18" s="1"/>
  <c r="D23" i="8"/>
  <c r="U35" i="18" s="1"/>
  <c r="F23" i="8"/>
  <c r="I23" i="8"/>
  <c r="C24" i="8"/>
  <c r="D24" i="8"/>
  <c r="F24" i="8"/>
  <c r="I24" i="8"/>
  <c r="C25" i="8"/>
  <c r="T34" i="18" s="1"/>
  <c r="D25" i="8"/>
  <c r="U34" i="18" s="1"/>
  <c r="C26" i="8"/>
  <c r="D26" i="8"/>
  <c r="C27" i="8"/>
  <c r="D27" i="8"/>
  <c r="C28" i="8"/>
  <c r="T26" i="18" s="1"/>
  <c r="D28" i="8"/>
  <c r="U26" i="18" s="1"/>
  <c r="C29" i="8"/>
  <c r="D29" i="8"/>
  <c r="B6" i="8"/>
  <c r="B7" i="8"/>
  <c r="B8" i="8"/>
  <c r="B9" i="8"/>
  <c r="B10" i="8"/>
  <c r="B11" i="8"/>
  <c r="B12" i="8"/>
  <c r="B13" i="8"/>
  <c r="S21" i="18" s="1"/>
  <c r="B14" i="8"/>
  <c r="S18" i="18" s="1"/>
  <c r="B15" i="8"/>
  <c r="B16" i="8"/>
  <c r="B17" i="8"/>
  <c r="B18" i="8"/>
  <c r="B19" i="8"/>
  <c r="B20" i="8"/>
  <c r="B21" i="8"/>
  <c r="B22" i="8"/>
  <c r="B23" i="8"/>
  <c r="B24" i="8"/>
  <c r="B25" i="8"/>
  <c r="S34" i="18" s="1"/>
  <c r="B26" i="8"/>
  <c r="B27" i="8"/>
  <c r="B28" i="8"/>
  <c r="S26" i="18" s="1"/>
  <c r="B29" i="8"/>
  <c r="B5" i="8"/>
  <c r="S14" i="18" l="1"/>
  <c r="S35" i="18"/>
  <c r="W30" i="18"/>
  <c r="W26" i="18"/>
  <c r="AF26" i="18" s="1"/>
  <c r="V13" i="18"/>
  <c r="V34" i="18"/>
  <c r="AE18" i="18"/>
  <c r="AG18" i="18"/>
  <c r="AF18" i="18"/>
  <c r="X16" i="18"/>
  <c r="X31" i="18"/>
  <c r="X33" i="18"/>
  <c r="W19" i="18"/>
  <c r="W24" i="18"/>
  <c r="W29" i="18"/>
  <c r="W33" i="18"/>
  <c r="W20" i="18"/>
  <c r="W23" i="18"/>
  <c r="W27" i="18"/>
  <c r="W28" i="18"/>
  <c r="W32" i="18"/>
  <c r="W25" i="18"/>
  <c r="W17" i="18"/>
  <c r="W22" i="18"/>
  <c r="W31" i="18"/>
  <c r="W16" i="18"/>
  <c r="AE21" i="18"/>
  <c r="AF21" i="18"/>
  <c r="AG21" i="18"/>
  <c r="U3" i="18"/>
  <c r="U17" i="18"/>
  <c r="U22" i="18"/>
  <c r="U31" i="18"/>
  <c r="U16" i="18"/>
  <c r="U20" i="18"/>
  <c r="U25" i="18"/>
  <c r="U30" i="18"/>
  <c r="U23" i="18"/>
  <c r="U27" i="18"/>
  <c r="U32" i="18"/>
  <c r="U19" i="18"/>
  <c r="U24" i="18"/>
  <c r="U29" i="18"/>
  <c r="U33" i="18"/>
  <c r="U28" i="18"/>
  <c r="S3" i="18"/>
  <c r="S19" i="18"/>
  <c r="S24" i="18"/>
  <c r="S29" i="18"/>
  <c r="S33" i="18"/>
  <c r="S23" i="18"/>
  <c r="S27" i="18"/>
  <c r="S28" i="18"/>
  <c r="S32" i="18"/>
  <c r="S20" i="18"/>
  <c r="S17" i="18"/>
  <c r="S22" i="18"/>
  <c r="S31" i="18"/>
  <c r="S16" i="18"/>
  <c r="S25" i="18"/>
  <c r="S30" i="18"/>
  <c r="S12" i="18"/>
  <c r="T3" i="18"/>
  <c r="T16" i="18"/>
  <c r="T20" i="18"/>
  <c r="T25" i="18"/>
  <c r="T30" i="18"/>
  <c r="T22" i="18"/>
  <c r="T19" i="18"/>
  <c r="T24" i="18"/>
  <c r="T29" i="18"/>
  <c r="T33" i="18"/>
  <c r="T23" i="18"/>
  <c r="T27" i="18"/>
  <c r="T28" i="18"/>
  <c r="T32" i="18"/>
  <c r="T17" i="18"/>
  <c r="T31" i="18"/>
  <c r="U12" i="18"/>
  <c r="X20" i="18"/>
  <c r="X32" i="18"/>
  <c r="X17" i="18"/>
  <c r="X22" i="18"/>
  <c r="X10" i="18"/>
  <c r="W11" i="18"/>
  <c r="X9" i="18"/>
  <c r="X25" i="18"/>
  <c r="W13" i="18"/>
  <c r="W34" i="18"/>
  <c r="AE34" i="18" s="1"/>
  <c r="S9" i="18"/>
  <c r="T10" i="18"/>
  <c r="W15" i="18"/>
  <c r="W14" i="18"/>
  <c r="W12" i="18"/>
  <c r="D2" i="9"/>
  <c r="X12" i="18"/>
  <c r="X14" i="18"/>
  <c r="X15" i="18"/>
  <c r="U11" i="18"/>
  <c r="U13" i="18"/>
  <c r="U15" i="18"/>
  <c r="U8" i="18"/>
  <c r="U14" i="18"/>
  <c r="V14" i="18"/>
  <c r="V12" i="18"/>
  <c r="V15" i="18"/>
  <c r="U9" i="18"/>
  <c r="D11" i="9"/>
  <c r="L4" i="9" s="1"/>
  <c r="S11" i="18"/>
  <c r="S15" i="18"/>
  <c r="S13" i="18"/>
  <c r="S10" i="18"/>
  <c r="T15" i="18"/>
  <c r="T13" i="18"/>
  <c r="T8" i="18"/>
  <c r="T14" i="18"/>
  <c r="T9" i="18"/>
  <c r="X13" i="18"/>
  <c r="X5" i="18"/>
  <c r="T5" i="18"/>
  <c r="S5" i="18"/>
  <c r="X11" i="18"/>
  <c r="U5" i="18"/>
  <c r="T11" i="18"/>
  <c r="W5" i="18"/>
  <c r="V10" i="18"/>
  <c r="V9" i="18"/>
  <c r="S8" i="18"/>
  <c r="T4" i="18"/>
  <c r="V5" i="18"/>
  <c r="X4" i="18"/>
  <c r="X8" i="18"/>
  <c r="W10" i="18"/>
  <c r="W9" i="18"/>
  <c r="W4" i="18"/>
  <c r="W8" i="18"/>
  <c r="V4" i="18"/>
  <c r="V8" i="18"/>
  <c r="H6" i="9"/>
  <c r="D6" i="9"/>
  <c r="U4" i="18"/>
  <c r="D4" i="9"/>
  <c r="S4" i="18"/>
  <c r="D3" i="9"/>
  <c r="H10" i="9"/>
  <c r="D9" i="9"/>
  <c r="D10" i="9"/>
  <c r="D7" i="9"/>
  <c r="H9" i="9"/>
  <c r="H3" i="9"/>
  <c r="H4" i="9"/>
  <c r="H7" i="9"/>
  <c r="E12" i="9"/>
  <c r="G12" i="9"/>
  <c r="F12" i="9"/>
  <c r="H2" i="9"/>
  <c r="H11" i="9"/>
  <c r="L2" i="9" l="1"/>
  <c r="L3" i="9"/>
  <c r="AE26" i="18"/>
  <c r="AF34" i="18"/>
  <c r="AG26" i="18"/>
  <c r="AE25" i="18"/>
  <c r="AG25" i="18"/>
  <c r="AF25" i="18"/>
  <c r="AF17" i="18"/>
  <c r="AG17" i="18"/>
  <c r="AE17" i="18"/>
  <c r="AE27" i="18"/>
  <c r="AG27" i="18"/>
  <c r="AF27" i="18"/>
  <c r="AG24" i="18"/>
  <c r="AE24" i="18"/>
  <c r="AF24" i="18"/>
  <c r="AG34" i="18"/>
  <c r="AF30" i="18"/>
  <c r="AG30" i="18"/>
  <c r="AE30" i="18"/>
  <c r="AF29" i="18"/>
  <c r="AG29" i="18"/>
  <c r="AE29" i="18"/>
  <c r="AF16" i="18"/>
  <c r="AG16" i="18"/>
  <c r="AE16" i="18"/>
  <c r="AG20" i="18"/>
  <c r="AF20" i="18"/>
  <c r="AE20" i="18"/>
  <c r="AF23" i="18"/>
  <c r="AE23" i="18"/>
  <c r="AG23" i="18"/>
  <c r="AE19" i="18"/>
  <c r="AG19" i="18"/>
  <c r="AF19" i="18"/>
  <c r="AE35" i="18"/>
  <c r="AG35" i="18"/>
  <c r="AF35" i="18"/>
  <c r="AE22" i="18"/>
  <c r="AF22" i="18"/>
  <c r="AG22" i="18"/>
  <c r="AE28" i="18"/>
  <c r="AG28" i="18"/>
  <c r="AF28" i="18"/>
  <c r="AE31" i="18"/>
  <c r="AG31" i="18"/>
  <c r="AF31" i="18"/>
  <c r="AF32" i="18"/>
  <c r="AE32" i="18"/>
  <c r="AG32" i="18"/>
  <c r="AE33" i="18"/>
  <c r="AF33" i="18"/>
  <c r="AG33" i="18"/>
  <c r="AE3" i="18"/>
  <c r="AF3" i="18"/>
  <c r="AG3" i="18"/>
  <c r="AG14" i="18"/>
  <c r="AE12" i="18"/>
  <c r="AE14" i="18"/>
  <c r="AG12" i="18"/>
  <c r="AE13" i="18"/>
  <c r="AF13" i="18"/>
  <c r="AG13" i="18"/>
  <c r="AG9" i="18"/>
  <c r="AE5" i="18"/>
  <c r="AG15" i="18"/>
  <c r="AE15" i="18"/>
  <c r="AF15" i="18"/>
  <c r="AF14" i="18"/>
  <c r="AF12" i="18"/>
  <c r="AE10" i="18"/>
  <c r="AF11" i="18"/>
  <c r="AG5" i="18"/>
  <c r="AF9" i="18"/>
  <c r="AF5" i="18"/>
  <c r="AG10" i="18"/>
  <c r="AF10" i="18"/>
  <c r="AE9" i="18"/>
  <c r="AG11" i="18"/>
  <c r="AE11" i="18"/>
  <c r="AG8" i="18"/>
  <c r="AF8" i="18"/>
  <c r="AE8" i="18"/>
  <c r="AE4" i="18"/>
  <c r="AG4" i="18"/>
  <c r="AF4" i="18"/>
  <c r="D12" i="9"/>
  <c r="E14" i="9" s="1"/>
  <c r="H12" i="9"/>
  <c r="H5" i="5"/>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V5" i="5"/>
  <c r="V6" i="5" s="1"/>
  <c r="V7" i="5" s="1"/>
  <c r="V8" i="5" s="1"/>
  <c r="V9" i="5" s="1"/>
  <c r="V10" i="5" s="1"/>
  <c r="V11" i="5" s="1"/>
  <c r="V12" i="5" s="1"/>
  <c r="V13" i="5" s="1"/>
  <c r="V14" i="5" s="1"/>
  <c r="V15" i="5" s="1"/>
  <c r="V16" i="5" s="1"/>
  <c r="V17" i="5" s="1"/>
  <c r="V18" i="5" s="1"/>
  <c r="V19" i="5" s="1"/>
  <c r="V20" i="5" s="1"/>
  <c r="V21" i="5" s="1"/>
  <c r="V22" i="5" s="1"/>
  <c r="V23" i="5" s="1"/>
  <c r="V24" i="5" s="1"/>
  <c r="V25" i="5" s="1"/>
  <c r="V26" i="5" s="1"/>
  <c r="V27" i="5" s="1"/>
  <c r="V28" i="5" s="1"/>
  <c r="V29" i="5" s="1"/>
  <c r="V30" i="5" s="1"/>
  <c r="V31" i="5" s="1"/>
  <c r="V32" i="5" s="1"/>
  <c r="V33" i="5" s="1"/>
  <c r="AG113" i="18" l="1"/>
  <c r="D13" i="18" s="1"/>
  <c r="D15" i="18" s="1"/>
  <c r="D23" i="18" s="1"/>
  <c r="AF113" i="18"/>
  <c r="C13" i="18" s="1"/>
  <c r="C15" i="18" s="1"/>
  <c r="C24" i="18" s="1"/>
  <c r="AE113" i="18"/>
  <c r="G14" i="9"/>
  <c r="F14" i="9"/>
  <c r="H14" i="9"/>
  <c r="D24" i="18" l="1"/>
  <c r="AH113" i="18"/>
  <c r="C23" i="18"/>
  <c r="B13" i="18"/>
  <c r="E13" i="18" s="1"/>
  <c r="B15" i="18" l="1"/>
  <c r="E15" i="18" s="1"/>
  <c r="B24" i="18" l="1"/>
  <c r="B23" i="18"/>
  <c r="E24" i="18"/>
  <c r="E23" i="18"/>
  <c r="BH15" i="7"/>
  <c r="BI15" i="7"/>
  <c r="F5" i="5"/>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G5" i="5"/>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F4" i="4"/>
  <c r="F5" i="4" s="1"/>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G4" i="4"/>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F4" i="2"/>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G4" i="2"/>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CF16" i="7"/>
  <c r="DA16" i="7" s="1"/>
  <c r="CG16" i="7"/>
  <c r="DB16" i="7" s="1"/>
  <c r="CE16" i="7"/>
  <c r="CZ16" i="7" s="1"/>
  <c r="BG15" i="7"/>
  <c r="BW16" i="7"/>
  <c r="CR16" i="7" s="1"/>
  <c r="BX16" i="7"/>
  <c r="CS16" i="7" s="1"/>
  <c r="C4"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5" i="1"/>
  <c r="DT17" i="7"/>
  <c r="DT18" i="7"/>
  <c r="DT19" i="7"/>
  <c r="DT20" i="7"/>
  <c r="DT21" i="7"/>
  <c r="DT22" i="7"/>
  <c r="DT23" i="7"/>
  <c r="DT24" i="7"/>
  <c r="DT25" i="7"/>
  <c r="DT26" i="7"/>
  <c r="DT27" i="7"/>
  <c r="DT28" i="7"/>
  <c r="DT29" i="7"/>
  <c r="DT30" i="7"/>
  <c r="DT31" i="7"/>
  <c r="DT32" i="7"/>
  <c r="DT33" i="7"/>
  <c r="DT34" i="7"/>
  <c r="DT35" i="7"/>
  <c r="DT36" i="7"/>
  <c r="DT37" i="7"/>
  <c r="DT38" i="7"/>
  <c r="DT39" i="7"/>
  <c r="DT40" i="7"/>
  <c r="DT41" i="7"/>
  <c r="DT42" i="7"/>
  <c r="DT43" i="7"/>
  <c r="DT44" i="7"/>
  <c r="DT45" i="7"/>
  <c r="DT46" i="7"/>
  <c r="DT47" i="7"/>
  <c r="DT48" i="7"/>
  <c r="DT49" i="7"/>
  <c r="DT50" i="7"/>
  <c r="DT51" i="7"/>
  <c r="DT52" i="7"/>
  <c r="DT53" i="7"/>
  <c r="DT54" i="7"/>
  <c r="DT55" i="7"/>
  <c r="DT56" i="7"/>
  <c r="DT57" i="7"/>
  <c r="DT58" i="7"/>
  <c r="DT59" i="7"/>
  <c r="DT60" i="7"/>
  <c r="DT61" i="7"/>
  <c r="DT62" i="7"/>
  <c r="DT63" i="7"/>
  <c r="DT64" i="7"/>
  <c r="DT65" i="7"/>
  <c r="DT66" i="7"/>
  <c r="DT67" i="7"/>
  <c r="DT68" i="7"/>
  <c r="DT69" i="7"/>
  <c r="DT70" i="7"/>
  <c r="DT71" i="7"/>
  <c r="DT72" i="7"/>
  <c r="DT73" i="7"/>
  <c r="DT74" i="7"/>
  <c r="DT75" i="7"/>
  <c r="DT76" i="7"/>
  <c r="DT77" i="7"/>
  <c r="DT78" i="7"/>
  <c r="DT79" i="7"/>
  <c r="DT80" i="7"/>
  <c r="DT81" i="7"/>
  <c r="DT82" i="7"/>
  <c r="DT83" i="7"/>
  <c r="DT84" i="7"/>
  <c r="DT85" i="7"/>
  <c r="DT86" i="7"/>
  <c r="DT87" i="7"/>
  <c r="DT88" i="7"/>
  <c r="DT89" i="7"/>
  <c r="DT90" i="7"/>
  <c r="DT91" i="7"/>
  <c r="DT92" i="7"/>
  <c r="DT93" i="7"/>
  <c r="DT94" i="7"/>
  <c r="DT95" i="7"/>
  <c r="DT96" i="7"/>
  <c r="DT97" i="7"/>
  <c r="DT98" i="7"/>
  <c r="DT99" i="7"/>
  <c r="DT100" i="7"/>
  <c r="DT101" i="7"/>
  <c r="DT102" i="7"/>
  <c r="DT103" i="7"/>
  <c r="DT104" i="7"/>
  <c r="DT105" i="7"/>
  <c r="DT106" i="7"/>
  <c r="DT107" i="7"/>
  <c r="DT108" i="7"/>
  <c r="DT109" i="7"/>
  <c r="DT110" i="7"/>
  <c r="DT111" i="7"/>
  <c r="DT112" i="7"/>
  <c r="DT113" i="7"/>
  <c r="DT114" i="7"/>
  <c r="DT115" i="7"/>
  <c r="DT116" i="7"/>
  <c r="DT117" i="7"/>
  <c r="DT118" i="7"/>
  <c r="DT119" i="7"/>
  <c r="DT120" i="7"/>
  <c r="DT121" i="7"/>
  <c r="DT122" i="7"/>
  <c r="DT123" i="7"/>
  <c r="DT124" i="7"/>
  <c r="DT125" i="7"/>
  <c r="DT126" i="7"/>
  <c r="DT127" i="7"/>
  <c r="DT128" i="7"/>
  <c r="AD128" i="7" s="1"/>
  <c r="DT129" i="7"/>
  <c r="AC129" i="7" s="1"/>
  <c r="DT130" i="7"/>
  <c r="AB130" i="7" s="1"/>
  <c r="DT131" i="7"/>
  <c r="AB131" i="7" s="1"/>
  <c r="DT132" i="7"/>
  <c r="AC132" i="7" s="1"/>
  <c r="DT133" i="7"/>
  <c r="AC133" i="7" s="1"/>
  <c r="DT134" i="7"/>
  <c r="AC134" i="7" s="1"/>
  <c r="DT135" i="7"/>
  <c r="AD135" i="7" s="1"/>
  <c r="DT136" i="7"/>
  <c r="AD136" i="7" s="1"/>
  <c r="DT137" i="7"/>
  <c r="AD137" i="7" s="1"/>
  <c r="DT138" i="7"/>
  <c r="AC138" i="7" s="1"/>
  <c r="DT139" i="7"/>
  <c r="AD139" i="7" s="1"/>
  <c r="DT140" i="7"/>
  <c r="AB140" i="7" s="1"/>
  <c r="DT141" i="7"/>
  <c r="AB141" i="7" s="1"/>
  <c r="DT142" i="7"/>
  <c r="AC142" i="7" s="1"/>
  <c r="DT143" i="7"/>
  <c r="AB143" i="7" s="1"/>
  <c r="DT144" i="7"/>
  <c r="AC144" i="7" s="1"/>
  <c r="DT145" i="7"/>
  <c r="AB145" i="7" s="1"/>
  <c r="DT146" i="7"/>
  <c r="AC146" i="7" s="1"/>
  <c r="DT147" i="7"/>
  <c r="AB147" i="7" s="1"/>
  <c r="DT148" i="7"/>
  <c r="AD148" i="7" s="1"/>
  <c r="DT149" i="7"/>
  <c r="AD149" i="7" s="1"/>
  <c r="DT150" i="7"/>
  <c r="AC150" i="7" s="1"/>
  <c r="DT151" i="7"/>
  <c r="AD151" i="7" s="1"/>
  <c r="DT152" i="7"/>
  <c r="AD152" i="7" s="1"/>
  <c r="DT153" i="7"/>
  <c r="AC153" i="7" s="1"/>
  <c r="DT154" i="7"/>
  <c r="AB154" i="7" s="1"/>
  <c r="DT155" i="7"/>
  <c r="AB155" i="7" s="1"/>
  <c r="DT156" i="7"/>
  <c r="AC156" i="7" s="1"/>
  <c r="DT157" i="7"/>
  <c r="AC157" i="7" s="1"/>
  <c r="DT158" i="7"/>
  <c r="AC158" i="7" s="1"/>
  <c r="DT159" i="7"/>
  <c r="AD159" i="7" s="1"/>
  <c r="DT160" i="7"/>
  <c r="AD160" i="7" s="1"/>
  <c r="DT161" i="7"/>
  <c r="AB161" i="7" s="1"/>
  <c r="DT162" i="7"/>
  <c r="AB162" i="7" s="1"/>
  <c r="DT163" i="7"/>
  <c r="AB163" i="7" s="1"/>
  <c r="DT164" i="7"/>
  <c r="AC164" i="7" s="1"/>
  <c r="DT165" i="7"/>
  <c r="AC165" i="7" s="1"/>
  <c r="DT166" i="7"/>
  <c r="AC166" i="7" s="1"/>
  <c r="DT167" i="7"/>
  <c r="AD167" i="7" s="1"/>
  <c r="DT168" i="7"/>
  <c r="AD168" i="7" s="1"/>
  <c r="DT169" i="7"/>
  <c r="AC169" i="7" s="1"/>
  <c r="DT170" i="7"/>
  <c r="AB170" i="7" s="1"/>
  <c r="DT171" i="7"/>
  <c r="AC171" i="7" s="1"/>
  <c r="DT172" i="7"/>
  <c r="AD172" i="7" s="1"/>
  <c r="DT173" i="7"/>
  <c r="AC173" i="7" s="1"/>
  <c r="DT174" i="7"/>
  <c r="AB174" i="7" s="1"/>
  <c r="DT175" i="7"/>
  <c r="AC175" i="7" s="1"/>
  <c r="DT176" i="7"/>
  <c r="AD176" i="7" s="1"/>
  <c r="DT177" i="7"/>
  <c r="AC177" i="7" s="1"/>
  <c r="DT178" i="7"/>
  <c r="AB178" i="7" s="1"/>
  <c r="DT179" i="7"/>
  <c r="AC179" i="7" s="1"/>
  <c r="DT180" i="7"/>
  <c r="AD180" i="7" s="1"/>
  <c r="DT181" i="7"/>
  <c r="AC181" i="7" s="1"/>
  <c r="DT182" i="7"/>
  <c r="AB182" i="7" s="1"/>
  <c r="DT183" i="7"/>
  <c r="AC183" i="7" s="1"/>
  <c r="DT184" i="7"/>
  <c r="AC184" i="7" s="1"/>
  <c r="DT185" i="7"/>
  <c r="AC185" i="7" s="1"/>
  <c r="DT186" i="7"/>
  <c r="AB186" i="7" s="1"/>
  <c r="DT187" i="7"/>
  <c r="AC187" i="7" s="1"/>
  <c r="DT188" i="7"/>
  <c r="AC188" i="7" s="1"/>
  <c r="DT189" i="7"/>
  <c r="AB189" i="7" s="1"/>
  <c r="DT190" i="7"/>
  <c r="AB190" i="7" s="1"/>
  <c r="DT191" i="7"/>
  <c r="AB191" i="7" s="1"/>
  <c r="DT192" i="7"/>
  <c r="AC192" i="7" s="1"/>
  <c r="DT193" i="7"/>
  <c r="AB193" i="7" s="1"/>
  <c r="DT194" i="7"/>
  <c r="AC194" i="7" s="1"/>
  <c r="DT195" i="7"/>
  <c r="AD195" i="7" s="1"/>
  <c r="DT196" i="7"/>
  <c r="AC196" i="7" s="1"/>
  <c r="DT197" i="7"/>
  <c r="AD197" i="7" s="1"/>
  <c r="DT198" i="7"/>
  <c r="AB198" i="7" s="1"/>
  <c r="DT199" i="7"/>
  <c r="AD199" i="7" s="1"/>
  <c r="DT200" i="7"/>
  <c r="AC200" i="7" s="1"/>
  <c r="DT201" i="7"/>
  <c r="AD201" i="7" s="1"/>
  <c r="DT202" i="7"/>
  <c r="AD202" i="7" s="1"/>
  <c r="DT203" i="7"/>
  <c r="AB203" i="7" s="1"/>
  <c r="DT204" i="7"/>
  <c r="AC204" i="7" s="1"/>
  <c r="DT205" i="7"/>
  <c r="AB205" i="7" s="1"/>
  <c r="DT206" i="7"/>
  <c r="AB206" i="7" s="1"/>
  <c r="DT207" i="7"/>
  <c r="AB207" i="7" s="1"/>
  <c r="DT208" i="7"/>
  <c r="AB208" i="7" s="1"/>
  <c r="DT209" i="7"/>
  <c r="AC209" i="7" s="1"/>
  <c r="DT210" i="7"/>
  <c r="AC210" i="7" s="1"/>
  <c r="DT211" i="7"/>
  <c r="AB211" i="7" s="1"/>
  <c r="DT212" i="7"/>
  <c r="AD212" i="7" s="1"/>
  <c r="DT213" i="7"/>
  <c r="AC213" i="7" s="1"/>
  <c r="DT214" i="7"/>
  <c r="AB214" i="7" s="1"/>
  <c r="DT215" i="7"/>
  <c r="AB215" i="7" s="1"/>
  <c r="DT216" i="7"/>
  <c r="AC216" i="7" s="1"/>
  <c r="DT217" i="7"/>
  <c r="AC217" i="7" s="1"/>
  <c r="DT218" i="7"/>
  <c r="AC218" i="7" s="1"/>
  <c r="DT219" i="7"/>
  <c r="AB219" i="7" s="1"/>
  <c r="DT220" i="7"/>
  <c r="AD220" i="7" s="1"/>
  <c r="DT221" i="7"/>
  <c r="AC221" i="7" s="1"/>
  <c r="DT222" i="7"/>
  <c r="AB222" i="7" s="1"/>
  <c r="DT223" i="7"/>
  <c r="AD223" i="7" s="1"/>
  <c r="DT224" i="7"/>
  <c r="AB224" i="7" s="1"/>
  <c r="DT225" i="7"/>
  <c r="AC225" i="7" s="1"/>
  <c r="DT226" i="7"/>
  <c r="AD226" i="7" s="1"/>
  <c r="DT227" i="7"/>
  <c r="AC227" i="7" s="1"/>
  <c r="DT228" i="7"/>
  <c r="AB228" i="7" s="1"/>
  <c r="DT229" i="7"/>
  <c r="AB229" i="7" s="1"/>
  <c r="DT230" i="7"/>
  <c r="AD230" i="7" s="1"/>
  <c r="DT231" i="7"/>
  <c r="AC231" i="7" s="1"/>
  <c r="DT232" i="7"/>
  <c r="AB232" i="7" s="1"/>
  <c r="DT233" i="7"/>
  <c r="AC233" i="7" s="1"/>
  <c r="DT234" i="7"/>
  <c r="AC234" i="7" s="1"/>
  <c r="DT235" i="7"/>
  <c r="AB235" i="7" s="1"/>
  <c r="DT236" i="7"/>
  <c r="AD236" i="7" s="1"/>
  <c r="DT237" i="7"/>
  <c r="AC237" i="7" s="1"/>
  <c r="DT238" i="7"/>
  <c r="AB238" i="7" s="1"/>
  <c r="DT239" i="7"/>
  <c r="AB239" i="7" s="1"/>
  <c r="DT240" i="7"/>
  <c r="AC240" i="7" s="1"/>
  <c r="DT241" i="7"/>
  <c r="AC241" i="7" s="1"/>
  <c r="DT242" i="7"/>
  <c r="AC242" i="7" s="1"/>
  <c r="DT243" i="7"/>
  <c r="AB243" i="7" s="1"/>
  <c r="DT244" i="7"/>
  <c r="AD244" i="7" s="1"/>
  <c r="DT245" i="7"/>
  <c r="AC245" i="7" s="1"/>
  <c r="DT246" i="7"/>
  <c r="AC246" i="7" s="1"/>
  <c r="DT247" i="7"/>
  <c r="AC247" i="7" s="1"/>
  <c r="DT248" i="7"/>
  <c r="AD248" i="7" s="1"/>
  <c r="DT249" i="7"/>
  <c r="AB249" i="7" s="1"/>
  <c r="DT250" i="7"/>
  <c r="AB250" i="7" s="1"/>
  <c r="DT251" i="7"/>
  <c r="AC251" i="7" s="1"/>
  <c r="DT252" i="7"/>
  <c r="AC252" i="7" s="1"/>
  <c r="DT253" i="7"/>
  <c r="AC253" i="7" s="1"/>
  <c r="DT254" i="7"/>
  <c r="AB254" i="7" s="1"/>
  <c r="DT255" i="7"/>
  <c r="AC255" i="7" s="1"/>
  <c r="DT256" i="7"/>
  <c r="AD256" i="7" s="1"/>
  <c r="DT257" i="7"/>
  <c r="AC257" i="7" s="1"/>
  <c r="DT258" i="7"/>
  <c r="AB258" i="7" s="1"/>
  <c r="DT259" i="7"/>
  <c r="AC259" i="7" s="1"/>
  <c r="DT260" i="7"/>
  <c r="AD260" i="7" s="1"/>
  <c r="DT261" i="7"/>
  <c r="AC261" i="7" s="1"/>
  <c r="DT262" i="7"/>
  <c r="AB262" i="7" s="1"/>
  <c r="DT263" i="7"/>
  <c r="AC263" i="7" s="1"/>
  <c r="DT264" i="7"/>
  <c r="AD264" i="7" s="1"/>
  <c r="DT265" i="7"/>
  <c r="AB265" i="7" s="1"/>
  <c r="DT266" i="7"/>
  <c r="AB266" i="7" s="1"/>
  <c r="DT267" i="7"/>
  <c r="AB267" i="7" s="1"/>
  <c r="DT268" i="7"/>
  <c r="AB268" i="7" s="1"/>
  <c r="DT269" i="7"/>
  <c r="AC269" i="7" s="1"/>
  <c r="DT270" i="7"/>
  <c r="AC270" i="7" s="1"/>
  <c r="DT271" i="7"/>
  <c r="AD271" i="7" s="1"/>
  <c r="DT272" i="7"/>
  <c r="AD272" i="7" s="1"/>
  <c r="DT273" i="7"/>
  <c r="AB273" i="7" s="1"/>
  <c r="DT274" i="7"/>
  <c r="AB274" i="7" s="1"/>
  <c r="DT275" i="7"/>
  <c r="AB275" i="7" s="1"/>
  <c r="DT276" i="7"/>
  <c r="AC276" i="7" s="1"/>
  <c r="DT277" i="7"/>
  <c r="AC277" i="7" s="1"/>
  <c r="DT278" i="7"/>
  <c r="AC278" i="7" s="1"/>
  <c r="DT279" i="7"/>
  <c r="AD279" i="7" s="1"/>
  <c r="DT280" i="7"/>
  <c r="AD280" i="7" s="1"/>
  <c r="DT281" i="7"/>
  <c r="AB281" i="7" s="1"/>
  <c r="DT282" i="7"/>
  <c r="AB282" i="7" s="1"/>
  <c r="DT283" i="7"/>
  <c r="AB283" i="7" s="1"/>
  <c r="DT284" i="7"/>
  <c r="AB284" i="7" s="1"/>
  <c r="DT285" i="7"/>
  <c r="AB285" i="7" s="1"/>
  <c r="DT286" i="7"/>
  <c r="AC286" i="7" s="1"/>
  <c r="DT287" i="7"/>
  <c r="AB287" i="7" s="1"/>
  <c r="DT288" i="7"/>
  <c r="AD288" i="7" s="1"/>
  <c r="DT289" i="7"/>
  <c r="AC289" i="7" s="1"/>
  <c r="DT290" i="7"/>
  <c r="AB290" i="7" s="1"/>
  <c r="DT291" i="7"/>
  <c r="AC291" i="7" s="1"/>
  <c r="DT292" i="7"/>
  <c r="AC292" i="7" s="1"/>
  <c r="DT293" i="7"/>
  <c r="AB293" i="7" s="1"/>
  <c r="DT294" i="7"/>
  <c r="AC294" i="7" s="1"/>
  <c r="DT295" i="7"/>
  <c r="AB295" i="7" s="1"/>
  <c r="DT296" i="7"/>
  <c r="AD296" i="7" s="1"/>
  <c r="DT297" i="7"/>
  <c r="AC297" i="7" s="1"/>
  <c r="DT298" i="7"/>
  <c r="AB298" i="7" s="1"/>
  <c r="DT299" i="7"/>
  <c r="AD299" i="7" s="1"/>
  <c r="DT300" i="7"/>
  <c r="AB300" i="7" s="1"/>
  <c r="DT301" i="7"/>
  <c r="AB301" i="7" s="1"/>
  <c r="DT302" i="7"/>
  <c r="AC302" i="7" s="1"/>
  <c r="DT303" i="7"/>
  <c r="AB303" i="7" s="1"/>
  <c r="DT304" i="7"/>
  <c r="AD304" i="7" s="1"/>
  <c r="DT305" i="7"/>
  <c r="AC305" i="7" s="1"/>
  <c r="DT306" i="7"/>
  <c r="AB306" i="7" s="1"/>
  <c r="DT307" i="7"/>
  <c r="AD307" i="7" s="1"/>
  <c r="DT308" i="7"/>
  <c r="AC308" i="7" s="1"/>
  <c r="DT309" i="7"/>
  <c r="AC309" i="7" s="1"/>
  <c r="DT310" i="7"/>
  <c r="AC310" i="7" s="1"/>
  <c r="DT311" i="7"/>
  <c r="AD311" i="7" s="1"/>
  <c r="DT312" i="7"/>
  <c r="AD312" i="7" s="1"/>
  <c r="DT313" i="7"/>
  <c r="AB313" i="7" s="1"/>
  <c r="DT314" i="7"/>
  <c r="AB314" i="7" s="1"/>
  <c r="DT315" i="7"/>
  <c r="AD315" i="7" s="1"/>
  <c r="DT316" i="7"/>
  <c r="AC316" i="7" s="1"/>
  <c r="DT317" i="7"/>
  <c r="AC317" i="7" s="1"/>
  <c r="DT318" i="7"/>
  <c r="AC318" i="7" s="1"/>
  <c r="DT319" i="7"/>
  <c r="AD319" i="7" s="1"/>
  <c r="DT320" i="7"/>
  <c r="AD320" i="7" s="1"/>
  <c r="DT321" i="7"/>
  <c r="AC321" i="7" s="1"/>
  <c r="DT322" i="7"/>
  <c r="AB322" i="7" s="1"/>
  <c r="DT323" i="7"/>
  <c r="AB323" i="7" s="1"/>
  <c r="DT324" i="7"/>
  <c r="AC324" i="7" s="1"/>
  <c r="DT325" i="7"/>
  <c r="AC325" i="7" s="1"/>
  <c r="DT326" i="7"/>
  <c r="AC326" i="7" s="1"/>
  <c r="DT327" i="7"/>
  <c r="AD327" i="7" s="1"/>
  <c r="DT328" i="7"/>
  <c r="AD328" i="7" s="1"/>
  <c r="DT329" i="7"/>
  <c r="AB329" i="7" s="1"/>
  <c r="DT330" i="7"/>
  <c r="AB330" i="7" s="1"/>
  <c r="DT331" i="7"/>
  <c r="AB331" i="7" s="1"/>
  <c r="DT332" i="7"/>
  <c r="AB332" i="7" s="1"/>
  <c r="DT333" i="7"/>
  <c r="AC333" i="7" s="1"/>
  <c r="DT334" i="7"/>
  <c r="AC334" i="7" s="1"/>
  <c r="DT335" i="7"/>
  <c r="AD335" i="7" s="1"/>
  <c r="DT336" i="7"/>
  <c r="AD336" i="7" s="1"/>
  <c r="DT337" i="7"/>
  <c r="AB337" i="7" s="1"/>
  <c r="DT338" i="7"/>
  <c r="AB338" i="7" s="1"/>
  <c r="DT339" i="7"/>
  <c r="AB339" i="7" s="1"/>
  <c r="DT340" i="7"/>
  <c r="AC340" i="7" s="1"/>
  <c r="DT341" i="7"/>
  <c r="AB341" i="7" s="1"/>
  <c r="DT342" i="7"/>
  <c r="AC342" i="7" s="1"/>
  <c r="DT343" i="7"/>
  <c r="AB343" i="7" s="1"/>
  <c r="DT344" i="7"/>
  <c r="AD344" i="7" s="1"/>
  <c r="DT345" i="7"/>
  <c r="AC345" i="7" s="1"/>
  <c r="DT346" i="7"/>
  <c r="AB346" i="7" s="1"/>
  <c r="DT347" i="7"/>
  <c r="AC347" i="7" s="1"/>
  <c r="DT348" i="7"/>
  <c r="AB348" i="7" s="1"/>
  <c r="DT349" i="7"/>
  <c r="AB349" i="7" s="1"/>
  <c r="DT350" i="7"/>
  <c r="AC350" i="7" s="1"/>
  <c r="DT351" i="7"/>
  <c r="AB351" i="7" s="1"/>
  <c r="DT352" i="7"/>
  <c r="AD352" i="7" s="1"/>
  <c r="DT353" i="7"/>
  <c r="AC353" i="7" s="1"/>
  <c r="DT354" i="7"/>
  <c r="AB354" i="7" s="1"/>
  <c r="DT355" i="7"/>
  <c r="AD355" i="7" s="1"/>
  <c r="DT356" i="7"/>
  <c r="AC356" i="7" s="1"/>
  <c r="DT357" i="7"/>
  <c r="AB357" i="7" s="1"/>
  <c r="DT358" i="7"/>
  <c r="AC358" i="7" s="1"/>
  <c r="DT359" i="7"/>
  <c r="AC359" i="7" s="1"/>
  <c r="DT360" i="7"/>
  <c r="AD360" i="7" s="1"/>
  <c r="DT361" i="7"/>
  <c r="AC361" i="7" s="1"/>
  <c r="DT362" i="7"/>
  <c r="AB362" i="7" s="1"/>
  <c r="DT363" i="7"/>
  <c r="AD363" i="7" s="1"/>
  <c r="DT364" i="7"/>
  <c r="AB364" i="7" s="1"/>
  <c r="DT365" i="7"/>
  <c r="AC365" i="7" s="1"/>
  <c r="DT366" i="7"/>
  <c r="AD366" i="7" s="1"/>
  <c r="DT367" i="7"/>
  <c r="AD367" i="7" s="1"/>
  <c r="DT368" i="7"/>
  <c r="AD368" i="7" s="1"/>
  <c r="DT369" i="7"/>
  <c r="AB369" i="7" s="1"/>
  <c r="DT370" i="7"/>
  <c r="AB370" i="7" s="1"/>
  <c r="DT371" i="7"/>
  <c r="AD371" i="7" s="1"/>
  <c r="DT372" i="7"/>
  <c r="AC372" i="7" s="1"/>
  <c r="DT373" i="7"/>
  <c r="AC373" i="7" s="1"/>
  <c r="DT374" i="7"/>
  <c r="AC374" i="7" s="1"/>
  <c r="DT375" i="7"/>
  <c r="AD375" i="7" s="1"/>
  <c r="DT376" i="7"/>
  <c r="AD376" i="7" s="1"/>
  <c r="DT377" i="7"/>
  <c r="AB377" i="7" s="1"/>
  <c r="DT378" i="7"/>
  <c r="AB378" i="7" s="1"/>
  <c r="DT379" i="7"/>
  <c r="AB379" i="7" s="1"/>
  <c r="DT380" i="7"/>
  <c r="AC380" i="7" s="1"/>
  <c r="DT381" i="7"/>
  <c r="AC381" i="7" s="1"/>
  <c r="DT382" i="7"/>
  <c r="AC382" i="7" s="1"/>
  <c r="DT383" i="7"/>
  <c r="AD383" i="7" s="1"/>
  <c r="DT384" i="7"/>
  <c r="AD384" i="7" s="1"/>
  <c r="DT385" i="7"/>
  <c r="AB385" i="7" s="1"/>
  <c r="DT386" i="7"/>
  <c r="AB386" i="7" s="1"/>
  <c r="DT387" i="7"/>
  <c r="AB387" i="7" s="1"/>
  <c r="DT388" i="7"/>
  <c r="AC388" i="7" s="1"/>
  <c r="DT389" i="7"/>
  <c r="AC389" i="7" s="1"/>
  <c r="DT390" i="7"/>
  <c r="AC390" i="7" s="1"/>
  <c r="DT391" i="7"/>
  <c r="AB391" i="7" s="1"/>
  <c r="DT392" i="7"/>
  <c r="AD392" i="7" s="1"/>
  <c r="DT393" i="7"/>
  <c r="AC393" i="7" s="1"/>
  <c r="DT394" i="7"/>
  <c r="AB394" i="7" s="1"/>
  <c r="DT395" i="7"/>
  <c r="AB395" i="7" s="1"/>
  <c r="DT396" i="7"/>
  <c r="AB396" i="7" s="1"/>
  <c r="DT397" i="7"/>
  <c r="AB397" i="7" s="1"/>
  <c r="DT398" i="7"/>
  <c r="AC398" i="7" s="1"/>
  <c r="DT399" i="7"/>
  <c r="AB399" i="7" s="1"/>
  <c r="DT400" i="7"/>
  <c r="AD400" i="7" s="1"/>
  <c r="DT401" i="7"/>
  <c r="AC401" i="7" s="1"/>
  <c r="DT402" i="7"/>
  <c r="AB402" i="7" s="1"/>
  <c r="DT403" i="7"/>
  <c r="AB403" i="7" s="1"/>
  <c r="DT404" i="7"/>
  <c r="AC404" i="7" s="1"/>
  <c r="DT405" i="7"/>
  <c r="AC405" i="7" s="1"/>
  <c r="DT406" i="7"/>
  <c r="AC406" i="7" s="1"/>
  <c r="DT407" i="7"/>
  <c r="AB407" i="7" s="1"/>
  <c r="DT408" i="7"/>
  <c r="AD408" i="7" s="1"/>
  <c r="DT409" i="7"/>
  <c r="AC409" i="7" s="1"/>
  <c r="DT410" i="7"/>
  <c r="AB410" i="7" s="1"/>
  <c r="DT411" i="7"/>
  <c r="AD411" i="7" s="1"/>
  <c r="DT412" i="7"/>
  <c r="AB412" i="7" s="1"/>
  <c r="DT413" i="7"/>
  <c r="AC413" i="7" s="1"/>
  <c r="DT414" i="7"/>
  <c r="AC414" i="7" s="1"/>
  <c r="DT415" i="7"/>
  <c r="AD415" i="7" s="1"/>
  <c r="DT416" i="7"/>
  <c r="AD416" i="7" s="1"/>
  <c r="DT417" i="7"/>
  <c r="AC417" i="7" s="1"/>
  <c r="DT418" i="7"/>
  <c r="AB418" i="7" s="1"/>
  <c r="DT419" i="7"/>
  <c r="AB419" i="7" s="1"/>
  <c r="DT420" i="7"/>
  <c r="AC420" i="7" s="1"/>
  <c r="DT421" i="7"/>
  <c r="AC421" i="7" s="1"/>
  <c r="DT422" i="7"/>
  <c r="AC422" i="7" s="1"/>
  <c r="DT423" i="7"/>
  <c r="AD423" i="7" s="1"/>
  <c r="DT424" i="7"/>
  <c r="AD424" i="7" s="1"/>
  <c r="DT425" i="7"/>
  <c r="AB425" i="7" s="1"/>
  <c r="DT426" i="7"/>
  <c r="AB426" i="7" s="1"/>
  <c r="DT427" i="7"/>
  <c r="AB427" i="7" s="1"/>
  <c r="DT428" i="7"/>
  <c r="AB428" i="7" s="1"/>
  <c r="DT429" i="7"/>
  <c r="AC429" i="7" s="1"/>
  <c r="DT430" i="7"/>
  <c r="AC430" i="7" s="1"/>
  <c r="DT431" i="7"/>
  <c r="AD431" i="7" s="1"/>
  <c r="DT432" i="7"/>
  <c r="AD432" i="7" s="1"/>
  <c r="DT433" i="7"/>
  <c r="AB433" i="7" s="1"/>
  <c r="DT434" i="7"/>
  <c r="AB434" i="7" s="1"/>
  <c r="DT435" i="7"/>
  <c r="AB435" i="7" s="1"/>
  <c r="DT436" i="7"/>
  <c r="AC436" i="7" s="1"/>
  <c r="DT437" i="7"/>
  <c r="AB437" i="7" s="1"/>
  <c r="DT438" i="7"/>
  <c r="AC438" i="7" s="1"/>
  <c r="DT439" i="7"/>
  <c r="AB439" i="7" s="1"/>
  <c r="DT440" i="7"/>
  <c r="AD440" i="7" s="1"/>
  <c r="DT441" i="7"/>
  <c r="AC441" i="7" s="1"/>
  <c r="DT442" i="7"/>
  <c r="AB442" i="7" s="1"/>
  <c r="DT443" i="7"/>
  <c r="AB443" i="7" s="1"/>
  <c r="DT444" i="7"/>
  <c r="AC444" i="7" s="1"/>
  <c r="DT445" i="7"/>
  <c r="AC445" i="7" s="1"/>
  <c r="DT446" i="7"/>
  <c r="AC446" i="7" s="1"/>
  <c r="DT447" i="7"/>
  <c r="AB447" i="7" s="1"/>
  <c r="DT448" i="7"/>
  <c r="AD448" i="7" s="1"/>
  <c r="DT449" i="7"/>
  <c r="AC449" i="7" s="1"/>
  <c r="DT450" i="7"/>
  <c r="AD450" i="7" s="1"/>
  <c r="DT451" i="7"/>
  <c r="AB451" i="7" s="1"/>
  <c r="DT452" i="7"/>
  <c r="AC452" i="7" s="1"/>
  <c r="DT453" i="7"/>
  <c r="AB453" i="7" s="1"/>
  <c r="DT454" i="7"/>
  <c r="AC454" i="7" s="1"/>
  <c r="DT455" i="7"/>
  <c r="AB455" i="7" s="1"/>
  <c r="DT456" i="7"/>
  <c r="AD456" i="7" s="1"/>
  <c r="DT457" i="7"/>
  <c r="AC457" i="7" s="1"/>
  <c r="DT458" i="7"/>
  <c r="AB458" i="7" s="1"/>
  <c r="DT459" i="7"/>
  <c r="AB459" i="7" s="1"/>
  <c r="DT460" i="7"/>
  <c r="AC460" i="7" s="1"/>
  <c r="DT461" i="7"/>
  <c r="AC461" i="7" s="1"/>
  <c r="DT462" i="7"/>
  <c r="AC462" i="7" s="1"/>
  <c r="DT463" i="7"/>
  <c r="AB463" i="7" s="1"/>
  <c r="DT464" i="7"/>
  <c r="AD464" i="7" s="1"/>
  <c r="DT465" i="7"/>
  <c r="AC465" i="7" s="1"/>
  <c r="DT466" i="7"/>
  <c r="AD466" i="7" s="1"/>
  <c r="DT467" i="7"/>
  <c r="AC467" i="7" s="1"/>
  <c r="DT468" i="7"/>
  <c r="AB468" i="7" s="1"/>
  <c r="DT469" i="7"/>
  <c r="AB469" i="7" s="1"/>
  <c r="DT470" i="7"/>
  <c r="AC470" i="7" s="1"/>
  <c r="DT471" i="7"/>
  <c r="AB471" i="7" s="1"/>
  <c r="DT472" i="7"/>
  <c r="AD472" i="7" s="1"/>
  <c r="DT473" i="7"/>
  <c r="AC473" i="7" s="1"/>
  <c r="DT474" i="7"/>
  <c r="AB474" i="7" s="1"/>
  <c r="DT475" i="7"/>
  <c r="AD475" i="7" s="1"/>
  <c r="DT476" i="7"/>
  <c r="AC476" i="7" s="1"/>
  <c r="DT477" i="7"/>
  <c r="AB477" i="7" s="1"/>
  <c r="DT478" i="7"/>
  <c r="AC478" i="7" s="1"/>
  <c r="DT479" i="7"/>
  <c r="AB479" i="7" s="1"/>
  <c r="DT480" i="7"/>
  <c r="AD480" i="7" s="1"/>
  <c r="DT481" i="7"/>
  <c r="AC481" i="7" s="1"/>
  <c r="DT482" i="7"/>
  <c r="AB482" i="7" s="1"/>
  <c r="DT483" i="7"/>
  <c r="AD483" i="7" s="1"/>
  <c r="DT484" i="7"/>
  <c r="AD484" i="7" s="1"/>
  <c r="DT485" i="7"/>
  <c r="AB485" i="7" s="1"/>
  <c r="DT486" i="7"/>
  <c r="AC486" i="7" s="1"/>
  <c r="DT487" i="7"/>
  <c r="AC487" i="7" s="1"/>
  <c r="DT488" i="7"/>
  <c r="AB488" i="7" s="1"/>
  <c r="DT489" i="7"/>
  <c r="AC489" i="7" s="1"/>
  <c r="DT490" i="7"/>
  <c r="AB490" i="7" s="1"/>
  <c r="DT491" i="7"/>
  <c r="AD491" i="7" s="1"/>
  <c r="DT492" i="7"/>
  <c r="AC492" i="7" s="1"/>
  <c r="DT493" i="7"/>
  <c r="AB493" i="7" s="1"/>
  <c r="DT494" i="7"/>
  <c r="AC494" i="7" s="1"/>
  <c r="DT495" i="7"/>
  <c r="AB495" i="7" s="1"/>
  <c r="DT496" i="7"/>
  <c r="AD496" i="7" s="1"/>
  <c r="DT497" i="7"/>
  <c r="AC497" i="7" s="1"/>
  <c r="DT498" i="7"/>
  <c r="AB498" i="7" s="1"/>
  <c r="DT499" i="7"/>
  <c r="AD499" i="7" s="1"/>
  <c r="DT500" i="7"/>
  <c r="AC500" i="7" s="1"/>
  <c r="DT501" i="7"/>
  <c r="AB501" i="7" s="1"/>
  <c r="DT502" i="7"/>
  <c r="AC502" i="7" s="1"/>
  <c r="DT503" i="7"/>
  <c r="AB503" i="7" s="1"/>
  <c r="DT504" i="7"/>
  <c r="AD504" i="7" s="1"/>
  <c r="DT505" i="7"/>
  <c r="AB505" i="7" s="1"/>
  <c r="DT506" i="7"/>
  <c r="AB506" i="7" s="1"/>
  <c r="DT507" i="7"/>
  <c r="AD507" i="7" s="1"/>
  <c r="DT508" i="7"/>
  <c r="AC508" i="7" s="1"/>
  <c r="DT509" i="7"/>
  <c r="AB509" i="7" s="1"/>
  <c r="B6" i="6"/>
  <c r="B9" i="6"/>
  <c r="B10" i="6"/>
  <c r="B14" i="6"/>
  <c r="B17" i="6"/>
  <c r="B18" i="6"/>
  <c r="B22" i="6"/>
  <c r="B25" i="6"/>
  <c r="B26" i="6"/>
  <c r="B30" i="6"/>
  <c r="B33" i="6"/>
  <c r="B4" i="6"/>
  <c r="B2" i="6"/>
  <c r="B7" i="6" s="1"/>
  <c r="BS16" i="7"/>
  <c r="CN16" i="7" s="1"/>
  <c r="BT16" i="7"/>
  <c r="CO16" i="7" s="1"/>
  <c r="BU16" i="7"/>
  <c r="CP16" i="7" s="1"/>
  <c r="BV16" i="7"/>
  <c r="CQ16" i="7" s="1"/>
  <c r="BZ16" i="7"/>
  <c r="CU16" i="7" s="1"/>
  <c r="CA16" i="7"/>
  <c r="CV16" i="7" s="1"/>
  <c r="CB16" i="7"/>
  <c r="CW16" i="7" s="1"/>
  <c r="CC16" i="7"/>
  <c r="CX16" i="7" s="1"/>
  <c r="CD16" i="7"/>
  <c r="CY16" i="7" s="1"/>
  <c r="CH16" i="7"/>
  <c r="DC16" i="7" s="1"/>
  <c r="CI16" i="7"/>
  <c r="DD16" i="7" s="1"/>
  <c r="CJ16" i="7"/>
  <c r="DE16" i="7" s="1"/>
  <c r="CM16" i="7"/>
  <c r="DH16" i="7" s="1"/>
  <c r="BN15" i="7"/>
  <c r="D2" i="6"/>
  <c r="DS15" i="7" s="1"/>
  <c r="C2"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5" i="5"/>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D5" i="5"/>
  <c r="E5" i="5"/>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I5" i="5"/>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J5" i="5"/>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K5" i="5"/>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L5" i="5"/>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M5" i="5"/>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N5" i="5"/>
  <c r="N6" i="5" s="1"/>
  <c r="N7" i="5" s="1"/>
  <c r="N8" i="5" s="1"/>
  <c r="N9" i="5" s="1"/>
  <c r="N10" i="5" s="1"/>
  <c r="N11" i="5" s="1"/>
  <c r="N12" i="5" s="1"/>
  <c r="N13" i="5" s="1"/>
  <c r="N14" i="5" s="1"/>
  <c r="N15" i="5" s="1"/>
  <c r="N16" i="5" s="1"/>
  <c r="N17" i="5" s="1"/>
  <c r="N18" i="5" s="1"/>
  <c r="N19" i="5" s="1"/>
  <c r="N20" i="5" s="1"/>
  <c r="N21" i="5" s="1"/>
  <c r="N22" i="5" s="1"/>
  <c r="N23" i="5" s="1"/>
  <c r="N24" i="5" s="1"/>
  <c r="N25" i="5" s="1"/>
  <c r="N26" i="5" s="1"/>
  <c r="N27" i="5" s="1"/>
  <c r="N28" i="5" s="1"/>
  <c r="N29" i="5" s="1"/>
  <c r="N30" i="5" s="1"/>
  <c r="N31" i="5" s="1"/>
  <c r="N32" i="5" s="1"/>
  <c r="N33" i="5" s="1"/>
  <c r="O5" i="5"/>
  <c r="O6" i="5" s="1"/>
  <c r="O7" i="5" s="1"/>
  <c r="O8" i="5" s="1"/>
  <c r="O9" i="5" s="1"/>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P5" i="5"/>
  <c r="P6" i="5" s="1"/>
  <c r="P7" i="5" s="1"/>
  <c r="P8" i="5" s="1"/>
  <c r="P9" i="5" s="1"/>
  <c r="P10" i="5" s="1"/>
  <c r="P11" i="5" s="1"/>
  <c r="P12" i="5" s="1"/>
  <c r="P13" i="5" s="1"/>
  <c r="P14" i="5" s="1"/>
  <c r="P15" i="5" s="1"/>
  <c r="P16" i="5" s="1"/>
  <c r="P17" i="5" s="1"/>
  <c r="P18" i="5" s="1"/>
  <c r="P19" i="5" s="1"/>
  <c r="P20" i="5" s="1"/>
  <c r="Q5" i="5"/>
  <c r="R5" i="5"/>
  <c r="R6" i="5" s="1"/>
  <c r="R7" i="5" s="1"/>
  <c r="R8" i="5" s="1"/>
  <c r="R9" i="5" s="1"/>
  <c r="R10" i="5" s="1"/>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S5" i="5"/>
  <c r="S6" i="5" s="1"/>
  <c r="S7" i="5" s="1"/>
  <c r="S8" i="5" s="1"/>
  <c r="S9" i="5" s="1"/>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D6" i="5"/>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5" i="3"/>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I4" i="3"/>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J4" i="3"/>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K4" i="3"/>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L4" i="3"/>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M4" i="3"/>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N4" i="3"/>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P4" i="3"/>
  <c r="P5" i="3" s="1"/>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Q4" i="3"/>
  <c r="Q5" i="3" s="1"/>
  <c r="Q6" i="3" s="1"/>
  <c r="Q7" i="3" s="1"/>
  <c r="Q8" i="3" s="1"/>
  <c r="Q9" i="3" s="1"/>
  <c r="Q10" i="3" s="1"/>
  <c r="Q11" i="3" s="1"/>
  <c r="Q12" i="3" s="1"/>
  <c r="Q13" i="3" s="1"/>
  <c r="Q14" i="3" s="1"/>
  <c r="Q15" i="3" s="1"/>
  <c r="Q16" i="3" s="1"/>
  <c r="Q17" i="3" s="1"/>
  <c r="Q18" i="3" s="1"/>
  <c r="Q19" i="3" s="1"/>
  <c r="Q20" i="3" s="1"/>
  <c r="Q21" i="3" s="1"/>
  <c r="Q22" i="3" s="1"/>
  <c r="Q23" i="3" s="1"/>
  <c r="Q24" i="3" s="1"/>
  <c r="Q25" i="3" s="1"/>
  <c r="Q26" i="3" s="1"/>
  <c r="Q27" i="3" s="1"/>
  <c r="Q28" i="3" s="1"/>
  <c r="Q29" i="3" s="1"/>
  <c r="Q30" i="3" s="1"/>
  <c r="Q31" i="3" s="1"/>
  <c r="Q32" i="3" s="1"/>
  <c r="R4" i="3"/>
  <c r="R5" i="3" s="1"/>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S4" i="3"/>
  <c r="S5" i="3" s="1"/>
  <c r="S6" i="3" s="1"/>
  <c r="S7" i="3" s="1"/>
  <c r="S8" i="3" s="1"/>
  <c r="S9" i="3" s="1"/>
  <c r="S10" i="3" s="1"/>
  <c r="S11" i="3" s="1"/>
  <c r="S12" i="3" s="1"/>
  <c r="S13" i="3" s="1"/>
  <c r="S14" i="3" s="1"/>
  <c r="S15" i="3" s="1"/>
  <c r="S16" i="3" s="1"/>
  <c r="S17" i="3" s="1"/>
  <c r="S18" i="3" s="1"/>
  <c r="S19" i="3" s="1"/>
  <c r="S20" i="3" s="1"/>
  <c r="S21" i="3" s="1"/>
  <c r="S22" i="3" s="1"/>
  <c r="S23" i="3" s="1"/>
  <c r="S24" i="3" s="1"/>
  <c r="S25" i="3" s="1"/>
  <c r="S26" i="3" s="1"/>
  <c r="S27" i="3" s="1"/>
  <c r="S28" i="3" s="1"/>
  <c r="S29" i="3" s="1"/>
  <c r="S30" i="3" s="1"/>
  <c r="S31" i="3" s="1"/>
  <c r="S32" i="3" s="1"/>
  <c r="V4" i="3"/>
  <c r="V5" i="3" s="1"/>
  <c r="V6" i="3" s="1"/>
  <c r="V7" i="3" s="1"/>
  <c r="V8" i="3" s="1"/>
  <c r="V9" i="3" s="1"/>
  <c r="V10" i="3" s="1"/>
  <c r="V11" i="3" s="1"/>
  <c r="V12" i="3" s="1"/>
  <c r="V13" i="3" s="1"/>
  <c r="V14" i="3" s="1"/>
  <c r="V15" i="3" s="1"/>
  <c r="V16" i="3" s="1"/>
  <c r="V17" i="3" s="1"/>
  <c r="V18" i="3" s="1"/>
  <c r="V19" i="3" s="1"/>
  <c r="V20" i="3" s="1"/>
  <c r="V21" i="3" s="1"/>
  <c r="V22" i="3" s="1"/>
  <c r="V23" i="3" s="1"/>
  <c r="V24" i="3" s="1"/>
  <c r="V25" i="3" s="1"/>
  <c r="V26" i="3" s="1"/>
  <c r="V27" i="3" s="1"/>
  <c r="V28" i="3" s="1"/>
  <c r="V29" i="3" s="1"/>
  <c r="V30" i="3" s="1"/>
  <c r="V31" i="3" s="1"/>
  <c r="V32" i="3" s="1"/>
  <c r="B4" i="3"/>
  <c r="C5" i="4"/>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J5" i="4"/>
  <c r="J6" i="4" s="1"/>
  <c r="J7" i="4" s="1"/>
  <c r="J8" i="4" s="1"/>
  <c r="R5" i="4"/>
  <c r="R6" i="4" s="1"/>
  <c r="R7" i="4" s="1"/>
  <c r="R8" i="4" s="1"/>
  <c r="R9" i="4" s="1"/>
  <c r="R10" i="4" s="1"/>
  <c r="R11" i="4" s="1"/>
  <c r="R12" i="4" s="1"/>
  <c r="R13" i="4" s="1"/>
  <c r="R14" i="4" s="1"/>
  <c r="R15" i="4" s="1"/>
  <c r="R16" i="4" s="1"/>
  <c r="R17" i="4" s="1"/>
  <c r="R18" i="4" s="1"/>
  <c r="R19" i="4" s="1"/>
  <c r="R20" i="4" s="1"/>
  <c r="R21" i="4" s="1"/>
  <c r="R22" i="4" s="1"/>
  <c r="R23" i="4" s="1"/>
  <c r="R24" i="4" s="1"/>
  <c r="R25" i="4" s="1"/>
  <c r="R26" i="4" s="1"/>
  <c r="R27" i="4" s="1"/>
  <c r="R28" i="4" s="1"/>
  <c r="R29" i="4" s="1"/>
  <c r="R30" i="4" s="1"/>
  <c r="R31" i="4" s="1"/>
  <c r="R32" i="4" s="1"/>
  <c r="N8" i="4"/>
  <c r="N9" i="4" s="1"/>
  <c r="N10" i="4" s="1"/>
  <c r="N11" i="4" s="1"/>
  <c r="N12" i="4" s="1"/>
  <c r="N13" i="4" s="1"/>
  <c r="N14" i="4" s="1"/>
  <c r="N15" i="4" s="1"/>
  <c r="N16" i="4" s="1"/>
  <c r="N17" i="4" s="1"/>
  <c r="N18" i="4" s="1"/>
  <c r="N19" i="4" s="1"/>
  <c r="N20" i="4" s="1"/>
  <c r="N21" i="4" s="1"/>
  <c r="N22" i="4" s="1"/>
  <c r="N23" i="4" s="1"/>
  <c r="N24" i="4" s="1"/>
  <c r="N25" i="4" s="1"/>
  <c r="N26" i="4" s="1"/>
  <c r="N27" i="4" s="1"/>
  <c r="N28" i="4" s="1"/>
  <c r="N29" i="4" s="1"/>
  <c r="N30" i="4" s="1"/>
  <c r="N31" i="4" s="1"/>
  <c r="N32" i="4" s="1"/>
  <c r="J9" i="4"/>
  <c r="J10" i="4" s="1"/>
  <c r="J11" i="4" s="1"/>
  <c r="J12" i="4" s="1"/>
  <c r="J13" i="4" s="1"/>
  <c r="J14" i="4" s="1"/>
  <c r="J15" i="4"/>
  <c r="J16" i="4" s="1"/>
  <c r="J17" i="4" s="1"/>
  <c r="J18" i="4" s="1"/>
  <c r="J19" i="4" s="1"/>
  <c r="J20" i="4" s="1"/>
  <c r="J21" i="4" s="1"/>
  <c r="J22" i="4" s="1"/>
  <c r="J23" i="4" s="1"/>
  <c r="J24" i="4" s="1"/>
  <c r="J25" i="4" s="1"/>
  <c r="J26" i="4" s="1"/>
  <c r="J27" i="4" s="1"/>
  <c r="J28" i="4" s="1"/>
  <c r="J29" i="4" s="1"/>
  <c r="J30" i="4" s="1"/>
  <c r="J31" i="4" s="1"/>
  <c r="J32" i="4" s="1"/>
  <c r="C4" i="4"/>
  <c r="D4" i="4"/>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E4" i="4"/>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I4" i="4"/>
  <c r="I5" i="4" s="1"/>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J4" i="4"/>
  <c r="K4" i="4"/>
  <c r="K5" i="4" s="1"/>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L4" i="4"/>
  <c r="L5" i="4" s="1"/>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M4" i="4"/>
  <c r="M5" i="4" s="1"/>
  <c r="M6" i="4" s="1"/>
  <c r="M7" i="4" s="1"/>
  <c r="M8" i="4" s="1"/>
  <c r="M9" i="4" s="1"/>
  <c r="M10" i="4" s="1"/>
  <c r="M11" i="4" s="1"/>
  <c r="M12" i="4" s="1"/>
  <c r="M13" i="4" s="1"/>
  <c r="M14" i="4" s="1"/>
  <c r="M15" i="4" s="1"/>
  <c r="M16" i="4" s="1"/>
  <c r="M17" i="4" s="1"/>
  <c r="M18" i="4" s="1"/>
  <c r="M19" i="4" s="1"/>
  <c r="M20" i="4" s="1"/>
  <c r="M21" i="4" s="1"/>
  <c r="M22" i="4" s="1"/>
  <c r="M23" i="4" s="1"/>
  <c r="M24" i="4" s="1"/>
  <c r="M25" i="4" s="1"/>
  <c r="M26" i="4" s="1"/>
  <c r="M27" i="4" s="1"/>
  <c r="M28" i="4" s="1"/>
  <c r="M29" i="4" s="1"/>
  <c r="M30" i="4" s="1"/>
  <c r="M31" i="4" s="1"/>
  <c r="M32" i="4" s="1"/>
  <c r="N4" i="4"/>
  <c r="N5" i="4" s="1"/>
  <c r="N6" i="4" s="1"/>
  <c r="N7" i="4" s="1"/>
  <c r="O4" i="4"/>
  <c r="O5" i="4" s="1"/>
  <c r="O6" i="4" s="1"/>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P4" i="4"/>
  <c r="P5" i="4" s="1"/>
  <c r="P6" i="4" s="1"/>
  <c r="P7" i="4" s="1"/>
  <c r="P8" i="4" s="1"/>
  <c r="P9" i="4" s="1"/>
  <c r="P10" i="4" s="1"/>
  <c r="P11" i="4" s="1"/>
  <c r="P12" i="4" s="1"/>
  <c r="P13" i="4" s="1"/>
  <c r="P14" i="4" s="1"/>
  <c r="P15" i="4" s="1"/>
  <c r="P16" i="4" s="1"/>
  <c r="P17" i="4" s="1"/>
  <c r="P18" i="4" s="1"/>
  <c r="P19" i="4" s="1"/>
  <c r="P20" i="4" s="1"/>
  <c r="P21" i="4" s="1"/>
  <c r="P22" i="4" s="1"/>
  <c r="P23" i="4" s="1"/>
  <c r="P24" i="4" s="1"/>
  <c r="P25" i="4" s="1"/>
  <c r="P26" i="4" s="1"/>
  <c r="P27" i="4" s="1"/>
  <c r="P28" i="4" s="1"/>
  <c r="P29" i="4" s="1"/>
  <c r="P30" i="4" s="1"/>
  <c r="P31" i="4" s="1"/>
  <c r="P32" i="4" s="1"/>
  <c r="Q4" i="4"/>
  <c r="Q5" i="4" s="1"/>
  <c r="Q6" i="4" s="1"/>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R4" i="4"/>
  <c r="S4" i="4"/>
  <c r="S5" i="4" s="1"/>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V4" i="4"/>
  <c r="V5" i="4" s="1"/>
  <c r="V6" i="4" s="1"/>
  <c r="V7" i="4" s="1"/>
  <c r="V8" i="4" s="1"/>
  <c r="V9" i="4" s="1"/>
  <c r="V10" i="4" s="1"/>
  <c r="V11" i="4" s="1"/>
  <c r="V12" i="4" s="1"/>
  <c r="V13" i="4" s="1"/>
  <c r="V14" i="4" s="1"/>
  <c r="V15" i="4" s="1"/>
  <c r="V16" i="4" s="1"/>
  <c r="V17" i="4" s="1"/>
  <c r="V18" i="4" s="1"/>
  <c r="V19" i="4" s="1"/>
  <c r="V20" i="4" s="1"/>
  <c r="V21" i="4" s="1"/>
  <c r="V22" i="4" s="1"/>
  <c r="V23" i="4" s="1"/>
  <c r="V24" i="4" s="1"/>
  <c r="V25" i="4" s="1"/>
  <c r="V26" i="4" s="1"/>
  <c r="V27" i="4" s="1"/>
  <c r="V28" i="4" s="1"/>
  <c r="V29" i="4" s="1"/>
  <c r="V30" i="4" s="1"/>
  <c r="V31" i="4" s="1"/>
  <c r="V32" i="4" s="1"/>
  <c r="B4" i="4"/>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O5" i="2"/>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S5" i="2"/>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S32" i="2" s="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D4" i="2"/>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E4"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I4" i="2"/>
  <c r="I5" i="2" s="1"/>
  <c r="I6" i="2" s="1"/>
  <c r="I7" i="2" s="1"/>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J4" i="2"/>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L4" i="2"/>
  <c r="L5" i="2" s="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M4" i="2"/>
  <c r="M5" i="2" s="1"/>
  <c r="M6" i="2" s="1"/>
  <c r="M7" i="2" s="1"/>
  <c r="M8" i="2" s="1"/>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N4" i="2"/>
  <c r="N5" i="2" s="1"/>
  <c r="N6" i="2" s="1"/>
  <c r="N7" i="2" s="1"/>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O4" i="2"/>
  <c r="P4" i="2"/>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Q4" i="2"/>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R4" i="2"/>
  <c r="R5" i="2" s="1"/>
  <c r="R6" i="2" s="1"/>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S4"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AB15" i="7"/>
  <c r="S4" i="1"/>
  <c r="AB202" i="7"/>
  <c r="AD254" i="7"/>
  <c r="AD186" i="7"/>
  <c r="AD263" i="7"/>
  <c r="AD259" i="7"/>
  <c r="AD255" i="7"/>
  <c r="AD253" i="7"/>
  <c r="AD251" i="7"/>
  <c r="AD247" i="7"/>
  <c r="AD231" i="7"/>
  <c r="AD227" i="7"/>
  <c r="AD187" i="7"/>
  <c r="AD183" i="7"/>
  <c r="AD179" i="7"/>
  <c r="AD175" i="7"/>
  <c r="AD171" i="7"/>
  <c r="AN16" i="7" l="1"/>
  <c r="AO16" i="7"/>
  <c r="AM16" i="7"/>
  <c r="AD129" i="7"/>
  <c r="AD233" i="7"/>
  <c r="AD133" i="7"/>
  <c r="AD221" i="7"/>
  <c r="AD165" i="7"/>
  <c r="AD181" i="7"/>
  <c r="AD157" i="7"/>
  <c r="AD173" i="7"/>
  <c r="AD225" i="7"/>
  <c r="AD245" i="7"/>
  <c r="AD277" i="7"/>
  <c r="AD161" i="7"/>
  <c r="AD289" i="7"/>
  <c r="AD209" i="7"/>
  <c r="AD261" i="7"/>
  <c r="AD361" i="7"/>
  <c r="EN16" i="7"/>
  <c r="AE488" i="7"/>
  <c r="AE468" i="7"/>
  <c r="AE428" i="7"/>
  <c r="AE412" i="7"/>
  <c r="AE396" i="7"/>
  <c r="AE364" i="7"/>
  <c r="AE348" i="7"/>
  <c r="AE332" i="7"/>
  <c r="AE300" i="7"/>
  <c r="AE284" i="7"/>
  <c r="AE268" i="7"/>
  <c r="AE232" i="7"/>
  <c r="AE228" i="7"/>
  <c r="AE224" i="7"/>
  <c r="AE208" i="7"/>
  <c r="AE140" i="7"/>
  <c r="AE202" i="7"/>
  <c r="EO16" i="7"/>
  <c r="EB16" i="7"/>
  <c r="EF16" i="7"/>
  <c r="EC16" i="7"/>
  <c r="EA16" i="7"/>
  <c r="DX16" i="7"/>
  <c r="DZ16" i="7"/>
  <c r="DW16" i="7"/>
  <c r="AE503" i="7"/>
  <c r="AE495" i="7"/>
  <c r="AE479" i="7"/>
  <c r="AE471" i="7"/>
  <c r="AE463" i="7"/>
  <c r="AE459" i="7"/>
  <c r="AE455" i="7"/>
  <c r="AE451" i="7"/>
  <c r="AE447" i="7"/>
  <c r="AE443" i="7"/>
  <c r="AE439" i="7"/>
  <c r="AE435" i="7"/>
  <c r="AE427" i="7"/>
  <c r="AE419" i="7"/>
  <c r="AE407" i="7"/>
  <c r="AE403" i="7"/>
  <c r="AE399" i="7"/>
  <c r="AE395" i="7"/>
  <c r="AE391" i="7"/>
  <c r="AE387" i="7"/>
  <c r="AE379" i="7"/>
  <c r="AE351" i="7"/>
  <c r="AE343" i="7"/>
  <c r="AE339" i="7"/>
  <c r="AE331" i="7"/>
  <c r="AE323" i="7"/>
  <c r="AE303" i="7"/>
  <c r="AE295" i="7"/>
  <c r="AE287" i="7"/>
  <c r="AE283" i="7"/>
  <c r="AE275" i="7"/>
  <c r="AE267" i="7"/>
  <c r="AE243" i="7"/>
  <c r="AE239" i="7"/>
  <c r="AE235" i="7"/>
  <c r="AE219" i="7"/>
  <c r="AE215" i="7"/>
  <c r="AE211" i="7"/>
  <c r="AE207" i="7"/>
  <c r="AE203" i="7"/>
  <c r="AE191" i="7"/>
  <c r="AE163" i="7"/>
  <c r="AE155" i="7"/>
  <c r="AE147" i="7"/>
  <c r="AE143" i="7"/>
  <c r="AE131" i="7"/>
  <c r="AE506" i="7"/>
  <c r="AE498" i="7"/>
  <c r="AE490" i="7"/>
  <c r="AE482" i="7"/>
  <c r="AE474" i="7"/>
  <c r="AE458" i="7"/>
  <c r="AE442" i="7"/>
  <c r="AE434" i="7"/>
  <c r="AE426" i="7"/>
  <c r="AE418" i="7"/>
  <c r="AE410" i="7"/>
  <c r="AE402" i="7"/>
  <c r="AE394" i="7"/>
  <c r="AE386" i="7"/>
  <c r="AE378" i="7"/>
  <c r="AE370" i="7"/>
  <c r="AE362" i="7"/>
  <c r="AE354" i="7"/>
  <c r="AE346" i="7"/>
  <c r="AE338" i="7"/>
  <c r="AE330" i="7"/>
  <c r="AE322" i="7"/>
  <c r="AE314" i="7"/>
  <c r="AE306" i="7"/>
  <c r="AE298" i="7"/>
  <c r="AE290" i="7"/>
  <c r="AE282" i="7"/>
  <c r="AE274" i="7"/>
  <c r="AE266" i="7"/>
  <c r="AE262" i="7"/>
  <c r="AE258" i="7"/>
  <c r="AE254" i="7"/>
  <c r="AE250" i="7"/>
  <c r="AE238" i="7"/>
  <c r="AE222" i="7"/>
  <c r="AE214" i="7"/>
  <c r="AE206" i="7"/>
  <c r="AE198" i="7"/>
  <c r="AE190" i="7"/>
  <c r="AE186" i="7"/>
  <c r="AE182" i="7"/>
  <c r="AE178" i="7"/>
  <c r="AE174" i="7"/>
  <c r="AE170" i="7"/>
  <c r="AE162" i="7"/>
  <c r="AE154" i="7"/>
  <c r="AE130" i="7"/>
  <c r="AE509" i="7"/>
  <c r="AE505" i="7"/>
  <c r="AE501" i="7"/>
  <c r="AE493" i="7"/>
  <c r="AE485" i="7"/>
  <c r="AE477" i="7"/>
  <c r="AE469" i="7"/>
  <c r="AE453" i="7"/>
  <c r="AE437" i="7"/>
  <c r="AE433" i="7"/>
  <c r="AE425" i="7"/>
  <c r="AE397" i="7"/>
  <c r="AE385" i="7"/>
  <c r="AE377" i="7"/>
  <c r="AE369" i="7"/>
  <c r="AE357" i="7"/>
  <c r="AE349" i="7"/>
  <c r="AE341" i="7"/>
  <c r="AE337" i="7"/>
  <c r="AE329" i="7"/>
  <c r="AE313" i="7"/>
  <c r="AE301" i="7"/>
  <c r="AE293" i="7"/>
  <c r="AE285" i="7"/>
  <c r="AE281" i="7"/>
  <c r="AE273" i="7"/>
  <c r="AE265" i="7"/>
  <c r="AE249" i="7"/>
  <c r="AE229" i="7"/>
  <c r="AE205" i="7"/>
  <c r="AE193" i="7"/>
  <c r="AE189" i="7"/>
  <c r="AE161" i="7"/>
  <c r="AE145" i="7"/>
  <c r="AE141" i="7"/>
  <c r="DV16" i="7"/>
  <c r="BX17" i="7"/>
  <c r="CS17" i="7" s="1"/>
  <c r="BW17" i="7"/>
  <c r="CR17" i="7" s="1"/>
  <c r="AC15" i="7"/>
  <c r="L16" i="7"/>
  <c r="AB294" i="7"/>
  <c r="AC418" i="7"/>
  <c r="DS16" i="7"/>
  <c r="AC202" i="7"/>
  <c r="AB138" i="7"/>
  <c r="B29" i="6"/>
  <c r="B21" i="6"/>
  <c r="B13" i="6"/>
  <c r="B5" i="6"/>
  <c r="AD321" i="7"/>
  <c r="AD273" i="7"/>
  <c r="AD325" i="7"/>
  <c r="AD224" i="7"/>
  <c r="AD305" i="7"/>
  <c r="AD369" i="7"/>
  <c r="AD385" i="7"/>
  <c r="AD293" i="7"/>
  <c r="AD341" i="7"/>
  <c r="AD409" i="7"/>
  <c r="AD232" i="7"/>
  <c r="AC148" i="7"/>
  <c r="AB188" i="7"/>
  <c r="AB164" i="7"/>
  <c r="AD417" i="7"/>
  <c r="AD437" i="7"/>
  <c r="AD309" i="7"/>
  <c r="AD345" i="7"/>
  <c r="AD389" i="7"/>
  <c r="AD449" i="7"/>
  <c r="AB334" i="7"/>
  <c r="AD150" i="7"/>
  <c r="AC154" i="7"/>
  <c r="AC222" i="7"/>
  <c r="AB270" i="7"/>
  <c r="AB132" i="7"/>
  <c r="AD194" i="7"/>
  <c r="AD213" i="7"/>
  <c r="AD237" i="7"/>
  <c r="AD249" i="7"/>
  <c r="AD257" i="7"/>
  <c r="AD265" i="7"/>
  <c r="AD281" i="7"/>
  <c r="AD297" i="7"/>
  <c r="AD313" i="7"/>
  <c r="AD329" i="7"/>
  <c r="AD353" i="7"/>
  <c r="AD373" i="7"/>
  <c r="AD393" i="7"/>
  <c r="AD421" i="7"/>
  <c r="AD481" i="7"/>
  <c r="AB172" i="7"/>
  <c r="AD153" i="7"/>
  <c r="AD169" i="7"/>
  <c r="AD177" i="7"/>
  <c r="AD185" i="7"/>
  <c r="AD217" i="7"/>
  <c r="AD229" i="7"/>
  <c r="AD241" i="7"/>
  <c r="AD269" i="7"/>
  <c r="AD285" i="7"/>
  <c r="AD301" i="7"/>
  <c r="AD317" i="7"/>
  <c r="AD337" i="7"/>
  <c r="AD357" i="7"/>
  <c r="AD377" i="7"/>
  <c r="AD401" i="7"/>
  <c r="AD433" i="7"/>
  <c r="AD497" i="7"/>
  <c r="AB180" i="7"/>
  <c r="AB260" i="7"/>
  <c r="AB156" i="7"/>
  <c r="AB508" i="7"/>
  <c r="CA17" i="7"/>
  <c r="CV17" i="7" s="1"/>
  <c r="CD17" i="7"/>
  <c r="CY17" i="7" s="1"/>
  <c r="AC162" i="7"/>
  <c r="AD174" i="7"/>
  <c r="AC206" i="7"/>
  <c r="AC238" i="7"/>
  <c r="AD258" i="7"/>
  <c r="AC274" i="7"/>
  <c r="AB302" i="7"/>
  <c r="AB342" i="7"/>
  <c r="AC490" i="7"/>
  <c r="AD142" i="7"/>
  <c r="AB194" i="7"/>
  <c r="AD206" i="7"/>
  <c r="AB134" i="7"/>
  <c r="AB166" i="7"/>
  <c r="AD178" i="7"/>
  <c r="AC190" i="7"/>
  <c r="AC214" i="7"/>
  <c r="AB226" i="7"/>
  <c r="AB242" i="7"/>
  <c r="AC282" i="7"/>
  <c r="AB310" i="7"/>
  <c r="AC354" i="7"/>
  <c r="AD146" i="7"/>
  <c r="AD198" i="7"/>
  <c r="AD405" i="7"/>
  <c r="AD425" i="7"/>
  <c r="AD453" i="7"/>
  <c r="AD170" i="7"/>
  <c r="AC198" i="7"/>
  <c r="AB218" i="7"/>
  <c r="AB230" i="7"/>
  <c r="AD246" i="7"/>
  <c r="AC266" i="7"/>
  <c r="AC290" i="7"/>
  <c r="AC322" i="7"/>
  <c r="AC370" i="7"/>
  <c r="AD138" i="7"/>
  <c r="AB146" i="7"/>
  <c r="AD190" i="7"/>
  <c r="AC130" i="7"/>
  <c r="AB158" i="7"/>
  <c r="AD182" i="7"/>
  <c r="AB210" i="7"/>
  <c r="AB234" i="7"/>
  <c r="AD250" i="7"/>
  <c r="AD262" i="7"/>
  <c r="AB278" i="7"/>
  <c r="AC298" i="7"/>
  <c r="AC314" i="7"/>
  <c r="AC338" i="7"/>
  <c r="AB358" i="7"/>
  <c r="AC458" i="7"/>
  <c r="AB142" i="7"/>
  <c r="AB150" i="7"/>
  <c r="AB462" i="7"/>
  <c r="AC306" i="7"/>
  <c r="AB326" i="7"/>
  <c r="AC346" i="7"/>
  <c r="AB374" i="7"/>
  <c r="AB486" i="7"/>
  <c r="C8" i="1"/>
  <c r="C12" i="1"/>
  <c r="C7" i="1"/>
  <c r="C5" i="1"/>
  <c r="C9" i="1"/>
  <c r="C13" i="1"/>
  <c r="C6" i="1"/>
  <c r="C10" i="1"/>
  <c r="C14" i="1"/>
  <c r="C15" i="1" s="1"/>
  <c r="C16" i="1" s="1"/>
  <c r="C17" i="1" s="1"/>
  <c r="C18" i="1" s="1"/>
  <c r="C19" i="1" s="1"/>
  <c r="C20" i="1" s="1"/>
  <c r="C21" i="1" s="1"/>
  <c r="C22" i="1" s="1"/>
  <c r="C23" i="1" s="1"/>
  <c r="C24" i="1" s="1"/>
  <c r="C25" i="1" s="1"/>
  <c r="C26" i="1" s="1"/>
  <c r="C27" i="1" s="1"/>
  <c r="C28" i="1" s="1"/>
  <c r="C29" i="1" s="1"/>
  <c r="C11" i="1"/>
  <c r="S6" i="1"/>
  <c r="S10" i="1"/>
  <c r="S14" i="1"/>
  <c r="S11" i="1"/>
  <c r="S5" i="1"/>
  <c r="S9" i="1"/>
  <c r="S13" i="1"/>
  <c r="S7" i="1"/>
  <c r="S8" i="1"/>
  <c r="S12" i="1"/>
  <c r="AC136" i="7"/>
  <c r="AC128" i="7"/>
  <c r="AD140" i="7"/>
  <c r="AC152" i="7"/>
  <c r="AC168" i="7"/>
  <c r="AD164" i="7"/>
  <c r="AC140" i="7"/>
  <c r="AD156" i="7"/>
  <c r="AB176" i="7"/>
  <c r="AB184" i="7"/>
  <c r="AD208" i="7"/>
  <c r="AD228" i="7"/>
  <c r="AB128" i="7"/>
  <c r="AB136" i="7"/>
  <c r="AB144" i="7"/>
  <c r="AB148" i="7"/>
  <c r="AB152" i="7"/>
  <c r="AB160" i="7"/>
  <c r="AB168" i="7"/>
  <c r="AC272" i="7"/>
  <c r="AD216" i="7"/>
  <c r="AD144" i="7"/>
  <c r="AC160" i="7"/>
  <c r="AB192" i="7"/>
  <c r="AD132" i="7"/>
  <c r="AB276" i="7"/>
  <c r="AB372" i="7"/>
  <c r="AD268" i="7"/>
  <c r="AB220" i="7"/>
  <c r="AC376" i="7"/>
  <c r="AD284" i="7"/>
  <c r="AB320" i="7"/>
  <c r="AB420" i="7"/>
  <c r="AC224" i="7"/>
  <c r="AC328" i="7"/>
  <c r="AC424" i="7"/>
  <c r="AB292" i="7"/>
  <c r="AC348" i="7"/>
  <c r="AC396" i="7"/>
  <c r="AB444" i="7"/>
  <c r="AD348" i="7"/>
  <c r="AC296" i="7"/>
  <c r="AC400" i="7"/>
  <c r="AC448" i="7"/>
  <c r="AB252" i="7"/>
  <c r="AD324" i="7"/>
  <c r="AD396" i="7"/>
  <c r="AC212" i="7"/>
  <c r="AB240" i="7"/>
  <c r="AC284" i="7"/>
  <c r="AB304" i="7"/>
  <c r="AC336" i="7"/>
  <c r="AC360" i="7"/>
  <c r="AC384" i="7"/>
  <c r="AB408" i="7"/>
  <c r="AC432" i="7"/>
  <c r="AC468" i="7"/>
  <c r="AD364" i="7"/>
  <c r="AD412" i="7"/>
  <c r="AB212" i="7"/>
  <c r="AC244" i="7"/>
  <c r="AB308" i="7"/>
  <c r="AB336" i="7"/>
  <c r="AC364" i="7"/>
  <c r="AB384" i="7"/>
  <c r="AC412" i="7"/>
  <c r="AB436" i="7"/>
  <c r="AB476" i="7"/>
  <c r="AB248" i="7"/>
  <c r="AB256" i="7"/>
  <c r="AB264" i="7"/>
  <c r="AD300" i="7"/>
  <c r="AD356" i="7"/>
  <c r="AD200" i="7"/>
  <c r="AD204" i="7"/>
  <c r="AC208" i="7"/>
  <c r="AB216" i="7"/>
  <c r="AC268" i="7"/>
  <c r="AC280" i="7"/>
  <c r="AC288" i="7"/>
  <c r="AB296" i="7"/>
  <c r="AB316" i="7"/>
  <c r="AB328" i="7"/>
  <c r="AB340" i="7"/>
  <c r="AB352" i="7"/>
  <c r="AB376" i="7"/>
  <c r="AC392" i="7"/>
  <c r="AB400" i="7"/>
  <c r="AC428" i="7"/>
  <c r="AC440" i="7"/>
  <c r="AB448" i="7"/>
  <c r="AC484" i="7"/>
  <c r="AD240" i="7"/>
  <c r="AD292" i="7"/>
  <c r="AD316" i="7"/>
  <c r="AD332" i="7"/>
  <c r="AD388" i="7"/>
  <c r="AD428" i="7"/>
  <c r="AB196" i="7"/>
  <c r="AB200" i="7"/>
  <c r="AB204" i="7"/>
  <c r="AC220" i="7"/>
  <c r="AB236" i="7"/>
  <c r="AB280" i="7"/>
  <c r="AB288" i="7"/>
  <c r="AC300" i="7"/>
  <c r="AC320" i="7"/>
  <c r="AC332" i="7"/>
  <c r="AB344" i="7"/>
  <c r="AB356" i="7"/>
  <c r="AC368" i="7"/>
  <c r="AB380" i="7"/>
  <c r="AB392" i="7"/>
  <c r="AB404" i="7"/>
  <c r="AB416" i="7"/>
  <c r="AB440" i="7"/>
  <c r="AB460" i="7"/>
  <c r="AB500" i="7"/>
  <c r="AD457" i="7"/>
  <c r="AB398" i="7"/>
  <c r="AD468" i="7"/>
  <c r="AD500" i="7"/>
  <c r="AC456" i="7"/>
  <c r="AB484" i="7"/>
  <c r="AD441" i="7"/>
  <c r="AD473" i="7"/>
  <c r="AC386" i="7"/>
  <c r="AC402" i="7"/>
  <c r="AB430" i="7"/>
  <c r="AD476" i="7"/>
  <c r="AB456" i="7"/>
  <c r="AC472" i="7"/>
  <c r="AD454" i="7"/>
  <c r="AC279" i="7"/>
  <c r="AC228" i="7"/>
  <c r="AC145" i="7"/>
  <c r="AD493" i="7"/>
  <c r="AC442" i="7"/>
  <c r="AB502" i="7"/>
  <c r="AC236" i="7"/>
  <c r="AB244" i="7"/>
  <c r="AB272" i="7"/>
  <c r="AD15" i="7"/>
  <c r="AD218" i="7"/>
  <c r="AC211" i="7"/>
  <c r="AD282" i="7"/>
  <c r="AC135" i="7"/>
  <c r="AD380" i="7"/>
  <c r="AD420" i="7"/>
  <c r="AD444" i="7"/>
  <c r="AB470" i="7"/>
  <c r="AB494" i="7"/>
  <c r="AB324" i="7"/>
  <c r="AC344" i="7"/>
  <c r="AC352" i="7"/>
  <c r="AB360" i="7"/>
  <c r="AB368" i="7"/>
  <c r="AB388" i="7"/>
  <c r="AC408" i="7"/>
  <c r="AC416" i="7"/>
  <c r="AB424" i="7"/>
  <c r="AB432" i="7"/>
  <c r="AB452" i="7"/>
  <c r="AD314" i="7"/>
  <c r="AC311" i="7"/>
  <c r="AC226" i="7"/>
  <c r="AB209" i="7"/>
  <c r="AD166" i="7"/>
  <c r="AD465" i="7"/>
  <c r="AD485" i="7"/>
  <c r="AD501" i="7"/>
  <c r="AC378" i="7"/>
  <c r="AB390" i="7"/>
  <c r="AB406" i="7"/>
  <c r="AC434" i="7"/>
  <c r="AC450" i="7"/>
  <c r="AC466" i="7"/>
  <c r="AB478" i="7"/>
  <c r="AD492" i="7"/>
  <c r="AD508" i="7"/>
  <c r="AC312" i="7"/>
  <c r="AB492" i="7"/>
  <c r="AC504" i="7"/>
  <c r="AB241" i="7"/>
  <c r="AD234" i="7"/>
  <c r="AD158" i="7"/>
  <c r="AC151" i="7"/>
  <c r="AD469" i="7"/>
  <c r="AD489" i="7"/>
  <c r="AD505" i="7"/>
  <c r="AB366" i="7"/>
  <c r="AC410" i="7"/>
  <c r="AB422" i="7"/>
  <c r="AB438" i="7"/>
  <c r="AB454" i="7"/>
  <c r="AC482" i="7"/>
  <c r="AC304" i="7"/>
  <c r="AB312" i="7"/>
  <c r="AC496" i="7"/>
  <c r="AD486" i="7"/>
  <c r="AD298" i="7"/>
  <c r="AC295" i="7"/>
  <c r="AD266" i="7"/>
  <c r="AB259" i="7"/>
  <c r="AC199" i="7"/>
  <c r="CJ17" i="7"/>
  <c r="DE17" i="7" s="1"/>
  <c r="Q6" i="5"/>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P21" i="5"/>
  <c r="P22" i="5" s="1"/>
  <c r="P23" i="5" s="1"/>
  <c r="P24" i="5" s="1"/>
  <c r="P25" i="5" s="1"/>
  <c r="P26" i="5" s="1"/>
  <c r="P27" i="5" s="1"/>
  <c r="P28" i="5" s="1"/>
  <c r="P29" i="5" s="1"/>
  <c r="P30" i="5" s="1"/>
  <c r="P31" i="5" s="1"/>
  <c r="P32" i="5" s="1"/>
  <c r="P33" i="5" s="1"/>
  <c r="AD333" i="7"/>
  <c r="AD349" i="7"/>
  <c r="AD365" i="7"/>
  <c r="AD381" i="7"/>
  <c r="AD397" i="7"/>
  <c r="AD413" i="7"/>
  <c r="AD429" i="7"/>
  <c r="AD445" i="7"/>
  <c r="AD461" i="7"/>
  <c r="AD477" i="7"/>
  <c r="AD509" i="7"/>
  <c r="AD276" i="7"/>
  <c r="AB286" i="7"/>
  <c r="AD308" i="7"/>
  <c r="AB318" i="7"/>
  <c r="AC330" i="7"/>
  <c r="AD340" i="7"/>
  <c r="AB350" i="7"/>
  <c r="AC362" i="7"/>
  <c r="AD372" i="7"/>
  <c r="AB382" i="7"/>
  <c r="AC394" i="7"/>
  <c r="AD404" i="7"/>
  <c r="AB414" i="7"/>
  <c r="AC426" i="7"/>
  <c r="AD436" i="7"/>
  <c r="AB446" i="7"/>
  <c r="AD460" i="7"/>
  <c r="AC498" i="7"/>
  <c r="AD192" i="7"/>
  <c r="AD196" i="7"/>
  <c r="AC464" i="7"/>
  <c r="AC488" i="7"/>
  <c r="AD462" i="7"/>
  <c r="AD434" i="7"/>
  <c r="AC431" i="7"/>
  <c r="AD418" i="7"/>
  <c r="AC415" i="7"/>
  <c r="AD402" i="7"/>
  <c r="AC399" i="7"/>
  <c r="AD386" i="7"/>
  <c r="AC383" i="7"/>
  <c r="AD370" i="7"/>
  <c r="AC367" i="7"/>
  <c r="AD354" i="7"/>
  <c r="AC351" i="7"/>
  <c r="AD338" i="7"/>
  <c r="AC335" i="7"/>
  <c r="AD322" i="7"/>
  <c r="AC319" i="7"/>
  <c r="AD306" i="7"/>
  <c r="AC303" i="7"/>
  <c r="AD290" i="7"/>
  <c r="AC287" i="7"/>
  <c r="AD274" i="7"/>
  <c r="AC271" i="7"/>
  <c r="AC250" i="7"/>
  <c r="AC243" i="7"/>
  <c r="AC203" i="7"/>
  <c r="AC193" i="7"/>
  <c r="AC182" i="7"/>
  <c r="AB175" i="7"/>
  <c r="AB133" i="7"/>
  <c r="AD494" i="7"/>
  <c r="AD442" i="7"/>
  <c r="AC439" i="7"/>
  <c r="AD426" i="7"/>
  <c r="AC423" i="7"/>
  <c r="AD410" i="7"/>
  <c r="AC407" i="7"/>
  <c r="AD394" i="7"/>
  <c r="AC391" i="7"/>
  <c r="AD378" i="7"/>
  <c r="AC375" i="7"/>
  <c r="AD362" i="7"/>
  <c r="AD346" i="7"/>
  <c r="AC343" i="7"/>
  <c r="AD330" i="7"/>
  <c r="AC327" i="7"/>
  <c r="BJ15" i="7"/>
  <c r="AC366" i="7"/>
  <c r="AB167" i="7"/>
  <c r="AD452" i="7"/>
  <c r="AC474" i="7"/>
  <c r="AC506" i="7"/>
  <c r="AC480" i="7"/>
  <c r="AD478" i="7"/>
  <c r="AD446" i="7"/>
  <c r="AC443" i="7"/>
  <c r="AD438" i="7"/>
  <c r="AC435" i="7"/>
  <c r="AD430" i="7"/>
  <c r="AC427" i="7"/>
  <c r="AD422" i="7"/>
  <c r="AC419" i="7"/>
  <c r="AD414" i="7"/>
  <c r="AC411" i="7"/>
  <c r="AD406" i="7"/>
  <c r="AC403" i="7"/>
  <c r="AD398" i="7"/>
  <c r="AC395" i="7"/>
  <c r="AD390" i="7"/>
  <c r="AC387" i="7"/>
  <c r="AD382" i="7"/>
  <c r="AC379" i="7"/>
  <c r="AD374" i="7"/>
  <c r="AC371" i="7"/>
  <c r="AC363" i="7"/>
  <c r="AD358" i="7"/>
  <c r="AC355" i="7"/>
  <c r="AD350" i="7"/>
  <c r="AD342" i="7"/>
  <c r="AC339" i="7"/>
  <c r="AD334" i="7"/>
  <c r="AC331" i="7"/>
  <c r="AD326" i="7"/>
  <c r="AC323" i="7"/>
  <c r="AD318" i="7"/>
  <c r="AC315" i="7"/>
  <c r="AD310" i="7"/>
  <c r="AC307" i="7"/>
  <c r="AD302" i="7"/>
  <c r="AC299" i="7"/>
  <c r="AD294" i="7"/>
  <c r="AD286" i="7"/>
  <c r="AC283" i="7"/>
  <c r="AD278" i="7"/>
  <c r="AC275" i="7"/>
  <c r="AD270" i="7"/>
  <c r="AC267" i="7"/>
  <c r="AC258" i="7"/>
  <c r="AB251" i="7"/>
  <c r="AD242" i="7"/>
  <c r="AC219" i="7"/>
  <c r="AB217" i="7"/>
  <c r="AC159" i="7"/>
  <c r="AB157" i="7"/>
  <c r="AD134" i="7"/>
  <c r="AD145" i="7"/>
  <c r="AD502" i="7"/>
  <c r="AD470" i="7"/>
  <c r="AC235" i="7"/>
  <c r="AB233" i="7"/>
  <c r="AB227" i="7"/>
  <c r="AB225" i="7"/>
  <c r="AD210" i="7"/>
  <c r="AB183" i="7"/>
  <c r="AC174" i="7"/>
  <c r="AC167" i="7"/>
  <c r="AB165" i="7"/>
  <c r="AC139" i="7"/>
  <c r="AD403" i="7"/>
  <c r="AB315" i="7"/>
  <c r="AB371" i="7"/>
  <c r="AB499" i="7"/>
  <c r="AD488" i="7"/>
  <c r="AB450" i="7"/>
  <c r="AB246" i="7"/>
  <c r="AB137" i="7"/>
  <c r="AB464" i="7"/>
  <c r="AB472" i="7"/>
  <c r="AB480" i="7"/>
  <c r="AB496" i="7"/>
  <c r="AB504" i="7"/>
  <c r="AD506" i="7"/>
  <c r="AD490" i="7"/>
  <c r="AD474" i="7"/>
  <c r="AD458" i="7"/>
  <c r="AC264" i="7"/>
  <c r="AC262" i="7"/>
  <c r="AB255" i="7"/>
  <c r="AB253" i="7"/>
  <c r="AC248" i="7"/>
  <c r="AC239" i="7"/>
  <c r="AB237" i="7"/>
  <c r="AC230" i="7"/>
  <c r="AC223" i="7"/>
  <c r="AB221" i="7"/>
  <c r="AD214" i="7"/>
  <c r="AC207" i="7"/>
  <c r="AC201" i="7"/>
  <c r="AC195" i="7"/>
  <c r="AB187" i="7"/>
  <c r="AB185" i="7"/>
  <c r="AC180" i="7"/>
  <c r="AC178" i="7"/>
  <c r="AB171" i="7"/>
  <c r="AB169" i="7"/>
  <c r="AD162" i="7"/>
  <c r="AC155" i="7"/>
  <c r="AB153" i="7"/>
  <c r="AC147" i="7"/>
  <c r="AC131" i="7"/>
  <c r="AB129" i="7"/>
  <c r="AD471" i="7"/>
  <c r="AD443" i="7"/>
  <c r="AD239" i="7"/>
  <c r="AD191" i="7"/>
  <c r="AC161" i="7"/>
  <c r="AB466" i="7"/>
  <c r="AB423" i="7"/>
  <c r="AB383" i="7"/>
  <c r="AB327" i="7"/>
  <c r="AD303" i="7"/>
  <c r="AD215" i="7"/>
  <c r="AD498" i="7"/>
  <c r="AD482" i="7"/>
  <c r="AB263" i="7"/>
  <c r="AB261" i="7"/>
  <c r="AC256" i="7"/>
  <c r="AC254" i="7"/>
  <c r="AB247" i="7"/>
  <c r="AB245" i="7"/>
  <c r="AD238" i="7"/>
  <c r="AB231" i="7"/>
  <c r="AD222" i="7"/>
  <c r="AC215" i="7"/>
  <c r="AB213" i="7"/>
  <c r="AC191" i="7"/>
  <c r="AD188" i="7"/>
  <c r="AC186" i="7"/>
  <c r="AB179" i="7"/>
  <c r="AB177" i="7"/>
  <c r="AC172" i="7"/>
  <c r="AC170" i="7"/>
  <c r="AC163" i="7"/>
  <c r="AD154" i="7"/>
  <c r="AC143" i="7"/>
  <c r="AC137" i="7"/>
  <c r="AD130" i="7"/>
  <c r="AB491" i="7"/>
  <c r="AD459" i="7"/>
  <c r="AB271" i="7"/>
  <c r="AB201" i="7"/>
  <c r="N4" i="1"/>
  <c r="BN16" i="7"/>
  <c r="M4" i="1"/>
  <c r="BS17" i="7"/>
  <c r="CN17" i="7" s="1"/>
  <c r="BZ17" i="7"/>
  <c r="CU17" i="7" s="1"/>
  <c r="BV17" i="7"/>
  <c r="CQ17" i="7" s="1"/>
  <c r="CC17" i="7"/>
  <c r="CX17" i="7" s="1"/>
  <c r="CB17" i="7"/>
  <c r="CW17" i="7" s="1"/>
  <c r="CH17" i="7"/>
  <c r="DC17" i="7" s="1"/>
  <c r="BU17" i="7"/>
  <c r="CP17" i="7" s="1"/>
  <c r="D4" i="1"/>
  <c r="K4" i="1"/>
  <c r="P4" i="1"/>
  <c r="R4" i="1"/>
  <c r="E4" i="1"/>
  <c r="V4" i="1"/>
  <c r="Q4" i="1"/>
  <c r="J4" i="1"/>
  <c r="O4" i="1"/>
  <c r="B4" i="1"/>
  <c r="L4" i="1"/>
  <c r="D5" i="6"/>
  <c r="D6" i="6" s="1"/>
  <c r="D7" i="6" s="1"/>
  <c r="D8" i="6" s="1"/>
  <c r="D9" i="6" s="1"/>
  <c r="D10" i="6" s="1"/>
  <c r="D11" i="6" s="1"/>
  <c r="D12" i="6" s="1"/>
  <c r="D13" i="6" s="1"/>
  <c r="D14" i="6" s="1"/>
  <c r="D15" i="6" s="1"/>
  <c r="D16" i="6" s="1"/>
  <c r="D17" i="6" s="1"/>
  <c r="D18" i="6" s="1"/>
  <c r="D19" i="6" s="1"/>
  <c r="D20" i="6" s="1"/>
  <c r="D21" i="6" s="1"/>
  <c r="D22" i="6" s="1"/>
  <c r="D23" i="6" s="1"/>
  <c r="D24" i="6" s="1"/>
  <c r="D25" i="6" s="1"/>
  <c r="D26" i="6" s="1"/>
  <c r="D27" i="6" s="1"/>
  <c r="D28" i="6" s="1"/>
  <c r="D29" i="6" s="1"/>
  <c r="D30" i="6" s="1"/>
  <c r="D31" i="6" s="1"/>
  <c r="D32" i="6" s="1"/>
  <c r="D33" i="6" s="1"/>
  <c r="AC505" i="7"/>
  <c r="AC477" i="7"/>
  <c r="AC433" i="7"/>
  <c r="AC377" i="7"/>
  <c r="AC349" i="7"/>
  <c r="AC337" i="7"/>
  <c r="AC293" i="7"/>
  <c r="AC281" i="7"/>
  <c r="AC265" i="7"/>
  <c r="AD252" i="7"/>
  <c r="AC229" i="7"/>
  <c r="AB507" i="7"/>
  <c r="AC501" i="7"/>
  <c r="AD495" i="7"/>
  <c r="AC493" i="7"/>
  <c r="AB475" i="7"/>
  <c r="AD463" i="7"/>
  <c r="AC453" i="7"/>
  <c r="AD447" i="7"/>
  <c r="AC437" i="7"/>
  <c r="AD419" i="7"/>
  <c r="AB415" i="7"/>
  <c r="AC397" i="7"/>
  <c r="AD391" i="7"/>
  <c r="AD379" i="7"/>
  <c r="AB375" i="7"/>
  <c r="AC369" i="7"/>
  <c r="AC341" i="7"/>
  <c r="AD323" i="7"/>
  <c r="AB319" i="7"/>
  <c r="AC313" i="7"/>
  <c r="AB307" i="7"/>
  <c r="AC285" i="7"/>
  <c r="AD267" i="7"/>
  <c r="AD243" i="7"/>
  <c r="AD203" i="7"/>
  <c r="AB195" i="7"/>
  <c r="AD189" i="7"/>
  <c r="AD184" i="7"/>
  <c r="AD163" i="7"/>
  <c r="AB149" i="7"/>
  <c r="AD143" i="7"/>
  <c r="AB135" i="7"/>
  <c r="B32" i="6"/>
  <c r="B28" i="6"/>
  <c r="B24" i="6"/>
  <c r="B20" i="6"/>
  <c r="B16" i="6"/>
  <c r="B12" i="6"/>
  <c r="B8" i="6"/>
  <c r="AC507" i="7"/>
  <c r="AC503" i="7"/>
  <c r="AC499" i="7"/>
  <c r="AC495" i="7"/>
  <c r="AC491" i="7"/>
  <c r="AC483" i="7"/>
  <c r="AC479" i="7"/>
  <c r="AC475" i="7"/>
  <c r="AC471" i="7"/>
  <c r="AC463" i="7"/>
  <c r="AC459" i="7"/>
  <c r="AC455" i="7"/>
  <c r="AC451" i="7"/>
  <c r="AC447" i="7"/>
  <c r="AC509" i="7"/>
  <c r="AD503" i="7"/>
  <c r="AC485" i="7"/>
  <c r="AD479" i="7"/>
  <c r="AC469" i="7"/>
  <c r="AD451" i="7"/>
  <c r="AD435" i="7"/>
  <c r="AB431" i="7"/>
  <c r="AC425" i="7"/>
  <c r="AD407" i="7"/>
  <c r="AD395" i="7"/>
  <c r="AC385" i="7"/>
  <c r="AB363" i="7"/>
  <c r="AC357" i="7"/>
  <c r="AD351" i="7"/>
  <c r="AD339" i="7"/>
  <c r="AB335" i="7"/>
  <c r="AC329" i="7"/>
  <c r="AC301" i="7"/>
  <c r="AD295" i="7"/>
  <c r="AD283" i="7"/>
  <c r="AB279" i="7"/>
  <c r="AC273" i="7"/>
  <c r="AC249" i="7"/>
  <c r="AD219" i="7"/>
  <c r="AD207" i="7"/>
  <c r="AB199" i="7"/>
  <c r="AD193" i="7"/>
  <c r="AB159" i="7"/>
  <c r="AD147" i="7"/>
  <c r="AB139" i="7"/>
  <c r="AD131" i="7"/>
  <c r="B31" i="6"/>
  <c r="B27" i="6"/>
  <c r="B23" i="6"/>
  <c r="B19" i="6"/>
  <c r="B15" i="6"/>
  <c r="B11" i="6"/>
  <c r="AB497" i="7"/>
  <c r="AB489" i="7"/>
  <c r="AB487" i="7"/>
  <c r="AD487" i="7"/>
  <c r="AB481" i="7"/>
  <c r="AB473" i="7"/>
  <c r="AB467" i="7"/>
  <c r="AD467" i="7"/>
  <c r="AB465" i="7"/>
  <c r="AB461" i="7"/>
  <c r="AB457" i="7"/>
  <c r="AB449" i="7"/>
  <c r="AB445" i="7"/>
  <c r="AB441" i="7"/>
  <c r="AB429" i="7"/>
  <c r="AB421" i="7"/>
  <c r="AB417" i="7"/>
  <c r="AB413" i="7"/>
  <c r="AB409" i="7"/>
  <c r="AB405" i="7"/>
  <c r="AB401" i="7"/>
  <c r="AB393" i="7"/>
  <c r="AB389" i="7"/>
  <c r="AB381" i="7"/>
  <c r="AB373" i="7"/>
  <c r="AB365" i="7"/>
  <c r="AB361" i="7"/>
  <c r="AB359" i="7"/>
  <c r="AD359" i="7"/>
  <c r="AB353" i="7"/>
  <c r="AB347" i="7"/>
  <c r="AD347" i="7"/>
  <c r="AB345" i="7"/>
  <c r="AB333" i="7"/>
  <c r="AB325" i="7"/>
  <c r="AB321" i="7"/>
  <c r="AB317" i="7"/>
  <c r="AB309" i="7"/>
  <c r="AB305" i="7"/>
  <c r="AB297" i="7"/>
  <c r="AB291" i="7"/>
  <c r="AD291" i="7"/>
  <c r="AB289" i="7"/>
  <c r="AB277" i="7"/>
  <c r="AB269" i="7"/>
  <c r="AC260" i="7"/>
  <c r="AB257" i="7"/>
  <c r="AC232" i="7"/>
  <c r="AC205" i="7"/>
  <c r="AC197" i="7"/>
  <c r="AC189" i="7"/>
  <c r="AB181" i="7"/>
  <c r="AC176" i="7"/>
  <c r="AB173" i="7"/>
  <c r="AC149" i="7"/>
  <c r="AC141" i="7"/>
  <c r="AB483" i="7"/>
  <c r="AD455" i="7"/>
  <c r="AD439" i="7"/>
  <c r="AD427" i="7"/>
  <c r="AB411" i="7"/>
  <c r="AD399" i="7"/>
  <c r="AD387" i="7"/>
  <c r="AB367" i="7"/>
  <c r="AB355" i="7"/>
  <c r="AD343" i="7"/>
  <c r="AD331" i="7"/>
  <c r="AB311" i="7"/>
  <c r="AB299" i="7"/>
  <c r="AD287" i="7"/>
  <c r="AD275" i="7"/>
  <c r="AD235" i="7"/>
  <c r="AB223" i="7"/>
  <c r="AD211" i="7"/>
  <c r="AD205" i="7"/>
  <c r="AB197" i="7"/>
  <c r="AD155" i="7"/>
  <c r="AB151" i="7"/>
  <c r="AD141" i="7"/>
  <c r="CL17" i="7" l="1"/>
  <c r="BR16" i="7"/>
  <c r="BO15" i="7"/>
  <c r="BQ15" i="7" s="1"/>
  <c r="EM17" i="7"/>
  <c r="BZ18" i="7"/>
  <c r="CU18" i="7" s="1"/>
  <c r="EN17" i="7"/>
  <c r="BL15" i="7"/>
  <c r="BK15" i="7"/>
  <c r="AE271" i="7"/>
  <c r="AE245" i="7"/>
  <c r="AE261" i="7"/>
  <c r="AE423" i="7"/>
  <c r="AE472" i="7"/>
  <c r="AE450" i="7"/>
  <c r="AE315" i="7"/>
  <c r="AE225" i="7"/>
  <c r="AE157" i="7"/>
  <c r="AE175" i="7"/>
  <c r="AE350" i="7"/>
  <c r="AE259" i="7"/>
  <c r="AE241" i="7"/>
  <c r="AE360" i="7"/>
  <c r="AE494" i="7"/>
  <c r="AE484" i="7"/>
  <c r="AE398" i="7"/>
  <c r="AE440" i="7"/>
  <c r="AE380" i="7"/>
  <c r="AE280" i="7"/>
  <c r="AE200" i="7"/>
  <c r="AE400" i="7"/>
  <c r="AE340" i="7"/>
  <c r="AE476" i="7"/>
  <c r="AE212" i="7"/>
  <c r="AE444" i="7"/>
  <c r="AE320" i="7"/>
  <c r="AE192" i="7"/>
  <c r="AE148" i="7"/>
  <c r="AE486" i="7"/>
  <c r="AE234" i="7"/>
  <c r="AE342" i="7"/>
  <c r="AE260" i="7"/>
  <c r="AE270" i="7"/>
  <c r="AE334" i="7"/>
  <c r="AE188" i="7"/>
  <c r="EB17" i="7"/>
  <c r="EA17" i="7"/>
  <c r="DX17" i="7"/>
  <c r="DZ17" i="7"/>
  <c r="AE247" i="7"/>
  <c r="AE263" i="7"/>
  <c r="AE466" i="7"/>
  <c r="AE169" i="7"/>
  <c r="AE185" i="7"/>
  <c r="AE253" i="7"/>
  <c r="AE504" i="7"/>
  <c r="AE464" i="7"/>
  <c r="AE227" i="7"/>
  <c r="AE251" i="7"/>
  <c r="AE382" i="7"/>
  <c r="AE286" i="7"/>
  <c r="AE454" i="7"/>
  <c r="AE366" i="7"/>
  <c r="AE209" i="7"/>
  <c r="AE452" i="7"/>
  <c r="AE470" i="7"/>
  <c r="AE502" i="7"/>
  <c r="AE456" i="7"/>
  <c r="AE416" i="7"/>
  <c r="AE236" i="7"/>
  <c r="AE196" i="7"/>
  <c r="AE448" i="7"/>
  <c r="AE328" i="7"/>
  <c r="AE264" i="7"/>
  <c r="AE436" i="7"/>
  <c r="AE336" i="7"/>
  <c r="AE408" i="7"/>
  <c r="AE304" i="7"/>
  <c r="AE372" i="7"/>
  <c r="AE168" i="7"/>
  <c r="AE144" i="7"/>
  <c r="AE374" i="7"/>
  <c r="AE462" i="7"/>
  <c r="AE358" i="7"/>
  <c r="AE278" i="7"/>
  <c r="AE210" i="7"/>
  <c r="AE230" i="7"/>
  <c r="AE242" i="7"/>
  <c r="AE194" i="7"/>
  <c r="AE302" i="7"/>
  <c r="AE180" i="7"/>
  <c r="AE491" i="7"/>
  <c r="AE177" i="7"/>
  <c r="AE231" i="7"/>
  <c r="AE327" i="7"/>
  <c r="AE153" i="7"/>
  <c r="AE171" i="7"/>
  <c r="AE187" i="7"/>
  <c r="AE237" i="7"/>
  <c r="AE255" i="7"/>
  <c r="AE496" i="7"/>
  <c r="AE137" i="7"/>
  <c r="AE499" i="7"/>
  <c r="AE183" i="7"/>
  <c r="AE233" i="7"/>
  <c r="AE217" i="7"/>
  <c r="AE414" i="7"/>
  <c r="AE312" i="7"/>
  <c r="AE438" i="7"/>
  <c r="AE492" i="7"/>
  <c r="AE478" i="7"/>
  <c r="AE406" i="7"/>
  <c r="AE432" i="7"/>
  <c r="AE388" i="7"/>
  <c r="AE272" i="7"/>
  <c r="AE500" i="7"/>
  <c r="AE404" i="7"/>
  <c r="AE356" i="7"/>
  <c r="AE376" i="7"/>
  <c r="AE316" i="7"/>
  <c r="AE256" i="7"/>
  <c r="AE308" i="7"/>
  <c r="AE276" i="7"/>
  <c r="AE160" i="7"/>
  <c r="AE136" i="7"/>
  <c r="AE184" i="7"/>
  <c r="AE150" i="7"/>
  <c r="AE146" i="7"/>
  <c r="AE218" i="7"/>
  <c r="AE226" i="7"/>
  <c r="AE166" i="7"/>
  <c r="AE508" i="7"/>
  <c r="AE138" i="7"/>
  <c r="AE294" i="7"/>
  <c r="AE201" i="7"/>
  <c r="AE179" i="7"/>
  <c r="AE213" i="7"/>
  <c r="AE383" i="7"/>
  <c r="AE129" i="7"/>
  <c r="AE221" i="7"/>
  <c r="AE480" i="7"/>
  <c r="AE246" i="7"/>
  <c r="AE371" i="7"/>
  <c r="AE165" i="7"/>
  <c r="AE167" i="7"/>
  <c r="AE133" i="7"/>
  <c r="AE446" i="7"/>
  <c r="AE318" i="7"/>
  <c r="AE422" i="7"/>
  <c r="AE390" i="7"/>
  <c r="AE424" i="7"/>
  <c r="AE368" i="7"/>
  <c r="AE324" i="7"/>
  <c r="AE244" i="7"/>
  <c r="AE430" i="7"/>
  <c r="AE460" i="7"/>
  <c r="AE392" i="7"/>
  <c r="AE344" i="7"/>
  <c r="AE288" i="7"/>
  <c r="AE204" i="7"/>
  <c r="AE352" i="7"/>
  <c r="AE296" i="7"/>
  <c r="AE216" i="7"/>
  <c r="AE248" i="7"/>
  <c r="AE384" i="7"/>
  <c r="AE240" i="7"/>
  <c r="AE252" i="7"/>
  <c r="AE292" i="7"/>
  <c r="AE420" i="7"/>
  <c r="AE220" i="7"/>
  <c r="AE152" i="7"/>
  <c r="AE128" i="7"/>
  <c r="AE176" i="7"/>
  <c r="AE326" i="7"/>
  <c r="AE142" i="7"/>
  <c r="AE158" i="7"/>
  <c r="AE310" i="7"/>
  <c r="AE134" i="7"/>
  <c r="AE156" i="7"/>
  <c r="AE172" i="7"/>
  <c r="AE132" i="7"/>
  <c r="AE164" i="7"/>
  <c r="C6" i="32"/>
  <c r="DV17" i="7"/>
  <c r="BX18" i="7"/>
  <c r="CS18" i="7" s="1"/>
  <c r="BW18" i="7"/>
  <c r="CR18" i="7" s="1"/>
  <c r="CM17" i="7"/>
  <c r="DH17" i="7" s="1"/>
  <c r="V12" i="1"/>
  <c r="V8" i="1"/>
  <c r="V11" i="1"/>
  <c r="V10" i="1"/>
  <c r="V9" i="1"/>
  <c r="CG17" i="7"/>
  <c r="DB17" i="7" s="1"/>
  <c r="CE17" i="7"/>
  <c r="CZ17" i="7" s="1"/>
  <c r="BT17" i="7"/>
  <c r="CO17" i="7" s="1"/>
  <c r="CD18" i="7"/>
  <c r="CY18" i="7" s="1"/>
  <c r="O6" i="1"/>
  <c r="O10" i="1"/>
  <c r="O14" i="1"/>
  <c r="O15" i="1" s="1"/>
  <c r="O16" i="1" s="1"/>
  <c r="O17" i="1" s="1"/>
  <c r="O18" i="1" s="1"/>
  <c r="O19" i="1" s="1"/>
  <c r="O20" i="1" s="1"/>
  <c r="O21" i="1" s="1"/>
  <c r="O22" i="1" s="1"/>
  <c r="O23" i="1" s="1"/>
  <c r="O24" i="1" s="1"/>
  <c r="O25" i="1" s="1"/>
  <c r="O26" i="1" s="1"/>
  <c r="O27" i="1" s="1"/>
  <c r="O28" i="1" s="1"/>
  <c r="O29" i="1" s="1"/>
  <c r="O30" i="1" s="1"/>
  <c r="O31" i="1" s="1"/>
  <c r="O32" i="1" s="1"/>
  <c r="O33" i="1" s="1"/>
  <c r="O34" i="1" s="1"/>
  <c r="O5" i="1"/>
  <c r="O9" i="1"/>
  <c r="O13" i="1"/>
  <c r="O11" i="1"/>
  <c r="O8" i="1"/>
  <c r="O12" i="1"/>
  <c r="O7" i="1"/>
  <c r="J5" i="1"/>
  <c r="J9" i="1"/>
  <c r="J13" i="1"/>
  <c r="J10" i="1"/>
  <c r="J8" i="1"/>
  <c r="J12" i="1"/>
  <c r="J6" i="1"/>
  <c r="J14" i="1"/>
  <c r="J7" i="1"/>
  <c r="J11" i="1"/>
  <c r="R5" i="1"/>
  <c r="R9" i="1"/>
  <c r="R13" i="1"/>
  <c r="R8" i="1"/>
  <c r="R12" i="1"/>
  <c r="R6" i="1"/>
  <c r="R14" i="1"/>
  <c r="R15" i="1" s="1"/>
  <c r="R16" i="1" s="1"/>
  <c r="R17" i="1" s="1"/>
  <c r="R18" i="1" s="1"/>
  <c r="R19" i="1" s="1"/>
  <c r="R20" i="1" s="1"/>
  <c r="R21" i="1" s="1"/>
  <c r="R22" i="1" s="1"/>
  <c r="R23" i="1" s="1"/>
  <c r="R24" i="1" s="1"/>
  <c r="R25" i="1" s="1"/>
  <c r="R26" i="1" s="1"/>
  <c r="R27" i="1" s="1"/>
  <c r="R28" i="1" s="1"/>
  <c r="R29" i="1" s="1"/>
  <c r="R30" i="1" s="1"/>
  <c r="R31" i="1" s="1"/>
  <c r="R32" i="1" s="1"/>
  <c r="R33" i="1" s="1"/>
  <c r="R34" i="1" s="1"/>
  <c r="R7" i="1"/>
  <c r="R11" i="1"/>
  <c r="R10" i="1"/>
  <c r="M8" i="1"/>
  <c r="M12" i="1"/>
  <c r="M9" i="1"/>
  <c r="M7" i="1"/>
  <c r="M11" i="1"/>
  <c r="M5" i="1"/>
  <c r="M13" i="1"/>
  <c r="M6" i="1"/>
  <c r="M10" i="1"/>
  <c r="M14" i="1"/>
  <c r="M15" i="1" s="1"/>
  <c r="M16" i="1" s="1"/>
  <c r="M17" i="1" s="1"/>
  <c r="M18" i="1" s="1"/>
  <c r="M19" i="1" s="1"/>
  <c r="M20" i="1" s="1"/>
  <c r="M21" i="1" s="1"/>
  <c r="M22" i="1" s="1"/>
  <c r="M23" i="1" s="1"/>
  <c r="M24" i="1" s="1"/>
  <c r="M25" i="1" s="1"/>
  <c r="M26" i="1" s="1"/>
  <c r="M27" i="1" s="1"/>
  <c r="M28" i="1" s="1"/>
  <c r="M29" i="1" s="1"/>
  <c r="E5" i="1"/>
  <c r="E9" i="1"/>
  <c r="E13" i="1"/>
  <c r="E8" i="1"/>
  <c r="E12" i="1"/>
  <c r="E10" i="1"/>
  <c r="E7" i="1"/>
  <c r="E11" i="1"/>
  <c r="E6" i="1"/>
  <c r="E14" i="1"/>
  <c r="E15" i="1" s="1"/>
  <c r="E16" i="1" s="1"/>
  <c r="E17" i="1" s="1"/>
  <c r="E18" i="1" s="1"/>
  <c r="E19" i="1" s="1"/>
  <c r="L5" i="1"/>
  <c r="Q8" i="1"/>
  <c r="Q12" i="1"/>
  <c r="Q5" i="1"/>
  <c r="Q13" i="1"/>
  <c r="Q7" i="1"/>
  <c r="Q11" i="1"/>
  <c r="Q6" i="1"/>
  <c r="Q10" i="1"/>
  <c r="Q14" i="1"/>
  <c r="Q15" i="1" s="1"/>
  <c r="Q16" i="1" s="1"/>
  <c r="Q17" i="1" s="1"/>
  <c r="Q18" i="1" s="1"/>
  <c r="Q19" i="1" s="1"/>
  <c r="Q20" i="1" s="1"/>
  <c r="Q21" i="1" s="1"/>
  <c r="Q22" i="1" s="1"/>
  <c r="Q23" i="1" s="1"/>
  <c r="Q24" i="1" s="1"/>
  <c r="Q25" i="1" s="1"/>
  <c r="Q26" i="1" s="1"/>
  <c r="Q27" i="1" s="1"/>
  <c r="Q28" i="1" s="1"/>
  <c r="Q29" i="1" s="1"/>
  <c r="Q9" i="1"/>
  <c r="P7" i="1"/>
  <c r="P11" i="1"/>
  <c r="P6" i="1"/>
  <c r="P10" i="1"/>
  <c r="P14" i="1"/>
  <c r="P15" i="1" s="1"/>
  <c r="P16" i="1" s="1"/>
  <c r="P17" i="1" s="1"/>
  <c r="P18" i="1" s="1"/>
  <c r="P19" i="1" s="1"/>
  <c r="P20" i="1" s="1"/>
  <c r="P21" i="1" s="1"/>
  <c r="P22" i="1" s="1"/>
  <c r="P23" i="1" s="1"/>
  <c r="P24" i="1" s="1"/>
  <c r="P25" i="1" s="1"/>
  <c r="P26" i="1" s="1"/>
  <c r="P27" i="1" s="1"/>
  <c r="P28" i="1" s="1"/>
  <c r="P29" i="1" s="1"/>
  <c r="P30" i="1" s="1"/>
  <c r="P31" i="1" s="1"/>
  <c r="P32" i="1" s="1"/>
  <c r="P33" i="1" s="1"/>
  <c r="P34" i="1" s="1"/>
  <c r="P8" i="1"/>
  <c r="P12" i="1"/>
  <c r="P5" i="1"/>
  <c r="P9" i="1"/>
  <c r="P13" i="1"/>
  <c r="N5" i="1"/>
  <c r="N9" i="1"/>
  <c r="N13" i="1"/>
  <c r="N14" i="1"/>
  <c r="N15" i="1" s="1"/>
  <c r="N16" i="1" s="1"/>
  <c r="N17" i="1" s="1"/>
  <c r="N18" i="1" s="1"/>
  <c r="N19" i="1" s="1"/>
  <c r="N20" i="1" s="1"/>
  <c r="N21" i="1" s="1"/>
  <c r="N22" i="1" s="1"/>
  <c r="N23" i="1" s="1"/>
  <c r="N24" i="1" s="1"/>
  <c r="N25" i="1" s="1"/>
  <c r="N26" i="1" s="1"/>
  <c r="N27" i="1" s="1"/>
  <c r="N28" i="1" s="1"/>
  <c r="N29" i="1" s="1"/>
  <c r="N30" i="1" s="1"/>
  <c r="N31" i="1" s="1"/>
  <c r="N32" i="1" s="1"/>
  <c r="N33" i="1" s="1"/>
  <c r="N34" i="1" s="1"/>
  <c r="N8" i="1"/>
  <c r="N12" i="1"/>
  <c r="N10" i="1"/>
  <c r="N7" i="1"/>
  <c r="N11" i="1"/>
  <c r="N6" i="1"/>
  <c r="B8" i="1"/>
  <c r="B12" i="1"/>
  <c r="B5" i="1"/>
  <c r="B9" i="1"/>
  <c r="B13" i="1"/>
  <c r="B7" i="1"/>
  <c r="B6" i="1"/>
  <c r="B10" i="1"/>
  <c r="B14" i="1"/>
  <c r="B15" i="1" s="1"/>
  <c r="B16" i="1" s="1"/>
  <c r="B17" i="1" s="1"/>
  <c r="B18" i="1" s="1"/>
  <c r="B19" i="1" s="1"/>
  <c r="B20" i="1" s="1"/>
  <c r="B11" i="1"/>
  <c r="V14" i="1"/>
  <c r="V13" i="1"/>
  <c r="K5" i="1"/>
  <c r="D8" i="1"/>
  <c r="D13" i="1"/>
  <c r="D6" i="1"/>
  <c r="D9" i="1"/>
  <c r="D12" i="1"/>
  <c r="D5" i="1"/>
  <c r="D10" i="1"/>
  <c r="D14" i="1"/>
  <c r="D15" i="1" s="1"/>
  <c r="D16" i="1" s="1"/>
  <c r="D17" i="1" s="1"/>
  <c r="D18" i="1" s="1"/>
  <c r="D19" i="1" s="1"/>
  <c r="D20" i="1" s="1"/>
  <c r="D21" i="1" s="1"/>
  <c r="D22" i="1" s="1"/>
  <c r="D23" i="1" s="1"/>
  <c r="D24" i="1" s="1"/>
  <c r="D11" i="1"/>
  <c r="D7" i="1"/>
  <c r="AE15" i="7"/>
  <c r="CJ18" i="7"/>
  <c r="DE18" i="7" s="1"/>
  <c r="CI17" i="7"/>
  <c r="DD17" i="7" s="1"/>
  <c r="AB16" i="7"/>
  <c r="AD16" i="7"/>
  <c r="CF17" i="7"/>
  <c r="DA17" i="7" s="1"/>
  <c r="AC16" i="7"/>
  <c r="CC18" i="7"/>
  <c r="CX18" i="7" s="1"/>
  <c r="BV18" i="7"/>
  <c r="CQ18" i="7" s="1"/>
  <c r="BN17" i="7"/>
  <c r="BU18" i="7"/>
  <c r="CP18" i="7" s="1"/>
  <c r="CB18" i="7"/>
  <c r="CW18" i="7" s="1"/>
  <c r="AE181" i="7"/>
  <c r="AE277" i="7"/>
  <c r="AE297" i="7"/>
  <c r="AE321" i="7"/>
  <c r="AE359" i="7"/>
  <c r="AE381" i="7"/>
  <c r="AE405" i="7"/>
  <c r="AE421" i="7"/>
  <c r="AE449" i="7"/>
  <c r="AE279" i="7"/>
  <c r="AE319" i="7"/>
  <c r="AE375" i="7"/>
  <c r="AE415" i="7"/>
  <c r="AE151" i="7"/>
  <c r="AE257" i="7"/>
  <c r="AE289" i="7"/>
  <c r="AE305" i="7"/>
  <c r="AE325" i="7"/>
  <c r="AE347" i="7"/>
  <c r="AE361" i="7"/>
  <c r="AE389" i="7"/>
  <c r="AE409" i="7"/>
  <c r="AE429" i="7"/>
  <c r="AE457" i="7"/>
  <c r="AE467" i="7"/>
  <c r="AE487" i="7"/>
  <c r="AE159" i="7"/>
  <c r="AE335" i="7"/>
  <c r="AE363" i="7"/>
  <c r="AE149" i="7"/>
  <c r="AE195" i="7"/>
  <c r="AE299" i="7"/>
  <c r="AE355" i="7"/>
  <c r="AE411" i="7"/>
  <c r="AE483" i="7"/>
  <c r="AE173" i="7"/>
  <c r="AE309" i="7"/>
  <c r="AE333" i="7"/>
  <c r="AE353" i="7"/>
  <c r="AE365" i="7"/>
  <c r="AE393" i="7"/>
  <c r="AE413" i="7"/>
  <c r="AE441" i="7"/>
  <c r="AE461" i="7"/>
  <c r="AE473" i="7"/>
  <c r="AE489" i="7"/>
  <c r="AE431" i="7"/>
  <c r="AE307" i="7"/>
  <c r="AE475" i="7"/>
  <c r="AE507" i="7"/>
  <c r="AE223" i="7"/>
  <c r="AE197" i="7"/>
  <c r="AE311" i="7"/>
  <c r="AE367" i="7"/>
  <c r="AE269" i="7"/>
  <c r="AE291" i="7"/>
  <c r="AE317" i="7"/>
  <c r="AE345" i="7"/>
  <c r="AE373" i="7"/>
  <c r="AE401" i="7"/>
  <c r="AE417" i="7"/>
  <c r="AE445" i="7"/>
  <c r="AE465" i="7"/>
  <c r="AE481" i="7"/>
  <c r="AE497" i="7"/>
  <c r="AE139" i="7"/>
  <c r="AE199" i="7"/>
  <c r="AE135" i="7"/>
  <c r="CL18" i="7" l="1"/>
  <c r="DG18" i="7" s="1"/>
  <c r="DG17" i="7"/>
  <c r="EF17" i="7"/>
  <c r="EC17" i="7"/>
  <c r="AN17" i="7"/>
  <c r="BZ19" i="7"/>
  <c r="CU19" i="7" s="1"/>
  <c r="BM15" i="7"/>
  <c r="P15" i="7" s="1"/>
  <c r="D5" i="32" s="1"/>
  <c r="EM18" i="7"/>
  <c r="EN18" i="7"/>
  <c r="DW17" i="7"/>
  <c r="BT18" i="7"/>
  <c r="CO18" i="7" s="1"/>
  <c r="EO17" i="7"/>
  <c r="BW19" i="7"/>
  <c r="CR19" i="7" s="1"/>
  <c r="AO17" i="7"/>
  <c r="AM17" i="7"/>
  <c r="AC9" i="1"/>
  <c r="AG9" i="1"/>
  <c r="AE9" i="1"/>
  <c r="AE12" i="1"/>
  <c r="AG12" i="1"/>
  <c r="AC12" i="1"/>
  <c r="AE8" i="1"/>
  <c r="AF8" i="1" s="1"/>
  <c r="AC8" i="1"/>
  <c r="AD8" i="1" s="1"/>
  <c r="AG8" i="1"/>
  <c r="AH8" i="1" s="1"/>
  <c r="AC13" i="1"/>
  <c r="AE13" i="1"/>
  <c r="AG13" i="1"/>
  <c r="J15" i="1"/>
  <c r="AG10" i="1"/>
  <c r="AE10" i="1"/>
  <c r="AC10" i="1"/>
  <c r="V15" i="1"/>
  <c r="AG14" i="1"/>
  <c r="AC14" i="1"/>
  <c r="AE14" i="1"/>
  <c r="Q30" i="1"/>
  <c r="M15" i="7"/>
  <c r="E5" i="32" s="1"/>
  <c r="AE11" i="1"/>
  <c r="AG11" i="1"/>
  <c r="AC11" i="1"/>
  <c r="L17" i="7"/>
  <c r="BS18" i="7" s="1"/>
  <c r="CN18" i="7" s="1"/>
  <c r="B21" i="1"/>
  <c r="B22" i="1" s="1"/>
  <c r="B23" i="1" s="1"/>
  <c r="B24" i="1" s="1"/>
  <c r="B25" i="1" s="1"/>
  <c r="B26" i="1" s="1"/>
  <c r="B27" i="1" s="1"/>
  <c r="B28" i="1" s="1"/>
  <c r="B29" i="1" s="1"/>
  <c r="B30" i="1" s="1"/>
  <c r="B31" i="1" s="1"/>
  <c r="B32" i="1" s="1"/>
  <c r="B33" i="1" s="1"/>
  <c r="B34" i="1" s="1"/>
  <c r="CD19" i="7"/>
  <c r="CY19" i="7" s="1"/>
  <c r="G15" i="7"/>
  <c r="CJ19" i="7"/>
  <c r="DE19" i="7" s="1"/>
  <c r="DS17" i="7"/>
  <c r="CE18" i="7"/>
  <c r="CZ18" i="7" s="1"/>
  <c r="AE16" i="7"/>
  <c r="BZ20" i="7"/>
  <c r="CU20" i="7" s="1"/>
  <c r="CC19" i="7"/>
  <c r="CX19" i="7" s="1"/>
  <c r="BV19" i="7"/>
  <c r="CQ19" i="7" s="1"/>
  <c r="BU19" i="7"/>
  <c r="CP19" i="7" s="1"/>
  <c r="CB19" i="7"/>
  <c r="CW19" i="7" s="1"/>
  <c r="EN19" i="7" l="1"/>
  <c r="DV18" i="7"/>
  <c r="AM18" i="7"/>
  <c r="EO18" i="7"/>
  <c r="CG18" i="7"/>
  <c r="DB18" i="7" s="1"/>
  <c r="BR17" i="7"/>
  <c r="BO16" i="7"/>
  <c r="B15" i="7"/>
  <c r="C7" i="32"/>
  <c r="CK18" i="7"/>
  <c r="DF18" i="7" s="1"/>
  <c r="BZ21" i="7"/>
  <c r="CU21" i="7" s="1"/>
  <c r="EN20" i="7"/>
  <c r="BT19" i="7"/>
  <c r="CO19" i="7" s="1"/>
  <c r="EC18" i="7"/>
  <c r="BW20" i="7"/>
  <c r="CR20" i="7" s="1"/>
  <c r="BY18" i="7"/>
  <c r="CT18" i="7" s="1"/>
  <c r="AD9" i="1"/>
  <c r="AD10" i="1" s="1"/>
  <c r="AD11" i="1" s="1"/>
  <c r="AD12" i="1" s="1"/>
  <c r="AD13" i="1" s="1"/>
  <c r="AD14" i="1" s="1"/>
  <c r="AT15" i="7"/>
  <c r="BB15" i="7"/>
  <c r="AX15" i="7"/>
  <c r="BA15" i="7"/>
  <c r="AW15" i="7"/>
  <c r="AY15" i="7"/>
  <c r="BC15" i="7"/>
  <c r="AU15" i="7"/>
  <c r="AZ15" i="7"/>
  <c r="AV15" i="7"/>
  <c r="AF9" i="1"/>
  <c r="AF10" i="1" s="1"/>
  <c r="AF11" i="1" s="1"/>
  <c r="AF12" i="1" s="1"/>
  <c r="AF13" i="1" s="1"/>
  <c r="AF14" i="1" s="1"/>
  <c r="AH9" i="1"/>
  <c r="AH10" i="1" s="1"/>
  <c r="AH11" i="1" s="1"/>
  <c r="AH12" i="1" s="1"/>
  <c r="AH13" i="1" s="1"/>
  <c r="AH14" i="1" s="1"/>
  <c r="Q31" i="1"/>
  <c r="M16" i="7"/>
  <c r="V16" i="1"/>
  <c r="AE15" i="1"/>
  <c r="AG15" i="1"/>
  <c r="AC15" i="1"/>
  <c r="J16" i="1"/>
  <c r="CM18" i="7"/>
  <c r="DH18" i="7" s="1"/>
  <c r="CH18" i="7"/>
  <c r="DC18" i="7" s="1"/>
  <c r="CI18" i="7"/>
  <c r="DD18" i="7" s="1"/>
  <c r="CA18" i="7"/>
  <c r="CV18" i="7" s="1"/>
  <c r="N16" i="7"/>
  <c r="AG15" i="7"/>
  <c r="AF15" i="7"/>
  <c r="AH15" i="7"/>
  <c r="CD20" i="7"/>
  <c r="CY20" i="7" s="1"/>
  <c r="CJ20" i="7"/>
  <c r="DE20" i="7" s="1"/>
  <c r="AD17" i="7"/>
  <c r="CF18" i="7"/>
  <c r="DA18" i="7" s="1"/>
  <c r="AC17" i="7"/>
  <c r="AB17" i="7"/>
  <c r="BV20" i="7"/>
  <c r="CQ20" i="7" s="1"/>
  <c r="CC20" i="7"/>
  <c r="CX20" i="7" s="1"/>
  <c r="BU20" i="7"/>
  <c r="CP20" i="7" s="1"/>
  <c r="CB20" i="7"/>
  <c r="CW20" i="7" s="1"/>
  <c r="CK19" i="7" l="1"/>
  <c r="DF19" i="7" s="1"/>
  <c r="EO19" i="7"/>
  <c r="AO18" i="7"/>
  <c r="AN18" i="7"/>
  <c r="CJ21" i="7"/>
  <c r="DE21" i="7" s="1"/>
  <c r="AP16" i="7"/>
  <c r="BG16" i="7" s="1"/>
  <c r="AQ16" i="7"/>
  <c r="BH16" i="7" s="1"/>
  <c r="AR16" i="7"/>
  <c r="BI16" i="7" s="1"/>
  <c r="BT20" i="7"/>
  <c r="CO20" i="7" s="1"/>
  <c r="BZ22" i="7"/>
  <c r="CU22" i="7" s="1"/>
  <c r="EN21" i="7"/>
  <c r="F5" i="32"/>
  <c r="G5" i="32" s="1"/>
  <c r="P5" i="32" s="1"/>
  <c r="Q5" i="32" s="1"/>
  <c r="DS18" i="7"/>
  <c r="EF18" i="7"/>
  <c r="EA18" i="7"/>
  <c r="DZ18" i="7"/>
  <c r="EB18" i="7"/>
  <c r="DX18" i="7"/>
  <c r="DW18" i="7"/>
  <c r="AF16" i="7"/>
  <c r="E6" i="32"/>
  <c r="BY19" i="7"/>
  <c r="CT19" i="7" s="1"/>
  <c r="BW21" i="7"/>
  <c r="CR21" i="7" s="1"/>
  <c r="AG16" i="7"/>
  <c r="AT16" i="7"/>
  <c r="DI16" i="7" s="1"/>
  <c r="AX16" i="7"/>
  <c r="DM16" i="7" s="1"/>
  <c r="BB16" i="7"/>
  <c r="DQ16" i="7" s="1"/>
  <c r="M6" i="32" s="1"/>
  <c r="AU16" i="7"/>
  <c r="DJ16" i="7" s="1"/>
  <c r="AY16" i="7"/>
  <c r="DN16" i="7" s="1"/>
  <c r="L6" i="32" s="1"/>
  <c r="BC16" i="7"/>
  <c r="DR16" i="7" s="1"/>
  <c r="AV16" i="7"/>
  <c r="DK16" i="7" s="1"/>
  <c r="K6" i="32" s="1"/>
  <c r="AW16" i="7"/>
  <c r="DL16" i="7" s="1"/>
  <c r="AZ16" i="7"/>
  <c r="DO16" i="7" s="1"/>
  <c r="BA16" i="7"/>
  <c r="DP16" i="7" s="1"/>
  <c r="AH16" i="7"/>
  <c r="AH15" i="1"/>
  <c r="AF15" i="1"/>
  <c r="J17" i="1"/>
  <c r="V17" i="1"/>
  <c r="AC16" i="1"/>
  <c r="AE16" i="1"/>
  <c r="AG16" i="1"/>
  <c r="Q32" i="1"/>
  <c r="M17" i="7"/>
  <c r="E7" i="32" s="1"/>
  <c r="AD15" i="1"/>
  <c r="L18" i="7"/>
  <c r="BS19" i="7" s="1"/>
  <c r="CN19" i="7" s="1"/>
  <c r="BN18" i="7"/>
  <c r="CI19" i="7"/>
  <c r="DD19" i="7" s="1"/>
  <c r="BF15" i="7"/>
  <c r="AL16" i="7" s="1"/>
  <c r="AI15" i="7"/>
  <c r="BD15" i="7"/>
  <c r="AJ16" i="7" s="1"/>
  <c r="BE15" i="7"/>
  <c r="AK16" i="7" s="1"/>
  <c r="CE19" i="7"/>
  <c r="CZ19" i="7" s="1"/>
  <c r="AE17" i="7"/>
  <c r="CF19" i="7"/>
  <c r="DA19" i="7" s="1"/>
  <c r="CJ22" i="7"/>
  <c r="DE22" i="7" s="1"/>
  <c r="CC21" i="7"/>
  <c r="CX21" i="7" s="1"/>
  <c r="BV21" i="7"/>
  <c r="CQ21" i="7" s="1"/>
  <c r="CB21" i="7"/>
  <c r="CW21" i="7" s="1"/>
  <c r="BU21" i="7"/>
  <c r="CP21" i="7" s="1"/>
  <c r="AN19" i="7" l="1"/>
  <c r="EC19" i="7"/>
  <c r="AM19" i="7"/>
  <c r="EO20" i="7"/>
  <c r="CK20" i="7"/>
  <c r="DF20" i="7" s="1"/>
  <c r="DV19" i="7"/>
  <c r="CL19" i="7"/>
  <c r="BR18" i="7"/>
  <c r="BO17" i="7"/>
  <c r="BZ23" i="7"/>
  <c r="CU23" i="7" s="1"/>
  <c r="EN22" i="7"/>
  <c r="EF19" i="7"/>
  <c r="BX19" i="7"/>
  <c r="CS19" i="7" s="1"/>
  <c r="C8" i="32"/>
  <c r="BY20" i="7"/>
  <c r="CT20" i="7" s="1"/>
  <c r="BW22" i="7"/>
  <c r="CR22" i="7" s="1"/>
  <c r="AI16" i="7"/>
  <c r="CH19" i="7"/>
  <c r="DC19" i="7" s="1"/>
  <c r="AD16" i="1"/>
  <c r="AH16" i="1"/>
  <c r="AV17" i="7"/>
  <c r="DK17" i="7" s="1"/>
  <c r="K7" i="32" s="1"/>
  <c r="AZ17" i="7"/>
  <c r="DO17" i="7" s="1"/>
  <c r="AW17" i="7"/>
  <c r="DL17" i="7" s="1"/>
  <c r="BA17" i="7"/>
  <c r="DP17" i="7" s="1"/>
  <c r="AT17" i="7"/>
  <c r="DI17" i="7" s="1"/>
  <c r="BB17" i="7"/>
  <c r="DQ17" i="7" s="1"/>
  <c r="M7" i="32" s="1"/>
  <c r="AU17" i="7"/>
  <c r="DJ17" i="7" s="1"/>
  <c r="BC17" i="7"/>
  <c r="DR17" i="7" s="1"/>
  <c r="AX17" i="7"/>
  <c r="DM17" i="7" s="1"/>
  <c r="AY17" i="7"/>
  <c r="DN17" i="7" s="1"/>
  <c r="L7" i="32" s="1"/>
  <c r="AG17" i="7"/>
  <c r="AF17" i="7"/>
  <c r="AF16" i="1"/>
  <c r="AH17" i="7"/>
  <c r="BE16" i="7"/>
  <c r="BD16" i="7"/>
  <c r="BF16" i="7"/>
  <c r="J18" i="1"/>
  <c r="Q33" i="1"/>
  <c r="M18" i="7"/>
  <c r="E8" i="32" s="1"/>
  <c r="V18" i="1"/>
  <c r="AC17" i="1"/>
  <c r="AG17" i="1"/>
  <c r="AE17" i="1"/>
  <c r="CG19" i="7"/>
  <c r="DB19" i="7" s="1"/>
  <c r="CM19" i="7"/>
  <c r="DH19" i="7" s="1"/>
  <c r="AC18" i="7"/>
  <c r="BP16" i="7"/>
  <c r="BQ16" i="7" s="1"/>
  <c r="DS19" i="7"/>
  <c r="AD18" i="7"/>
  <c r="AB18" i="7"/>
  <c r="CA19" i="7"/>
  <c r="CV19" i="7" s="1"/>
  <c r="CI20" i="7"/>
  <c r="DD20" i="7" s="1"/>
  <c r="BJ16" i="7"/>
  <c r="BL16" i="7"/>
  <c r="BK16" i="7"/>
  <c r="CE20" i="7"/>
  <c r="CZ20" i="7" s="1"/>
  <c r="CJ23" i="7"/>
  <c r="DE23" i="7" s="1"/>
  <c r="BV22" i="7"/>
  <c r="CQ22" i="7" s="1"/>
  <c r="CC22" i="7"/>
  <c r="CX22" i="7" s="1"/>
  <c r="BU22" i="7"/>
  <c r="CP22" i="7" s="1"/>
  <c r="CB22" i="7"/>
  <c r="CW22" i="7" s="1"/>
  <c r="CL20" i="7" l="1"/>
  <c r="DG20" i="7" s="1"/>
  <c r="DG19" i="7"/>
  <c r="AM20" i="7"/>
  <c r="CI21" i="7"/>
  <c r="DD21" i="7" s="1"/>
  <c r="BX20" i="7"/>
  <c r="CS20" i="7" s="1"/>
  <c r="CK21" i="7"/>
  <c r="DF21" i="7" s="1"/>
  <c r="EM19" i="7"/>
  <c r="EM20" i="7"/>
  <c r="CL21" i="7"/>
  <c r="DG21" i="7" s="1"/>
  <c r="BZ24" i="7"/>
  <c r="CU24" i="7" s="1"/>
  <c r="EN23" i="7"/>
  <c r="EB19" i="7"/>
  <c r="DX19" i="7"/>
  <c r="DW19" i="7"/>
  <c r="BN19" i="7"/>
  <c r="DZ19" i="7"/>
  <c r="EA19" i="7"/>
  <c r="BY21" i="7"/>
  <c r="CT21" i="7" s="1"/>
  <c r="BX21" i="7"/>
  <c r="CS21" i="7" s="1"/>
  <c r="BW23" i="7"/>
  <c r="CR23" i="7" s="1"/>
  <c r="AD17" i="1"/>
  <c r="L19" i="7"/>
  <c r="BS20" i="7" s="1"/>
  <c r="CN20" i="7" s="1"/>
  <c r="AH17" i="1"/>
  <c r="G16" i="7"/>
  <c r="AI17" i="7"/>
  <c r="AF17" i="1"/>
  <c r="AT18" i="7"/>
  <c r="DI18" i="7" s="1"/>
  <c r="AX18" i="7"/>
  <c r="DM18" i="7" s="1"/>
  <c r="BB18" i="7"/>
  <c r="DQ18" i="7" s="1"/>
  <c r="M8" i="32" s="1"/>
  <c r="AU18" i="7"/>
  <c r="DJ18" i="7" s="1"/>
  <c r="AY18" i="7"/>
  <c r="DN18" i="7" s="1"/>
  <c r="L8" i="32" s="1"/>
  <c r="BC18" i="7"/>
  <c r="DR18" i="7" s="1"/>
  <c r="AZ18" i="7"/>
  <c r="DO18" i="7" s="1"/>
  <c r="BA18" i="7"/>
  <c r="DP18" i="7" s="1"/>
  <c r="AV18" i="7"/>
  <c r="DK18" i="7" s="1"/>
  <c r="K8" i="32" s="1"/>
  <c r="AW18" i="7"/>
  <c r="DL18" i="7" s="1"/>
  <c r="BD17" i="7"/>
  <c r="AO19" i="7"/>
  <c r="BF17" i="7"/>
  <c r="BE17" i="7"/>
  <c r="Q34" i="1"/>
  <c r="V19" i="1"/>
  <c r="AG18" i="1"/>
  <c r="AH18" i="1" s="1"/>
  <c r="AC18" i="1"/>
  <c r="AE18" i="1"/>
  <c r="J19" i="1"/>
  <c r="CG20" i="7"/>
  <c r="DB20" i="7" s="1"/>
  <c r="BP17" i="7"/>
  <c r="BQ17" i="7" s="1"/>
  <c r="AH18" i="7"/>
  <c r="AG18" i="7"/>
  <c r="AF18" i="7"/>
  <c r="AE18" i="7"/>
  <c r="CA20" i="7"/>
  <c r="CV20" i="7" s="1"/>
  <c r="DS20" i="7"/>
  <c r="BM16" i="7"/>
  <c r="P16" i="7" s="1"/>
  <c r="BT21" i="7"/>
  <c r="CO21" i="7" s="1"/>
  <c r="CE21" i="7"/>
  <c r="CZ21" i="7" s="1"/>
  <c r="CJ24" i="7"/>
  <c r="DE24" i="7" s="1"/>
  <c r="CC23" i="7"/>
  <c r="CX23" i="7" s="1"/>
  <c r="BV23" i="7"/>
  <c r="CQ23" i="7" s="1"/>
  <c r="BU23" i="7"/>
  <c r="CP23" i="7" s="1"/>
  <c r="CI22" i="7" l="1"/>
  <c r="DD22" i="7" s="1"/>
  <c r="DS21" i="7"/>
  <c r="EF20" i="7"/>
  <c r="CK22" i="7"/>
  <c r="DF22" i="7" s="1"/>
  <c r="EO21" i="7"/>
  <c r="AD18" i="1"/>
  <c r="AM21" i="7"/>
  <c r="DV20" i="7"/>
  <c r="EC20" i="7"/>
  <c r="BR19" i="7"/>
  <c r="CF20" i="7"/>
  <c r="DA20" i="7" s="1"/>
  <c r="BO18" i="7"/>
  <c r="CL22" i="7"/>
  <c r="DG22" i="7" s="1"/>
  <c r="EM21" i="7"/>
  <c r="EN24" i="7"/>
  <c r="BZ25" i="7"/>
  <c r="CU25" i="7" s="1"/>
  <c r="M19" i="7"/>
  <c r="E9" i="32" s="1"/>
  <c r="C9" i="32"/>
  <c r="EB20" i="7"/>
  <c r="DX20" i="7"/>
  <c r="DW20" i="7"/>
  <c r="BX22" i="7"/>
  <c r="CS22" i="7" s="1"/>
  <c r="BY22" i="7"/>
  <c r="CT22" i="7" s="1"/>
  <c r="BW24" i="7"/>
  <c r="CR24" i="7" s="1"/>
  <c r="CH20" i="7"/>
  <c r="DC20" i="7" s="1"/>
  <c r="G17" i="7"/>
  <c r="AF18" i="1"/>
  <c r="AO20" i="7"/>
  <c r="J20" i="1"/>
  <c r="V20" i="1"/>
  <c r="AE19" i="1"/>
  <c r="AG19" i="1"/>
  <c r="AH19" i="1" s="1"/>
  <c r="AC19" i="1"/>
  <c r="B16" i="7"/>
  <c r="CM20" i="7"/>
  <c r="DH20" i="7" s="1"/>
  <c r="AI18" i="7"/>
  <c r="AC19" i="7"/>
  <c r="AD19" i="7"/>
  <c r="BE18" i="7"/>
  <c r="BD18" i="7"/>
  <c r="BF18" i="7"/>
  <c r="BP18" i="7"/>
  <c r="AB19" i="7"/>
  <c r="CA21" i="7"/>
  <c r="CV21" i="7" s="1"/>
  <c r="CD21" i="7"/>
  <c r="CY21" i="7" s="1"/>
  <c r="DS22" i="7"/>
  <c r="CJ25" i="7"/>
  <c r="DE25" i="7" s="1"/>
  <c r="BV24" i="7"/>
  <c r="CQ24" i="7" s="1"/>
  <c r="CC24" i="7"/>
  <c r="CX24" i="7" s="1"/>
  <c r="BU24" i="7"/>
  <c r="CP24" i="7" s="1"/>
  <c r="AD19" i="1" l="1"/>
  <c r="CK23" i="7"/>
  <c r="DF23" i="7" s="1"/>
  <c r="BQ18" i="7"/>
  <c r="G18" i="7" s="1"/>
  <c r="AN20" i="7"/>
  <c r="CF21" i="7"/>
  <c r="DA21" i="7" s="1"/>
  <c r="E15" i="7"/>
  <c r="D15" i="7"/>
  <c r="C15" i="7"/>
  <c r="F15" i="7" s="1"/>
  <c r="H15" i="7"/>
  <c r="EM22" i="7"/>
  <c r="CL23" i="7"/>
  <c r="DG23" i="7" s="1"/>
  <c r="EN25" i="7"/>
  <c r="BZ26" i="7"/>
  <c r="CU26" i="7" s="1"/>
  <c r="AU19" i="7"/>
  <c r="DJ19" i="7" s="1"/>
  <c r="AX19" i="7"/>
  <c r="AV19" i="7"/>
  <c r="DK19" i="7" s="1"/>
  <c r="K9" i="32" s="1"/>
  <c r="AT19" i="7"/>
  <c r="BA19" i="7"/>
  <c r="AY19" i="7"/>
  <c r="DN19" i="7" s="1"/>
  <c r="L9" i="32" s="1"/>
  <c r="BC19" i="7"/>
  <c r="DR19" i="7" s="1"/>
  <c r="AZ19" i="7"/>
  <c r="DO19" i="7" s="1"/>
  <c r="BB19" i="7"/>
  <c r="DQ19" i="7" s="1"/>
  <c r="M9" i="32" s="1"/>
  <c r="AW19" i="7"/>
  <c r="DL19" i="7" s="1"/>
  <c r="EA20" i="7"/>
  <c r="DZ20" i="7"/>
  <c r="N17" i="7"/>
  <c r="AJ17" i="7" s="1"/>
  <c r="D6" i="32"/>
  <c r="BT22" i="7"/>
  <c r="CO22" i="7" s="1"/>
  <c r="BY23" i="7"/>
  <c r="CT23" i="7" s="1"/>
  <c r="BX23" i="7"/>
  <c r="CS23" i="7" s="1"/>
  <c r="BW25" i="7"/>
  <c r="CR25" i="7" s="1"/>
  <c r="BN20" i="7"/>
  <c r="AF19" i="1"/>
  <c r="J21" i="1"/>
  <c r="V21" i="1"/>
  <c r="AE20" i="1"/>
  <c r="AG20" i="1"/>
  <c r="AH20" i="1" s="1"/>
  <c r="AC20" i="1"/>
  <c r="AD20" i="1" s="1"/>
  <c r="L20" i="7"/>
  <c r="AE19" i="7"/>
  <c r="AH19" i="7"/>
  <c r="AF19" i="7"/>
  <c r="AG19" i="7"/>
  <c r="CJ26" i="7"/>
  <c r="DE26" i="7" s="1"/>
  <c r="CC25" i="7"/>
  <c r="CX25" i="7" s="1"/>
  <c r="BU25" i="7"/>
  <c r="CP25" i="7" s="1"/>
  <c r="EO22" i="7" l="1"/>
  <c r="AN21" i="7"/>
  <c r="CK24" i="7"/>
  <c r="DF24" i="7" s="1"/>
  <c r="CG21" i="7"/>
  <c r="DB21" i="7" s="1"/>
  <c r="BS21" i="7"/>
  <c r="CN21" i="7" s="1"/>
  <c r="CF22" i="7"/>
  <c r="DA22" i="7" s="1"/>
  <c r="C10" i="32"/>
  <c r="BR20" i="7"/>
  <c r="BO19" i="7"/>
  <c r="EM23" i="7"/>
  <c r="CL24" i="7"/>
  <c r="DG24" i="7" s="1"/>
  <c r="AQ17" i="7"/>
  <c r="BH17" i="7" s="1"/>
  <c r="AR17" i="7"/>
  <c r="BI17" i="7" s="1"/>
  <c r="AP17" i="7"/>
  <c r="BG17" i="7" s="1"/>
  <c r="F6" i="32"/>
  <c r="G6" i="32" s="1"/>
  <c r="P6" i="32" s="1"/>
  <c r="Q6" i="32" s="1"/>
  <c r="EN26" i="7"/>
  <c r="BZ27" i="7"/>
  <c r="CU27" i="7" s="1"/>
  <c r="BT23" i="7"/>
  <c r="CO23" i="7" s="1"/>
  <c r="AL17" i="7"/>
  <c r="AK17" i="7"/>
  <c r="BX24" i="7"/>
  <c r="CS24" i="7" s="1"/>
  <c r="BY24" i="7"/>
  <c r="CT24" i="7" s="1"/>
  <c r="BW26" i="7"/>
  <c r="CR26" i="7" s="1"/>
  <c r="AF20" i="1"/>
  <c r="M20" i="7"/>
  <c r="J22" i="1"/>
  <c r="V22" i="1"/>
  <c r="AC21" i="1"/>
  <c r="AD21" i="1" s="1"/>
  <c r="AE21" i="1"/>
  <c r="AG21" i="1"/>
  <c r="AH21" i="1" s="1"/>
  <c r="CM21" i="7"/>
  <c r="DH21" i="7" s="1"/>
  <c r="CH21" i="7"/>
  <c r="DC21" i="7" s="1"/>
  <c r="AB20" i="7"/>
  <c r="AC20" i="7"/>
  <c r="D16" i="7" s="1"/>
  <c r="AD20" i="7"/>
  <c r="E16" i="7" s="1"/>
  <c r="AI19" i="7"/>
  <c r="DP19" i="7"/>
  <c r="BE19" i="7"/>
  <c r="DM19" i="7"/>
  <c r="BF19" i="7"/>
  <c r="DI19" i="7"/>
  <c r="BD19" i="7"/>
  <c r="CD22" i="7"/>
  <c r="CY22" i="7" s="1"/>
  <c r="CI23" i="7"/>
  <c r="DD23" i="7" s="1"/>
  <c r="CJ27" i="7"/>
  <c r="DE27" i="7" s="1"/>
  <c r="CC26" i="7"/>
  <c r="CX26" i="7" s="1"/>
  <c r="BU26" i="7"/>
  <c r="CP26" i="7" s="1"/>
  <c r="CG22" i="7" l="1"/>
  <c r="DB22" i="7" s="1"/>
  <c r="L21" i="7"/>
  <c r="CE22" i="7" s="1"/>
  <c r="CZ22" i="7" s="1"/>
  <c r="AO21" i="7"/>
  <c r="AO22" i="7"/>
  <c r="EO23" i="7"/>
  <c r="AN22" i="7"/>
  <c r="CK25" i="7"/>
  <c r="DF25" i="7" s="1"/>
  <c r="EB21" i="7"/>
  <c r="DX21" i="7"/>
  <c r="EF21" i="7"/>
  <c r="DW21" i="7"/>
  <c r="EC21" i="7"/>
  <c r="DV21" i="7"/>
  <c r="BS22" i="7"/>
  <c r="CN22" i="7" s="1"/>
  <c r="CE23" i="7"/>
  <c r="CZ23" i="7" s="1"/>
  <c r="H16" i="7"/>
  <c r="C16" i="7"/>
  <c r="F16" i="7" s="1"/>
  <c r="C11" i="32"/>
  <c r="BR21" i="7"/>
  <c r="H17" i="7" s="1"/>
  <c r="EM24" i="7"/>
  <c r="CL25" i="7"/>
  <c r="DG25" i="7" s="1"/>
  <c r="BT24" i="7"/>
  <c r="CO24" i="7" s="1"/>
  <c r="EN27" i="7"/>
  <c r="BZ28" i="7"/>
  <c r="CU28" i="7" s="1"/>
  <c r="BJ17" i="7"/>
  <c r="BK17" i="7"/>
  <c r="BL17" i="7"/>
  <c r="DZ21" i="7"/>
  <c r="EA21" i="7"/>
  <c r="EF22" i="7"/>
  <c r="AF21" i="1"/>
  <c r="AT20" i="7"/>
  <c r="E10" i="32"/>
  <c r="BY25" i="7"/>
  <c r="CT25" i="7" s="1"/>
  <c r="BX25" i="7"/>
  <c r="CS25" i="7" s="1"/>
  <c r="BW27" i="7"/>
  <c r="CR27" i="7" s="1"/>
  <c r="BA20" i="7"/>
  <c r="DP20" i="7" s="1"/>
  <c r="AV20" i="7"/>
  <c r="DK20" i="7" s="1"/>
  <c r="K10" i="32" s="1"/>
  <c r="BC20" i="7"/>
  <c r="DR20" i="7" s="1"/>
  <c r="AX20" i="7"/>
  <c r="DM20" i="7" s="1"/>
  <c r="AU20" i="7"/>
  <c r="DJ20" i="7" s="1"/>
  <c r="CM22" i="7"/>
  <c r="DH22" i="7" s="1"/>
  <c r="AW20" i="7"/>
  <c r="DL20" i="7" s="1"/>
  <c r="BB20" i="7"/>
  <c r="DQ20" i="7" s="1"/>
  <c r="M10" i="32" s="1"/>
  <c r="M21" i="7"/>
  <c r="AZ20" i="7"/>
  <c r="DO20" i="7" s="1"/>
  <c r="AY20" i="7"/>
  <c r="DN20" i="7" s="1"/>
  <c r="L10" i="32" s="1"/>
  <c r="J23" i="1"/>
  <c r="V23" i="1"/>
  <c r="AG22" i="1"/>
  <c r="AH22" i="1" s="1"/>
  <c r="AE22" i="1"/>
  <c r="AF22" i="1" s="1"/>
  <c r="AC22" i="1"/>
  <c r="AD22" i="1" s="1"/>
  <c r="CA22" i="7"/>
  <c r="CV22" i="7" s="1"/>
  <c r="AC21" i="7"/>
  <c r="D17" i="7" s="1"/>
  <c r="AB21" i="7"/>
  <c r="AD21" i="7"/>
  <c r="E17" i="7" s="1"/>
  <c r="BN21" i="7"/>
  <c r="CH22" i="7"/>
  <c r="DC22" i="7" s="1"/>
  <c r="AF20" i="7"/>
  <c r="AH20" i="7"/>
  <c r="AG20" i="7"/>
  <c r="AE20" i="7"/>
  <c r="BP19" i="7"/>
  <c r="BQ19" i="7" s="1"/>
  <c r="CB23" i="7"/>
  <c r="CW23" i="7" s="1"/>
  <c r="CG23" i="7"/>
  <c r="DB23" i="7" s="1"/>
  <c r="CI24" i="7"/>
  <c r="DD24" i="7" s="1"/>
  <c r="DS23" i="7"/>
  <c r="CJ28" i="7"/>
  <c r="DE28" i="7" s="1"/>
  <c r="CC27" i="7"/>
  <c r="CX27" i="7" s="1"/>
  <c r="BU27" i="7"/>
  <c r="CP27" i="7" s="1"/>
  <c r="EO24" i="7" l="1"/>
  <c r="AM23" i="7"/>
  <c r="EC22" i="7"/>
  <c r="CK26" i="7"/>
  <c r="DF26" i="7" s="1"/>
  <c r="AO23" i="7"/>
  <c r="AM22" i="7"/>
  <c r="BO21" i="7"/>
  <c r="BO20" i="7"/>
  <c r="EA22" i="7"/>
  <c r="DV22" i="7"/>
  <c r="C17" i="7"/>
  <c r="F17" i="7" s="1"/>
  <c r="CL26" i="7"/>
  <c r="DG26" i="7" s="1"/>
  <c r="EM25" i="7"/>
  <c r="BT25" i="7"/>
  <c r="CO25" i="7" s="1"/>
  <c r="BM17" i="7"/>
  <c r="P17" i="7" s="1"/>
  <c r="EN28" i="7"/>
  <c r="BZ29" i="7"/>
  <c r="CU29" i="7" s="1"/>
  <c r="DZ22" i="7"/>
  <c r="DX22" i="7"/>
  <c r="EB22" i="7"/>
  <c r="DW22" i="7"/>
  <c r="BA21" i="7"/>
  <c r="DP21" i="7" s="1"/>
  <c r="E11" i="32"/>
  <c r="BX26" i="7"/>
  <c r="CS26" i="7" s="1"/>
  <c r="BY26" i="7"/>
  <c r="CT26" i="7" s="1"/>
  <c r="BW28" i="7"/>
  <c r="CR28" i="7" s="1"/>
  <c r="AU21" i="7"/>
  <c r="AZ21" i="7"/>
  <c r="DO21" i="7" s="1"/>
  <c r="BB21" i="7"/>
  <c r="DQ21" i="7" s="1"/>
  <c r="M11" i="32" s="1"/>
  <c r="AV21" i="7"/>
  <c r="DK21" i="7" s="1"/>
  <c r="K11" i="32" s="1"/>
  <c r="AX21" i="7"/>
  <c r="DM21" i="7" s="1"/>
  <c r="AW21" i="7"/>
  <c r="DL21" i="7" s="1"/>
  <c r="AY21" i="7"/>
  <c r="AT21" i="7"/>
  <c r="BC21" i="7"/>
  <c r="DR21" i="7" s="1"/>
  <c r="G19" i="7"/>
  <c r="J24" i="1"/>
  <c r="V24" i="1"/>
  <c r="AE23" i="1"/>
  <c r="AF23" i="1" s="1"/>
  <c r="AG23" i="1"/>
  <c r="AH23" i="1" s="1"/>
  <c r="AC23" i="1"/>
  <c r="AD23" i="1" s="1"/>
  <c r="L22" i="7"/>
  <c r="BS23" i="7" s="1"/>
  <c r="CN23" i="7" s="1"/>
  <c r="AG21" i="7"/>
  <c r="AF21" i="7"/>
  <c r="AE21" i="7"/>
  <c r="AI20" i="7"/>
  <c r="AH21" i="7"/>
  <c r="BN22" i="7"/>
  <c r="CH23" i="7"/>
  <c r="DC23" i="7" s="1"/>
  <c r="BF20" i="7"/>
  <c r="BD20" i="7"/>
  <c r="BE20" i="7"/>
  <c r="DI20" i="7"/>
  <c r="BP20" i="7" s="1"/>
  <c r="CM23" i="7"/>
  <c r="DH23" i="7" s="1"/>
  <c r="CD23" i="7"/>
  <c r="CY23" i="7" s="1"/>
  <c r="CB24" i="7"/>
  <c r="CW24" i="7" s="1"/>
  <c r="DS24" i="7"/>
  <c r="CE24" i="7"/>
  <c r="CZ24" i="7" s="1"/>
  <c r="CJ29" i="7"/>
  <c r="DE29" i="7" s="1"/>
  <c r="CC28" i="7"/>
  <c r="CX28" i="7" s="1"/>
  <c r="BU28" i="7"/>
  <c r="CP28" i="7" s="1"/>
  <c r="AM24" i="7" l="1"/>
  <c r="CH24" i="7"/>
  <c r="DC24" i="7" s="1"/>
  <c r="EO25" i="7"/>
  <c r="CK27" i="7"/>
  <c r="DF27" i="7" s="1"/>
  <c r="BQ20" i="7"/>
  <c r="G20" i="7" s="1"/>
  <c r="BR22" i="7"/>
  <c r="CF23" i="7"/>
  <c r="DA23" i="7" s="1"/>
  <c r="EM26" i="7"/>
  <c r="CL27" i="7"/>
  <c r="DG27" i="7" s="1"/>
  <c r="B17" i="7"/>
  <c r="N18" i="7"/>
  <c r="EN29" i="7"/>
  <c r="BZ30" i="7"/>
  <c r="CU30" i="7" s="1"/>
  <c r="C12" i="32"/>
  <c r="EF23" i="7"/>
  <c r="EC23" i="7"/>
  <c r="DZ23" i="7"/>
  <c r="EA23" i="7"/>
  <c r="DV23" i="7"/>
  <c r="BY27" i="7"/>
  <c r="CT27" i="7" s="1"/>
  <c r="BX27" i="7"/>
  <c r="CS27" i="7" s="1"/>
  <c r="BW29" i="7"/>
  <c r="CR29" i="7" s="1"/>
  <c r="M22" i="7"/>
  <c r="E12" i="32" s="1"/>
  <c r="AE24" i="1"/>
  <c r="AF24" i="1" s="1"/>
  <c r="AC24" i="1"/>
  <c r="AD24" i="1" s="1"/>
  <c r="AG24" i="1"/>
  <c r="AH24" i="1" s="1"/>
  <c r="AI21" i="7"/>
  <c r="AC22" i="7"/>
  <c r="CA23" i="7"/>
  <c r="CV23" i="7" s="1"/>
  <c r="AD22" i="7"/>
  <c r="AB22" i="7"/>
  <c r="BE21" i="7"/>
  <c r="DJ21" i="7"/>
  <c r="BF21" i="7"/>
  <c r="DN21" i="7"/>
  <c r="L11" i="32" s="1"/>
  <c r="BD21" i="7"/>
  <c r="DI21" i="7"/>
  <c r="BN23" i="7"/>
  <c r="CD24" i="7"/>
  <c r="CY24" i="7" s="1"/>
  <c r="BV25" i="7"/>
  <c r="CQ25" i="7" s="1"/>
  <c r="CJ30" i="7"/>
  <c r="DE30" i="7" s="1"/>
  <c r="CC29" i="7"/>
  <c r="CX29" i="7" s="1"/>
  <c r="BU29" i="7"/>
  <c r="CP29" i="7" s="1"/>
  <c r="CK28" i="7" l="1"/>
  <c r="DF28" i="7" s="1"/>
  <c r="BN24" i="7"/>
  <c r="AN23" i="7"/>
  <c r="BO22" i="7"/>
  <c r="CF24" i="7"/>
  <c r="DA24" i="7" s="1"/>
  <c r="H18" i="7"/>
  <c r="CL28" i="7"/>
  <c r="DG28" i="7" s="1"/>
  <c r="EM27" i="7"/>
  <c r="F7" i="32"/>
  <c r="AR18" i="7"/>
  <c r="BI18" i="7" s="1"/>
  <c r="AP18" i="7"/>
  <c r="BG18" i="7" s="1"/>
  <c r="AQ18" i="7"/>
  <c r="BH18" i="7" s="1"/>
  <c r="AL18" i="7"/>
  <c r="AJ18" i="7"/>
  <c r="C18" i="7" s="1"/>
  <c r="AK18" i="7"/>
  <c r="D18" i="7" s="1"/>
  <c r="D7" i="32"/>
  <c r="EN30" i="7"/>
  <c r="BZ31" i="7"/>
  <c r="CU31" i="7" s="1"/>
  <c r="DX23" i="7"/>
  <c r="EB23" i="7"/>
  <c r="DW23" i="7"/>
  <c r="BX28" i="7"/>
  <c r="CS28" i="7" s="1"/>
  <c r="BY28" i="7"/>
  <c r="CT28" i="7" s="1"/>
  <c r="BW30" i="7"/>
  <c r="CR30" i="7" s="1"/>
  <c r="L23" i="7"/>
  <c r="AT22" i="7"/>
  <c r="AX22" i="7"/>
  <c r="DM22" i="7" s="1"/>
  <c r="BB22" i="7"/>
  <c r="DQ22" i="7" s="1"/>
  <c r="M12" i="32" s="1"/>
  <c r="AU22" i="7"/>
  <c r="DJ22" i="7" s="1"/>
  <c r="AY22" i="7"/>
  <c r="DN22" i="7" s="1"/>
  <c r="L12" i="32" s="1"/>
  <c r="BC22" i="7"/>
  <c r="DR22" i="7" s="1"/>
  <c r="AZ22" i="7"/>
  <c r="DO22" i="7" s="1"/>
  <c r="BA22" i="7"/>
  <c r="DP22" i="7" s="1"/>
  <c r="AV22" i="7"/>
  <c r="DK22" i="7" s="1"/>
  <c r="K12" i="32" s="1"/>
  <c r="AW22" i="7"/>
  <c r="DL22" i="7" s="1"/>
  <c r="AE22" i="7"/>
  <c r="AG22" i="7"/>
  <c r="AH22" i="7"/>
  <c r="AF22" i="7"/>
  <c r="BP21" i="7"/>
  <c r="BQ21" i="7" s="1"/>
  <c r="CM24" i="7"/>
  <c r="DH24" i="7" s="1"/>
  <c r="BS24" i="7"/>
  <c r="CN24" i="7" s="1"/>
  <c r="CJ31" i="7"/>
  <c r="DE31" i="7" s="1"/>
  <c r="CC30" i="7"/>
  <c r="CX30" i="7" s="1"/>
  <c r="BU30" i="7"/>
  <c r="CP30" i="7" s="1"/>
  <c r="CK29" i="7" l="1"/>
  <c r="DF29" i="7" s="1"/>
  <c r="BR23" i="7"/>
  <c r="CG24" i="7"/>
  <c r="DB24" i="7" s="1"/>
  <c r="AN24" i="7"/>
  <c r="CF25" i="7"/>
  <c r="DA25" i="7" s="1"/>
  <c r="BL18" i="7"/>
  <c r="CL29" i="7"/>
  <c r="DG29" i="7" s="1"/>
  <c r="EM28" i="7"/>
  <c r="G7" i="32"/>
  <c r="P7" i="32" s="1"/>
  <c r="Q7" i="32" s="1"/>
  <c r="BK18" i="7"/>
  <c r="E18" i="7"/>
  <c r="F18" i="7" s="1"/>
  <c r="BJ18" i="7"/>
  <c r="EN31" i="7"/>
  <c r="BZ32" i="7"/>
  <c r="CU32" i="7" s="1"/>
  <c r="EF24" i="7"/>
  <c r="EC24" i="7"/>
  <c r="EA24" i="7"/>
  <c r="DZ24" i="7"/>
  <c r="M23" i="7"/>
  <c r="E13" i="32" s="1"/>
  <c r="C13" i="32"/>
  <c r="AD23" i="7"/>
  <c r="DV24" i="7"/>
  <c r="BY29" i="7"/>
  <c r="CT29" i="7" s="1"/>
  <c r="BX29" i="7"/>
  <c r="CS29" i="7" s="1"/>
  <c r="BW31" i="7"/>
  <c r="CR31" i="7" s="1"/>
  <c r="AC23" i="7"/>
  <c r="AB23" i="7"/>
  <c r="G21" i="7"/>
  <c r="CA24" i="7"/>
  <c r="CV24" i="7" s="1"/>
  <c r="AI22" i="7"/>
  <c r="BF22" i="7"/>
  <c r="BD22" i="7"/>
  <c r="DI22" i="7"/>
  <c r="BP22" i="7" s="1"/>
  <c r="BQ22" i="7" s="1"/>
  <c r="BE22" i="7"/>
  <c r="CM25" i="7"/>
  <c r="DH25" i="7" s="1"/>
  <c r="CD25" i="7"/>
  <c r="CY25" i="7" s="1"/>
  <c r="CB25" i="7"/>
  <c r="CW25" i="7" s="1"/>
  <c r="CI25" i="7"/>
  <c r="DD25" i="7" s="1"/>
  <c r="CH25" i="7"/>
  <c r="DC25" i="7" s="1"/>
  <c r="CJ32" i="7"/>
  <c r="DE32" i="7" s="1"/>
  <c r="CC31" i="7"/>
  <c r="CX31" i="7" s="1"/>
  <c r="BU31" i="7"/>
  <c r="CP31" i="7" s="1"/>
  <c r="BT26" i="7" l="1"/>
  <c r="CO26" i="7" s="1"/>
  <c r="CB26" i="7"/>
  <c r="CW26" i="7" s="1"/>
  <c r="BV26" i="7"/>
  <c r="CQ26" i="7" s="1"/>
  <c r="CK30" i="7"/>
  <c r="DF30" i="7" s="1"/>
  <c r="AN25" i="7"/>
  <c r="AO24" i="7"/>
  <c r="BO23" i="7"/>
  <c r="CG25" i="7"/>
  <c r="DB25" i="7" s="1"/>
  <c r="H19" i="7"/>
  <c r="BM18" i="7"/>
  <c r="CL30" i="7"/>
  <c r="DG30" i="7" s="1"/>
  <c r="EM29" i="7"/>
  <c r="EN32" i="7"/>
  <c r="BZ33" i="7"/>
  <c r="CU33" i="7" s="1"/>
  <c r="BB23" i="7"/>
  <c r="DQ23" i="7" s="1"/>
  <c r="M13" i="32" s="1"/>
  <c r="AG23" i="7"/>
  <c r="AY23" i="7"/>
  <c r="DN23" i="7" s="1"/>
  <c r="L13" i="32" s="1"/>
  <c r="BC23" i="7"/>
  <c r="DR23" i="7" s="1"/>
  <c r="AX23" i="7"/>
  <c r="DM23" i="7" s="1"/>
  <c r="AT23" i="7"/>
  <c r="DI23" i="7" s="1"/>
  <c r="AZ23" i="7"/>
  <c r="DO23" i="7" s="1"/>
  <c r="AV23" i="7"/>
  <c r="DK23" i="7" s="1"/>
  <c r="K13" i="32" s="1"/>
  <c r="AH23" i="7"/>
  <c r="AU23" i="7"/>
  <c r="DJ23" i="7" s="1"/>
  <c r="BA23" i="7"/>
  <c r="DP23" i="7" s="1"/>
  <c r="AF23" i="7"/>
  <c r="AW23" i="7"/>
  <c r="DL23" i="7" s="1"/>
  <c r="EO26" i="7"/>
  <c r="DW24" i="7"/>
  <c r="DX24" i="7"/>
  <c r="EB24" i="7"/>
  <c r="BX30" i="7"/>
  <c r="CS30" i="7" s="1"/>
  <c r="BY30" i="7"/>
  <c r="CT30" i="7" s="1"/>
  <c r="BW32" i="7"/>
  <c r="CR32" i="7" s="1"/>
  <c r="AE23" i="7"/>
  <c r="L24" i="7"/>
  <c r="G22" i="7"/>
  <c r="CM26" i="7"/>
  <c r="DH26" i="7" s="1"/>
  <c r="CD26" i="7"/>
  <c r="CY26" i="7" s="1"/>
  <c r="CG26" i="7"/>
  <c r="DB26" i="7" s="1"/>
  <c r="DS25" i="7"/>
  <c r="CH26" i="7"/>
  <c r="DC26" i="7" s="1"/>
  <c r="BN25" i="7"/>
  <c r="CJ33" i="7"/>
  <c r="DE33" i="7" s="1"/>
  <c r="CC32" i="7"/>
  <c r="CX32" i="7" s="1"/>
  <c r="BU32" i="7"/>
  <c r="CP32" i="7" s="1"/>
  <c r="AO26" i="7" l="1"/>
  <c r="CB27" i="7"/>
  <c r="CW27" i="7" s="1"/>
  <c r="CK31" i="7"/>
  <c r="DF31" i="7" s="1"/>
  <c r="CE25" i="7"/>
  <c r="CZ25" i="7" s="1"/>
  <c r="BS25" i="7"/>
  <c r="CN25" i="7" s="1"/>
  <c r="AO25" i="7"/>
  <c r="AI23" i="7"/>
  <c r="AC24" i="7"/>
  <c r="BR24" i="7"/>
  <c r="B18" i="7"/>
  <c r="P18" i="7"/>
  <c r="EM30" i="7"/>
  <c r="CL31" i="7"/>
  <c r="DG31" i="7" s="1"/>
  <c r="EN33" i="7"/>
  <c r="BZ34" i="7"/>
  <c r="CU34" i="7" s="1"/>
  <c r="BE23" i="7"/>
  <c r="BD23" i="7"/>
  <c r="BF23" i="7"/>
  <c r="BP23" i="7"/>
  <c r="BQ23" i="7" s="1"/>
  <c r="CA25" i="7"/>
  <c r="CV25" i="7" s="1"/>
  <c r="C14" i="32"/>
  <c r="BY31" i="7"/>
  <c r="CT31" i="7" s="1"/>
  <c r="BX31" i="7"/>
  <c r="CS31" i="7" s="1"/>
  <c r="AB24" i="7"/>
  <c r="BW33" i="7"/>
  <c r="CR33" i="7" s="1"/>
  <c r="M24" i="7"/>
  <c r="AD24" i="7"/>
  <c r="L25" i="7"/>
  <c r="BS26" i="7" s="1"/>
  <c r="CN26" i="7" s="1"/>
  <c r="CD27" i="7"/>
  <c r="CY27" i="7" s="1"/>
  <c r="BT27" i="7"/>
  <c r="CO27" i="7" s="1"/>
  <c r="CI26" i="7"/>
  <c r="DD26" i="7" s="1"/>
  <c r="CB28" i="7"/>
  <c r="CW28" i="7" s="1"/>
  <c r="CH27" i="7"/>
  <c r="DC27" i="7" s="1"/>
  <c r="BN26" i="7"/>
  <c r="CJ34" i="7"/>
  <c r="DE34" i="7" s="1"/>
  <c r="CC33" i="7"/>
  <c r="CX33" i="7" s="1"/>
  <c r="CE26" i="7" l="1"/>
  <c r="CZ26" i="7" s="1"/>
  <c r="AM25" i="7"/>
  <c r="CK32" i="7"/>
  <c r="DF32" i="7" s="1"/>
  <c r="EF25" i="7"/>
  <c r="BO24" i="7"/>
  <c r="EC25" i="7"/>
  <c r="EA25" i="7"/>
  <c r="DV25" i="7"/>
  <c r="DZ25" i="7"/>
  <c r="AM26" i="7"/>
  <c r="CE27" i="7"/>
  <c r="CZ27" i="7" s="1"/>
  <c r="BR25" i="7"/>
  <c r="CF26" i="7"/>
  <c r="DA26" i="7" s="1"/>
  <c r="H20" i="7"/>
  <c r="N19" i="7"/>
  <c r="D8" i="32"/>
  <c r="EM31" i="7"/>
  <c r="CL32" i="7"/>
  <c r="DG32" i="7" s="1"/>
  <c r="EN34" i="7"/>
  <c r="BZ35" i="7"/>
  <c r="CU35" i="7" s="1"/>
  <c r="G23" i="7"/>
  <c r="CA26" i="7"/>
  <c r="CV26" i="7" s="1"/>
  <c r="C15" i="32"/>
  <c r="EF26" i="7"/>
  <c r="EC26" i="7"/>
  <c r="EA26" i="7"/>
  <c r="DZ26" i="7"/>
  <c r="EO27" i="7"/>
  <c r="EB25" i="7"/>
  <c r="DW25" i="7"/>
  <c r="DX25" i="7"/>
  <c r="AX24" i="7"/>
  <c r="DM24" i="7" s="1"/>
  <c r="E14" i="32"/>
  <c r="AC25" i="7"/>
  <c r="DV26" i="7"/>
  <c r="AT24" i="7"/>
  <c r="DI24" i="7" s="1"/>
  <c r="AV24" i="7"/>
  <c r="DK24" i="7" s="1"/>
  <c r="K14" i="32" s="1"/>
  <c r="AF24" i="7"/>
  <c r="AG24" i="7"/>
  <c r="AZ24" i="7"/>
  <c r="DO24" i="7" s="1"/>
  <c r="AY24" i="7"/>
  <c r="DN24" i="7" s="1"/>
  <c r="L14" i="32" s="1"/>
  <c r="AU24" i="7"/>
  <c r="DJ24" i="7" s="1"/>
  <c r="AB25" i="7"/>
  <c r="AW24" i="7"/>
  <c r="DL24" i="7" s="1"/>
  <c r="BB24" i="7"/>
  <c r="DQ24" i="7" s="1"/>
  <c r="M14" i="32" s="1"/>
  <c r="BX32" i="7"/>
  <c r="CS32" i="7" s="1"/>
  <c r="AD25" i="7"/>
  <c r="BY32" i="7"/>
  <c r="CT32" i="7" s="1"/>
  <c r="BA24" i="7"/>
  <c r="DP24" i="7" s="1"/>
  <c r="BC24" i="7"/>
  <c r="DR24" i="7" s="1"/>
  <c r="AE24" i="7"/>
  <c r="BW34" i="7"/>
  <c r="CR34" i="7" s="1"/>
  <c r="AH24" i="7"/>
  <c r="M25" i="7"/>
  <c r="CM27" i="7"/>
  <c r="DH27" i="7" s="1"/>
  <c r="BV27" i="7"/>
  <c r="CQ27" i="7" s="1"/>
  <c r="DS26" i="7"/>
  <c r="CI27" i="7"/>
  <c r="DD27" i="7" s="1"/>
  <c r="CG27" i="7"/>
  <c r="DB27" i="7" s="1"/>
  <c r="BS27" i="7"/>
  <c r="CN27" i="7" s="1"/>
  <c r="CB29" i="7"/>
  <c r="CW29" i="7" s="1"/>
  <c r="CH28" i="7"/>
  <c r="DC28" i="7" s="1"/>
  <c r="BN27" i="7"/>
  <c r="CJ35" i="7"/>
  <c r="DE35" i="7" s="1"/>
  <c r="CC34" i="7"/>
  <c r="CX34" i="7" s="1"/>
  <c r="L26" i="7" l="1"/>
  <c r="CK33" i="7"/>
  <c r="DF33" i="7" s="1"/>
  <c r="AM27" i="7"/>
  <c r="H21" i="7"/>
  <c r="CF27" i="7"/>
  <c r="DA27" i="7" s="1"/>
  <c r="AN26" i="7"/>
  <c r="M26" i="7"/>
  <c r="E16" i="32" s="1"/>
  <c r="BR26" i="7"/>
  <c r="H22" i="7" s="1"/>
  <c r="AB26" i="7"/>
  <c r="AP19" i="7"/>
  <c r="BG19" i="7" s="1"/>
  <c r="F8" i="32"/>
  <c r="G8" i="32" s="1"/>
  <c r="P8" i="32" s="1"/>
  <c r="Q8" i="32" s="1"/>
  <c r="AQ19" i="7"/>
  <c r="BH19" i="7" s="1"/>
  <c r="AL19" i="7"/>
  <c r="AK19" i="7"/>
  <c r="AR19" i="7"/>
  <c r="BI19" i="7" s="1"/>
  <c r="AJ19" i="7"/>
  <c r="CL33" i="7"/>
  <c r="DG33" i="7" s="1"/>
  <c r="EM32" i="7"/>
  <c r="AC26" i="7"/>
  <c r="CA27" i="7"/>
  <c r="CV27" i="7" s="1"/>
  <c r="EN35" i="7"/>
  <c r="BZ36" i="7"/>
  <c r="CU36" i="7" s="1"/>
  <c r="BO25" i="7"/>
  <c r="AD26" i="7"/>
  <c r="DW26" i="7"/>
  <c r="DX26" i="7"/>
  <c r="EB26" i="7"/>
  <c r="AE25" i="7"/>
  <c r="EF27" i="7"/>
  <c r="EC27" i="7"/>
  <c r="DZ27" i="7"/>
  <c r="EA27" i="7"/>
  <c r="C16" i="32"/>
  <c r="AW25" i="7"/>
  <c r="DL25" i="7" s="1"/>
  <c r="E15" i="32"/>
  <c r="BS28" i="7"/>
  <c r="CN28" i="7" s="1"/>
  <c r="DV27" i="7"/>
  <c r="AI24" i="7"/>
  <c r="BP24" i="7"/>
  <c r="BQ24" i="7" s="1"/>
  <c r="BF24" i="7"/>
  <c r="BE24" i="7"/>
  <c r="BY33" i="7"/>
  <c r="CT33" i="7" s="1"/>
  <c r="BX33" i="7"/>
  <c r="CS33" i="7" s="1"/>
  <c r="AH25" i="7"/>
  <c r="BD24" i="7"/>
  <c r="BW35" i="7"/>
  <c r="CR35" i="7" s="1"/>
  <c r="AG25" i="7"/>
  <c r="AY25" i="7"/>
  <c r="DN25" i="7" s="1"/>
  <c r="L15" i="32" s="1"/>
  <c r="BB25" i="7"/>
  <c r="DQ25" i="7" s="1"/>
  <c r="M15" i="32" s="1"/>
  <c r="AF25" i="7"/>
  <c r="BC25" i="7"/>
  <c r="DR25" i="7" s="1"/>
  <c r="AU25" i="7"/>
  <c r="DJ25" i="7" s="1"/>
  <c r="AT25" i="7"/>
  <c r="DI25" i="7" s="1"/>
  <c r="BA25" i="7"/>
  <c r="DP25" i="7" s="1"/>
  <c r="AZ25" i="7"/>
  <c r="DO25" i="7" s="1"/>
  <c r="AX25" i="7"/>
  <c r="DM25" i="7" s="1"/>
  <c r="AV25" i="7"/>
  <c r="DK25" i="7" s="1"/>
  <c r="K15" i="32" s="1"/>
  <c r="AO27" i="7"/>
  <c r="L27" i="7"/>
  <c r="DS27" i="7"/>
  <c r="BN28" i="7"/>
  <c r="CJ36" i="7"/>
  <c r="DE36" i="7" s="1"/>
  <c r="CC35" i="7"/>
  <c r="CX35" i="7" s="1"/>
  <c r="CK34" i="7" l="1"/>
  <c r="DF34" i="7" s="1"/>
  <c r="BS29" i="7"/>
  <c r="CN29" i="7" s="1"/>
  <c r="AG26" i="7"/>
  <c r="BA26" i="7"/>
  <c r="DP26" i="7" s="1"/>
  <c r="AZ26" i="7"/>
  <c r="DO26" i="7" s="1"/>
  <c r="AU26" i="7"/>
  <c r="DJ26" i="7" s="1"/>
  <c r="BB26" i="7"/>
  <c r="DQ26" i="7" s="1"/>
  <c r="M16" i="32" s="1"/>
  <c r="AW26" i="7"/>
  <c r="DL26" i="7" s="1"/>
  <c r="BC26" i="7"/>
  <c r="DR26" i="7" s="1"/>
  <c r="AX26" i="7"/>
  <c r="DM26" i="7" s="1"/>
  <c r="AV26" i="7"/>
  <c r="DK26" i="7" s="1"/>
  <c r="K16" i="32" s="1"/>
  <c r="AY26" i="7"/>
  <c r="DN26" i="7" s="1"/>
  <c r="L16" i="32" s="1"/>
  <c r="AT26" i="7"/>
  <c r="DI26" i="7" s="1"/>
  <c r="AH26" i="7"/>
  <c r="BR27" i="7"/>
  <c r="H23" i="7" s="1"/>
  <c r="CE28" i="7"/>
  <c r="CZ28" i="7" s="1"/>
  <c r="AN27" i="7"/>
  <c r="BO26" i="7"/>
  <c r="AE26" i="7"/>
  <c r="AF26" i="7"/>
  <c r="E19" i="7"/>
  <c r="BL19" i="7"/>
  <c r="BK19" i="7"/>
  <c r="D19" i="7"/>
  <c r="C19" i="7"/>
  <c r="BJ19" i="7"/>
  <c r="DX27" i="7"/>
  <c r="EB27" i="7"/>
  <c r="CL34" i="7"/>
  <c r="DG34" i="7" s="1"/>
  <c r="EM33" i="7"/>
  <c r="DW27" i="7"/>
  <c r="EN36" i="7"/>
  <c r="BZ37" i="7"/>
  <c r="CU37" i="7" s="1"/>
  <c r="G24" i="7"/>
  <c r="C17" i="32"/>
  <c r="EA28" i="7"/>
  <c r="DZ28" i="7"/>
  <c r="DV28" i="7"/>
  <c r="BF25" i="7"/>
  <c r="BP25" i="7"/>
  <c r="BQ25" i="7" s="1"/>
  <c r="AI25" i="7"/>
  <c r="BE25" i="7"/>
  <c r="BX34" i="7"/>
  <c r="CS34" i="7" s="1"/>
  <c r="BD25" i="7"/>
  <c r="BY34" i="7"/>
  <c r="CT34" i="7" s="1"/>
  <c r="BW36" i="7"/>
  <c r="CR36" i="7" s="1"/>
  <c r="CM28" i="7"/>
  <c r="DH28" i="7" s="1"/>
  <c r="M27" i="7"/>
  <c r="E17" i="32" s="1"/>
  <c r="CI28" i="7"/>
  <c r="DD28" i="7" s="1"/>
  <c r="CD28" i="7"/>
  <c r="CY28" i="7" s="1"/>
  <c r="BT28" i="7"/>
  <c r="CO28" i="7" s="1"/>
  <c r="BV28" i="7"/>
  <c r="CQ28" i="7" s="1"/>
  <c r="CF28" i="7"/>
  <c r="DA28" i="7" s="1"/>
  <c r="CA28" i="7"/>
  <c r="CV28" i="7" s="1"/>
  <c r="AD27" i="7"/>
  <c r="AB27" i="7"/>
  <c r="AC27" i="7"/>
  <c r="CG28" i="7"/>
  <c r="DB28" i="7" s="1"/>
  <c r="CH29" i="7"/>
  <c r="DC29" i="7" s="1"/>
  <c r="CB30" i="7"/>
  <c r="CW30" i="7" s="1"/>
  <c r="CJ37" i="7"/>
  <c r="DE37" i="7" s="1"/>
  <c r="CC36" i="7"/>
  <c r="CX36" i="7" s="1"/>
  <c r="CB31" i="7" l="1"/>
  <c r="CW31" i="7" s="1"/>
  <c r="BN29" i="7"/>
  <c r="BS30" i="7"/>
  <c r="CN30" i="7" s="1"/>
  <c r="DS28" i="7"/>
  <c r="DV29" i="7"/>
  <c r="CK35" i="7"/>
  <c r="DF35" i="7" s="1"/>
  <c r="L28" i="7"/>
  <c r="BR28" i="7" s="1"/>
  <c r="H24" i="7" s="1"/>
  <c r="BF26" i="7"/>
  <c r="AI26" i="7"/>
  <c r="BE26" i="7"/>
  <c r="BD26" i="7"/>
  <c r="AM28" i="7"/>
  <c r="CE29" i="7"/>
  <c r="CZ29" i="7" s="1"/>
  <c r="F19" i="7"/>
  <c r="BM19" i="7"/>
  <c r="CL35" i="7"/>
  <c r="DG35" i="7" s="1"/>
  <c r="EM34" i="7"/>
  <c r="EN37" i="7"/>
  <c r="BZ38" i="7"/>
  <c r="CU38" i="7" s="1"/>
  <c r="G25" i="7"/>
  <c r="DW28" i="7"/>
  <c r="EF28" i="7"/>
  <c r="EA29" i="7"/>
  <c r="EO28" i="7"/>
  <c r="EC28" i="7"/>
  <c r="DX28" i="7"/>
  <c r="EB28" i="7"/>
  <c r="DZ29" i="7"/>
  <c r="BP26" i="7"/>
  <c r="BQ26" i="7" s="1"/>
  <c r="BY35" i="7"/>
  <c r="CT35" i="7" s="1"/>
  <c r="BX35" i="7"/>
  <c r="CS35" i="7" s="1"/>
  <c r="BW37" i="7"/>
  <c r="CR37" i="7" s="1"/>
  <c r="AV27" i="7"/>
  <c r="DK27" i="7" s="1"/>
  <c r="K17" i="32" s="1"/>
  <c r="AZ27" i="7"/>
  <c r="DO27" i="7" s="1"/>
  <c r="AW27" i="7"/>
  <c r="DL27" i="7" s="1"/>
  <c r="BA27" i="7"/>
  <c r="DP27" i="7" s="1"/>
  <c r="AX27" i="7"/>
  <c r="DM27" i="7" s="1"/>
  <c r="AY27" i="7"/>
  <c r="DN27" i="7" s="1"/>
  <c r="L17" i="32" s="1"/>
  <c r="BB27" i="7"/>
  <c r="DQ27" i="7" s="1"/>
  <c r="M17" i="32" s="1"/>
  <c r="BC27" i="7"/>
  <c r="DR27" i="7" s="1"/>
  <c r="AT27" i="7"/>
  <c r="DI27" i="7" s="1"/>
  <c r="AU27" i="7"/>
  <c r="DJ27" i="7" s="1"/>
  <c r="AO28" i="7"/>
  <c r="CM29" i="7"/>
  <c r="DH29" i="7" s="1"/>
  <c r="AN28" i="7"/>
  <c r="CD29" i="7"/>
  <c r="CY29" i="7" s="1"/>
  <c r="AG27" i="7"/>
  <c r="AF27" i="7"/>
  <c r="AH27" i="7"/>
  <c r="BV29" i="7"/>
  <c r="CQ29" i="7" s="1"/>
  <c r="BT29" i="7"/>
  <c r="CO29" i="7" s="1"/>
  <c r="AE27" i="7"/>
  <c r="CG29" i="7"/>
  <c r="DB29" i="7" s="1"/>
  <c r="CB32" i="7"/>
  <c r="CW32" i="7" s="1"/>
  <c r="BS31" i="7"/>
  <c r="CN31" i="7" s="1"/>
  <c r="CJ38" i="7"/>
  <c r="DE38" i="7" s="1"/>
  <c r="CC37" i="7"/>
  <c r="CX37" i="7" s="1"/>
  <c r="DV30" i="7" l="1"/>
  <c r="BV30" i="7"/>
  <c r="CQ30" i="7" s="1"/>
  <c r="AM29" i="7"/>
  <c r="CK36" i="7"/>
  <c r="DF36" i="7" s="1"/>
  <c r="CF29" i="7"/>
  <c r="DA29" i="7" s="1"/>
  <c r="C18" i="32"/>
  <c r="M28" i="7"/>
  <c r="E18" i="32" s="1"/>
  <c r="CE30" i="7"/>
  <c r="CZ30" i="7" s="1"/>
  <c r="B19" i="7"/>
  <c r="P19" i="7"/>
  <c r="BO27" i="7"/>
  <c r="CL36" i="7"/>
  <c r="DG36" i="7" s="1"/>
  <c r="EM35" i="7"/>
  <c r="EN38" i="7"/>
  <c r="BZ39" i="7"/>
  <c r="CU39" i="7" s="1"/>
  <c r="G26" i="7"/>
  <c r="EO29" i="7"/>
  <c r="EC29" i="7"/>
  <c r="DV31" i="7"/>
  <c r="BX36" i="7"/>
  <c r="CS36" i="7" s="1"/>
  <c r="BY36" i="7"/>
  <c r="CT36" i="7" s="1"/>
  <c r="BW38" i="7"/>
  <c r="CR38" i="7" s="1"/>
  <c r="CM30" i="7"/>
  <c r="DH30" i="7" s="1"/>
  <c r="AO29" i="7"/>
  <c r="AN29" i="7"/>
  <c r="BP27" i="7"/>
  <c r="CD30" i="7"/>
  <c r="CY30" i="7" s="1"/>
  <c r="BF27" i="7"/>
  <c r="BE27" i="7"/>
  <c r="BD27" i="7"/>
  <c r="AI27" i="7"/>
  <c r="CA29" i="7"/>
  <c r="CV29" i="7" s="1"/>
  <c r="CI29" i="7"/>
  <c r="DD29" i="7" s="1"/>
  <c r="BV31" i="7"/>
  <c r="CQ31" i="7" s="1"/>
  <c r="AB28" i="7"/>
  <c r="AC28" i="7"/>
  <c r="AD28" i="7"/>
  <c r="CH30" i="7"/>
  <c r="DC30" i="7" s="1"/>
  <c r="CB33" i="7"/>
  <c r="CW33" i="7" s="1"/>
  <c r="CJ39" i="7"/>
  <c r="DE39" i="7" s="1"/>
  <c r="CC38" i="7"/>
  <c r="CX38" i="7" s="1"/>
  <c r="CF30" i="7" l="1"/>
  <c r="DA30" i="7" s="1"/>
  <c r="AM30" i="7"/>
  <c r="EF29" i="7"/>
  <c r="CK37" i="7"/>
  <c r="DF37" i="7" s="1"/>
  <c r="AT28" i="7"/>
  <c r="DI28" i="7" s="1"/>
  <c r="BB28" i="7"/>
  <c r="AX28" i="7"/>
  <c r="DM28" i="7" s="1"/>
  <c r="AZ28" i="7"/>
  <c r="DO28" i="7" s="1"/>
  <c r="AV28" i="7"/>
  <c r="DK28" i="7" s="1"/>
  <c r="K18" i="32" s="1"/>
  <c r="BC28" i="7"/>
  <c r="DR28" i="7" s="1"/>
  <c r="BA28" i="7"/>
  <c r="DP28" i="7" s="1"/>
  <c r="AY28" i="7"/>
  <c r="DN28" i="7" s="1"/>
  <c r="L18" i="32" s="1"/>
  <c r="AW28" i="7"/>
  <c r="DL28" i="7" s="1"/>
  <c r="AU28" i="7"/>
  <c r="DJ28" i="7" s="1"/>
  <c r="D9" i="32"/>
  <c r="N20" i="7"/>
  <c r="BQ27" i="7"/>
  <c r="EM36" i="7"/>
  <c r="CL37" i="7"/>
  <c r="DG37" i="7" s="1"/>
  <c r="EN39" i="7"/>
  <c r="BZ40" i="7"/>
  <c r="CU40" i="7" s="1"/>
  <c r="DZ30" i="7"/>
  <c r="EA30" i="7"/>
  <c r="EB29" i="7"/>
  <c r="DX29" i="7"/>
  <c r="DW29" i="7"/>
  <c r="BY37" i="7"/>
  <c r="CT37" i="7" s="1"/>
  <c r="BX37" i="7"/>
  <c r="CS37" i="7" s="1"/>
  <c r="BW39" i="7"/>
  <c r="CR39" i="7" s="1"/>
  <c r="CM31" i="7"/>
  <c r="DH31" i="7" s="1"/>
  <c r="L29" i="7"/>
  <c r="CD31" i="7"/>
  <c r="CY31" i="7" s="1"/>
  <c r="DS29" i="7"/>
  <c r="CI30" i="7"/>
  <c r="DD30" i="7" s="1"/>
  <c r="BV32" i="7"/>
  <c r="CQ32" i="7" s="1"/>
  <c r="AG28" i="7"/>
  <c r="DQ28" i="7"/>
  <c r="M18" i="32" s="1"/>
  <c r="AF28" i="7"/>
  <c r="AE28" i="7"/>
  <c r="AH28" i="7"/>
  <c r="BN30" i="7"/>
  <c r="CB34" i="7"/>
  <c r="CW34" i="7" s="1"/>
  <c r="BS32" i="7"/>
  <c r="CN32" i="7" s="1"/>
  <c r="CJ40" i="7"/>
  <c r="DE40" i="7" s="1"/>
  <c r="CC39" i="7"/>
  <c r="CX39" i="7" s="1"/>
  <c r="CK38" i="7" l="1"/>
  <c r="DF38" i="7" s="1"/>
  <c r="EF30" i="7"/>
  <c r="AN30" i="7"/>
  <c r="BR29" i="7"/>
  <c r="CG30" i="7"/>
  <c r="DB30" i="7" s="1"/>
  <c r="AP20" i="7"/>
  <c r="BG20" i="7" s="1"/>
  <c r="AQ20" i="7"/>
  <c r="BH20" i="7" s="1"/>
  <c r="AR20" i="7"/>
  <c r="BI20" i="7" s="1"/>
  <c r="F9" i="32"/>
  <c r="G9" i="32" s="1"/>
  <c r="P9" i="32" s="1"/>
  <c r="Q9" i="32" s="1"/>
  <c r="AL20" i="7"/>
  <c r="AK20" i="7"/>
  <c r="AJ20" i="7"/>
  <c r="G27" i="7"/>
  <c r="BO28" i="7"/>
  <c r="CL38" i="7"/>
  <c r="DG38" i="7" s="1"/>
  <c r="EM37" i="7"/>
  <c r="EN40" i="7"/>
  <c r="C19" i="32"/>
  <c r="DV32" i="7"/>
  <c r="BX38" i="7"/>
  <c r="CS38" i="7" s="1"/>
  <c r="BY38" i="7"/>
  <c r="CT38" i="7" s="1"/>
  <c r="BW40" i="7"/>
  <c r="CR40" i="7" s="1"/>
  <c r="AB29" i="7"/>
  <c r="M29" i="7"/>
  <c r="E19" i="32" s="1"/>
  <c r="BP28" i="7"/>
  <c r="CD32" i="7"/>
  <c r="CY32" i="7" s="1"/>
  <c r="CA30" i="7"/>
  <c r="CV30" i="7" s="1"/>
  <c r="AD29" i="7"/>
  <c r="AC29" i="7"/>
  <c r="BT30" i="7"/>
  <c r="CO30" i="7" s="1"/>
  <c r="DS30" i="7"/>
  <c r="CI31" i="7"/>
  <c r="DD31" i="7" s="1"/>
  <c r="BV33" i="7"/>
  <c r="CQ33" i="7" s="1"/>
  <c r="BD28" i="7"/>
  <c r="AI28" i="7"/>
  <c r="BF28" i="7"/>
  <c r="BE28" i="7"/>
  <c r="CB35" i="7"/>
  <c r="CW35" i="7" s="1"/>
  <c r="CF31" i="7"/>
  <c r="DA31" i="7" s="1"/>
  <c r="CJ41" i="7"/>
  <c r="DE41" i="7" s="1"/>
  <c r="CC40" i="7"/>
  <c r="CX40" i="7" s="1"/>
  <c r="EF31" i="7" l="1"/>
  <c r="AN31" i="7"/>
  <c r="CK39" i="7"/>
  <c r="DF39" i="7" s="1"/>
  <c r="AO30" i="7"/>
  <c r="CG31" i="7"/>
  <c r="DB31" i="7" s="1"/>
  <c r="H25" i="7"/>
  <c r="D20" i="7"/>
  <c r="BK20" i="7"/>
  <c r="BQ28" i="7"/>
  <c r="BJ20" i="7"/>
  <c r="C20" i="7"/>
  <c r="E20" i="7"/>
  <c r="BL20" i="7"/>
  <c r="CL39" i="7"/>
  <c r="DG39" i="7" s="1"/>
  <c r="EM38" i="7"/>
  <c r="EB30" i="7"/>
  <c r="DX30" i="7"/>
  <c r="DW30" i="7"/>
  <c r="EO30" i="7"/>
  <c r="EC30" i="7"/>
  <c r="BY39" i="7"/>
  <c r="CT39" i="7" s="1"/>
  <c r="BX39" i="7"/>
  <c r="CS39" i="7" s="1"/>
  <c r="BW41" i="7"/>
  <c r="CR41" i="7" s="1"/>
  <c r="AV29" i="7"/>
  <c r="DK29" i="7" s="1"/>
  <c r="K19" i="32" s="1"/>
  <c r="AZ29" i="7"/>
  <c r="DO29" i="7" s="1"/>
  <c r="AW29" i="7"/>
  <c r="DL29" i="7" s="1"/>
  <c r="BA29" i="7"/>
  <c r="DP29" i="7" s="1"/>
  <c r="AT29" i="7"/>
  <c r="DI29" i="7" s="1"/>
  <c r="BB29" i="7"/>
  <c r="DQ29" i="7" s="1"/>
  <c r="M19" i="32" s="1"/>
  <c r="AU29" i="7"/>
  <c r="DJ29" i="7" s="1"/>
  <c r="BC29" i="7"/>
  <c r="DR29" i="7" s="1"/>
  <c r="AX29" i="7"/>
  <c r="DM29" i="7" s="1"/>
  <c r="AY29" i="7"/>
  <c r="DN29" i="7" s="1"/>
  <c r="L19" i="32" s="1"/>
  <c r="L30" i="7"/>
  <c r="CE31" i="7" s="1"/>
  <c r="CZ31" i="7" s="1"/>
  <c r="AG29" i="7"/>
  <c r="CD33" i="7"/>
  <c r="CY33" i="7" s="1"/>
  <c r="CH31" i="7"/>
  <c r="DC31" i="7" s="1"/>
  <c r="AF29" i="7"/>
  <c r="AH29" i="7"/>
  <c r="AE29" i="7"/>
  <c r="BT31" i="7"/>
  <c r="CO31" i="7" s="1"/>
  <c r="DS31" i="7"/>
  <c r="CI32" i="7"/>
  <c r="DD32" i="7" s="1"/>
  <c r="BV34" i="7"/>
  <c r="CQ34" i="7" s="1"/>
  <c r="CB36" i="7"/>
  <c r="CW36" i="7" s="1"/>
  <c r="BS33" i="7"/>
  <c r="CN33" i="7" s="1"/>
  <c r="CJ42" i="7"/>
  <c r="DE42" i="7" s="1"/>
  <c r="CC41" i="7"/>
  <c r="CX41" i="7" s="1"/>
  <c r="EF32" i="7" l="1"/>
  <c r="CK40" i="7"/>
  <c r="DF40" i="7" s="1"/>
  <c r="F20" i="7"/>
  <c r="AM31" i="7"/>
  <c r="CE32" i="7"/>
  <c r="CZ32" i="7" s="1"/>
  <c r="AO31" i="7"/>
  <c r="CG32" i="7"/>
  <c r="DB32" i="7" s="1"/>
  <c r="BM20" i="7"/>
  <c r="G28" i="7"/>
  <c r="C20" i="32"/>
  <c r="BR30" i="7"/>
  <c r="BO29" i="7"/>
  <c r="CL40" i="7"/>
  <c r="DG40" i="7" s="1"/>
  <c r="EM39" i="7"/>
  <c r="EO31" i="7"/>
  <c r="EC31" i="7"/>
  <c r="DZ31" i="7"/>
  <c r="EA31" i="7"/>
  <c r="DV33" i="7"/>
  <c r="BX40" i="7"/>
  <c r="CS40" i="7" s="1"/>
  <c r="BY40" i="7"/>
  <c r="CT40" i="7" s="1"/>
  <c r="BW42" i="7"/>
  <c r="CR42" i="7" s="1"/>
  <c r="M30" i="7"/>
  <c r="BP29" i="7"/>
  <c r="AD30" i="7"/>
  <c r="CA31" i="7"/>
  <c r="CV31" i="7" s="1"/>
  <c r="AI29" i="7"/>
  <c r="AC30" i="7"/>
  <c r="AB30" i="7"/>
  <c r="BD29" i="7"/>
  <c r="BE29" i="7"/>
  <c r="BF29" i="7"/>
  <c r="CH32" i="7"/>
  <c r="DC32" i="7" s="1"/>
  <c r="BN31" i="7"/>
  <c r="DS32" i="7"/>
  <c r="CB37" i="7"/>
  <c r="CW37" i="7" s="1"/>
  <c r="CJ43" i="7"/>
  <c r="DE43" i="7" s="1"/>
  <c r="CC42" i="7"/>
  <c r="CX42" i="7" s="1"/>
  <c r="CK41" i="7" l="1"/>
  <c r="DF41" i="7" s="1"/>
  <c r="AM32" i="7"/>
  <c r="CE33" i="7"/>
  <c r="CZ33" i="7" s="1"/>
  <c r="H26" i="7"/>
  <c r="AO32" i="7"/>
  <c r="BQ29" i="7"/>
  <c r="G29" i="7" s="1"/>
  <c r="B20" i="7"/>
  <c r="P20" i="7"/>
  <c r="EM40" i="7"/>
  <c r="CL41" i="7"/>
  <c r="DG41" i="7" s="1"/>
  <c r="DZ32" i="7"/>
  <c r="EA32" i="7"/>
  <c r="EB31" i="7"/>
  <c r="DX31" i="7"/>
  <c r="DW31" i="7"/>
  <c r="AU30" i="7"/>
  <c r="DJ30" i="7" s="1"/>
  <c r="E20" i="32"/>
  <c r="BY41" i="7"/>
  <c r="CT41" i="7" s="1"/>
  <c r="BX41" i="7"/>
  <c r="CS41" i="7" s="1"/>
  <c r="BW43" i="7"/>
  <c r="CR43" i="7" s="1"/>
  <c r="BB30" i="7"/>
  <c r="DQ30" i="7" s="1"/>
  <c r="M20" i="32" s="1"/>
  <c r="AG30" i="7"/>
  <c r="AF30" i="7"/>
  <c r="AH30" i="7"/>
  <c r="AX30" i="7"/>
  <c r="DM30" i="7" s="1"/>
  <c r="AV30" i="7"/>
  <c r="DK30" i="7" s="1"/>
  <c r="K20" i="32" s="1"/>
  <c r="AT30" i="7"/>
  <c r="DI30" i="7" s="1"/>
  <c r="AZ30" i="7"/>
  <c r="DO30" i="7" s="1"/>
  <c r="BC30" i="7"/>
  <c r="DR30" i="7" s="1"/>
  <c r="AW30" i="7"/>
  <c r="DL30" i="7" s="1"/>
  <c r="AY30" i="7"/>
  <c r="DN30" i="7" s="1"/>
  <c r="L20" i="32" s="1"/>
  <c r="BA30" i="7"/>
  <c r="DP30" i="7" s="1"/>
  <c r="BO30" i="7"/>
  <c r="L31" i="7"/>
  <c r="AE30" i="7"/>
  <c r="CH33" i="7"/>
  <c r="DC33" i="7" s="1"/>
  <c r="BN32" i="7"/>
  <c r="BT32" i="7"/>
  <c r="CO32" i="7" s="1"/>
  <c r="CB38" i="7"/>
  <c r="CW38" i="7" s="1"/>
  <c r="BS34" i="7"/>
  <c r="CN34" i="7" s="1"/>
  <c r="CJ44" i="7"/>
  <c r="DE44" i="7" s="1"/>
  <c r="CC43" i="7"/>
  <c r="CX43" i="7" s="1"/>
  <c r="AM33" i="7" l="1"/>
  <c r="BR31" i="7"/>
  <c r="CF32" i="7"/>
  <c r="DA32" i="7" s="1"/>
  <c r="N21" i="7"/>
  <c r="D10" i="32"/>
  <c r="EM41" i="7"/>
  <c r="CL42" i="7"/>
  <c r="DG42" i="7" s="1"/>
  <c r="DZ33" i="7"/>
  <c r="EA33" i="7"/>
  <c r="EO32" i="7"/>
  <c r="EC32" i="7"/>
  <c r="AD31" i="7"/>
  <c r="C21" i="32"/>
  <c r="DV34" i="7"/>
  <c r="BX42" i="7"/>
  <c r="CS42" i="7" s="1"/>
  <c r="BY42" i="7"/>
  <c r="CT42" i="7" s="1"/>
  <c r="BW44" i="7"/>
  <c r="CR44" i="7" s="1"/>
  <c r="AI30" i="7"/>
  <c r="BP30" i="7"/>
  <c r="BQ30" i="7" s="1"/>
  <c r="BF30" i="7"/>
  <c r="BD30" i="7"/>
  <c r="BE30" i="7"/>
  <c r="AC31" i="7"/>
  <c r="CA32" i="7"/>
  <c r="CV32" i="7" s="1"/>
  <c r="AB31" i="7"/>
  <c r="CM32" i="7"/>
  <c r="M31" i="7"/>
  <c r="E21" i="32" s="1"/>
  <c r="BN33" i="7"/>
  <c r="CI33" i="7"/>
  <c r="DD33" i="7" s="1"/>
  <c r="BU33" i="7"/>
  <c r="CP33" i="7" s="1"/>
  <c r="CH34" i="7"/>
  <c r="DC34" i="7" s="1"/>
  <c r="CB39" i="7"/>
  <c r="CW39" i="7" s="1"/>
  <c r="CJ45" i="7"/>
  <c r="DE45" i="7" s="1"/>
  <c r="CC44" i="7"/>
  <c r="CX44" i="7" s="1"/>
  <c r="CM33" i="7" l="1"/>
  <c r="DH33" i="7" s="1"/>
  <c r="DH32" i="7"/>
  <c r="EA34" i="7"/>
  <c r="H27" i="7"/>
  <c r="AN32" i="7"/>
  <c r="CF33" i="7"/>
  <c r="DA33" i="7" s="1"/>
  <c r="AQ21" i="7"/>
  <c r="BH21" i="7" s="1"/>
  <c r="AR21" i="7"/>
  <c r="BI21" i="7" s="1"/>
  <c r="F10" i="32"/>
  <c r="G10" i="32" s="1"/>
  <c r="P10" i="32" s="1"/>
  <c r="Q10" i="32" s="1"/>
  <c r="AP21" i="7"/>
  <c r="BG21" i="7" s="1"/>
  <c r="AK21" i="7"/>
  <c r="AL21" i="7"/>
  <c r="AJ21" i="7"/>
  <c r="CL43" i="7"/>
  <c r="DG43" i="7" s="1"/>
  <c r="EM42" i="7"/>
  <c r="G30" i="7"/>
  <c r="DZ34" i="7"/>
  <c r="DS33" i="7"/>
  <c r="EF33" i="7"/>
  <c r="EB32" i="7"/>
  <c r="DX32" i="7"/>
  <c r="DW32" i="7"/>
  <c r="BY43" i="7"/>
  <c r="CT43" i="7" s="1"/>
  <c r="BX43" i="7"/>
  <c r="CS43" i="7" s="1"/>
  <c r="BW45" i="7"/>
  <c r="CR45" i="7" s="1"/>
  <c r="AE31" i="7"/>
  <c r="L32" i="7"/>
  <c r="AV31" i="7"/>
  <c r="DK31" i="7" s="1"/>
  <c r="K21" i="32" s="1"/>
  <c r="AZ31" i="7"/>
  <c r="DO31" i="7" s="1"/>
  <c r="AW31" i="7"/>
  <c r="DL31" i="7" s="1"/>
  <c r="BA31" i="7"/>
  <c r="DP31" i="7" s="1"/>
  <c r="AX31" i="7"/>
  <c r="DM31" i="7" s="1"/>
  <c r="AY31" i="7"/>
  <c r="DN31" i="7" s="1"/>
  <c r="L21" i="32" s="1"/>
  <c r="AT31" i="7"/>
  <c r="DI31" i="7" s="1"/>
  <c r="AU31" i="7"/>
  <c r="DJ31" i="7" s="1"/>
  <c r="BB31" i="7"/>
  <c r="DQ31" i="7" s="1"/>
  <c r="M21" i="32" s="1"/>
  <c r="BC31" i="7"/>
  <c r="DR31" i="7" s="1"/>
  <c r="AF31" i="7"/>
  <c r="AH31" i="7"/>
  <c r="AG31" i="7"/>
  <c r="CM34" i="7"/>
  <c r="DH34" i="7" s="1"/>
  <c r="CI34" i="7"/>
  <c r="DD34" i="7" s="1"/>
  <c r="BT33" i="7"/>
  <c r="CO33" i="7" s="1"/>
  <c r="BN34" i="7"/>
  <c r="CH35" i="7"/>
  <c r="DC35" i="7" s="1"/>
  <c r="CJ46" i="7"/>
  <c r="DE46" i="7" s="1"/>
  <c r="CC45" i="7"/>
  <c r="CX45" i="7" s="1"/>
  <c r="BR32" i="7" l="1"/>
  <c r="CG33" i="7"/>
  <c r="DB33" i="7" s="1"/>
  <c r="AN33" i="7"/>
  <c r="CF34" i="7"/>
  <c r="DA34" i="7" s="1"/>
  <c r="BL21" i="7"/>
  <c r="E21" i="7"/>
  <c r="C21" i="7"/>
  <c r="F21" i="7" s="1"/>
  <c r="BJ21" i="7"/>
  <c r="D21" i="7"/>
  <c r="BK21" i="7"/>
  <c r="BO31" i="7"/>
  <c r="CL44" i="7"/>
  <c r="DG44" i="7" s="1"/>
  <c r="EM43" i="7"/>
  <c r="EF34" i="7"/>
  <c r="AB32" i="7"/>
  <c r="C22" i="32"/>
  <c r="EO33" i="7"/>
  <c r="EC33" i="7"/>
  <c r="BX44" i="7"/>
  <c r="CS44" i="7" s="1"/>
  <c r="BY44" i="7"/>
  <c r="CT44" i="7" s="1"/>
  <c r="BW46" i="7"/>
  <c r="CR46" i="7" s="1"/>
  <c r="AC32" i="7"/>
  <c r="CA33" i="7"/>
  <c r="CV33" i="7" s="1"/>
  <c r="AD32" i="7"/>
  <c r="M32" i="7"/>
  <c r="CI35" i="7"/>
  <c r="DD35" i="7" s="1"/>
  <c r="AI31" i="7"/>
  <c r="BP31" i="7"/>
  <c r="BE31" i="7"/>
  <c r="BD31" i="7"/>
  <c r="BF31" i="7"/>
  <c r="CM35" i="7"/>
  <c r="DH35" i="7" s="1"/>
  <c r="DS34" i="7"/>
  <c r="BU34" i="7"/>
  <c r="CP34" i="7" s="1"/>
  <c r="BT34" i="7"/>
  <c r="CO34" i="7" s="1"/>
  <c r="BN35" i="7"/>
  <c r="CJ47" i="7"/>
  <c r="DE47" i="7" s="1"/>
  <c r="CC46" i="7"/>
  <c r="CX46" i="7" s="1"/>
  <c r="L34" i="7" l="1"/>
  <c r="BR34" i="7" s="1"/>
  <c r="CI36" i="7"/>
  <c r="DD36" i="7" s="1"/>
  <c r="AN34" i="7"/>
  <c r="CF35" i="7"/>
  <c r="DA35" i="7" s="1"/>
  <c r="AO33" i="7"/>
  <c r="CG34" i="7"/>
  <c r="DB34" i="7" s="1"/>
  <c r="H28" i="7"/>
  <c r="BM21" i="7"/>
  <c r="BQ31" i="7"/>
  <c r="CL45" i="7"/>
  <c r="DG45" i="7" s="1"/>
  <c r="EM44" i="7"/>
  <c r="BS35" i="7"/>
  <c r="CN35" i="7" s="1"/>
  <c r="C24" i="32"/>
  <c r="EO34" i="7"/>
  <c r="EC34" i="7"/>
  <c r="L33" i="7"/>
  <c r="CE34" i="7" s="1"/>
  <c r="CZ34" i="7" s="1"/>
  <c r="DX33" i="7"/>
  <c r="EB33" i="7"/>
  <c r="DW33" i="7"/>
  <c r="AZ32" i="7"/>
  <c r="DO32" i="7" s="1"/>
  <c r="E22" i="32"/>
  <c r="BY45" i="7"/>
  <c r="CT45" i="7" s="1"/>
  <c r="BX45" i="7"/>
  <c r="CS45" i="7" s="1"/>
  <c r="BW47" i="7"/>
  <c r="CR47" i="7" s="1"/>
  <c r="AE32" i="7"/>
  <c r="AF32" i="7"/>
  <c r="AH32" i="7"/>
  <c r="AY32" i="7"/>
  <c r="DN32" i="7" s="1"/>
  <c r="L22" i="32" s="1"/>
  <c r="DS36" i="7"/>
  <c r="AU32" i="7"/>
  <c r="DJ32" i="7" s="1"/>
  <c r="AG32" i="7"/>
  <c r="BA32" i="7"/>
  <c r="DP32" i="7" s="1"/>
  <c r="AT32" i="7"/>
  <c r="DI32" i="7" s="1"/>
  <c r="AV32" i="7"/>
  <c r="DK32" i="7" s="1"/>
  <c r="K22" i="32" s="1"/>
  <c r="BB32" i="7"/>
  <c r="DQ32" i="7" s="1"/>
  <c r="M22" i="32" s="1"/>
  <c r="BC32" i="7"/>
  <c r="DR32" i="7" s="1"/>
  <c r="AX32" i="7"/>
  <c r="DM32" i="7" s="1"/>
  <c r="AW32" i="7"/>
  <c r="DL32" i="7" s="1"/>
  <c r="M34" i="7"/>
  <c r="DS35" i="7"/>
  <c r="CM36" i="7"/>
  <c r="DH36" i="7" s="1"/>
  <c r="CD34" i="7"/>
  <c r="CY34" i="7" s="1"/>
  <c r="BV35" i="7"/>
  <c r="CQ35" i="7" s="1"/>
  <c r="BT35" i="7"/>
  <c r="CO35" i="7" s="1"/>
  <c r="BU35" i="7"/>
  <c r="CP35" i="7" s="1"/>
  <c r="CJ48" i="7"/>
  <c r="DE48" i="7" s="1"/>
  <c r="CC47" i="7"/>
  <c r="CX47" i="7" s="1"/>
  <c r="DV35" i="7" l="1"/>
  <c r="EO35" i="7"/>
  <c r="BO32" i="7"/>
  <c r="AM34" i="7"/>
  <c r="CE35" i="7"/>
  <c r="CZ35" i="7" s="1"/>
  <c r="AN35" i="7"/>
  <c r="CF36" i="7"/>
  <c r="DA36" i="7" s="1"/>
  <c r="AO34" i="7"/>
  <c r="CG35" i="7"/>
  <c r="DB35" i="7" s="1"/>
  <c r="B21" i="7"/>
  <c r="P21" i="7"/>
  <c r="G31" i="7"/>
  <c r="C23" i="32"/>
  <c r="BR33" i="7"/>
  <c r="EM45" i="7"/>
  <c r="CL46" i="7"/>
  <c r="DG46" i="7" s="1"/>
  <c r="AC33" i="7"/>
  <c r="CA34" i="7"/>
  <c r="CV34" i="7" s="1"/>
  <c r="AD33" i="7"/>
  <c r="AB33" i="7"/>
  <c r="M33" i="7"/>
  <c r="BA33" i="7" s="1"/>
  <c r="DP33" i="7" s="1"/>
  <c r="L35" i="7"/>
  <c r="BR35" i="7" s="1"/>
  <c r="EF35" i="7"/>
  <c r="EC35" i="7"/>
  <c r="DZ35" i="7"/>
  <c r="EA35" i="7"/>
  <c r="AU34" i="7"/>
  <c r="E24" i="32"/>
  <c r="BX46" i="7"/>
  <c r="CS46" i="7" s="1"/>
  <c r="BY46" i="7"/>
  <c r="CT46" i="7" s="1"/>
  <c r="BW48" i="7"/>
  <c r="CR48" i="7" s="1"/>
  <c r="AI32" i="7"/>
  <c r="AY34" i="7"/>
  <c r="AT34" i="7"/>
  <c r="AW34" i="7"/>
  <c r="BE32" i="7"/>
  <c r="BC34" i="7"/>
  <c r="BP32" i="7"/>
  <c r="AV34" i="7"/>
  <c r="BB34" i="7"/>
  <c r="BD32" i="7"/>
  <c r="BF32" i="7"/>
  <c r="AZ34" i="7"/>
  <c r="AX34" i="7"/>
  <c r="BA34" i="7"/>
  <c r="CM37" i="7"/>
  <c r="DH37" i="7" s="1"/>
  <c r="BV36" i="7"/>
  <c r="CQ36" i="7" s="1"/>
  <c r="BT36" i="7"/>
  <c r="CO36" i="7" s="1"/>
  <c r="BU36" i="7"/>
  <c r="CP36" i="7" s="1"/>
  <c r="CJ49" i="7"/>
  <c r="DE49" i="7" s="1"/>
  <c r="CC48" i="7"/>
  <c r="CX48" i="7" s="1"/>
  <c r="DW34" i="7" l="1"/>
  <c r="BQ32" i="7"/>
  <c r="G32" i="7" s="1"/>
  <c r="CG36" i="7"/>
  <c r="DB36" i="7" s="1"/>
  <c r="CE36" i="7"/>
  <c r="CZ36" i="7" s="1"/>
  <c r="AM35" i="7"/>
  <c r="H29" i="7"/>
  <c r="H30" i="7"/>
  <c r="AO35" i="7"/>
  <c r="AN36" i="7"/>
  <c r="CF37" i="7"/>
  <c r="DA37" i="7" s="1"/>
  <c r="H31" i="7"/>
  <c r="N22" i="7"/>
  <c r="D11" i="32"/>
  <c r="EM46" i="7"/>
  <c r="CL47" i="7"/>
  <c r="DG47" i="7" s="1"/>
  <c r="AV33" i="7"/>
  <c r="DK33" i="7" s="1"/>
  <c r="K23" i="32" s="1"/>
  <c r="BC33" i="7"/>
  <c r="DR33" i="7" s="1"/>
  <c r="BO33" i="7"/>
  <c r="AT33" i="7"/>
  <c r="DI33" i="7" s="1"/>
  <c r="CA35" i="7"/>
  <c r="CV35" i="7" s="1"/>
  <c r="BB33" i="7"/>
  <c r="DQ33" i="7" s="1"/>
  <c r="M23" i="32" s="1"/>
  <c r="AZ33" i="7"/>
  <c r="DO33" i="7" s="1"/>
  <c r="DX34" i="7"/>
  <c r="EB34" i="7"/>
  <c r="AH33" i="7"/>
  <c r="AE33" i="7"/>
  <c r="AF33" i="7"/>
  <c r="E23" i="32"/>
  <c r="AG33" i="7"/>
  <c r="AY33" i="7"/>
  <c r="DN33" i="7" s="1"/>
  <c r="L23" i="32" s="1"/>
  <c r="AU33" i="7"/>
  <c r="DJ33" i="7" s="1"/>
  <c r="AX33" i="7"/>
  <c r="AW33" i="7"/>
  <c r="DL33" i="7" s="1"/>
  <c r="EO36" i="7"/>
  <c r="C25" i="32"/>
  <c r="M35" i="7"/>
  <c r="BS36" i="7"/>
  <c r="CN36" i="7" s="1"/>
  <c r="BY47" i="7"/>
  <c r="CT47" i="7" s="1"/>
  <c r="BX47" i="7"/>
  <c r="CS47" i="7" s="1"/>
  <c r="BW49" i="7"/>
  <c r="CR49" i="7" s="1"/>
  <c r="CM38" i="7"/>
  <c r="DH38" i="7" s="1"/>
  <c r="CD35" i="7"/>
  <c r="CY35" i="7" s="1"/>
  <c r="AC34" i="7"/>
  <c r="AB34" i="7"/>
  <c r="AD34" i="7"/>
  <c r="BU37" i="7"/>
  <c r="CP37" i="7" s="1"/>
  <c r="BV37" i="7"/>
  <c r="CQ37" i="7" s="1"/>
  <c r="BT37" i="7"/>
  <c r="CO37" i="7" s="1"/>
  <c r="CI37" i="7"/>
  <c r="DD37" i="7" s="1"/>
  <c r="CB40" i="7"/>
  <c r="CW40" i="7" s="1"/>
  <c r="CJ50" i="7"/>
  <c r="DE50" i="7" s="1"/>
  <c r="CC49" i="7"/>
  <c r="CX49" i="7" s="1"/>
  <c r="BU38" i="7" l="1"/>
  <c r="CP38" i="7" s="1"/>
  <c r="AO36" i="7"/>
  <c r="CG37" i="7"/>
  <c r="DB37" i="7" s="1"/>
  <c r="BV38" i="7"/>
  <c r="CQ38" i="7" s="1"/>
  <c r="DX35" i="7"/>
  <c r="AI33" i="7"/>
  <c r="AM36" i="7"/>
  <c r="AN37" i="7"/>
  <c r="AP22" i="7"/>
  <c r="BG22" i="7" s="1"/>
  <c r="AQ22" i="7"/>
  <c r="BH22" i="7" s="1"/>
  <c r="F11" i="32"/>
  <c r="G11" i="32" s="1"/>
  <c r="P11" i="32" s="1"/>
  <c r="Q11" i="32" s="1"/>
  <c r="AR22" i="7"/>
  <c r="BI22" i="7" s="1"/>
  <c r="AL22" i="7"/>
  <c r="AK22" i="7"/>
  <c r="AJ22" i="7"/>
  <c r="CL48" i="7"/>
  <c r="DG48" i="7" s="1"/>
  <c r="EM47" i="7"/>
  <c r="DW35" i="7"/>
  <c r="EB35" i="7"/>
  <c r="BE33" i="7"/>
  <c r="BF33" i="7"/>
  <c r="BD33" i="7"/>
  <c r="DM33" i="7"/>
  <c r="DM34" i="7" s="1"/>
  <c r="BT38" i="7"/>
  <c r="CO38" i="7" s="1"/>
  <c r="EO37" i="7"/>
  <c r="L36" i="7"/>
  <c r="BR36" i="7" s="1"/>
  <c r="H32" i="7" s="1"/>
  <c r="EF36" i="7"/>
  <c r="EC36" i="7"/>
  <c r="DV36" i="7"/>
  <c r="E25" i="32"/>
  <c r="BA35" i="7"/>
  <c r="AW35" i="7"/>
  <c r="BC35" i="7"/>
  <c r="AX35" i="7"/>
  <c r="AU35" i="7"/>
  <c r="AZ35" i="7"/>
  <c r="AV35" i="7"/>
  <c r="AT35" i="7"/>
  <c r="AY35" i="7"/>
  <c r="BB35" i="7"/>
  <c r="BX48" i="7"/>
  <c r="CS48" i="7" s="1"/>
  <c r="BY48" i="7"/>
  <c r="CT48" i="7" s="1"/>
  <c r="BW50" i="7"/>
  <c r="CR50" i="7" s="1"/>
  <c r="CM39" i="7"/>
  <c r="DH39" i="7" s="1"/>
  <c r="DK34" i="7"/>
  <c r="K24" i="32" s="1"/>
  <c r="DL34" i="7"/>
  <c r="DO34" i="7"/>
  <c r="AG34" i="7"/>
  <c r="DP34" i="7"/>
  <c r="DR34" i="7"/>
  <c r="DN34" i="7"/>
  <c r="L24" i="32" s="1"/>
  <c r="DQ34" i="7"/>
  <c r="M24" i="32" s="1"/>
  <c r="DJ34" i="7"/>
  <c r="AH34" i="7"/>
  <c r="AF34" i="7"/>
  <c r="AE34" i="7"/>
  <c r="BU39" i="7"/>
  <c r="CP39" i="7" s="1"/>
  <c r="DS37" i="7"/>
  <c r="CI38" i="7"/>
  <c r="DD38" i="7" s="1"/>
  <c r="CB41" i="7"/>
  <c r="CW41" i="7" s="1"/>
  <c r="CJ51" i="7"/>
  <c r="DE51" i="7" s="1"/>
  <c r="CC50" i="7"/>
  <c r="CX50" i="7" s="1"/>
  <c r="BV39" i="7" l="1"/>
  <c r="CQ39" i="7" s="1"/>
  <c r="BT39" i="7"/>
  <c r="CO39" i="7" s="1"/>
  <c r="AO37" i="7"/>
  <c r="CE37" i="7"/>
  <c r="CZ37" i="7" s="1"/>
  <c r="D22" i="7"/>
  <c r="BK22" i="7"/>
  <c r="E22" i="7"/>
  <c r="BL22" i="7"/>
  <c r="BJ22" i="7"/>
  <c r="C22" i="7"/>
  <c r="BO34" i="7"/>
  <c r="CL49" i="7"/>
  <c r="DG49" i="7" s="1"/>
  <c r="EM48" i="7"/>
  <c r="BP33" i="7"/>
  <c r="BQ33" i="7" s="1"/>
  <c r="C26" i="32"/>
  <c r="M36" i="7"/>
  <c r="BS37" i="7"/>
  <c r="CN37" i="7" s="1"/>
  <c r="EO39" i="7"/>
  <c r="EO38" i="7"/>
  <c r="BY49" i="7"/>
  <c r="CT49" i="7" s="1"/>
  <c r="BX49" i="7"/>
  <c r="CS49" i="7" s="1"/>
  <c r="BW51" i="7"/>
  <c r="CR51" i="7" s="1"/>
  <c r="CM40" i="7"/>
  <c r="DH40" i="7" s="1"/>
  <c r="AI34" i="7"/>
  <c r="CH36" i="7"/>
  <c r="DC36" i="7" s="1"/>
  <c r="CA36" i="7"/>
  <c r="CV36" i="7" s="1"/>
  <c r="CD36" i="7"/>
  <c r="CY36" i="7" s="1"/>
  <c r="AC35" i="7"/>
  <c r="AB35" i="7"/>
  <c r="AD35" i="7"/>
  <c r="DI34" i="7"/>
  <c r="BF34" i="7"/>
  <c r="BD34" i="7"/>
  <c r="BE34" i="7"/>
  <c r="CG38" i="7"/>
  <c r="DB38" i="7" s="1"/>
  <c r="BV40" i="7"/>
  <c r="CQ40" i="7" s="1"/>
  <c r="BU40" i="7"/>
  <c r="CP40" i="7" s="1"/>
  <c r="CI39" i="7"/>
  <c r="DD39" i="7" s="1"/>
  <c r="DS38" i="7"/>
  <c r="CB42" i="7"/>
  <c r="CW42" i="7" s="1"/>
  <c r="CJ52" i="7"/>
  <c r="DE52" i="7" s="1"/>
  <c r="CC51" i="7"/>
  <c r="CX51" i="7" s="1"/>
  <c r="AO38" i="7" l="1"/>
  <c r="CI40" i="7"/>
  <c r="DD40" i="7" s="1"/>
  <c r="CE38" i="7"/>
  <c r="CZ38" i="7" s="1"/>
  <c r="CE39" i="7"/>
  <c r="CZ39" i="7" s="1"/>
  <c r="AM37" i="7"/>
  <c r="F22" i="7"/>
  <c r="BM22" i="7"/>
  <c r="CL50" i="7"/>
  <c r="DG50" i="7" s="1"/>
  <c r="EM49" i="7"/>
  <c r="G33" i="7"/>
  <c r="L37" i="7"/>
  <c r="EF37" i="7"/>
  <c r="EC37" i="7"/>
  <c r="DV37" i="7"/>
  <c r="DZ36" i="7"/>
  <c r="EA36" i="7"/>
  <c r="E26" i="32"/>
  <c r="BB36" i="7"/>
  <c r="AV36" i="7"/>
  <c r="AU36" i="7"/>
  <c r="AW36" i="7"/>
  <c r="AX36" i="7"/>
  <c r="BC36" i="7"/>
  <c r="BA36" i="7"/>
  <c r="AT36" i="7"/>
  <c r="AY36" i="7"/>
  <c r="AZ36" i="7"/>
  <c r="DW36" i="7"/>
  <c r="EB36" i="7"/>
  <c r="DX36" i="7"/>
  <c r="BX50" i="7"/>
  <c r="CS50" i="7" s="1"/>
  <c r="BY50" i="7"/>
  <c r="CT50" i="7" s="1"/>
  <c r="BW52" i="7"/>
  <c r="CR52" i="7" s="1"/>
  <c r="CM41" i="7"/>
  <c r="DH41" i="7" s="1"/>
  <c r="DK35" i="7"/>
  <c r="K25" i="32" s="1"/>
  <c r="DL35" i="7"/>
  <c r="BP34" i="7"/>
  <c r="BQ34" i="7" s="1"/>
  <c r="DO35" i="7"/>
  <c r="CH37" i="7"/>
  <c r="DC37" i="7" s="1"/>
  <c r="BN36" i="7"/>
  <c r="AG35" i="7"/>
  <c r="AH35" i="7"/>
  <c r="DM35" i="7"/>
  <c r="DJ35" i="7"/>
  <c r="DQ35" i="7"/>
  <c r="M25" i="32" s="1"/>
  <c r="DR35" i="7"/>
  <c r="DP35" i="7"/>
  <c r="DN35" i="7"/>
  <c r="L25" i="32" s="1"/>
  <c r="AF35" i="7"/>
  <c r="AE35" i="7"/>
  <c r="CA37" i="7"/>
  <c r="CV37" i="7" s="1"/>
  <c r="BV41" i="7"/>
  <c r="CQ41" i="7" s="1"/>
  <c r="BU41" i="7"/>
  <c r="CP41" i="7" s="1"/>
  <c r="DS39" i="7"/>
  <c r="CB43" i="7"/>
  <c r="CW43" i="7" s="1"/>
  <c r="CJ53" i="7"/>
  <c r="DE53" i="7" s="1"/>
  <c r="CC52" i="7"/>
  <c r="CX52" i="7" s="1"/>
  <c r="AM39" i="7" l="1"/>
  <c r="DX37" i="7"/>
  <c r="CH38" i="7"/>
  <c r="DC38" i="7" s="1"/>
  <c r="DS40" i="7"/>
  <c r="AM38" i="7"/>
  <c r="BR37" i="7"/>
  <c r="H33" i="7" s="1"/>
  <c r="CF38" i="7"/>
  <c r="DA38" i="7" s="1"/>
  <c r="B22" i="7"/>
  <c r="P22" i="7"/>
  <c r="BO35" i="7"/>
  <c r="CL51" i="7"/>
  <c r="DG51" i="7" s="1"/>
  <c r="EM50" i="7"/>
  <c r="DW37" i="7"/>
  <c r="EA37" i="7"/>
  <c r="DZ37" i="7"/>
  <c r="C27" i="32"/>
  <c r="M37" i="7"/>
  <c r="BS38" i="7"/>
  <c r="CN38" i="7" s="1"/>
  <c r="BY51" i="7"/>
  <c r="CT51" i="7" s="1"/>
  <c r="BX51" i="7"/>
  <c r="CS51" i="7" s="1"/>
  <c r="BW53" i="7"/>
  <c r="CR53" i="7" s="1"/>
  <c r="G34" i="7"/>
  <c r="CM42" i="7"/>
  <c r="DH42" i="7" s="1"/>
  <c r="BN37" i="7"/>
  <c r="AI35" i="7"/>
  <c r="CD37" i="7"/>
  <c r="CY37" i="7" s="1"/>
  <c r="AC36" i="7"/>
  <c r="AD36" i="7"/>
  <c r="AB36" i="7"/>
  <c r="DI35" i="7"/>
  <c r="BF35" i="7"/>
  <c r="BD35" i="7"/>
  <c r="BE35" i="7"/>
  <c r="BT40" i="7"/>
  <c r="CO40" i="7" s="1"/>
  <c r="BV42" i="7"/>
  <c r="CQ42" i="7" s="1"/>
  <c r="BU42" i="7"/>
  <c r="CP42" i="7" s="1"/>
  <c r="CB44" i="7"/>
  <c r="CW44" i="7" s="1"/>
  <c r="CJ54" i="7"/>
  <c r="DE54" i="7" s="1"/>
  <c r="CC53" i="7"/>
  <c r="CX53" i="7" s="1"/>
  <c r="EO40" i="7" l="1"/>
  <c r="EB37" i="7"/>
  <c r="BN38" i="7"/>
  <c r="CF39" i="7"/>
  <c r="DA39" i="7" s="1"/>
  <c r="AN38" i="7"/>
  <c r="D12" i="32"/>
  <c r="N23" i="7"/>
  <c r="CL52" i="7"/>
  <c r="DG52" i="7" s="1"/>
  <c r="EM51" i="7"/>
  <c r="L38" i="7"/>
  <c r="EF38" i="7"/>
  <c r="EC38" i="7"/>
  <c r="EA38" i="7"/>
  <c r="DZ38" i="7"/>
  <c r="DV38" i="7"/>
  <c r="E27" i="32"/>
  <c r="AW37" i="7"/>
  <c r="AU37" i="7"/>
  <c r="BA37" i="7"/>
  <c r="BC37" i="7"/>
  <c r="AZ37" i="7"/>
  <c r="BB37" i="7"/>
  <c r="AY37" i="7"/>
  <c r="AV37" i="7"/>
  <c r="AT37" i="7"/>
  <c r="AX37" i="7"/>
  <c r="BX52" i="7"/>
  <c r="CS52" i="7" s="1"/>
  <c r="BY52" i="7"/>
  <c r="CT52" i="7" s="1"/>
  <c r="BW54" i="7"/>
  <c r="CR54" i="7" s="1"/>
  <c r="CM43" i="7"/>
  <c r="DH43" i="7" s="1"/>
  <c r="DK36" i="7"/>
  <c r="K26" i="32" s="1"/>
  <c r="DL36" i="7"/>
  <c r="BP35" i="7"/>
  <c r="BQ35" i="7" s="1"/>
  <c r="DO36" i="7"/>
  <c r="AH36" i="7"/>
  <c r="AD37" i="7"/>
  <c r="CA38" i="7"/>
  <c r="CV38" i="7" s="1"/>
  <c r="AB37" i="7"/>
  <c r="AC37" i="7"/>
  <c r="AG36" i="7"/>
  <c r="DM36" i="7"/>
  <c r="DJ36" i="7"/>
  <c r="DN36" i="7"/>
  <c r="L26" i="32" s="1"/>
  <c r="DR36" i="7"/>
  <c r="DP36" i="7"/>
  <c r="DQ36" i="7"/>
  <c r="M26" i="32" s="1"/>
  <c r="AF36" i="7"/>
  <c r="AE36" i="7"/>
  <c r="BO36" i="7"/>
  <c r="CD38" i="7"/>
  <c r="CY38" i="7" s="1"/>
  <c r="BV43" i="7"/>
  <c r="CQ43" i="7" s="1"/>
  <c r="BU43" i="7"/>
  <c r="CP43" i="7" s="1"/>
  <c r="CB45" i="7"/>
  <c r="CW45" i="7" s="1"/>
  <c r="CJ55" i="7"/>
  <c r="DE55" i="7" s="1"/>
  <c r="CC54" i="7"/>
  <c r="CX54" i="7" s="1"/>
  <c r="BR38" i="7" l="1"/>
  <c r="H34" i="7" s="1"/>
  <c r="CG39" i="7"/>
  <c r="DB39" i="7" s="1"/>
  <c r="AN39" i="7"/>
  <c r="CF40" i="7"/>
  <c r="DA40" i="7" s="1"/>
  <c r="AP23" i="7"/>
  <c r="BG23" i="7" s="1"/>
  <c r="AQ23" i="7"/>
  <c r="BH23" i="7" s="1"/>
  <c r="AR23" i="7"/>
  <c r="BI23" i="7" s="1"/>
  <c r="F12" i="32"/>
  <c r="G12" i="32" s="1"/>
  <c r="P12" i="32" s="1"/>
  <c r="Q12" i="32" s="1"/>
  <c r="AK23" i="7"/>
  <c r="AL23" i="7"/>
  <c r="AJ23" i="7"/>
  <c r="CL53" i="7"/>
  <c r="DG53" i="7" s="1"/>
  <c r="EM52" i="7"/>
  <c r="EB38" i="7"/>
  <c r="DW38" i="7"/>
  <c r="DX38" i="7"/>
  <c r="C28" i="32"/>
  <c r="M38" i="7"/>
  <c r="BS39" i="7"/>
  <c r="CN39" i="7" s="1"/>
  <c r="BY53" i="7"/>
  <c r="CT53" i="7" s="1"/>
  <c r="BX53" i="7"/>
  <c r="CS53" i="7" s="1"/>
  <c r="BW55" i="7"/>
  <c r="CR55" i="7" s="1"/>
  <c r="G35" i="7"/>
  <c r="CM44" i="7"/>
  <c r="DH44" i="7" s="1"/>
  <c r="DK37" i="7"/>
  <c r="K27" i="32" s="1"/>
  <c r="DL37" i="7"/>
  <c r="AI36" i="7"/>
  <c r="DO37" i="7"/>
  <c r="DN37" i="7"/>
  <c r="L27" i="32" s="1"/>
  <c r="DM37" i="7"/>
  <c r="DQ37" i="7"/>
  <c r="M27" i="32" s="1"/>
  <c r="DP37" i="7"/>
  <c r="DR37" i="7"/>
  <c r="DJ37" i="7"/>
  <c r="AG37" i="7"/>
  <c r="AH37" i="7"/>
  <c r="AF37" i="7"/>
  <c r="AE37" i="7"/>
  <c r="CH39" i="7"/>
  <c r="DC39" i="7" s="1"/>
  <c r="DI36" i="7"/>
  <c r="BP36" i="7" s="1"/>
  <c r="BD36" i="7"/>
  <c r="BE36" i="7"/>
  <c r="BF36" i="7"/>
  <c r="BT41" i="7"/>
  <c r="CO41" i="7" s="1"/>
  <c r="BV44" i="7"/>
  <c r="CQ44" i="7" s="1"/>
  <c r="CJ56" i="7"/>
  <c r="DE56" i="7" s="1"/>
  <c r="CC55" i="7"/>
  <c r="CX55" i="7" s="1"/>
  <c r="AN40" i="7" l="1"/>
  <c r="CG40" i="7"/>
  <c r="DB40" i="7" s="1"/>
  <c r="AO39" i="7"/>
  <c r="E23" i="7"/>
  <c r="BL23" i="7"/>
  <c r="BJ23" i="7"/>
  <c r="C23" i="7"/>
  <c r="BK23" i="7"/>
  <c r="D23" i="7"/>
  <c r="BO37" i="7"/>
  <c r="CL54" i="7"/>
  <c r="DG54" i="7" s="1"/>
  <c r="EM53" i="7"/>
  <c r="EO41" i="7"/>
  <c r="L39" i="7"/>
  <c r="EF39" i="7"/>
  <c r="EC39" i="7"/>
  <c r="DZ39" i="7"/>
  <c r="EA39" i="7"/>
  <c r="DV39" i="7"/>
  <c r="AX38" i="7"/>
  <c r="AV38" i="7"/>
  <c r="AU38" i="7"/>
  <c r="BC38" i="7"/>
  <c r="E28" i="32"/>
  <c r="AZ38" i="7"/>
  <c r="BA38" i="7"/>
  <c r="AT38" i="7"/>
  <c r="BB38" i="7"/>
  <c r="AY38" i="7"/>
  <c r="AW38" i="7"/>
  <c r="BX54" i="7"/>
  <c r="CS54" i="7" s="1"/>
  <c r="BY54" i="7"/>
  <c r="CT54" i="7" s="1"/>
  <c r="BW56" i="7"/>
  <c r="CR56" i="7" s="1"/>
  <c r="CM45" i="7"/>
  <c r="DH45" i="7" s="1"/>
  <c r="AI37" i="7"/>
  <c r="CA39" i="7"/>
  <c r="CV39" i="7" s="1"/>
  <c r="BN39" i="7"/>
  <c r="CH40" i="7"/>
  <c r="DC40" i="7" s="1"/>
  <c r="BF37" i="7"/>
  <c r="BE37" i="7"/>
  <c r="BD37" i="7"/>
  <c r="AC38" i="7"/>
  <c r="CD39" i="7"/>
  <c r="CY39" i="7" s="1"/>
  <c r="AD38" i="7"/>
  <c r="AB38" i="7"/>
  <c r="BQ36" i="7"/>
  <c r="DI37" i="7"/>
  <c r="BV45" i="7"/>
  <c r="CQ45" i="7" s="1"/>
  <c r="CJ57" i="7"/>
  <c r="DE57" i="7" s="1"/>
  <c r="CC56" i="7"/>
  <c r="CX56" i="7" s="1"/>
  <c r="DX39" i="7" l="1"/>
  <c r="BR39" i="7"/>
  <c r="H35" i="7" s="1"/>
  <c r="CE40" i="7"/>
  <c r="CZ40" i="7" s="1"/>
  <c r="AO40" i="7"/>
  <c r="CG41" i="7"/>
  <c r="DB41" i="7" s="1"/>
  <c r="F23" i="7"/>
  <c r="BM23" i="7"/>
  <c r="B23" i="7" s="1"/>
  <c r="CL55" i="7"/>
  <c r="DG55" i="7" s="1"/>
  <c r="EM54" i="7"/>
  <c r="EB39" i="7"/>
  <c r="C29" i="32"/>
  <c r="M39" i="7"/>
  <c r="BS40" i="7"/>
  <c r="CN40" i="7" s="1"/>
  <c r="DW39" i="7"/>
  <c r="BY55" i="7"/>
  <c r="CT55" i="7" s="1"/>
  <c r="BX55" i="7"/>
  <c r="CS55" i="7" s="1"/>
  <c r="BW57" i="7"/>
  <c r="CR57" i="7" s="1"/>
  <c r="G36" i="7"/>
  <c r="CM46" i="7"/>
  <c r="DH46" i="7" s="1"/>
  <c r="DK38" i="7"/>
  <c r="K28" i="32" s="1"/>
  <c r="DL38" i="7"/>
  <c r="BP37" i="7"/>
  <c r="BQ37" i="7" s="1"/>
  <c r="DO38" i="7"/>
  <c r="BN40" i="7"/>
  <c r="CH41" i="7"/>
  <c r="DC41" i="7" s="1"/>
  <c r="DN38" i="7"/>
  <c r="L28" i="32" s="1"/>
  <c r="DR38" i="7"/>
  <c r="DQ38" i="7"/>
  <c r="M28" i="32" s="1"/>
  <c r="DJ38" i="7"/>
  <c r="DP38" i="7"/>
  <c r="DM38" i="7"/>
  <c r="AG38" i="7"/>
  <c r="CA40" i="7"/>
  <c r="CV40" i="7" s="1"/>
  <c r="AF38" i="7"/>
  <c r="AE38" i="7"/>
  <c r="AH38" i="7"/>
  <c r="BT42" i="7"/>
  <c r="CO42" i="7" s="1"/>
  <c r="BV46" i="7"/>
  <c r="CQ46" i="7" s="1"/>
  <c r="CJ58" i="7"/>
  <c r="DE58" i="7" s="1"/>
  <c r="CC57" i="7"/>
  <c r="CX57" i="7" s="1"/>
  <c r="EO42" i="7" l="1"/>
  <c r="CH42" i="7"/>
  <c r="DC42" i="7" s="1"/>
  <c r="P23" i="7"/>
  <c r="D13" i="32" s="1"/>
  <c r="AM40" i="7"/>
  <c r="CE41" i="7"/>
  <c r="CZ41" i="7" s="1"/>
  <c r="AO41" i="7"/>
  <c r="BO38" i="7"/>
  <c r="EM55" i="7"/>
  <c r="CL56" i="7"/>
  <c r="DG56" i="7" s="1"/>
  <c r="AY39" i="7"/>
  <c r="BB39" i="7"/>
  <c r="BA39" i="7"/>
  <c r="AT39" i="7"/>
  <c r="AZ39" i="7"/>
  <c r="AX39" i="7"/>
  <c r="AV39" i="7"/>
  <c r="E29" i="32"/>
  <c r="AW39" i="7"/>
  <c r="BC39" i="7"/>
  <c r="AU39" i="7"/>
  <c r="L40" i="7"/>
  <c r="EF40" i="7"/>
  <c r="EC40" i="7"/>
  <c r="EA40" i="7"/>
  <c r="DX40" i="7"/>
  <c r="DZ40" i="7"/>
  <c r="DW40" i="7"/>
  <c r="DV40" i="7"/>
  <c r="BX56" i="7"/>
  <c r="CS56" i="7" s="1"/>
  <c r="BY56" i="7"/>
  <c r="CT56" i="7" s="1"/>
  <c r="BW58" i="7"/>
  <c r="CR58" i="7" s="1"/>
  <c r="G37" i="7"/>
  <c r="BU44" i="7"/>
  <c r="CP44" i="7" s="1"/>
  <c r="CM47" i="7"/>
  <c r="DH47" i="7" s="1"/>
  <c r="BN41" i="7"/>
  <c r="BZ41" i="7"/>
  <c r="CU41" i="7" s="1"/>
  <c r="AI38" i="7"/>
  <c r="DI38" i="7"/>
  <c r="BE38" i="7"/>
  <c r="BD38" i="7"/>
  <c r="BF38" i="7"/>
  <c r="AD39" i="7"/>
  <c r="CD40" i="7"/>
  <c r="CY40" i="7" s="1"/>
  <c r="AC39" i="7"/>
  <c r="AB39" i="7"/>
  <c r="BV47" i="7"/>
  <c r="CQ47" i="7" s="1"/>
  <c r="CJ59" i="7"/>
  <c r="DE59" i="7" s="1"/>
  <c r="CC58" i="7"/>
  <c r="CX58" i="7" s="1"/>
  <c r="BU45" i="7" l="1"/>
  <c r="CP45" i="7" s="1"/>
  <c r="BN42" i="7"/>
  <c r="EN41" i="7"/>
  <c r="CH43" i="7"/>
  <c r="DC43" i="7" s="1"/>
  <c r="EB40" i="7"/>
  <c r="BO39" i="7"/>
  <c r="N24" i="7"/>
  <c r="AK24" i="7" s="1"/>
  <c r="BR40" i="7"/>
  <c r="CF41" i="7"/>
  <c r="DA41" i="7" s="1"/>
  <c r="AM41" i="7"/>
  <c r="CE42" i="7"/>
  <c r="CZ42" i="7" s="1"/>
  <c r="F13" i="32"/>
  <c r="G13" i="32" s="1"/>
  <c r="P13" i="32" s="1"/>
  <c r="Q13" i="32" s="1"/>
  <c r="CL57" i="7"/>
  <c r="DG57" i="7" s="1"/>
  <c r="EM56" i="7"/>
  <c r="C30" i="32"/>
  <c r="M40" i="7"/>
  <c r="BS41" i="7"/>
  <c r="CN41" i="7" s="1"/>
  <c r="BY57" i="7"/>
  <c r="CT57" i="7" s="1"/>
  <c r="BX57" i="7"/>
  <c r="CS57" i="7" s="1"/>
  <c r="BW59" i="7"/>
  <c r="CR59" i="7" s="1"/>
  <c r="CM48" i="7"/>
  <c r="DH48" i="7" s="1"/>
  <c r="DK39" i="7"/>
  <c r="K29" i="32" s="1"/>
  <c r="DL39" i="7"/>
  <c r="BP38" i="7"/>
  <c r="BQ38" i="7" s="1"/>
  <c r="DO39" i="7"/>
  <c r="BZ42" i="7"/>
  <c r="CU42" i="7" s="1"/>
  <c r="CI41" i="7"/>
  <c r="DD41" i="7" s="1"/>
  <c r="AB40" i="7"/>
  <c r="AD40" i="7"/>
  <c r="CA41" i="7"/>
  <c r="CV41" i="7" s="1"/>
  <c r="AC40" i="7"/>
  <c r="DN39" i="7"/>
  <c r="L29" i="32" s="1"/>
  <c r="DQ39" i="7"/>
  <c r="M29" i="32" s="1"/>
  <c r="DM39" i="7"/>
  <c r="DJ39" i="7"/>
  <c r="DR39" i="7"/>
  <c r="DP39" i="7"/>
  <c r="AE39" i="7"/>
  <c r="AF39" i="7"/>
  <c r="AG39" i="7"/>
  <c r="AH39" i="7"/>
  <c r="CD41" i="7"/>
  <c r="CY41" i="7" s="1"/>
  <c r="BT43" i="7"/>
  <c r="CO43" i="7" s="1"/>
  <c r="BV48" i="7"/>
  <c r="CQ48" i="7" s="1"/>
  <c r="CJ60" i="7"/>
  <c r="DE60" i="7" s="1"/>
  <c r="CC59" i="7"/>
  <c r="CX59" i="7" s="1"/>
  <c r="AJ24" i="7" l="1"/>
  <c r="BN43" i="7"/>
  <c r="EN42" i="7"/>
  <c r="AR24" i="7"/>
  <c r="BI24" i="7" s="1"/>
  <c r="AP24" i="7"/>
  <c r="BG24" i="7" s="1"/>
  <c r="AL24" i="7"/>
  <c r="E24" i="7" s="1"/>
  <c r="AQ24" i="7"/>
  <c r="BH24" i="7" s="1"/>
  <c r="CF42" i="7"/>
  <c r="DA42" i="7" s="1"/>
  <c r="AN41" i="7"/>
  <c r="AM42" i="7"/>
  <c r="H36" i="7"/>
  <c r="C24" i="7"/>
  <c r="BJ24" i="7"/>
  <c r="D24" i="7"/>
  <c r="BK24" i="7"/>
  <c r="CL58" i="7"/>
  <c r="DG58" i="7" s="1"/>
  <c r="EM57" i="7"/>
  <c r="L41" i="7"/>
  <c r="EF41" i="7"/>
  <c r="EB41" i="7"/>
  <c r="EA41" i="7"/>
  <c r="EC41" i="7"/>
  <c r="DX41" i="7"/>
  <c r="DZ41" i="7"/>
  <c r="DW41" i="7"/>
  <c r="DV41" i="7"/>
  <c r="EO43" i="7"/>
  <c r="BB40" i="7"/>
  <c r="DQ40" i="7" s="1"/>
  <c r="M30" i="32" s="1"/>
  <c r="AX40" i="7"/>
  <c r="DM40" i="7" s="1"/>
  <c r="AV40" i="7"/>
  <c r="DK40" i="7" s="1"/>
  <c r="K30" i="32" s="1"/>
  <c r="BC40" i="7"/>
  <c r="DR40" i="7" s="1"/>
  <c r="AU40" i="7"/>
  <c r="DJ40" i="7" s="1"/>
  <c r="E30" i="32"/>
  <c r="AY40" i="7"/>
  <c r="DN40" i="7" s="1"/>
  <c r="L30" i="32" s="1"/>
  <c r="AT40" i="7"/>
  <c r="AZ40" i="7"/>
  <c r="DO40" i="7" s="1"/>
  <c r="AW40" i="7"/>
  <c r="DL40" i="7" s="1"/>
  <c r="BA40" i="7"/>
  <c r="DP40" i="7" s="1"/>
  <c r="BX58" i="7"/>
  <c r="CS58" i="7" s="1"/>
  <c r="BY58" i="7"/>
  <c r="CT58" i="7" s="1"/>
  <c r="BW60" i="7"/>
  <c r="CR60" i="7" s="1"/>
  <c r="G38" i="7"/>
  <c r="CM49" i="7"/>
  <c r="DH49" i="7" s="1"/>
  <c r="AE40" i="7"/>
  <c r="AF40" i="7"/>
  <c r="AG40" i="7"/>
  <c r="DS41" i="7"/>
  <c r="CI42" i="7"/>
  <c r="DD42" i="7" s="1"/>
  <c r="CK42" i="7"/>
  <c r="DF42" i="7" s="1"/>
  <c r="AH40" i="7"/>
  <c r="AI39" i="7"/>
  <c r="CD42" i="7"/>
  <c r="CY42" i="7" s="1"/>
  <c r="DI39" i="7"/>
  <c r="BP39" i="7" s="1"/>
  <c r="BD39" i="7"/>
  <c r="BE39" i="7"/>
  <c r="BF39" i="7"/>
  <c r="CH44" i="7"/>
  <c r="DC44" i="7" s="1"/>
  <c r="BV49" i="7"/>
  <c r="CQ49" i="7" s="1"/>
  <c r="CJ61" i="7"/>
  <c r="DE61" i="7" s="1"/>
  <c r="CC60" i="7"/>
  <c r="CX60" i="7" s="1"/>
  <c r="CK43" i="7" l="1"/>
  <c r="DF43" i="7" s="1"/>
  <c r="BL24" i="7"/>
  <c r="BR41" i="7"/>
  <c r="CG42" i="7"/>
  <c r="DB42" i="7" s="1"/>
  <c r="AN42" i="7"/>
  <c r="CF43" i="7"/>
  <c r="DA43" i="7" s="1"/>
  <c r="BM24" i="7"/>
  <c r="F24" i="7"/>
  <c r="BO40" i="7"/>
  <c r="EM58" i="7"/>
  <c r="CL59" i="7"/>
  <c r="DG59" i="7" s="1"/>
  <c r="C31" i="32"/>
  <c r="BS42" i="7"/>
  <c r="CN42" i="7" s="1"/>
  <c r="M41" i="7"/>
  <c r="BY59" i="7"/>
  <c r="CT59" i="7" s="1"/>
  <c r="BX59" i="7"/>
  <c r="CS59" i="7" s="1"/>
  <c r="BW61" i="7"/>
  <c r="CR61" i="7" s="1"/>
  <c r="CM50" i="7"/>
  <c r="DH50" i="7" s="1"/>
  <c r="BZ43" i="7"/>
  <c r="CU43" i="7" s="1"/>
  <c r="CA42" i="7"/>
  <c r="CV42" i="7" s="1"/>
  <c r="AD41" i="7"/>
  <c r="AB41" i="7"/>
  <c r="AC41" i="7"/>
  <c r="DS42" i="7"/>
  <c r="CI43" i="7"/>
  <c r="DD43" i="7" s="1"/>
  <c r="AI40" i="7"/>
  <c r="BD40" i="7"/>
  <c r="BE40" i="7"/>
  <c r="BF40" i="7"/>
  <c r="BQ39" i="7"/>
  <c r="DI40" i="7"/>
  <c r="BP40" i="7" s="1"/>
  <c r="CD43" i="7"/>
  <c r="CY43" i="7" s="1"/>
  <c r="BN44" i="7"/>
  <c r="BT44" i="7"/>
  <c r="CO44" i="7" s="1"/>
  <c r="BV50" i="7"/>
  <c r="CQ50" i="7" s="1"/>
  <c r="CJ62" i="7"/>
  <c r="DE62" i="7" s="1"/>
  <c r="CC61" i="7"/>
  <c r="CX61" i="7" s="1"/>
  <c r="CK44" i="7" l="1"/>
  <c r="DF44" i="7" s="1"/>
  <c r="EN43" i="7"/>
  <c r="L43" i="7"/>
  <c r="AB43" i="7" s="1"/>
  <c r="H37" i="7"/>
  <c r="CF44" i="7"/>
  <c r="DA44" i="7" s="1"/>
  <c r="AN43" i="7"/>
  <c r="CG43" i="7"/>
  <c r="DB43" i="7" s="1"/>
  <c r="AO42" i="7"/>
  <c r="B24" i="7"/>
  <c r="P24" i="7"/>
  <c r="CL60" i="7"/>
  <c r="DG60" i="7" s="1"/>
  <c r="EM59" i="7"/>
  <c r="E31" i="32"/>
  <c r="AW41" i="7"/>
  <c r="DL41" i="7" s="1"/>
  <c r="AU41" i="7"/>
  <c r="DJ41" i="7" s="1"/>
  <c r="BA41" i="7"/>
  <c r="DP41" i="7" s="1"/>
  <c r="BC41" i="7"/>
  <c r="DR41" i="7" s="1"/>
  <c r="AV41" i="7"/>
  <c r="DK41" i="7" s="1"/>
  <c r="K31" i="32" s="1"/>
  <c r="AT41" i="7"/>
  <c r="DI41" i="7" s="1"/>
  <c r="AX41" i="7"/>
  <c r="DM41" i="7" s="1"/>
  <c r="AZ41" i="7"/>
  <c r="DO41" i="7" s="1"/>
  <c r="BB41" i="7"/>
  <c r="DQ41" i="7" s="1"/>
  <c r="M31" i="32" s="1"/>
  <c r="AY41" i="7"/>
  <c r="DN41" i="7" s="1"/>
  <c r="L31" i="32" s="1"/>
  <c r="L42" i="7"/>
  <c r="EB42" i="7"/>
  <c r="EF42" i="7"/>
  <c r="EC42" i="7"/>
  <c r="EA42" i="7"/>
  <c r="DX42" i="7"/>
  <c r="DZ42" i="7"/>
  <c r="DW42" i="7"/>
  <c r="DV42" i="7"/>
  <c r="EO44" i="7"/>
  <c r="BX60" i="7"/>
  <c r="CS60" i="7" s="1"/>
  <c r="BY60" i="7"/>
  <c r="CT60" i="7" s="1"/>
  <c r="BW62" i="7"/>
  <c r="CR62" i="7" s="1"/>
  <c r="G39" i="7"/>
  <c r="CM51" i="7"/>
  <c r="DH51" i="7" s="1"/>
  <c r="AG41" i="7"/>
  <c r="BZ44" i="7"/>
  <c r="CU44" i="7" s="1"/>
  <c r="DS43" i="7"/>
  <c r="CI44" i="7"/>
  <c r="DD44" i="7" s="1"/>
  <c r="CA43" i="7"/>
  <c r="CV43" i="7" s="1"/>
  <c r="AF41" i="7"/>
  <c r="AE41" i="7"/>
  <c r="AH41" i="7"/>
  <c r="CD44" i="7"/>
  <c r="CY44" i="7" s="1"/>
  <c r="BQ40" i="7"/>
  <c r="BV51" i="7"/>
  <c r="CQ51" i="7" s="1"/>
  <c r="CJ63" i="7"/>
  <c r="DE63" i="7" s="1"/>
  <c r="CC62" i="7"/>
  <c r="CX62" i="7" s="1"/>
  <c r="BR43" i="7" l="1"/>
  <c r="C33" i="32"/>
  <c r="AC43" i="7"/>
  <c r="AD43" i="7"/>
  <c r="CK45" i="7"/>
  <c r="DF45" i="7" s="1"/>
  <c r="AE43" i="7"/>
  <c r="BR42" i="7"/>
  <c r="CE43" i="7"/>
  <c r="CZ43" i="7" s="1"/>
  <c r="CF45" i="7"/>
  <c r="DA45" i="7" s="1"/>
  <c r="AN44" i="7"/>
  <c r="AO43" i="7"/>
  <c r="CG44" i="7"/>
  <c r="DB44" i="7" s="1"/>
  <c r="N25" i="7"/>
  <c r="D14" i="32"/>
  <c r="BO41" i="7"/>
  <c r="CL61" i="7"/>
  <c r="DG61" i="7" s="1"/>
  <c r="EM60" i="7"/>
  <c r="EN44" i="7"/>
  <c r="BT45" i="7"/>
  <c r="CO45" i="7" s="1"/>
  <c r="C32" i="32"/>
  <c r="BS43" i="7"/>
  <c r="CN43" i="7" s="1"/>
  <c r="M42" i="7"/>
  <c r="AD42" i="7"/>
  <c r="AB42" i="7"/>
  <c r="AC42" i="7"/>
  <c r="BY61" i="7"/>
  <c r="CT61" i="7" s="1"/>
  <c r="BX61" i="7"/>
  <c r="CS61" i="7" s="1"/>
  <c r="BW63" i="7"/>
  <c r="CR63" i="7" s="1"/>
  <c r="G40" i="7"/>
  <c r="CM52" i="7"/>
  <c r="DH52" i="7" s="1"/>
  <c r="BP41" i="7"/>
  <c r="BF41" i="7"/>
  <c r="BD41" i="7"/>
  <c r="BE41" i="7"/>
  <c r="DS44" i="7"/>
  <c r="CI45" i="7"/>
  <c r="DD45" i="7" s="1"/>
  <c r="AI41" i="7"/>
  <c r="CA44" i="7"/>
  <c r="CV44" i="7" s="1"/>
  <c r="CD45" i="7"/>
  <c r="CY45" i="7" s="1"/>
  <c r="BV52" i="7"/>
  <c r="CQ52" i="7" s="1"/>
  <c r="CJ64" i="7"/>
  <c r="DE64" i="7" s="1"/>
  <c r="EO45" i="7" l="1"/>
  <c r="L44" i="7"/>
  <c r="BR44" i="7" s="1"/>
  <c r="H39" i="7"/>
  <c r="H38" i="7"/>
  <c r="AM43" i="7"/>
  <c r="CE44" i="7"/>
  <c r="CZ44" i="7" s="1"/>
  <c r="H40" i="7"/>
  <c r="AO44" i="7"/>
  <c r="CG45" i="7"/>
  <c r="DB45" i="7" s="1"/>
  <c r="AN45" i="7"/>
  <c r="CF46" i="7"/>
  <c r="DA46" i="7" s="1"/>
  <c r="AQ25" i="7"/>
  <c r="BH25" i="7" s="1"/>
  <c r="F14" i="32"/>
  <c r="G14" i="32" s="1"/>
  <c r="P14" i="32" s="1"/>
  <c r="Q14" i="32" s="1"/>
  <c r="AR25" i="7"/>
  <c r="BI25" i="7" s="1"/>
  <c r="AP25" i="7"/>
  <c r="BG25" i="7" s="1"/>
  <c r="AK25" i="7"/>
  <c r="AL25" i="7"/>
  <c r="AJ25" i="7"/>
  <c r="BQ41" i="7"/>
  <c r="EM61" i="7"/>
  <c r="CL62" i="7"/>
  <c r="DG62" i="7" s="1"/>
  <c r="BT46" i="7"/>
  <c r="CO46" i="7" s="1"/>
  <c r="AH42" i="7"/>
  <c r="AG42" i="7"/>
  <c r="AY42" i="7"/>
  <c r="DN42" i="7" s="1"/>
  <c r="L32" i="32" s="1"/>
  <c r="BA42" i="7"/>
  <c r="DP42" i="7" s="1"/>
  <c r="AX42" i="7"/>
  <c r="DM42" i="7" s="1"/>
  <c r="BC42" i="7"/>
  <c r="DR42" i="7" s="1"/>
  <c r="BB42" i="7"/>
  <c r="DQ42" i="7" s="1"/>
  <c r="M32" i="32" s="1"/>
  <c r="E32" i="32"/>
  <c r="AZ42" i="7"/>
  <c r="DO42" i="7" s="1"/>
  <c r="AT42" i="7"/>
  <c r="AV42" i="7"/>
  <c r="DK42" i="7" s="1"/>
  <c r="K32" i="32" s="1"/>
  <c r="AW42" i="7"/>
  <c r="DL42" i="7" s="1"/>
  <c r="AU42" i="7"/>
  <c r="DJ42" i="7" s="1"/>
  <c r="DV43" i="7"/>
  <c r="EB43" i="7"/>
  <c r="EF43" i="7"/>
  <c r="EC43" i="7"/>
  <c r="DZ43" i="7"/>
  <c r="EA43" i="7"/>
  <c r="DX43" i="7"/>
  <c r="DW43" i="7"/>
  <c r="BS44" i="7"/>
  <c r="CN44" i="7" s="1"/>
  <c r="M43" i="7"/>
  <c r="AE42" i="7"/>
  <c r="AF42" i="7"/>
  <c r="BX62" i="7"/>
  <c r="CS62" i="7" s="1"/>
  <c r="BY62" i="7"/>
  <c r="CT62" i="7" s="1"/>
  <c r="BW64" i="7"/>
  <c r="CR64" i="7" s="1"/>
  <c r="CM53" i="7"/>
  <c r="DH53" i="7" s="1"/>
  <c r="CA45" i="7"/>
  <c r="CV45" i="7" s="1"/>
  <c r="DS45" i="7"/>
  <c r="CI46" i="7"/>
  <c r="DD46" i="7" s="1"/>
  <c r="BU46" i="7"/>
  <c r="CP46" i="7" s="1"/>
  <c r="CD46" i="7"/>
  <c r="CY46" i="7" s="1"/>
  <c r="BV53" i="7"/>
  <c r="CQ53" i="7" s="1"/>
  <c r="CJ65" i="7"/>
  <c r="DE65" i="7" s="1"/>
  <c r="EO46" i="7" l="1"/>
  <c r="C34" i="32"/>
  <c r="BO42" i="7"/>
  <c r="AI42" i="7"/>
  <c r="CE45" i="7"/>
  <c r="CZ45" i="7" s="1"/>
  <c r="AM44" i="7"/>
  <c r="CF47" i="7"/>
  <c r="DA47" i="7" s="1"/>
  <c r="AN46" i="7"/>
  <c r="AO45" i="7"/>
  <c r="CG46" i="7"/>
  <c r="DB46" i="7" s="1"/>
  <c r="BK25" i="7"/>
  <c r="D25" i="7"/>
  <c r="BL25" i="7"/>
  <c r="E25" i="7"/>
  <c r="BJ25" i="7"/>
  <c r="C25" i="7"/>
  <c r="G41" i="7"/>
  <c r="CL63" i="7"/>
  <c r="DG63" i="7" s="1"/>
  <c r="EM62" i="7"/>
  <c r="BT47" i="7"/>
  <c r="CO47" i="7" s="1"/>
  <c r="AW43" i="7"/>
  <c r="DL43" i="7" s="1"/>
  <c r="BB43" i="7"/>
  <c r="DQ43" i="7" s="1"/>
  <c r="M33" i="32" s="1"/>
  <c r="AY43" i="7"/>
  <c r="DN43" i="7" s="1"/>
  <c r="L33" i="32" s="1"/>
  <c r="AV43" i="7"/>
  <c r="DK43" i="7" s="1"/>
  <c r="K33" i="32" s="1"/>
  <c r="AU43" i="7"/>
  <c r="DJ43" i="7" s="1"/>
  <c r="BC43" i="7"/>
  <c r="DR43" i="7" s="1"/>
  <c r="E33" i="32"/>
  <c r="AT43" i="7"/>
  <c r="BA43" i="7"/>
  <c r="DP43" i="7" s="1"/>
  <c r="AX43" i="7"/>
  <c r="DM43" i="7" s="1"/>
  <c r="AZ43" i="7"/>
  <c r="DO43" i="7" s="1"/>
  <c r="AH43" i="7"/>
  <c r="AG43" i="7"/>
  <c r="AF43" i="7"/>
  <c r="EB44" i="7"/>
  <c r="EC44" i="7"/>
  <c r="EA44" i="7"/>
  <c r="EF44" i="7"/>
  <c r="DX44" i="7"/>
  <c r="DZ44" i="7"/>
  <c r="DW44" i="7"/>
  <c r="DV44" i="7"/>
  <c r="BS45" i="7"/>
  <c r="CN45" i="7" s="1"/>
  <c r="M44" i="7"/>
  <c r="BF42" i="7"/>
  <c r="BD42" i="7"/>
  <c r="BE42" i="7"/>
  <c r="DI42" i="7"/>
  <c r="BY63" i="7"/>
  <c r="CT63" i="7" s="1"/>
  <c r="BX63" i="7"/>
  <c r="CS63" i="7" s="1"/>
  <c r="BW65" i="7"/>
  <c r="CR65" i="7" s="1"/>
  <c r="CM54" i="7"/>
  <c r="DH54" i="7" s="1"/>
  <c r="CA46" i="7"/>
  <c r="CV46" i="7" s="1"/>
  <c r="DS46" i="7"/>
  <c r="CI47" i="7"/>
  <c r="DD47" i="7" s="1"/>
  <c r="CH45" i="7"/>
  <c r="DC45" i="7" s="1"/>
  <c r="BZ45" i="7"/>
  <c r="CU45" i="7" s="1"/>
  <c r="AD44" i="7"/>
  <c r="AC44" i="7"/>
  <c r="AB44" i="7"/>
  <c r="CD47" i="7"/>
  <c r="CY47" i="7" s="1"/>
  <c r="BU47" i="7"/>
  <c r="CP47" i="7" s="1"/>
  <c r="BV54" i="7"/>
  <c r="CQ54" i="7" s="1"/>
  <c r="CJ66" i="7"/>
  <c r="DE66" i="7" s="1"/>
  <c r="L45" i="7" l="1"/>
  <c r="CB46" i="7" s="1"/>
  <c r="CW46" i="7" s="1"/>
  <c r="EN45" i="7"/>
  <c r="C35" i="32"/>
  <c r="BR45" i="7"/>
  <c r="H41" i="7" s="1"/>
  <c r="BO43" i="7"/>
  <c r="F25" i="7"/>
  <c r="CE46" i="7"/>
  <c r="CZ46" i="7" s="1"/>
  <c r="AM45" i="7"/>
  <c r="AO46" i="7"/>
  <c r="CG47" i="7"/>
  <c r="DB47" i="7" s="1"/>
  <c r="AN47" i="7"/>
  <c r="CF48" i="7"/>
  <c r="DA48" i="7" s="1"/>
  <c r="BM25" i="7"/>
  <c r="CL64" i="7"/>
  <c r="DG64" i="7" s="1"/>
  <c r="EM63" i="7"/>
  <c r="EO47" i="7"/>
  <c r="AT44" i="7"/>
  <c r="E34" i="32"/>
  <c r="AY44" i="7"/>
  <c r="DN44" i="7" s="1"/>
  <c r="L34" i="32" s="1"/>
  <c r="AW44" i="7"/>
  <c r="DL44" i="7" s="1"/>
  <c r="AZ44" i="7"/>
  <c r="DO44" i="7" s="1"/>
  <c r="AU44" i="7"/>
  <c r="DJ44" i="7" s="1"/>
  <c r="BC44" i="7"/>
  <c r="DR44" i="7" s="1"/>
  <c r="BA44" i="7"/>
  <c r="BB44" i="7"/>
  <c r="DQ44" i="7" s="1"/>
  <c r="M34" i="32" s="1"/>
  <c r="AX44" i="7"/>
  <c r="AV44" i="7"/>
  <c r="DK44" i="7" s="1"/>
  <c r="K34" i="32" s="1"/>
  <c r="EB45" i="7"/>
  <c r="EF45" i="7"/>
  <c r="EC45" i="7"/>
  <c r="EA45" i="7"/>
  <c r="DX45" i="7"/>
  <c r="DZ45" i="7"/>
  <c r="DW45" i="7"/>
  <c r="DV45" i="7"/>
  <c r="BS46" i="7"/>
  <c r="CN46" i="7" s="1"/>
  <c r="M45" i="7"/>
  <c r="BD43" i="7"/>
  <c r="BF43" i="7"/>
  <c r="BE43" i="7"/>
  <c r="BP42" i="7"/>
  <c r="BQ42" i="7" s="1"/>
  <c r="DI43" i="7"/>
  <c r="BP43" i="7" s="1"/>
  <c r="AI43" i="7"/>
  <c r="BX64" i="7"/>
  <c r="CS64" i="7" s="1"/>
  <c r="BY64" i="7"/>
  <c r="CT64" i="7" s="1"/>
  <c r="BW66" i="7"/>
  <c r="CR66" i="7" s="1"/>
  <c r="CM55" i="7"/>
  <c r="DH55" i="7" s="1"/>
  <c r="AE44" i="7"/>
  <c r="AF44" i="7"/>
  <c r="AH44" i="7"/>
  <c r="DS47" i="7"/>
  <c r="CI48" i="7"/>
  <c r="DD48" i="7" s="1"/>
  <c r="AG44" i="7"/>
  <c r="BZ46" i="7"/>
  <c r="CU46" i="7" s="1"/>
  <c r="AD45" i="7"/>
  <c r="AC45" i="7"/>
  <c r="CK46" i="7"/>
  <c r="DF46" i="7" s="1"/>
  <c r="AB45" i="7"/>
  <c r="CD48" i="7"/>
  <c r="CY48" i="7" s="1"/>
  <c r="CH46" i="7"/>
  <c r="DC46" i="7" s="1"/>
  <c r="BN45" i="7"/>
  <c r="BU48" i="7"/>
  <c r="CP48" i="7" s="1"/>
  <c r="BV55" i="7"/>
  <c r="CQ55" i="7" s="1"/>
  <c r="CJ67" i="7"/>
  <c r="DE67" i="7" s="1"/>
  <c r="CK47" i="7" l="1"/>
  <c r="DF47" i="7" s="1"/>
  <c r="EN46" i="7"/>
  <c r="L46" i="7"/>
  <c r="CB47" i="7" s="1"/>
  <c r="CW47" i="7" s="1"/>
  <c r="CB48" i="7"/>
  <c r="CW48" i="7" s="1"/>
  <c r="BQ43" i="7"/>
  <c r="G43" i="7" s="1"/>
  <c r="BT48" i="7"/>
  <c r="CO48" i="7" s="1"/>
  <c r="CE47" i="7"/>
  <c r="CZ47" i="7" s="1"/>
  <c r="AM46" i="7"/>
  <c r="AN48" i="7"/>
  <c r="CF49" i="7"/>
  <c r="DA49" i="7" s="1"/>
  <c r="AO47" i="7"/>
  <c r="CG48" i="7"/>
  <c r="DB48" i="7" s="1"/>
  <c r="B25" i="7"/>
  <c r="P25" i="7"/>
  <c r="BO44" i="7"/>
  <c r="CL65" i="7"/>
  <c r="DG65" i="7" s="1"/>
  <c r="EM64" i="7"/>
  <c r="E35" i="32"/>
  <c r="AV45" i="7"/>
  <c r="DK45" i="7" s="1"/>
  <c r="K35" i="32" s="1"/>
  <c r="AW45" i="7"/>
  <c r="DL45" i="7" s="1"/>
  <c r="AU45" i="7"/>
  <c r="DJ45" i="7" s="1"/>
  <c r="AT45" i="7"/>
  <c r="BC45" i="7"/>
  <c r="DR45" i="7" s="1"/>
  <c r="AZ45" i="7"/>
  <c r="DO45" i="7" s="1"/>
  <c r="BB45" i="7"/>
  <c r="DQ45" i="7" s="1"/>
  <c r="M35" i="32" s="1"/>
  <c r="BA45" i="7"/>
  <c r="AY45" i="7"/>
  <c r="DN45" i="7" s="1"/>
  <c r="L35" i="32" s="1"/>
  <c r="AX45" i="7"/>
  <c r="G42" i="7"/>
  <c r="EB46" i="7"/>
  <c r="EF46" i="7"/>
  <c r="EC46" i="7"/>
  <c r="EA46" i="7"/>
  <c r="DX46" i="7"/>
  <c r="DZ46" i="7"/>
  <c r="DW46" i="7"/>
  <c r="DV46" i="7"/>
  <c r="BS47" i="7"/>
  <c r="CN47" i="7" s="1"/>
  <c r="BY65" i="7"/>
  <c r="CT65" i="7" s="1"/>
  <c r="BX65" i="7"/>
  <c r="CS65" i="7" s="1"/>
  <c r="BW67" i="7"/>
  <c r="CR67" i="7" s="1"/>
  <c r="CM56" i="7"/>
  <c r="DH56" i="7" s="1"/>
  <c r="DP44" i="7"/>
  <c r="DM44" i="7"/>
  <c r="AF45" i="7"/>
  <c r="AE45" i="7"/>
  <c r="AC46" i="7"/>
  <c r="CA47" i="7"/>
  <c r="CV47" i="7" s="1"/>
  <c r="BE44" i="7"/>
  <c r="BF44" i="7"/>
  <c r="BD44" i="7"/>
  <c r="DI44" i="7"/>
  <c r="AH45" i="7"/>
  <c r="BN46" i="7"/>
  <c r="CH47" i="7"/>
  <c r="DC47" i="7" s="1"/>
  <c r="CD49" i="7"/>
  <c r="CY49" i="7" s="1"/>
  <c r="BZ47" i="7"/>
  <c r="CU47" i="7" s="1"/>
  <c r="DS48" i="7"/>
  <c r="CI49" i="7"/>
  <c r="DD49" i="7" s="1"/>
  <c r="AI44" i="7"/>
  <c r="AG45" i="7"/>
  <c r="BU49" i="7"/>
  <c r="CP49" i="7" s="1"/>
  <c r="BV56" i="7"/>
  <c r="CQ56" i="7" s="1"/>
  <c r="CJ68" i="7"/>
  <c r="DE68" i="7" s="1"/>
  <c r="AD46" i="7" l="1"/>
  <c r="C36" i="32"/>
  <c r="AB46" i="7"/>
  <c r="AE46" i="7" s="1"/>
  <c r="M46" i="7"/>
  <c r="BA46" i="7" s="1"/>
  <c r="BR46" i="7"/>
  <c r="H42" i="7" s="1"/>
  <c r="EN47" i="7"/>
  <c r="L47" i="7"/>
  <c r="CK48" i="7"/>
  <c r="DF48" i="7" s="1"/>
  <c r="H43" i="7"/>
  <c r="EO48" i="7"/>
  <c r="L48" i="7"/>
  <c r="BR48" i="7" s="1"/>
  <c r="AM47" i="7"/>
  <c r="CE48" i="7"/>
  <c r="CZ48" i="7" s="1"/>
  <c r="AN49" i="7"/>
  <c r="CF50" i="7"/>
  <c r="DA50" i="7" s="1"/>
  <c r="AO48" i="7"/>
  <c r="CG49" i="7"/>
  <c r="DB49" i="7" s="1"/>
  <c r="N26" i="7"/>
  <c r="D15" i="32"/>
  <c r="BO45" i="7"/>
  <c r="EM65" i="7"/>
  <c r="CL66" i="7"/>
  <c r="DG66" i="7" s="1"/>
  <c r="EB47" i="7"/>
  <c r="EF47" i="7"/>
  <c r="EC47" i="7"/>
  <c r="EA47" i="7"/>
  <c r="DZ47" i="7"/>
  <c r="DX47" i="7"/>
  <c r="DW47" i="7"/>
  <c r="DV47" i="7"/>
  <c r="BS48" i="7"/>
  <c r="CN48" i="7" s="1"/>
  <c r="BX66" i="7"/>
  <c r="CS66" i="7" s="1"/>
  <c r="BY66" i="7"/>
  <c r="CT66" i="7" s="1"/>
  <c r="BW68" i="7"/>
  <c r="CR68" i="7" s="1"/>
  <c r="CM57" i="7"/>
  <c r="DH57" i="7" s="1"/>
  <c r="BP44" i="7"/>
  <c r="BQ44" i="7" s="1"/>
  <c r="H44" i="7" s="1"/>
  <c r="DP45" i="7"/>
  <c r="DM45" i="7"/>
  <c r="CD50" i="7"/>
  <c r="CY50" i="7" s="1"/>
  <c r="BZ48" i="7"/>
  <c r="CU48" i="7" s="1"/>
  <c r="BN47" i="7"/>
  <c r="CH48" i="7"/>
  <c r="DC48" i="7" s="1"/>
  <c r="BD45" i="7"/>
  <c r="BE45" i="7"/>
  <c r="BF45" i="7"/>
  <c r="CI50" i="7"/>
  <c r="DD50" i="7" s="1"/>
  <c r="DS49" i="7"/>
  <c r="DI45" i="7"/>
  <c r="AI45" i="7"/>
  <c r="BU50" i="7"/>
  <c r="CP50" i="7" s="1"/>
  <c r="BV57" i="7"/>
  <c r="CQ57" i="7" s="1"/>
  <c r="CJ69" i="7"/>
  <c r="DE69" i="7" s="1"/>
  <c r="AW46" i="7" l="1"/>
  <c r="DL46" i="7" s="1"/>
  <c r="AH46" i="7"/>
  <c r="AV46" i="7"/>
  <c r="DK46" i="7" s="1"/>
  <c r="K36" i="32" s="1"/>
  <c r="AF46" i="7"/>
  <c r="AT46" i="7"/>
  <c r="DI46" i="7" s="1"/>
  <c r="AX46" i="7"/>
  <c r="AY46" i="7"/>
  <c r="DN46" i="7" s="1"/>
  <c r="L36" i="32" s="1"/>
  <c r="E36" i="32"/>
  <c r="AG46" i="7"/>
  <c r="BC46" i="7"/>
  <c r="DR46" i="7" s="1"/>
  <c r="BB46" i="7"/>
  <c r="DQ46" i="7" s="1"/>
  <c r="M36" i="32" s="1"/>
  <c r="AZ46" i="7"/>
  <c r="DO46" i="7" s="1"/>
  <c r="AU46" i="7"/>
  <c r="DJ46" i="7" s="1"/>
  <c r="EN48" i="7"/>
  <c r="C37" i="32"/>
  <c r="BR47" i="7"/>
  <c r="M47" i="7"/>
  <c r="AT47" i="7" s="1"/>
  <c r="CK49" i="7"/>
  <c r="DF49" i="7" s="1"/>
  <c r="CB49" i="7"/>
  <c r="CW49" i="7" s="1"/>
  <c r="C38" i="32"/>
  <c r="BT49" i="7"/>
  <c r="CO49" i="7" s="1"/>
  <c r="AM48" i="7"/>
  <c r="CE49" i="7"/>
  <c r="CZ49" i="7" s="1"/>
  <c r="AO49" i="7"/>
  <c r="CG50" i="7"/>
  <c r="DB50" i="7" s="1"/>
  <c r="AN50" i="7"/>
  <c r="CF51" i="7"/>
  <c r="DA51" i="7" s="1"/>
  <c r="AQ26" i="7"/>
  <c r="BH26" i="7" s="1"/>
  <c r="AR26" i="7"/>
  <c r="BI26" i="7" s="1"/>
  <c r="AP26" i="7"/>
  <c r="BG26" i="7" s="1"/>
  <c r="F15" i="32"/>
  <c r="G15" i="32" s="1"/>
  <c r="P15" i="32" s="1"/>
  <c r="Q15" i="32" s="1"/>
  <c r="AK26" i="7"/>
  <c r="AL26" i="7"/>
  <c r="AJ26" i="7"/>
  <c r="BO46" i="7"/>
  <c r="EM66" i="7"/>
  <c r="CL67" i="7"/>
  <c r="DG67" i="7" s="1"/>
  <c r="EF48" i="7"/>
  <c r="EC48" i="7"/>
  <c r="EA48" i="7"/>
  <c r="DZ48" i="7"/>
  <c r="DV48" i="7"/>
  <c r="BS49" i="7"/>
  <c r="CN49" i="7" s="1"/>
  <c r="M48" i="7"/>
  <c r="BY67" i="7"/>
  <c r="CT67" i="7" s="1"/>
  <c r="BX67" i="7"/>
  <c r="CS67" i="7" s="1"/>
  <c r="BW69" i="7"/>
  <c r="CR69" i="7" s="1"/>
  <c r="CM58" i="7"/>
  <c r="DH58" i="7" s="1"/>
  <c r="BP45" i="7"/>
  <c r="BQ45" i="7" s="1"/>
  <c r="DP46" i="7"/>
  <c r="DM46" i="7"/>
  <c r="AI46" i="7"/>
  <c r="AB47" i="7"/>
  <c r="AD47" i="7"/>
  <c r="CA48" i="7"/>
  <c r="CV48" i="7" s="1"/>
  <c r="AC47" i="7"/>
  <c r="G44" i="7"/>
  <c r="CI51" i="7"/>
  <c r="DD51" i="7" s="1"/>
  <c r="DS50" i="7"/>
  <c r="BN48" i="7"/>
  <c r="CH49" i="7"/>
  <c r="DC49" i="7" s="1"/>
  <c r="BU51" i="7"/>
  <c r="CP51" i="7" s="1"/>
  <c r="CD51" i="7"/>
  <c r="CY51" i="7" s="1"/>
  <c r="BV58" i="7"/>
  <c r="CQ58" i="7" s="1"/>
  <c r="CJ70" i="7"/>
  <c r="DE70" i="7" s="1"/>
  <c r="BD46" i="7" l="1"/>
  <c r="BF46" i="7"/>
  <c r="BC47" i="7"/>
  <c r="DR47" i="7" s="1"/>
  <c r="AY47" i="7"/>
  <c r="DN47" i="7" s="1"/>
  <c r="L37" i="32" s="1"/>
  <c r="AU47" i="7"/>
  <c r="BB47" i="7"/>
  <c r="E37" i="32"/>
  <c r="AW47" i="7"/>
  <c r="AV47" i="7"/>
  <c r="DK47" i="7" s="1"/>
  <c r="K37" i="32" s="1"/>
  <c r="AZ47" i="7"/>
  <c r="BE46" i="7"/>
  <c r="BA47" i="7"/>
  <c r="AX47" i="7"/>
  <c r="DM47" i="7" s="1"/>
  <c r="DW48" i="7"/>
  <c r="CK50" i="7"/>
  <c r="DF50" i="7" s="1"/>
  <c r="EO49" i="7"/>
  <c r="L49" i="7"/>
  <c r="CE50" i="7"/>
  <c r="CZ50" i="7" s="1"/>
  <c r="AM49" i="7"/>
  <c r="AO50" i="7"/>
  <c r="CG51" i="7"/>
  <c r="DB51" i="7" s="1"/>
  <c r="AN51" i="7"/>
  <c r="CF52" i="7"/>
  <c r="DA52" i="7" s="1"/>
  <c r="C26" i="7"/>
  <c r="BJ26" i="7"/>
  <c r="E26" i="7"/>
  <c r="BL26" i="7"/>
  <c r="D26" i="7"/>
  <c r="BK26" i="7"/>
  <c r="EM67" i="7"/>
  <c r="CL68" i="7"/>
  <c r="DG68" i="7" s="1"/>
  <c r="EF49" i="7"/>
  <c r="EC49" i="7"/>
  <c r="EA49" i="7"/>
  <c r="DZ49" i="7"/>
  <c r="DV49" i="7"/>
  <c r="BS50" i="7"/>
  <c r="CN50" i="7" s="1"/>
  <c r="DX48" i="7"/>
  <c r="EB48" i="7"/>
  <c r="AT48" i="7"/>
  <c r="AU48" i="7"/>
  <c r="BB48" i="7"/>
  <c r="AY48" i="7"/>
  <c r="AV48" i="7"/>
  <c r="AZ48" i="7"/>
  <c r="BA48" i="7"/>
  <c r="E38" i="32"/>
  <c r="AX48" i="7"/>
  <c r="AW48" i="7"/>
  <c r="BC48" i="7"/>
  <c r="BX68" i="7"/>
  <c r="CS68" i="7" s="1"/>
  <c r="BY68" i="7"/>
  <c r="CT68" i="7" s="1"/>
  <c r="BW70" i="7"/>
  <c r="CR70" i="7" s="1"/>
  <c r="CM59" i="7"/>
  <c r="DH59" i="7" s="1"/>
  <c r="BP46" i="7"/>
  <c r="BQ46" i="7" s="1"/>
  <c r="DL47" i="7"/>
  <c r="DO47" i="7"/>
  <c r="BN49" i="7"/>
  <c r="CH50" i="7"/>
  <c r="DC50" i="7" s="1"/>
  <c r="BO47" i="7"/>
  <c r="CA49" i="7"/>
  <c r="CV49" i="7" s="1"/>
  <c r="BZ49" i="7"/>
  <c r="CU49" i="7" s="1"/>
  <c r="AC48" i="7"/>
  <c r="AB48" i="7"/>
  <c r="AD48" i="7"/>
  <c r="DS51" i="7"/>
  <c r="CI52" i="7"/>
  <c r="DD52" i="7" s="1"/>
  <c r="DP47" i="7"/>
  <c r="DQ47" i="7"/>
  <c r="M37" i="32" s="1"/>
  <c r="DI47" i="7"/>
  <c r="DJ47" i="7"/>
  <c r="AH47" i="7"/>
  <c r="G45" i="7"/>
  <c r="AG47" i="7"/>
  <c r="AF47" i="7"/>
  <c r="AE47" i="7"/>
  <c r="CD52" i="7"/>
  <c r="CY52" i="7" s="1"/>
  <c r="BU52" i="7"/>
  <c r="CP52" i="7" s="1"/>
  <c r="BV59" i="7"/>
  <c r="CQ59" i="7" s="1"/>
  <c r="CJ71" i="7"/>
  <c r="DE71" i="7" s="1"/>
  <c r="CK51" i="7" l="1"/>
  <c r="DF51" i="7" s="1"/>
  <c r="DW49" i="7"/>
  <c r="EN49" i="7"/>
  <c r="M49" i="7"/>
  <c r="AY49" i="7" s="1"/>
  <c r="CB50" i="7"/>
  <c r="CW50" i="7" s="1"/>
  <c r="BR49" i="7"/>
  <c r="H45" i="7" s="1"/>
  <c r="AD49" i="7"/>
  <c r="AC49" i="7"/>
  <c r="C39" i="32"/>
  <c r="BT50" i="7"/>
  <c r="CO50" i="7" s="1"/>
  <c r="AB49" i="7"/>
  <c r="AM50" i="7"/>
  <c r="AO51" i="7"/>
  <c r="CG52" i="7"/>
  <c r="DB52" i="7" s="1"/>
  <c r="AN52" i="7"/>
  <c r="CF53" i="7"/>
  <c r="DA53" i="7" s="1"/>
  <c r="F26" i="7"/>
  <c r="BM26" i="7"/>
  <c r="CL69" i="7"/>
  <c r="DG69" i="7" s="1"/>
  <c r="EM68" i="7"/>
  <c r="EB49" i="7"/>
  <c r="EF50" i="7"/>
  <c r="EC50" i="7"/>
  <c r="EA50" i="7"/>
  <c r="DZ50" i="7"/>
  <c r="BS51" i="7"/>
  <c r="CN51" i="7" s="1"/>
  <c r="DV50" i="7"/>
  <c r="DX49" i="7"/>
  <c r="AI47" i="7"/>
  <c r="BY69" i="7"/>
  <c r="CT69" i="7" s="1"/>
  <c r="BX69" i="7"/>
  <c r="CS69" i="7" s="1"/>
  <c r="BW71" i="7"/>
  <c r="CR71" i="7" s="1"/>
  <c r="G46" i="7"/>
  <c r="CM60" i="7"/>
  <c r="DH60" i="7" s="1"/>
  <c r="BP47" i="7"/>
  <c r="BQ47" i="7" s="1"/>
  <c r="DK48" i="7"/>
  <c r="K38" i="32" s="1"/>
  <c r="DL48" i="7"/>
  <c r="DO48" i="7"/>
  <c r="AH48" i="7"/>
  <c r="CD53" i="7"/>
  <c r="CY53" i="7" s="1"/>
  <c r="AF48" i="7"/>
  <c r="AE48" i="7"/>
  <c r="DM48" i="7"/>
  <c r="DQ48" i="7"/>
  <c r="M38" i="32" s="1"/>
  <c r="DI48" i="7"/>
  <c r="DR48" i="7"/>
  <c r="DP48" i="7"/>
  <c r="DJ48" i="7"/>
  <c r="DN48" i="7"/>
  <c r="L38" i="32" s="1"/>
  <c r="CE51" i="7"/>
  <c r="CZ51" i="7" s="1"/>
  <c r="BN50" i="7"/>
  <c r="CH51" i="7"/>
  <c r="DC51" i="7" s="1"/>
  <c r="AG48" i="7"/>
  <c r="CA50" i="7"/>
  <c r="CV50" i="7" s="1"/>
  <c r="DS52" i="7"/>
  <c r="CI53" i="7"/>
  <c r="DD53" i="7" s="1"/>
  <c r="BZ50" i="7"/>
  <c r="CU50" i="7" s="1"/>
  <c r="BE47" i="7"/>
  <c r="BD47" i="7"/>
  <c r="BF47" i="7"/>
  <c r="BU53" i="7"/>
  <c r="CP53" i="7" s="1"/>
  <c r="BV60" i="7"/>
  <c r="CQ60" i="7" s="1"/>
  <c r="CJ72" i="7"/>
  <c r="DE72" i="7" s="1"/>
  <c r="AG49" i="7" l="1"/>
  <c r="AZ49" i="7"/>
  <c r="BA49" i="7"/>
  <c r="BB49" i="7"/>
  <c r="DQ49" i="7" s="1"/>
  <c r="M39" i="32" s="1"/>
  <c r="E39" i="32"/>
  <c r="AW49" i="7"/>
  <c r="DL49" i="7" s="1"/>
  <c r="AV49" i="7"/>
  <c r="DK49" i="7" s="1"/>
  <c r="K39" i="32" s="1"/>
  <c r="CK52" i="7"/>
  <c r="DF52" i="7" s="1"/>
  <c r="EN50" i="7"/>
  <c r="EB50" i="7"/>
  <c r="AM51" i="7"/>
  <c r="AX49" i="7"/>
  <c r="DM49" i="7" s="1"/>
  <c r="AT49" i="7"/>
  <c r="DI49" i="7" s="1"/>
  <c r="BC49" i="7"/>
  <c r="DR49" i="7" s="1"/>
  <c r="AU49" i="7"/>
  <c r="DJ49" i="7" s="1"/>
  <c r="AF49" i="7"/>
  <c r="AI49" i="7" s="1"/>
  <c r="AH49" i="7"/>
  <c r="AE49" i="7"/>
  <c r="EO50" i="7"/>
  <c r="L50" i="7"/>
  <c r="CB51" i="7" s="1"/>
  <c r="CW51" i="7" s="1"/>
  <c r="AO52" i="7"/>
  <c r="CG53" i="7"/>
  <c r="DB53" i="7" s="1"/>
  <c r="AN53" i="7"/>
  <c r="CF54" i="7"/>
  <c r="DA54" i="7" s="1"/>
  <c r="B26" i="7"/>
  <c r="P26" i="7"/>
  <c r="BO48" i="7"/>
  <c r="CL70" i="7"/>
  <c r="DG70" i="7" s="1"/>
  <c r="EM69" i="7"/>
  <c r="DP49" i="7"/>
  <c r="DO49" i="7"/>
  <c r="DW50" i="7"/>
  <c r="DX50" i="7"/>
  <c r="EF51" i="7"/>
  <c r="DZ51" i="7"/>
  <c r="EA51" i="7"/>
  <c r="BS52" i="7"/>
  <c r="CN52" i="7" s="1"/>
  <c r="DV51" i="7"/>
  <c r="DN49" i="7"/>
  <c r="L39" i="32" s="1"/>
  <c r="BX70" i="7"/>
  <c r="CS70" i="7" s="1"/>
  <c r="BY70" i="7"/>
  <c r="CT70" i="7" s="1"/>
  <c r="BW72" i="7"/>
  <c r="CR72" i="7" s="1"/>
  <c r="G47" i="7"/>
  <c r="CM61" i="7"/>
  <c r="DH61" i="7" s="1"/>
  <c r="BP48" i="7"/>
  <c r="BU54" i="7"/>
  <c r="CP54" i="7" s="1"/>
  <c r="CE52" i="7"/>
  <c r="CZ52" i="7" s="1"/>
  <c r="CA51" i="7"/>
  <c r="CV51" i="7" s="1"/>
  <c r="CI54" i="7"/>
  <c r="DD54" i="7" s="1"/>
  <c r="DS53" i="7"/>
  <c r="BN51" i="7"/>
  <c r="CH52" i="7"/>
  <c r="DC52" i="7" s="1"/>
  <c r="BD48" i="7"/>
  <c r="BE48" i="7"/>
  <c r="BF48" i="7"/>
  <c r="AI48" i="7"/>
  <c r="CD54" i="7"/>
  <c r="CY54" i="7" s="1"/>
  <c r="BV61" i="7"/>
  <c r="CQ61" i="7" s="1"/>
  <c r="CJ73" i="7"/>
  <c r="DE73" i="7" s="1"/>
  <c r="AM52" i="7" l="1"/>
  <c r="CK53" i="7"/>
  <c r="DF53" i="7" s="1"/>
  <c r="EB51" i="7"/>
  <c r="BE49" i="7"/>
  <c r="BF49" i="7"/>
  <c r="BD49" i="7"/>
  <c r="BT51" i="7"/>
  <c r="CO51" i="7" s="1"/>
  <c r="BR50" i="7"/>
  <c r="H46" i="7" s="1"/>
  <c r="C40" i="32"/>
  <c r="M50" i="7"/>
  <c r="AN54" i="7"/>
  <c r="CF55" i="7"/>
  <c r="DA55" i="7" s="1"/>
  <c r="AO53" i="7"/>
  <c r="BQ48" i="7"/>
  <c r="D16" i="32"/>
  <c r="N27" i="7"/>
  <c r="BO49" i="7"/>
  <c r="EM70" i="7"/>
  <c r="CL71" i="7"/>
  <c r="DG71" i="7" s="1"/>
  <c r="DX51" i="7"/>
  <c r="EF52" i="7"/>
  <c r="EA52" i="7"/>
  <c r="DZ52" i="7"/>
  <c r="DV52" i="7"/>
  <c r="BS53" i="7"/>
  <c r="CN53" i="7" s="1"/>
  <c r="BY71" i="7"/>
  <c r="CT71" i="7" s="1"/>
  <c r="BX71" i="7"/>
  <c r="CS71" i="7" s="1"/>
  <c r="BW73" i="7"/>
  <c r="CR73" i="7" s="1"/>
  <c r="CM62" i="7"/>
  <c r="DH62" i="7" s="1"/>
  <c r="BU55" i="7"/>
  <c r="CP55" i="7" s="1"/>
  <c r="BP49" i="7"/>
  <c r="BZ51" i="7"/>
  <c r="CU51" i="7" s="1"/>
  <c r="AD50" i="7"/>
  <c r="AB50" i="7"/>
  <c r="AC50" i="7"/>
  <c r="CI55" i="7"/>
  <c r="DD55" i="7" s="1"/>
  <c r="DS54" i="7"/>
  <c r="CA52" i="7"/>
  <c r="CV52" i="7" s="1"/>
  <c r="CE53" i="7"/>
  <c r="CZ53" i="7" s="1"/>
  <c r="BN52" i="7"/>
  <c r="CH53" i="7"/>
  <c r="DC53" i="7" s="1"/>
  <c r="CD55" i="7"/>
  <c r="CY55" i="7" s="1"/>
  <c r="BV62" i="7"/>
  <c r="CQ62" i="7" s="1"/>
  <c r="CJ74" i="7"/>
  <c r="DE74" i="7" s="1"/>
  <c r="EN51" i="7" l="1"/>
  <c r="CK54" i="7"/>
  <c r="DF54" i="7" s="1"/>
  <c r="AM53" i="7"/>
  <c r="DW51" i="7"/>
  <c r="BO50" i="7"/>
  <c r="AX50" i="7"/>
  <c r="BB50" i="7"/>
  <c r="DQ50" i="7" s="1"/>
  <c r="AY50" i="7"/>
  <c r="DN50" i="7" s="1"/>
  <c r="L40" i="32" s="1"/>
  <c r="AU50" i="7"/>
  <c r="DJ50" i="7" s="1"/>
  <c r="AZ50" i="7"/>
  <c r="DO50" i="7" s="1"/>
  <c r="AT50" i="7"/>
  <c r="E40" i="32"/>
  <c r="BA50" i="7"/>
  <c r="AW50" i="7"/>
  <c r="DL50" i="7" s="1"/>
  <c r="AV50" i="7"/>
  <c r="DK50" i="7" s="1"/>
  <c r="K40" i="32" s="1"/>
  <c r="BC50" i="7"/>
  <c r="DR50" i="7" s="1"/>
  <c r="EC51" i="7"/>
  <c r="L51" i="7"/>
  <c r="CB52" i="7" s="1"/>
  <c r="CW52" i="7" s="1"/>
  <c r="EO51" i="7"/>
  <c r="G48" i="7"/>
  <c r="AN55" i="7"/>
  <c r="CF56" i="7"/>
  <c r="DA56" i="7" s="1"/>
  <c r="F16" i="32"/>
  <c r="G16" i="32" s="1"/>
  <c r="P16" i="32" s="1"/>
  <c r="Q16" i="32" s="1"/>
  <c r="AP27" i="7"/>
  <c r="BG27" i="7" s="1"/>
  <c r="AQ27" i="7"/>
  <c r="BH27" i="7" s="1"/>
  <c r="AR27" i="7"/>
  <c r="BI27" i="7" s="1"/>
  <c r="AK27" i="7"/>
  <c r="AL27" i="7"/>
  <c r="AJ27" i="7"/>
  <c r="BQ49" i="7"/>
  <c r="EM71" i="7"/>
  <c r="CL72" i="7"/>
  <c r="DG72" i="7" s="1"/>
  <c r="EF53" i="7"/>
  <c r="EA53" i="7"/>
  <c r="DZ53" i="7"/>
  <c r="DV53" i="7"/>
  <c r="BS54" i="7"/>
  <c r="CN54" i="7" s="1"/>
  <c r="DX52" i="7"/>
  <c r="EB52" i="7"/>
  <c r="BX72" i="7"/>
  <c r="CS72" i="7" s="1"/>
  <c r="BY72" i="7"/>
  <c r="CT72" i="7" s="1"/>
  <c r="BW74" i="7"/>
  <c r="CR74" i="7" s="1"/>
  <c r="BU56" i="7"/>
  <c r="CP56" i="7" s="1"/>
  <c r="CM63" i="7"/>
  <c r="DH63" i="7" s="1"/>
  <c r="AG50" i="7"/>
  <c r="AH50" i="7"/>
  <c r="CG54" i="7"/>
  <c r="DB54" i="7" s="1"/>
  <c r="CH54" i="7"/>
  <c r="DC54" i="7" s="1"/>
  <c r="BN53" i="7"/>
  <c r="CE54" i="7"/>
  <c r="CZ54" i="7" s="1"/>
  <c r="BZ52" i="7"/>
  <c r="CU52" i="7" s="1"/>
  <c r="CA53" i="7"/>
  <c r="CV53" i="7" s="1"/>
  <c r="CI56" i="7"/>
  <c r="DD56" i="7" s="1"/>
  <c r="DS55" i="7"/>
  <c r="AE50" i="7"/>
  <c r="AF50" i="7"/>
  <c r="CD56" i="7"/>
  <c r="CY56" i="7" s="1"/>
  <c r="BV63" i="7"/>
  <c r="CQ63" i="7" s="1"/>
  <c r="CJ75" i="7"/>
  <c r="DE75" i="7" s="1"/>
  <c r="AM54" i="7" l="1"/>
  <c r="EN52" i="7"/>
  <c r="AO54" i="7"/>
  <c r="CK55" i="7"/>
  <c r="DF55" i="7" s="1"/>
  <c r="M51" i="7"/>
  <c r="C41" i="32"/>
  <c r="AB51" i="7"/>
  <c r="BR51" i="7"/>
  <c r="H47" i="7" s="1"/>
  <c r="AC51" i="7"/>
  <c r="BT52" i="7"/>
  <c r="CO52" i="7" s="1"/>
  <c r="AD51" i="7"/>
  <c r="G49" i="7"/>
  <c r="AN56" i="7"/>
  <c r="CF57" i="7"/>
  <c r="DA57" i="7" s="1"/>
  <c r="C27" i="7"/>
  <c r="BJ27" i="7"/>
  <c r="E27" i="7"/>
  <c r="BL27" i="7"/>
  <c r="BK27" i="7"/>
  <c r="D27" i="7"/>
  <c r="BU57" i="7"/>
  <c r="CP57" i="7" s="1"/>
  <c r="EM72" i="7"/>
  <c r="CL73" i="7"/>
  <c r="DG73" i="7" s="1"/>
  <c r="M40" i="32"/>
  <c r="EB53" i="7"/>
  <c r="EF54" i="7"/>
  <c r="EA54" i="7"/>
  <c r="DZ54" i="7"/>
  <c r="DV54" i="7"/>
  <c r="BS55" i="7"/>
  <c r="CN55" i="7" s="1"/>
  <c r="DX53" i="7"/>
  <c r="BY73" i="7"/>
  <c r="CT73" i="7" s="1"/>
  <c r="BX73" i="7"/>
  <c r="CS73" i="7" s="1"/>
  <c r="BW75" i="7"/>
  <c r="CR75" i="7" s="1"/>
  <c r="CM64" i="7"/>
  <c r="DH64" i="7" s="1"/>
  <c r="DM50" i="7"/>
  <c r="DP50" i="7"/>
  <c r="AI50" i="7"/>
  <c r="DS56" i="7"/>
  <c r="CI57" i="7"/>
  <c r="DD57" i="7" s="1"/>
  <c r="CH55" i="7"/>
  <c r="DC55" i="7" s="1"/>
  <c r="BN54" i="7"/>
  <c r="CA54" i="7"/>
  <c r="CV54" i="7" s="1"/>
  <c r="BZ53" i="7"/>
  <c r="CU53" i="7" s="1"/>
  <c r="CE55" i="7"/>
  <c r="CZ55" i="7" s="1"/>
  <c r="CG55" i="7"/>
  <c r="DB55" i="7" s="1"/>
  <c r="DI50" i="7"/>
  <c r="BD50" i="7"/>
  <c r="BE50" i="7"/>
  <c r="BF50" i="7"/>
  <c r="CD57" i="7"/>
  <c r="CY57" i="7" s="1"/>
  <c r="BV64" i="7"/>
  <c r="CQ64" i="7" s="1"/>
  <c r="CJ76" i="7"/>
  <c r="DE76" i="7" s="1"/>
  <c r="CH56" i="7" l="1"/>
  <c r="DC56" i="7" s="1"/>
  <c r="EN53" i="7"/>
  <c r="CK56" i="7"/>
  <c r="DF56" i="7" s="1"/>
  <c r="AO55" i="7"/>
  <c r="AM55" i="7"/>
  <c r="BU58" i="7"/>
  <c r="CP58" i="7" s="1"/>
  <c r="AU51" i="7"/>
  <c r="DJ51" i="7" s="1"/>
  <c r="AT51" i="7"/>
  <c r="DI51" i="7" s="1"/>
  <c r="BB51" i="7"/>
  <c r="DQ51" i="7" s="1"/>
  <c r="M41" i="32" s="1"/>
  <c r="AX51" i="7"/>
  <c r="DM51" i="7" s="1"/>
  <c r="BC51" i="7"/>
  <c r="DR51" i="7" s="1"/>
  <c r="AY51" i="7"/>
  <c r="DN51" i="7" s="1"/>
  <c r="L41" i="32" s="1"/>
  <c r="E41" i="32"/>
  <c r="BA51" i="7"/>
  <c r="DP51" i="7" s="1"/>
  <c r="AZ51" i="7"/>
  <c r="DO51" i="7" s="1"/>
  <c r="AV51" i="7"/>
  <c r="DK51" i="7" s="1"/>
  <c r="K41" i="32" s="1"/>
  <c r="AW51" i="7"/>
  <c r="DL51" i="7" s="1"/>
  <c r="AH51" i="7"/>
  <c r="AF51" i="7"/>
  <c r="AE51" i="7"/>
  <c r="AG51" i="7"/>
  <c r="EC52" i="7"/>
  <c r="BO51" i="7"/>
  <c r="DW52" i="7"/>
  <c r="EO52" i="7"/>
  <c r="L52" i="7"/>
  <c r="CB53" i="7" s="1"/>
  <c r="CW53" i="7" s="1"/>
  <c r="AN57" i="7"/>
  <c r="F27" i="7"/>
  <c r="BM27" i="7"/>
  <c r="EM73" i="7"/>
  <c r="CL74" i="7"/>
  <c r="DG74" i="7" s="1"/>
  <c r="DX54" i="7"/>
  <c r="EB54" i="7"/>
  <c r="EF55" i="7"/>
  <c r="DZ55" i="7"/>
  <c r="EA55" i="7"/>
  <c r="BS56" i="7"/>
  <c r="CN56" i="7" s="1"/>
  <c r="DV55" i="7"/>
  <c r="BX74" i="7"/>
  <c r="CS74" i="7" s="1"/>
  <c r="BY74" i="7"/>
  <c r="CT74" i="7" s="1"/>
  <c r="BW76" i="7"/>
  <c r="CR76" i="7" s="1"/>
  <c r="CM65" i="7"/>
  <c r="DH65" i="7" s="1"/>
  <c r="BP50" i="7"/>
  <c r="BQ50" i="7" s="1"/>
  <c r="BZ54" i="7"/>
  <c r="CU54" i="7" s="1"/>
  <c r="CG56" i="7"/>
  <c r="DB56" i="7" s="1"/>
  <c r="CE56" i="7"/>
  <c r="CZ56" i="7" s="1"/>
  <c r="BN55" i="7"/>
  <c r="DS57" i="7"/>
  <c r="CI58" i="7"/>
  <c r="DD58" i="7" s="1"/>
  <c r="CA55" i="7"/>
  <c r="CV55" i="7" s="1"/>
  <c r="BN56" i="7"/>
  <c r="BV65" i="7"/>
  <c r="CQ65" i="7" s="1"/>
  <c r="CF58" i="7"/>
  <c r="DA58" i="7" s="1"/>
  <c r="BU59" i="7"/>
  <c r="CP59" i="7" s="1"/>
  <c r="CJ77" i="7"/>
  <c r="DE77" i="7" s="1"/>
  <c r="AM56" i="7" l="1"/>
  <c r="DX55" i="7"/>
  <c r="AO56" i="7"/>
  <c r="EN54" i="7"/>
  <c r="CK57" i="7"/>
  <c r="DF57" i="7" s="1"/>
  <c r="CH57" i="7"/>
  <c r="DC57" i="7" s="1"/>
  <c r="AI51" i="7"/>
  <c r="C42" i="32"/>
  <c r="BR52" i="7"/>
  <c r="H48" i="7" s="1"/>
  <c r="AC52" i="7"/>
  <c r="M52" i="7"/>
  <c r="AD52" i="7"/>
  <c r="AB52" i="7"/>
  <c r="BT53" i="7"/>
  <c r="CO53" i="7" s="1"/>
  <c r="BD51" i="7"/>
  <c r="BE51" i="7"/>
  <c r="BF51" i="7"/>
  <c r="BP51" i="7"/>
  <c r="BQ51" i="7" s="1"/>
  <c r="B27" i="7"/>
  <c r="P27" i="7"/>
  <c r="EM74" i="7"/>
  <c r="CL75" i="7"/>
  <c r="DG75" i="7" s="1"/>
  <c r="EF56" i="7"/>
  <c r="EA56" i="7"/>
  <c r="DZ56" i="7"/>
  <c r="DV56" i="7"/>
  <c r="BS57" i="7"/>
  <c r="CN57" i="7" s="1"/>
  <c r="EB55" i="7"/>
  <c r="BY75" i="7"/>
  <c r="CT75" i="7" s="1"/>
  <c r="BX75" i="7"/>
  <c r="CS75" i="7" s="1"/>
  <c r="BW77" i="7"/>
  <c r="CR77" i="7" s="1"/>
  <c r="CF59" i="7"/>
  <c r="DA59" i="7" s="1"/>
  <c r="AN58" i="7"/>
  <c r="CM66" i="7"/>
  <c r="DH66" i="7" s="1"/>
  <c r="CA56" i="7"/>
  <c r="CV56" i="7" s="1"/>
  <c r="CE57" i="7"/>
  <c r="CZ57" i="7" s="1"/>
  <c r="CG57" i="7"/>
  <c r="DB57" i="7" s="1"/>
  <c r="BZ55" i="7"/>
  <c r="CU55" i="7" s="1"/>
  <c r="CI59" i="7"/>
  <c r="DD59" i="7" s="1"/>
  <c r="DS58" i="7"/>
  <c r="G50" i="7"/>
  <c r="CD58" i="7"/>
  <c r="CY58" i="7" s="1"/>
  <c r="BV66" i="7"/>
  <c r="CQ66" i="7" s="1"/>
  <c r="BU60" i="7"/>
  <c r="CP60" i="7" s="1"/>
  <c r="CJ78" i="7"/>
  <c r="DE78" i="7" s="1"/>
  <c r="BN57" i="7" l="1"/>
  <c r="AM57" i="7"/>
  <c r="AN59" i="7"/>
  <c r="EN55" i="7"/>
  <c r="AO57" i="7"/>
  <c r="CH58" i="7"/>
  <c r="DC58" i="7" s="1"/>
  <c r="EB56" i="7"/>
  <c r="CK58" i="7"/>
  <c r="DF58" i="7" s="1"/>
  <c r="AV52" i="7"/>
  <c r="DK52" i="7" s="1"/>
  <c r="K42" i="32" s="1"/>
  <c r="AU52" i="7"/>
  <c r="DJ52" i="7" s="1"/>
  <c r="BB52" i="7"/>
  <c r="DQ52" i="7" s="1"/>
  <c r="M42" i="32" s="1"/>
  <c r="BA52" i="7"/>
  <c r="DP52" i="7" s="1"/>
  <c r="AW52" i="7"/>
  <c r="DL52" i="7" s="1"/>
  <c r="AY52" i="7"/>
  <c r="DN52" i="7" s="1"/>
  <c r="L42" i="32" s="1"/>
  <c r="AX52" i="7"/>
  <c r="DM52" i="7" s="1"/>
  <c r="AZ52" i="7"/>
  <c r="DO52" i="7" s="1"/>
  <c r="AT52" i="7"/>
  <c r="BC52" i="7"/>
  <c r="DR52" i="7" s="1"/>
  <c r="E42" i="32"/>
  <c r="DW53" i="7"/>
  <c r="EO53" i="7"/>
  <c r="L53" i="7"/>
  <c r="CB54" i="7" s="1"/>
  <c r="CW54" i="7" s="1"/>
  <c r="BO52" i="7"/>
  <c r="EC53" i="7"/>
  <c r="AG52" i="7"/>
  <c r="AE52" i="7"/>
  <c r="AF52" i="7"/>
  <c r="AI52" i="7" s="1"/>
  <c r="AH52" i="7"/>
  <c r="N28" i="7"/>
  <c r="D17" i="32"/>
  <c r="EM75" i="7"/>
  <c r="CL76" i="7"/>
  <c r="DG76" i="7" s="1"/>
  <c r="EF57" i="7"/>
  <c r="EA57" i="7"/>
  <c r="DZ57" i="7"/>
  <c r="DV57" i="7"/>
  <c r="BS58" i="7"/>
  <c r="CN58" i="7" s="1"/>
  <c r="DX56" i="7"/>
  <c r="BX76" i="7"/>
  <c r="CS76" i="7" s="1"/>
  <c r="BY76" i="7"/>
  <c r="CT76" i="7" s="1"/>
  <c r="BW78" i="7"/>
  <c r="CR78" i="7" s="1"/>
  <c r="CF60" i="7"/>
  <c r="DA60" i="7" s="1"/>
  <c r="CM67" i="7"/>
  <c r="DH67" i="7" s="1"/>
  <c r="G51" i="7"/>
  <c r="CG58" i="7"/>
  <c r="DB58" i="7" s="1"/>
  <c r="DS59" i="7"/>
  <c r="BZ56" i="7"/>
  <c r="CU56" i="7" s="1"/>
  <c r="CE58" i="7"/>
  <c r="CZ58" i="7" s="1"/>
  <c r="CA57" i="7"/>
  <c r="CV57" i="7" s="1"/>
  <c r="BV67" i="7"/>
  <c r="CQ67" i="7" s="1"/>
  <c r="CD59" i="7"/>
  <c r="CY59" i="7" s="1"/>
  <c r="BU61" i="7"/>
  <c r="CP61" i="7" s="1"/>
  <c r="CJ79" i="7"/>
  <c r="DE79" i="7" s="1"/>
  <c r="DX57" i="7" l="1"/>
  <c r="AO58" i="7"/>
  <c r="AM58" i="7"/>
  <c r="BN58" i="7"/>
  <c r="EN56" i="7"/>
  <c r="CK59" i="7"/>
  <c r="DF59" i="7" s="1"/>
  <c r="CH59" i="7"/>
  <c r="DC59" i="7" s="1"/>
  <c r="M53" i="7"/>
  <c r="AB53" i="7"/>
  <c r="BT54" i="7"/>
  <c r="CO54" i="7" s="1"/>
  <c r="BR53" i="7"/>
  <c r="H49" i="7" s="1"/>
  <c r="AC53" i="7"/>
  <c r="AD53" i="7"/>
  <c r="C43" i="32"/>
  <c r="DI52" i="7"/>
  <c r="BF52" i="7"/>
  <c r="BD52" i="7"/>
  <c r="BE52" i="7"/>
  <c r="AP28" i="7"/>
  <c r="BG28" i="7" s="1"/>
  <c r="F17" i="32"/>
  <c r="G17" i="32" s="1"/>
  <c r="P17" i="32" s="1"/>
  <c r="Q17" i="32" s="1"/>
  <c r="AQ28" i="7"/>
  <c r="BH28" i="7" s="1"/>
  <c r="AR28" i="7"/>
  <c r="BI28" i="7" s="1"/>
  <c r="AL28" i="7"/>
  <c r="AK28" i="7"/>
  <c r="AJ28" i="7"/>
  <c r="EM76" i="7"/>
  <c r="CL77" i="7"/>
  <c r="DG77" i="7" s="1"/>
  <c r="CF61" i="7"/>
  <c r="DA61" i="7" s="1"/>
  <c r="EB57" i="7"/>
  <c r="EF58" i="7"/>
  <c r="EA58" i="7"/>
  <c r="DZ58" i="7"/>
  <c r="DV58" i="7"/>
  <c r="BS59" i="7"/>
  <c r="CN59" i="7" s="1"/>
  <c r="BY77" i="7"/>
  <c r="CT77" i="7" s="1"/>
  <c r="BX77" i="7"/>
  <c r="CS77" i="7" s="1"/>
  <c r="BW79" i="7"/>
  <c r="CR79" i="7" s="1"/>
  <c r="AN60" i="7"/>
  <c r="CM68" i="7"/>
  <c r="DH68" i="7" s="1"/>
  <c r="BZ57" i="7"/>
  <c r="CU57" i="7" s="1"/>
  <c r="CG59" i="7"/>
  <c r="DB59" i="7" s="1"/>
  <c r="CA58" i="7"/>
  <c r="CV58" i="7" s="1"/>
  <c r="CE59" i="7"/>
  <c r="CZ59" i="7" s="1"/>
  <c r="BV68" i="7"/>
  <c r="CQ68" i="7" s="1"/>
  <c r="CD60" i="7"/>
  <c r="CY60" i="7" s="1"/>
  <c r="BU62" i="7"/>
  <c r="CP62" i="7" s="1"/>
  <c r="CJ80" i="7"/>
  <c r="DE80" i="7" s="1"/>
  <c r="AG53" i="7" l="1"/>
  <c r="AM59" i="7"/>
  <c r="AO59" i="7"/>
  <c r="CH60" i="7"/>
  <c r="DC60" i="7" s="1"/>
  <c r="CK60" i="7"/>
  <c r="DF60" i="7" s="1"/>
  <c r="BN59" i="7"/>
  <c r="EN57" i="7"/>
  <c r="CF62" i="7"/>
  <c r="DA62" i="7" s="1"/>
  <c r="BP52" i="7"/>
  <c r="BQ52" i="7" s="1"/>
  <c r="G52" i="7" s="1"/>
  <c r="EO54" i="7"/>
  <c r="EC54" i="7"/>
  <c r="BO53" i="7"/>
  <c r="DW54" i="7"/>
  <c r="L54" i="7"/>
  <c r="CB55" i="7" s="1"/>
  <c r="CW55" i="7" s="1"/>
  <c r="AH53" i="7"/>
  <c r="AE53" i="7"/>
  <c r="AF53" i="7"/>
  <c r="BC53" i="7"/>
  <c r="DR53" i="7" s="1"/>
  <c r="AZ53" i="7"/>
  <c r="DO53" i="7" s="1"/>
  <c r="BB53" i="7"/>
  <c r="DQ53" i="7" s="1"/>
  <c r="M43" i="32" s="1"/>
  <c r="AT53" i="7"/>
  <c r="E43" i="32"/>
  <c r="AV53" i="7"/>
  <c r="DK53" i="7" s="1"/>
  <c r="K43" i="32" s="1"/>
  <c r="AY53" i="7"/>
  <c r="DN53" i="7" s="1"/>
  <c r="L43" i="32" s="1"/>
  <c r="AW53" i="7"/>
  <c r="DL53" i="7" s="1"/>
  <c r="BA53" i="7"/>
  <c r="DP53" i="7" s="1"/>
  <c r="AU53" i="7"/>
  <c r="DJ53" i="7" s="1"/>
  <c r="AX53" i="7"/>
  <c r="DM53" i="7" s="1"/>
  <c r="E28" i="7"/>
  <c r="BL28" i="7"/>
  <c r="D28" i="7"/>
  <c r="BK28" i="7"/>
  <c r="BJ28" i="7"/>
  <c r="C28" i="7"/>
  <c r="CL78" i="7"/>
  <c r="DG78" i="7" s="1"/>
  <c r="EM77" i="7"/>
  <c r="AN61" i="7"/>
  <c r="EF59" i="7"/>
  <c r="DZ59" i="7"/>
  <c r="EA59" i="7"/>
  <c r="BS60" i="7"/>
  <c r="CN60" i="7" s="1"/>
  <c r="DV59" i="7"/>
  <c r="DX58" i="7"/>
  <c r="EB58" i="7"/>
  <c r="BX78" i="7"/>
  <c r="CS78" i="7" s="1"/>
  <c r="BY78" i="7"/>
  <c r="CT78" i="7" s="1"/>
  <c r="BW80" i="7"/>
  <c r="CR80" i="7" s="1"/>
  <c r="CF63" i="7"/>
  <c r="DA63" i="7" s="1"/>
  <c r="CM69" i="7"/>
  <c r="DH69" i="7" s="1"/>
  <c r="CG60" i="7"/>
  <c r="DB60" i="7" s="1"/>
  <c r="CE60" i="7"/>
  <c r="CZ60" i="7" s="1"/>
  <c r="CA59" i="7"/>
  <c r="CV59" i="7" s="1"/>
  <c r="BZ58" i="7"/>
  <c r="CU58" i="7" s="1"/>
  <c r="CC63" i="7"/>
  <c r="CX63" i="7" s="1"/>
  <c r="BV69" i="7"/>
  <c r="CQ69" i="7" s="1"/>
  <c r="CI60" i="7"/>
  <c r="DD60" i="7" s="1"/>
  <c r="CD61" i="7"/>
  <c r="CY61" i="7" s="1"/>
  <c r="BU63" i="7"/>
  <c r="CP63" i="7" s="1"/>
  <c r="CJ81" i="7"/>
  <c r="DE81" i="7" s="1"/>
  <c r="CH61" i="7" l="1"/>
  <c r="DC61" i="7" s="1"/>
  <c r="BN60" i="7"/>
  <c r="AN62" i="7"/>
  <c r="AO60" i="7"/>
  <c r="AM60" i="7"/>
  <c r="EN58" i="7"/>
  <c r="CK61" i="7"/>
  <c r="DF61" i="7" s="1"/>
  <c r="DX59" i="7"/>
  <c r="BE53" i="7"/>
  <c r="BF53" i="7"/>
  <c r="BD53" i="7"/>
  <c r="AC54" i="7"/>
  <c r="AB54" i="7"/>
  <c r="AD54" i="7"/>
  <c r="BR54" i="7"/>
  <c r="H50" i="7" s="1"/>
  <c r="M54" i="7"/>
  <c r="C44" i="32"/>
  <c r="BT55" i="7"/>
  <c r="CO55" i="7" s="1"/>
  <c r="AI53" i="7"/>
  <c r="DI53" i="7"/>
  <c r="BP53" i="7" s="1"/>
  <c r="BQ53" i="7" s="1"/>
  <c r="G53" i="7" s="1"/>
  <c r="F28" i="7"/>
  <c r="BM28" i="7"/>
  <c r="CL79" i="7"/>
  <c r="DG79" i="7" s="1"/>
  <c r="EM78" i="7"/>
  <c r="EA60" i="7"/>
  <c r="EF60" i="7"/>
  <c r="DZ60" i="7"/>
  <c r="DV60" i="7"/>
  <c r="BS61" i="7"/>
  <c r="CN61" i="7" s="1"/>
  <c r="EB59" i="7"/>
  <c r="BY79" i="7"/>
  <c r="CT79" i="7" s="1"/>
  <c r="BX79" i="7"/>
  <c r="CS79" i="7" s="1"/>
  <c r="BW81" i="7"/>
  <c r="CR81" i="7" s="1"/>
  <c r="AN63" i="7"/>
  <c r="CF64" i="7"/>
  <c r="DA64" i="7" s="1"/>
  <c r="CM70" i="7"/>
  <c r="DH70" i="7" s="1"/>
  <c r="BZ59" i="7"/>
  <c r="CU59" i="7" s="1"/>
  <c r="CE61" i="7"/>
  <c r="CZ61" i="7" s="1"/>
  <c r="CG61" i="7"/>
  <c r="DB61" i="7" s="1"/>
  <c r="CA60" i="7"/>
  <c r="CV60" i="7" s="1"/>
  <c r="BN61" i="7"/>
  <c r="CC64" i="7"/>
  <c r="CX64" i="7" s="1"/>
  <c r="BV70" i="7"/>
  <c r="CQ70" i="7" s="1"/>
  <c r="CD62" i="7"/>
  <c r="CY62" i="7" s="1"/>
  <c r="DS60" i="7"/>
  <c r="CI61" i="7"/>
  <c r="DD61" i="7" s="1"/>
  <c r="BU64" i="7"/>
  <c r="CP64" i="7" s="1"/>
  <c r="CJ82" i="7"/>
  <c r="DE82" i="7" s="1"/>
  <c r="EB60" i="7" l="1"/>
  <c r="EN59" i="7"/>
  <c r="AO61" i="7"/>
  <c r="BA54" i="7"/>
  <c r="DP54" i="7" s="1"/>
  <c r="BC54" i="7"/>
  <c r="DR54" i="7" s="1"/>
  <c r="AW54" i="7"/>
  <c r="DL54" i="7" s="1"/>
  <c r="AX54" i="7"/>
  <c r="DM54" i="7" s="1"/>
  <c r="AU54" i="7"/>
  <c r="DJ54" i="7" s="1"/>
  <c r="AZ54" i="7"/>
  <c r="DO54" i="7" s="1"/>
  <c r="AV54" i="7"/>
  <c r="DK54" i="7" s="1"/>
  <c r="K44" i="32" s="1"/>
  <c r="AY54" i="7"/>
  <c r="DN54" i="7" s="1"/>
  <c r="L44" i="32" s="1"/>
  <c r="AT54" i="7"/>
  <c r="E44" i="32"/>
  <c r="BB54" i="7"/>
  <c r="DQ54" i="7" s="1"/>
  <c r="M44" i="32" s="1"/>
  <c r="AG54" i="7"/>
  <c r="L55" i="7"/>
  <c r="CB56" i="7" s="1"/>
  <c r="CW56" i="7" s="1"/>
  <c r="DW55" i="7"/>
  <c r="BO54" i="7"/>
  <c r="EC55" i="7"/>
  <c r="EO55" i="7"/>
  <c r="AH54" i="7"/>
  <c r="AF54" i="7"/>
  <c r="AI54" i="7" s="1"/>
  <c r="AE54" i="7"/>
  <c r="B28" i="7"/>
  <c r="P28" i="7"/>
  <c r="EM79" i="7"/>
  <c r="CL80" i="7"/>
  <c r="DG80" i="7" s="1"/>
  <c r="EF61" i="7"/>
  <c r="EA61" i="7"/>
  <c r="DZ61" i="7"/>
  <c r="DV61" i="7"/>
  <c r="BS62" i="7"/>
  <c r="CN62" i="7" s="1"/>
  <c r="DX60" i="7"/>
  <c r="BX80" i="7"/>
  <c r="CS80" i="7" s="1"/>
  <c r="BY80" i="7"/>
  <c r="CT80" i="7" s="1"/>
  <c r="BW82" i="7"/>
  <c r="CR82" i="7" s="1"/>
  <c r="CE62" i="7"/>
  <c r="CZ62" i="7" s="1"/>
  <c r="AM61" i="7"/>
  <c r="AN64" i="7"/>
  <c r="CM71" i="7"/>
  <c r="DH71" i="7" s="1"/>
  <c r="BZ60" i="7"/>
  <c r="CU60" i="7" s="1"/>
  <c r="CA61" i="7"/>
  <c r="CV61" i="7" s="1"/>
  <c r="CG62" i="7"/>
  <c r="DB62" i="7" s="1"/>
  <c r="CK62" i="7"/>
  <c r="DF62" i="7" s="1"/>
  <c r="CH62" i="7"/>
  <c r="DC62" i="7" s="1"/>
  <c r="CC65" i="7"/>
  <c r="CX65" i="7" s="1"/>
  <c r="BV71" i="7"/>
  <c r="CQ71" i="7" s="1"/>
  <c r="CI62" i="7"/>
  <c r="DD62" i="7" s="1"/>
  <c r="DS61" i="7"/>
  <c r="CD63" i="7"/>
  <c r="CY63" i="7" s="1"/>
  <c r="BU65" i="7"/>
  <c r="CP65" i="7" s="1"/>
  <c r="CJ83" i="7"/>
  <c r="DE83" i="7" s="1"/>
  <c r="AM62" i="7" l="1"/>
  <c r="CK63" i="7"/>
  <c r="DF63" i="7" s="1"/>
  <c r="AO62" i="7"/>
  <c r="EN60" i="7"/>
  <c r="EB61" i="7"/>
  <c r="BT56" i="7"/>
  <c r="CO56" i="7" s="1"/>
  <c r="BR55" i="7"/>
  <c r="H51" i="7" s="1"/>
  <c r="AC55" i="7"/>
  <c r="C45" i="32"/>
  <c r="M55" i="7"/>
  <c r="AD55" i="7"/>
  <c r="AB55" i="7"/>
  <c r="BE54" i="7"/>
  <c r="BF54" i="7"/>
  <c r="BD54" i="7"/>
  <c r="DI54" i="7"/>
  <c r="BP54" i="7" s="1"/>
  <c r="BQ54" i="7" s="1"/>
  <c r="G54" i="7" s="1"/>
  <c r="N29" i="7"/>
  <c r="D18" i="32"/>
  <c r="EM80" i="7"/>
  <c r="CL81" i="7"/>
  <c r="DG81" i="7" s="1"/>
  <c r="EF62" i="7"/>
  <c r="EA62" i="7"/>
  <c r="DZ62" i="7"/>
  <c r="BS63" i="7"/>
  <c r="CN63" i="7" s="1"/>
  <c r="DV62" i="7"/>
  <c r="DX61" i="7"/>
  <c r="BY81" i="7"/>
  <c r="CT81" i="7" s="1"/>
  <c r="BX81" i="7"/>
  <c r="CS81" i="7" s="1"/>
  <c r="BW83" i="7"/>
  <c r="CR83" i="7" s="1"/>
  <c r="CM72" i="7"/>
  <c r="DH72" i="7" s="1"/>
  <c r="CA62" i="7"/>
  <c r="CV62" i="7" s="1"/>
  <c r="BZ61" i="7"/>
  <c r="CU61" i="7" s="1"/>
  <c r="CG63" i="7"/>
  <c r="DB63" i="7" s="1"/>
  <c r="CE63" i="7"/>
  <c r="CZ63" i="7" s="1"/>
  <c r="BN62" i="7"/>
  <c r="CH63" i="7"/>
  <c r="DC63" i="7" s="1"/>
  <c r="CC66" i="7"/>
  <c r="CX66" i="7" s="1"/>
  <c r="BV72" i="7"/>
  <c r="CQ72" i="7" s="1"/>
  <c r="CI63" i="7"/>
  <c r="DD63" i="7" s="1"/>
  <c r="DS62" i="7"/>
  <c r="CD64" i="7"/>
  <c r="CY64" i="7" s="1"/>
  <c r="BU66" i="7"/>
  <c r="CP66" i="7" s="1"/>
  <c r="CJ84" i="7"/>
  <c r="DE84" i="7" s="1"/>
  <c r="AM63" i="7" l="1"/>
  <c r="CK64" i="7"/>
  <c r="DF64" i="7" s="1"/>
  <c r="AO63" i="7"/>
  <c r="EN61" i="7"/>
  <c r="AE55" i="7"/>
  <c r="AF55" i="7"/>
  <c r="AG55" i="7"/>
  <c r="AH55" i="7"/>
  <c r="AV55" i="7"/>
  <c r="DK55" i="7" s="1"/>
  <c r="K45" i="32" s="1"/>
  <c r="AW55" i="7"/>
  <c r="DL55" i="7" s="1"/>
  <c r="BB55" i="7"/>
  <c r="DQ55" i="7" s="1"/>
  <c r="M45" i="32" s="1"/>
  <c r="AZ55" i="7"/>
  <c r="DO55" i="7" s="1"/>
  <c r="AT55" i="7"/>
  <c r="BA55" i="7"/>
  <c r="DP55" i="7" s="1"/>
  <c r="AU55" i="7"/>
  <c r="DJ55" i="7" s="1"/>
  <c r="AY55" i="7"/>
  <c r="DN55" i="7" s="1"/>
  <c r="L45" i="32" s="1"/>
  <c r="BC55" i="7"/>
  <c r="DR55" i="7" s="1"/>
  <c r="E45" i="32"/>
  <c r="AX55" i="7"/>
  <c r="DM55" i="7" s="1"/>
  <c r="L56" i="7"/>
  <c r="CB57" i="7" s="1"/>
  <c r="CW57" i="7" s="1"/>
  <c r="BO55" i="7"/>
  <c r="DW56" i="7"/>
  <c r="EO56" i="7"/>
  <c r="EC56" i="7"/>
  <c r="F18" i="32"/>
  <c r="G18" i="32" s="1"/>
  <c r="P18" i="32" s="1"/>
  <c r="Q18" i="32" s="1"/>
  <c r="AP29" i="7"/>
  <c r="BG29" i="7" s="1"/>
  <c r="AQ29" i="7"/>
  <c r="BH29" i="7" s="1"/>
  <c r="AL29" i="7"/>
  <c r="AR29" i="7"/>
  <c r="BI29" i="7" s="1"/>
  <c r="AK29" i="7"/>
  <c r="AJ29" i="7"/>
  <c r="EM81" i="7"/>
  <c r="CL82" i="7"/>
  <c r="DG82" i="7" s="1"/>
  <c r="DX62" i="7"/>
  <c r="EB62" i="7"/>
  <c r="EF63" i="7"/>
  <c r="EA63" i="7"/>
  <c r="DZ63" i="7"/>
  <c r="DV63" i="7"/>
  <c r="BS64" i="7"/>
  <c r="CN64" i="7" s="1"/>
  <c r="BX82" i="7"/>
  <c r="CS82" i="7" s="1"/>
  <c r="BY82" i="7"/>
  <c r="CT82" i="7" s="1"/>
  <c r="BW84" i="7"/>
  <c r="CR84" i="7" s="1"/>
  <c r="CA63" i="7"/>
  <c r="CV63" i="7" s="1"/>
  <c r="CM73" i="7"/>
  <c r="DH73" i="7" s="1"/>
  <c r="BZ62" i="7"/>
  <c r="CU62" i="7" s="1"/>
  <c r="CG64" i="7"/>
  <c r="DB64" i="7" s="1"/>
  <c r="CH64" i="7"/>
  <c r="DC64" i="7" s="1"/>
  <c r="BN63" i="7"/>
  <c r="CE64" i="7"/>
  <c r="CZ64" i="7" s="1"/>
  <c r="CC67" i="7"/>
  <c r="CX67" i="7" s="1"/>
  <c r="BV73" i="7"/>
  <c r="CQ73" i="7" s="1"/>
  <c r="CD65" i="7"/>
  <c r="CY65" i="7" s="1"/>
  <c r="DS63" i="7"/>
  <c r="CI64" i="7"/>
  <c r="DD64" i="7" s="1"/>
  <c r="BU67" i="7"/>
  <c r="CP67" i="7" s="1"/>
  <c r="CJ85" i="7"/>
  <c r="DE85" i="7" s="1"/>
  <c r="AO64" i="7" l="1"/>
  <c r="CK65" i="7"/>
  <c r="DF65" i="7" s="1"/>
  <c r="AM64" i="7"/>
  <c r="EN62" i="7"/>
  <c r="AI55" i="7"/>
  <c r="BE55" i="7"/>
  <c r="BF55" i="7"/>
  <c r="DI55" i="7"/>
  <c r="BP55" i="7" s="1"/>
  <c r="BQ55" i="7" s="1"/>
  <c r="G55" i="7" s="1"/>
  <c r="BD55" i="7"/>
  <c r="AB56" i="7"/>
  <c r="BR56" i="7"/>
  <c r="H52" i="7" s="1"/>
  <c r="AC56" i="7"/>
  <c r="BT57" i="7"/>
  <c r="CO57" i="7" s="1"/>
  <c r="M56" i="7"/>
  <c r="C46" i="32"/>
  <c r="AD56" i="7"/>
  <c r="D29" i="7"/>
  <c r="BK29" i="7"/>
  <c r="E29" i="7"/>
  <c r="BL29" i="7"/>
  <c r="C29" i="7"/>
  <c r="BJ29" i="7"/>
  <c r="EM82" i="7"/>
  <c r="CL83" i="7"/>
  <c r="DG83" i="7" s="1"/>
  <c r="EF64" i="7"/>
  <c r="EA64" i="7"/>
  <c r="DZ64" i="7"/>
  <c r="DV64" i="7"/>
  <c r="BS65" i="7"/>
  <c r="CN65" i="7" s="1"/>
  <c r="EB63" i="7"/>
  <c r="DX63" i="7"/>
  <c r="BY83" i="7"/>
  <c r="CT83" i="7" s="1"/>
  <c r="BX83" i="7"/>
  <c r="CS83" i="7" s="1"/>
  <c r="BW85" i="7"/>
  <c r="CR85" i="7" s="1"/>
  <c r="CM74" i="7"/>
  <c r="DH74" i="7" s="1"/>
  <c r="BZ63" i="7"/>
  <c r="CU63" i="7" s="1"/>
  <c r="CA64" i="7"/>
  <c r="CV64" i="7" s="1"/>
  <c r="BN64" i="7"/>
  <c r="CH65" i="7"/>
  <c r="DC65" i="7" s="1"/>
  <c r="CF65" i="7"/>
  <c r="DA65" i="7" s="1"/>
  <c r="CG65" i="7"/>
  <c r="DB65" i="7" s="1"/>
  <c r="CE65" i="7"/>
  <c r="CZ65" i="7" s="1"/>
  <c r="CC68" i="7"/>
  <c r="CX68" i="7" s="1"/>
  <c r="BV74" i="7"/>
  <c r="CQ74" i="7" s="1"/>
  <c r="DS64" i="7"/>
  <c r="CI65" i="7"/>
  <c r="DD65" i="7" s="1"/>
  <c r="CD66" i="7"/>
  <c r="CY66" i="7" s="1"/>
  <c r="BU68" i="7"/>
  <c r="CP68" i="7" s="1"/>
  <c r="CJ86" i="7"/>
  <c r="DE86" i="7" s="1"/>
  <c r="EN63" i="7" l="1"/>
  <c r="AM65" i="7"/>
  <c r="AN65" i="7"/>
  <c r="AO65" i="7"/>
  <c r="EB64" i="7"/>
  <c r="AH56" i="7"/>
  <c r="AG56" i="7"/>
  <c r="AX56" i="7"/>
  <c r="DM56" i="7" s="1"/>
  <c r="BA56" i="7"/>
  <c r="DP56" i="7" s="1"/>
  <c r="AT56" i="7"/>
  <c r="AV56" i="7"/>
  <c r="DK56" i="7" s="1"/>
  <c r="K46" i="32" s="1"/>
  <c r="AZ56" i="7"/>
  <c r="DO56" i="7" s="1"/>
  <c r="BB56" i="7"/>
  <c r="DQ56" i="7" s="1"/>
  <c r="M46" i="32" s="1"/>
  <c r="AY56" i="7"/>
  <c r="DN56" i="7" s="1"/>
  <c r="L46" i="32" s="1"/>
  <c r="E46" i="32"/>
  <c r="AW56" i="7"/>
  <c r="DL56" i="7" s="1"/>
  <c r="AU56" i="7"/>
  <c r="DJ56" i="7" s="1"/>
  <c r="BC56" i="7"/>
  <c r="DR56" i="7" s="1"/>
  <c r="AF56" i="7"/>
  <c r="AI56" i="7" s="1"/>
  <c r="AE56" i="7"/>
  <c r="EO57" i="7"/>
  <c r="EC57" i="7"/>
  <c r="BO56" i="7"/>
  <c r="DW57" i="7"/>
  <c r="L57" i="7"/>
  <c r="CB58" i="7" s="1"/>
  <c r="CW58" i="7" s="1"/>
  <c r="F29" i="7"/>
  <c r="BM29" i="7"/>
  <c r="EM83" i="7"/>
  <c r="CL84" i="7"/>
  <c r="DG84" i="7" s="1"/>
  <c r="EF65" i="7"/>
  <c r="EA65" i="7"/>
  <c r="DZ65" i="7"/>
  <c r="DV65" i="7"/>
  <c r="DX64" i="7"/>
  <c r="BX84" i="7"/>
  <c r="CS84" i="7" s="1"/>
  <c r="BY84" i="7"/>
  <c r="CT84" i="7" s="1"/>
  <c r="BW86" i="7"/>
  <c r="CR86" i="7" s="1"/>
  <c r="CM75" i="7"/>
  <c r="DH75" i="7" s="1"/>
  <c r="BZ64" i="7"/>
  <c r="CU64" i="7" s="1"/>
  <c r="CA65" i="7"/>
  <c r="CV65" i="7" s="1"/>
  <c r="CF66" i="7"/>
  <c r="DA66" i="7" s="1"/>
  <c r="CE66" i="7"/>
  <c r="CZ66" i="7" s="1"/>
  <c r="BN65" i="7"/>
  <c r="CH66" i="7"/>
  <c r="DC66" i="7" s="1"/>
  <c r="CG66" i="7"/>
  <c r="DB66" i="7" s="1"/>
  <c r="CC69" i="7"/>
  <c r="CX69" i="7" s="1"/>
  <c r="BV75" i="7"/>
  <c r="CQ75" i="7" s="1"/>
  <c r="DS65" i="7"/>
  <c r="CI66" i="7"/>
  <c r="DD66" i="7" s="1"/>
  <c r="CD67" i="7"/>
  <c r="CY67" i="7" s="1"/>
  <c r="BU69" i="7"/>
  <c r="CP69" i="7" s="1"/>
  <c r="CJ87" i="7"/>
  <c r="DE87" i="7" s="1"/>
  <c r="AM66" i="7" l="1"/>
  <c r="AO66" i="7"/>
  <c r="AN66" i="7"/>
  <c r="DX65" i="7"/>
  <c r="AB57" i="7"/>
  <c r="C47" i="32"/>
  <c r="M57" i="7"/>
  <c r="BR57" i="7"/>
  <c r="H53" i="7" s="1"/>
  <c r="BT58" i="7"/>
  <c r="CO58" i="7" s="1"/>
  <c r="AD57" i="7"/>
  <c r="AC57" i="7"/>
  <c r="DI56" i="7"/>
  <c r="BP56" i="7" s="1"/>
  <c r="BQ56" i="7" s="1"/>
  <c r="G56" i="7" s="1"/>
  <c r="BE56" i="7"/>
  <c r="BD56" i="7"/>
  <c r="BF56" i="7"/>
  <c r="B29" i="7"/>
  <c r="P29" i="7"/>
  <c r="EM84" i="7"/>
  <c r="CL85" i="7"/>
  <c r="DG85" i="7" s="1"/>
  <c r="EN64" i="7"/>
  <c r="EB65" i="7"/>
  <c r="BY85" i="7"/>
  <c r="CT85" i="7" s="1"/>
  <c r="BX85" i="7"/>
  <c r="CS85" i="7" s="1"/>
  <c r="BW87" i="7"/>
  <c r="CR87" i="7" s="1"/>
  <c r="CM76" i="7"/>
  <c r="DH76" i="7" s="1"/>
  <c r="BZ65" i="7"/>
  <c r="CU65" i="7" s="1"/>
  <c r="CK66" i="7"/>
  <c r="DF66" i="7" s="1"/>
  <c r="BS66" i="7"/>
  <c r="CN66" i="7" s="1"/>
  <c r="CA66" i="7"/>
  <c r="CV66" i="7" s="1"/>
  <c r="CH67" i="7"/>
  <c r="DC67" i="7" s="1"/>
  <c r="BN66" i="7"/>
  <c r="CG67" i="7"/>
  <c r="DB67" i="7" s="1"/>
  <c r="CE67" i="7"/>
  <c r="CZ67" i="7" s="1"/>
  <c r="CF67" i="7"/>
  <c r="DA67" i="7" s="1"/>
  <c r="CC70" i="7"/>
  <c r="CX70" i="7" s="1"/>
  <c r="BV76" i="7"/>
  <c r="CQ76" i="7" s="1"/>
  <c r="DS66" i="7"/>
  <c r="CI67" i="7"/>
  <c r="DD67" i="7" s="1"/>
  <c r="CD68" i="7"/>
  <c r="CY68" i="7" s="1"/>
  <c r="BU70" i="7"/>
  <c r="CP70" i="7" s="1"/>
  <c r="CJ88" i="7"/>
  <c r="DE88" i="7" s="1"/>
  <c r="AN67" i="7" l="1"/>
  <c r="CH68" i="7"/>
  <c r="DC68" i="7" s="1"/>
  <c r="AO67" i="7"/>
  <c r="AM67" i="7"/>
  <c r="AG57" i="7"/>
  <c r="BB57" i="7"/>
  <c r="DQ57" i="7" s="1"/>
  <c r="M47" i="32" s="1"/>
  <c r="AX57" i="7"/>
  <c r="DM57" i="7" s="1"/>
  <c r="AV57" i="7"/>
  <c r="DK57" i="7" s="1"/>
  <c r="K47" i="32" s="1"/>
  <c r="AU57" i="7"/>
  <c r="DJ57" i="7" s="1"/>
  <c r="BA57" i="7"/>
  <c r="DP57" i="7" s="1"/>
  <c r="AT57" i="7"/>
  <c r="AW57" i="7"/>
  <c r="DL57" i="7" s="1"/>
  <c r="E47" i="32"/>
  <c r="BC57" i="7"/>
  <c r="DR57" i="7" s="1"/>
  <c r="AY57" i="7"/>
  <c r="DN57" i="7" s="1"/>
  <c r="L47" i="32" s="1"/>
  <c r="AZ57" i="7"/>
  <c r="DO57" i="7" s="1"/>
  <c r="AH57" i="7"/>
  <c r="EC58" i="7"/>
  <c r="EO58" i="7"/>
  <c r="DW58" i="7"/>
  <c r="BO57" i="7"/>
  <c r="L58" i="7"/>
  <c r="CB59" i="7" s="1"/>
  <c r="CW59" i="7" s="1"/>
  <c r="AE57" i="7"/>
  <c r="AF57" i="7"/>
  <c r="AI57" i="7" s="1"/>
  <c r="N30" i="7"/>
  <c r="D19" i="32"/>
  <c r="CL86" i="7"/>
  <c r="DG86" i="7" s="1"/>
  <c r="EM85" i="7"/>
  <c r="EN65" i="7"/>
  <c r="EB66" i="7"/>
  <c r="EF66" i="7"/>
  <c r="EA66" i="7"/>
  <c r="DX66" i="7"/>
  <c r="DZ66" i="7"/>
  <c r="DV66" i="7"/>
  <c r="BX86" i="7"/>
  <c r="CS86" i="7" s="1"/>
  <c r="BY86" i="7"/>
  <c r="CT86" i="7" s="1"/>
  <c r="BW88" i="7"/>
  <c r="CR88" i="7" s="1"/>
  <c r="CM77" i="7"/>
  <c r="DH77" i="7" s="1"/>
  <c r="BZ66" i="7"/>
  <c r="CU66" i="7" s="1"/>
  <c r="CK67" i="7"/>
  <c r="DF67" i="7" s="1"/>
  <c r="BS67" i="7"/>
  <c r="CN67" i="7" s="1"/>
  <c r="CA67" i="7"/>
  <c r="CV67" i="7" s="1"/>
  <c r="BN68" i="7"/>
  <c r="CF68" i="7"/>
  <c r="DA68" i="7" s="1"/>
  <c r="CG68" i="7"/>
  <c r="DB68" i="7" s="1"/>
  <c r="BN67" i="7"/>
  <c r="CE68" i="7"/>
  <c r="CZ68" i="7" s="1"/>
  <c r="CC71" i="7"/>
  <c r="CX71" i="7" s="1"/>
  <c r="BV77" i="7"/>
  <c r="CQ77" i="7" s="1"/>
  <c r="DS67" i="7"/>
  <c r="CD69" i="7"/>
  <c r="CY69" i="7" s="1"/>
  <c r="BU71" i="7"/>
  <c r="CP71" i="7" s="1"/>
  <c r="CJ89" i="7"/>
  <c r="DE89" i="7" s="1"/>
  <c r="AM68" i="7" l="1"/>
  <c r="AO68" i="7"/>
  <c r="AN68" i="7"/>
  <c r="BD57" i="7"/>
  <c r="BF57" i="7"/>
  <c r="BE57" i="7"/>
  <c r="AB58" i="7"/>
  <c r="BR58" i="7"/>
  <c r="H54" i="7" s="1"/>
  <c r="BT59" i="7"/>
  <c r="CO59" i="7" s="1"/>
  <c r="AC58" i="7"/>
  <c r="C48" i="32"/>
  <c r="AD58" i="7"/>
  <c r="M58" i="7"/>
  <c r="DI57" i="7"/>
  <c r="BP57" i="7" s="1"/>
  <c r="BQ57" i="7" s="1"/>
  <c r="G57" i="7" s="1"/>
  <c r="F19" i="32"/>
  <c r="G19" i="32" s="1"/>
  <c r="P19" i="32" s="1"/>
  <c r="Q19" i="32" s="1"/>
  <c r="AJ30" i="7"/>
  <c r="AL30" i="7"/>
  <c r="AR30" i="7"/>
  <c r="BI30" i="7" s="1"/>
  <c r="AP30" i="7"/>
  <c r="BG30" i="7" s="1"/>
  <c r="AQ30" i="7"/>
  <c r="BH30" i="7" s="1"/>
  <c r="AK30" i="7"/>
  <c r="CL87" i="7"/>
  <c r="DG87" i="7" s="1"/>
  <c r="EM86" i="7"/>
  <c r="EN66" i="7"/>
  <c r="EB67" i="7"/>
  <c r="EF67" i="7"/>
  <c r="DZ67" i="7"/>
  <c r="EA67" i="7"/>
  <c r="DX67" i="7"/>
  <c r="M67" i="7"/>
  <c r="DV67" i="7"/>
  <c r="BY87" i="7"/>
  <c r="CT87" i="7" s="1"/>
  <c r="BX87" i="7"/>
  <c r="CS87" i="7" s="1"/>
  <c r="BW89" i="7"/>
  <c r="CR89" i="7" s="1"/>
  <c r="CM78" i="7"/>
  <c r="DH78" i="7" s="1"/>
  <c r="BZ67" i="7"/>
  <c r="CU67" i="7" s="1"/>
  <c r="CK68" i="7"/>
  <c r="DF68" i="7" s="1"/>
  <c r="BS68" i="7"/>
  <c r="CN68" i="7" s="1"/>
  <c r="CA68" i="7"/>
  <c r="CV68" i="7" s="1"/>
  <c r="CE69" i="7"/>
  <c r="CZ69" i="7" s="1"/>
  <c r="CG69" i="7"/>
  <c r="DB69" i="7" s="1"/>
  <c r="CF69" i="7"/>
  <c r="DA69" i="7" s="1"/>
  <c r="CC72" i="7"/>
  <c r="CX72" i="7" s="1"/>
  <c r="BV78" i="7"/>
  <c r="CQ78" i="7" s="1"/>
  <c r="CI68" i="7"/>
  <c r="DD68" i="7" s="1"/>
  <c r="CD70" i="7"/>
  <c r="CY70" i="7" s="1"/>
  <c r="BU72" i="7"/>
  <c r="CP72" i="7" s="1"/>
  <c r="CJ90" i="7"/>
  <c r="DE90" i="7" s="1"/>
  <c r="AO69" i="7" l="1"/>
  <c r="AN69" i="7"/>
  <c r="AH58" i="7"/>
  <c r="AG58" i="7"/>
  <c r="AF58" i="7"/>
  <c r="AI58" i="7" s="1"/>
  <c r="P58" i="7"/>
  <c r="AE58" i="7"/>
  <c r="AW58" i="7"/>
  <c r="DL58" i="7" s="1"/>
  <c r="AX58" i="7"/>
  <c r="DM58" i="7" s="1"/>
  <c r="AV58" i="7"/>
  <c r="DK58" i="7" s="1"/>
  <c r="K48" i="32" s="1"/>
  <c r="BB58" i="7"/>
  <c r="DQ58" i="7" s="1"/>
  <c r="M48" i="32" s="1"/>
  <c r="AY58" i="7"/>
  <c r="DN58" i="7" s="1"/>
  <c r="L48" i="32" s="1"/>
  <c r="AU58" i="7"/>
  <c r="DJ58" i="7" s="1"/>
  <c r="BA58" i="7"/>
  <c r="DP58" i="7" s="1"/>
  <c r="BC58" i="7"/>
  <c r="DR58" i="7" s="1"/>
  <c r="AZ58" i="7"/>
  <c r="DO58" i="7" s="1"/>
  <c r="AT58" i="7"/>
  <c r="E48" i="32"/>
  <c r="EO59" i="7"/>
  <c r="L59" i="7"/>
  <c r="CB60" i="7" s="1"/>
  <c r="CW60" i="7" s="1"/>
  <c r="BO58" i="7"/>
  <c r="DW59" i="7"/>
  <c r="EC59" i="7"/>
  <c r="D30" i="7"/>
  <c r="BK30" i="7"/>
  <c r="E30" i="7"/>
  <c r="BL30" i="7"/>
  <c r="C30" i="7"/>
  <c r="BJ30" i="7"/>
  <c r="EM87" i="7"/>
  <c r="CL88" i="7"/>
  <c r="DG88" i="7" s="1"/>
  <c r="EN67" i="7"/>
  <c r="EB68" i="7"/>
  <c r="EF68" i="7"/>
  <c r="EA68" i="7"/>
  <c r="DX68" i="7"/>
  <c r="DZ68" i="7"/>
  <c r="E57" i="32"/>
  <c r="BB67" i="7"/>
  <c r="AY67" i="7"/>
  <c r="AX67" i="7"/>
  <c r="BA67" i="7"/>
  <c r="BC67" i="7"/>
  <c r="AZ67" i="7"/>
  <c r="M68" i="7"/>
  <c r="DV68" i="7"/>
  <c r="BX88" i="7"/>
  <c r="CS88" i="7" s="1"/>
  <c r="BY88" i="7"/>
  <c r="CT88" i="7" s="1"/>
  <c r="BW90" i="7"/>
  <c r="CR90" i="7" s="1"/>
  <c r="CE70" i="7"/>
  <c r="CZ70" i="7" s="1"/>
  <c r="AM69" i="7"/>
  <c r="CM79" i="7"/>
  <c r="DH79" i="7" s="1"/>
  <c r="BZ68" i="7"/>
  <c r="CU68" i="7" s="1"/>
  <c r="AB67" i="7"/>
  <c r="P67" i="7" s="1"/>
  <c r="AC67" i="7"/>
  <c r="AD67" i="7"/>
  <c r="BS69" i="7"/>
  <c r="CN69" i="7" s="1"/>
  <c r="CA69" i="7"/>
  <c r="CV69" i="7" s="1"/>
  <c r="CF70" i="7"/>
  <c r="DA70" i="7" s="1"/>
  <c r="CC73" i="7"/>
  <c r="CX73" i="7" s="1"/>
  <c r="BV79" i="7"/>
  <c r="CQ79" i="7" s="1"/>
  <c r="CD71" i="7"/>
  <c r="CY71" i="7" s="1"/>
  <c r="DS68" i="7"/>
  <c r="CI69" i="7"/>
  <c r="DD69" i="7" s="1"/>
  <c r="BU73" i="7"/>
  <c r="CP73" i="7" s="1"/>
  <c r="CJ91" i="7"/>
  <c r="DE91" i="7" s="1"/>
  <c r="AN70" i="7" l="1"/>
  <c r="BD58" i="7"/>
  <c r="BF58" i="7"/>
  <c r="BE58" i="7"/>
  <c r="BT60" i="7"/>
  <c r="CO60" i="7" s="1"/>
  <c r="M59" i="7"/>
  <c r="AD59" i="7"/>
  <c r="BR59" i="7"/>
  <c r="H55" i="7" s="1"/>
  <c r="C49" i="32"/>
  <c r="AC59" i="7"/>
  <c r="AB59" i="7"/>
  <c r="DI58" i="7"/>
  <c r="BP58" i="7" s="1"/>
  <c r="BQ58" i="7" s="1"/>
  <c r="G58" i="7" s="1"/>
  <c r="F30" i="7"/>
  <c r="BM30" i="7"/>
  <c r="B30" i="7" s="1"/>
  <c r="EM88" i="7"/>
  <c r="CL89" i="7"/>
  <c r="DG89" i="7" s="1"/>
  <c r="EN68" i="7"/>
  <c r="EF69" i="7"/>
  <c r="EB69" i="7"/>
  <c r="DX69" i="7"/>
  <c r="AY68" i="7"/>
  <c r="E58" i="32"/>
  <c r="AZ68" i="7"/>
  <c r="BB68" i="7"/>
  <c r="BC68" i="7"/>
  <c r="AX68" i="7"/>
  <c r="BA68" i="7"/>
  <c r="M69" i="7"/>
  <c r="DV69" i="7"/>
  <c r="BY89" i="7"/>
  <c r="CT89" i="7" s="1"/>
  <c r="BX89" i="7"/>
  <c r="CS89" i="7" s="1"/>
  <c r="BW91" i="7"/>
  <c r="CR91" i="7" s="1"/>
  <c r="CE71" i="7"/>
  <c r="CZ71" i="7" s="1"/>
  <c r="AM70" i="7"/>
  <c r="CM80" i="7"/>
  <c r="DH80" i="7" s="1"/>
  <c r="AH67" i="7"/>
  <c r="AG67" i="7"/>
  <c r="AF67" i="7"/>
  <c r="AI67" i="7" s="1"/>
  <c r="AE67" i="7"/>
  <c r="BS70" i="7"/>
  <c r="CN70" i="7" s="1"/>
  <c r="BZ69" i="7"/>
  <c r="CU69" i="7" s="1"/>
  <c r="CK69" i="7"/>
  <c r="DF69" i="7" s="1"/>
  <c r="CA70" i="7"/>
  <c r="CV70" i="7" s="1"/>
  <c r="CF71" i="7"/>
  <c r="DA71" i="7" s="1"/>
  <c r="CC74" i="7"/>
  <c r="CX74" i="7" s="1"/>
  <c r="BV80" i="7"/>
  <c r="CQ80" i="7" s="1"/>
  <c r="DS69" i="7"/>
  <c r="CI70" i="7"/>
  <c r="DD70" i="7" s="1"/>
  <c r="AC68" i="7"/>
  <c r="CH69" i="7"/>
  <c r="DC69" i="7" s="1"/>
  <c r="AB68" i="7"/>
  <c r="P68" i="7" s="1"/>
  <c r="AD68" i="7"/>
  <c r="CD72" i="7"/>
  <c r="CY72" i="7" s="1"/>
  <c r="BU74" i="7"/>
  <c r="CP74" i="7" s="1"/>
  <c r="CJ92" i="7"/>
  <c r="DE92" i="7" s="1"/>
  <c r="EN69" i="7" l="1"/>
  <c r="DZ69" i="7"/>
  <c r="AG59" i="7"/>
  <c r="AN71" i="7"/>
  <c r="BO59" i="7"/>
  <c r="EC60" i="7"/>
  <c r="EO60" i="7"/>
  <c r="DW60" i="7"/>
  <c r="L60" i="7"/>
  <c r="CB61" i="7" s="1"/>
  <c r="CW61" i="7" s="1"/>
  <c r="AE59" i="7"/>
  <c r="AF59" i="7"/>
  <c r="P59" i="7"/>
  <c r="AH59" i="7"/>
  <c r="P30" i="7"/>
  <c r="N31" i="7" s="1"/>
  <c r="AT59" i="7"/>
  <c r="AY59" i="7"/>
  <c r="DN59" i="7" s="1"/>
  <c r="L49" i="32" s="1"/>
  <c r="AW59" i="7"/>
  <c r="DL59" i="7" s="1"/>
  <c r="AZ59" i="7"/>
  <c r="DO59" i="7" s="1"/>
  <c r="AV59" i="7"/>
  <c r="DK59" i="7" s="1"/>
  <c r="K49" i="32" s="1"/>
  <c r="BA59" i="7"/>
  <c r="DP59" i="7" s="1"/>
  <c r="AX59" i="7"/>
  <c r="DM59" i="7" s="1"/>
  <c r="BB59" i="7"/>
  <c r="DQ59" i="7" s="1"/>
  <c r="M49" i="32" s="1"/>
  <c r="BC59" i="7"/>
  <c r="DR59" i="7" s="1"/>
  <c r="AU59" i="7"/>
  <c r="DJ59" i="7" s="1"/>
  <c r="E49" i="32"/>
  <c r="CL90" i="7"/>
  <c r="DG90" i="7" s="1"/>
  <c r="EM89" i="7"/>
  <c r="EA69" i="7"/>
  <c r="EB70" i="7"/>
  <c r="EF70" i="7"/>
  <c r="DX70" i="7"/>
  <c r="BA69" i="7"/>
  <c r="E59" i="32"/>
  <c r="AX69" i="7"/>
  <c r="BB69" i="7"/>
  <c r="BC69" i="7"/>
  <c r="AZ69" i="7"/>
  <c r="DV70" i="7"/>
  <c r="AY69" i="7"/>
  <c r="BX90" i="7"/>
  <c r="CS90" i="7" s="1"/>
  <c r="BY90" i="7"/>
  <c r="CT90" i="7" s="1"/>
  <c r="BW92" i="7"/>
  <c r="CR92" i="7" s="1"/>
  <c r="M70" i="7"/>
  <c r="E60" i="32" s="1"/>
  <c r="AM71" i="7"/>
  <c r="CE72" i="7"/>
  <c r="CZ72" i="7" s="1"/>
  <c r="CM81" i="7"/>
  <c r="DH81" i="7" s="1"/>
  <c r="BZ70" i="7"/>
  <c r="CU70" i="7" s="1"/>
  <c r="CA71" i="7"/>
  <c r="CV71" i="7" s="1"/>
  <c r="CF72" i="7"/>
  <c r="DA72" i="7" s="1"/>
  <c r="CC75" i="7"/>
  <c r="CX75" i="7" s="1"/>
  <c r="BV81" i="7"/>
  <c r="CQ81" i="7" s="1"/>
  <c r="AH68" i="7"/>
  <c r="AF68" i="7"/>
  <c r="AE68" i="7"/>
  <c r="AG68" i="7"/>
  <c r="CD73" i="7"/>
  <c r="CY73" i="7" s="1"/>
  <c r="BN69" i="7"/>
  <c r="DS70" i="7"/>
  <c r="CI71" i="7"/>
  <c r="DD71" i="7" s="1"/>
  <c r="BU75" i="7"/>
  <c r="CP75" i="7" s="1"/>
  <c r="CJ93" i="7"/>
  <c r="DE93" i="7" s="1"/>
  <c r="EN70" i="7" l="1"/>
  <c r="AN72" i="7"/>
  <c r="L61" i="7"/>
  <c r="BR61" i="7" s="1"/>
  <c r="D20" i="32"/>
  <c r="CB62" i="7"/>
  <c r="CW62" i="7" s="1"/>
  <c r="BF59" i="7"/>
  <c r="BD59" i="7"/>
  <c r="BE59" i="7"/>
  <c r="DI59" i="7"/>
  <c r="BP59" i="7" s="1"/>
  <c r="BQ59" i="7" s="1"/>
  <c r="AI59" i="7"/>
  <c r="AC60" i="7"/>
  <c r="AB60" i="7"/>
  <c r="C50" i="32"/>
  <c r="M60" i="7"/>
  <c r="AD60" i="7"/>
  <c r="BR60" i="7"/>
  <c r="BT61" i="7"/>
  <c r="CO61" i="7" s="1"/>
  <c r="AR31" i="7"/>
  <c r="BI31" i="7" s="1"/>
  <c r="F20" i="32"/>
  <c r="AP31" i="7"/>
  <c r="BG31" i="7" s="1"/>
  <c r="AQ31" i="7"/>
  <c r="BH31" i="7" s="1"/>
  <c r="AL31" i="7"/>
  <c r="AJ31" i="7"/>
  <c r="AK31" i="7"/>
  <c r="CL91" i="7"/>
  <c r="DG91" i="7" s="1"/>
  <c r="EM90" i="7"/>
  <c r="BY91" i="7"/>
  <c r="CT91" i="7" s="1"/>
  <c r="BX91" i="7"/>
  <c r="CS91" i="7" s="1"/>
  <c r="BW93" i="7"/>
  <c r="CR93" i="7" s="1"/>
  <c r="AY70" i="7"/>
  <c r="BC70" i="7"/>
  <c r="AZ70" i="7"/>
  <c r="AX70" i="7"/>
  <c r="BA70" i="7"/>
  <c r="BB70" i="7"/>
  <c r="AM72" i="7"/>
  <c r="CE73" i="7"/>
  <c r="CZ73" i="7" s="1"/>
  <c r="CM82" i="7"/>
  <c r="DH82" i="7" s="1"/>
  <c r="CK70" i="7"/>
  <c r="DF70" i="7" s="1"/>
  <c r="BZ71" i="7"/>
  <c r="CU71" i="7" s="1"/>
  <c r="CA72" i="7"/>
  <c r="CV72" i="7" s="1"/>
  <c r="CF73" i="7"/>
  <c r="DA73" i="7" s="1"/>
  <c r="CC76" i="7"/>
  <c r="CX76" i="7" s="1"/>
  <c r="BV82" i="7"/>
  <c r="CQ82" i="7" s="1"/>
  <c r="DS71" i="7"/>
  <c r="CI72" i="7"/>
  <c r="DD72" i="7" s="1"/>
  <c r="CD74" i="7"/>
  <c r="CY74" i="7" s="1"/>
  <c r="CH70" i="7"/>
  <c r="DC70" i="7" s="1"/>
  <c r="CG70" i="7"/>
  <c r="DB70" i="7" s="1"/>
  <c r="AD69" i="7"/>
  <c r="AC69" i="7"/>
  <c r="AB69" i="7"/>
  <c r="P69" i="7" s="1"/>
  <c r="AI68" i="7"/>
  <c r="BU76" i="7"/>
  <c r="CP76" i="7" s="1"/>
  <c r="CJ94" i="7"/>
  <c r="DE94" i="7" s="1"/>
  <c r="AD61" i="7" l="1"/>
  <c r="AB61" i="7"/>
  <c r="M61" i="7"/>
  <c r="AF61" i="7" s="1"/>
  <c r="AI61" i="7" s="1"/>
  <c r="C51" i="32"/>
  <c r="AC61" i="7"/>
  <c r="AO70" i="7"/>
  <c r="CK71" i="7"/>
  <c r="DF71" i="7" s="1"/>
  <c r="AN73" i="7"/>
  <c r="L62" i="7"/>
  <c r="C52" i="32" s="1"/>
  <c r="EN71" i="7"/>
  <c r="G20" i="32"/>
  <c r="P20" i="32" s="1"/>
  <c r="Q20" i="32" s="1"/>
  <c r="P61" i="7"/>
  <c r="AE61" i="7"/>
  <c r="CB63" i="7"/>
  <c r="CW63" i="7" s="1"/>
  <c r="BO60" i="7"/>
  <c r="BT62" i="7"/>
  <c r="CO62" i="7" s="1"/>
  <c r="EO61" i="7"/>
  <c r="EC61" i="7"/>
  <c r="DW61" i="7"/>
  <c r="G59" i="7"/>
  <c r="H56" i="7"/>
  <c r="H58" i="7"/>
  <c r="H57" i="7"/>
  <c r="P60" i="7"/>
  <c r="AE60" i="7"/>
  <c r="AF60" i="7"/>
  <c r="AH60" i="7"/>
  <c r="AG60" i="7"/>
  <c r="AX60" i="7"/>
  <c r="DM60" i="7" s="1"/>
  <c r="BC60" i="7"/>
  <c r="DR60" i="7" s="1"/>
  <c r="E50" i="32"/>
  <c r="AW60" i="7"/>
  <c r="DL60" i="7" s="1"/>
  <c r="AU60" i="7"/>
  <c r="DJ60" i="7" s="1"/>
  <c r="BB60" i="7"/>
  <c r="DQ60" i="7" s="1"/>
  <c r="AV60" i="7"/>
  <c r="DK60" i="7" s="1"/>
  <c r="AT60" i="7"/>
  <c r="BA60" i="7"/>
  <c r="DP60" i="7" s="1"/>
  <c r="AY60" i="7"/>
  <c r="DN60" i="7" s="1"/>
  <c r="AZ60" i="7"/>
  <c r="DO60" i="7" s="1"/>
  <c r="BK31" i="7"/>
  <c r="D31" i="7"/>
  <c r="C31" i="7"/>
  <c r="BJ31" i="7"/>
  <c r="E31" i="7"/>
  <c r="BL31" i="7"/>
  <c r="CL92" i="7"/>
  <c r="DG92" i="7" s="1"/>
  <c r="EM91" i="7"/>
  <c r="EA70" i="7"/>
  <c r="DZ70" i="7"/>
  <c r="BX92" i="7"/>
  <c r="CS92" i="7" s="1"/>
  <c r="BY92" i="7"/>
  <c r="CT92" i="7" s="1"/>
  <c r="BW94" i="7"/>
  <c r="CR94" i="7" s="1"/>
  <c r="AM73" i="7"/>
  <c r="CE74" i="7"/>
  <c r="CZ74" i="7" s="1"/>
  <c r="CM83" i="7"/>
  <c r="DH83" i="7" s="1"/>
  <c r="CK72" i="7"/>
  <c r="DF72" i="7" s="1"/>
  <c r="BZ72" i="7"/>
  <c r="CU72" i="7" s="1"/>
  <c r="CA73" i="7"/>
  <c r="CV73" i="7" s="1"/>
  <c r="CF74" i="7"/>
  <c r="DA74" i="7" s="1"/>
  <c r="CC77" i="7"/>
  <c r="CX77" i="7" s="1"/>
  <c r="BV83" i="7"/>
  <c r="CQ83" i="7" s="1"/>
  <c r="AG69" i="7"/>
  <c r="CG71" i="7"/>
  <c r="DB71" i="7" s="1"/>
  <c r="CD75" i="7"/>
  <c r="CY75" i="7" s="1"/>
  <c r="AH69" i="7"/>
  <c r="CH71" i="7"/>
  <c r="DC71" i="7" s="1"/>
  <c r="BN70" i="7"/>
  <c r="DS72" i="7"/>
  <c r="AF69" i="7"/>
  <c r="AE69" i="7"/>
  <c r="BU77" i="7"/>
  <c r="CP77" i="7" s="1"/>
  <c r="CJ95" i="7"/>
  <c r="DE95" i="7" s="1"/>
  <c r="AX61" i="7" l="1"/>
  <c r="AY61" i="7"/>
  <c r="AH61" i="7"/>
  <c r="E51" i="32"/>
  <c r="AT61" i="7"/>
  <c r="AZ61" i="7"/>
  <c r="AV61" i="7"/>
  <c r="DK61" i="7" s="1"/>
  <c r="AU61" i="7"/>
  <c r="DJ61" i="7" s="1"/>
  <c r="BC61" i="7"/>
  <c r="AW61" i="7"/>
  <c r="DL61" i="7" s="1"/>
  <c r="BB61" i="7"/>
  <c r="BA61" i="7"/>
  <c r="AG61" i="7"/>
  <c r="M62" i="7"/>
  <c r="E52" i="32" s="1"/>
  <c r="BR62" i="7"/>
  <c r="AB62" i="7"/>
  <c r="P62" i="7" s="1"/>
  <c r="CK73" i="7"/>
  <c r="DF73" i="7" s="1"/>
  <c r="AN74" i="7"/>
  <c r="L63" i="7"/>
  <c r="AC62" i="7"/>
  <c r="AO71" i="7"/>
  <c r="EN72" i="7"/>
  <c r="DM61" i="7"/>
  <c r="AD62" i="7"/>
  <c r="DO61" i="7"/>
  <c r="BR63" i="7"/>
  <c r="H59" i="7" s="1"/>
  <c r="C53" i="32"/>
  <c r="M63" i="7"/>
  <c r="AB63" i="7"/>
  <c r="AC63" i="7"/>
  <c r="AD63" i="7"/>
  <c r="BC62" i="7"/>
  <c r="AZ62" i="7"/>
  <c r="DO62" i="7" s="1"/>
  <c r="DR61" i="7"/>
  <c r="DP61" i="7"/>
  <c r="CB64" i="7"/>
  <c r="CW64" i="7" s="1"/>
  <c r="K50" i="32"/>
  <c r="BD60" i="7"/>
  <c r="BE60" i="7"/>
  <c r="BF60" i="7"/>
  <c r="L50" i="32"/>
  <c r="DN61" i="7"/>
  <c r="DQ61" i="7"/>
  <c r="M50" i="32"/>
  <c r="DI60" i="7"/>
  <c r="BO61" i="7"/>
  <c r="DW62" i="7"/>
  <c r="AW62" i="7"/>
  <c r="BT63" i="7"/>
  <c r="CO63" i="7" s="1"/>
  <c r="EO62" i="7"/>
  <c r="EC62" i="7"/>
  <c r="AI60" i="7"/>
  <c r="F31" i="7"/>
  <c r="BM31" i="7"/>
  <c r="EM92" i="7"/>
  <c r="CL93" i="7"/>
  <c r="DG93" i="7" s="1"/>
  <c r="BY93" i="7"/>
  <c r="CT93" i="7" s="1"/>
  <c r="BX93" i="7"/>
  <c r="CS93" i="7" s="1"/>
  <c r="BW95" i="7"/>
  <c r="CR95" i="7" s="1"/>
  <c r="CE75" i="7"/>
  <c r="CZ75" i="7" s="1"/>
  <c r="AM74" i="7"/>
  <c r="CM84" i="7"/>
  <c r="DH84" i="7" s="1"/>
  <c r="BZ73" i="7"/>
  <c r="CU73" i="7" s="1"/>
  <c r="CA74" i="7"/>
  <c r="CV74" i="7" s="1"/>
  <c r="CF75" i="7"/>
  <c r="DA75" i="7" s="1"/>
  <c r="CC78" i="7"/>
  <c r="CX78" i="7" s="1"/>
  <c r="BV84" i="7"/>
  <c r="CQ84" i="7" s="1"/>
  <c r="AI69" i="7"/>
  <c r="CG72" i="7"/>
  <c r="DB72" i="7" s="1"/>
  <c r="BN71" i="7"/>
  <c r="CH72" i="7"/>
  <c r="DC72" i="7" s="1"/>
  <c r="CD76" i="7"/>
  <c r="CY76" i="7" s="1"/>
  <c r="BS71" i="7"/>
  <c r="CN71" i="7" s="1"/>
  <c r="AD70" i="7"/>
  <c r="AC70" i="7"/>
  <c r="AB70" i="7"/>
  <c r="P70" i="7" s="1"/>
  <c r="BU78" i="7"/>
  <c r="CP78" i="7" s="1"/>
  <c r="CJ96" i="7"/>
  <c r="DE96" i="7" s="1"/>
  <c r="BE61" i="7" l="1"/>
  <c r="BF61" i="7"/>
  <c r="BD61" i="7"/>
  <c r="AU62" i="7"/>
  <c r="DJ62" i="7" s="1"/>
  <c r="AT62" i="7"/>
  <c r="AH62" i="7"/>
  <c r="AX62" i="7"/>
  <c r="DM62" i="7" s="1"/>
  <c r="AG62" i="7"/>
  <c r="AF62" i="7"/>
  <c r="AI62" i="7" s="1"/>
  <c r="AV62" i="7"/>
  <c r="BA62" i="7"/>
  <c r="DP62" i="7" s="1"/>
  <c r="BB62" i="7"/>
  <c r="DQ62" i="7" s="1"/>
  <c r="AY62" i="7"/>
  <c r="DN62" i="7" s="1"/>
  <c r="DL62" i="7"/>
  <c r="AE62" i="7"/>
  <c r="L64" i="7"/>
  <c r="AD64" i="7" s="1"/>
  <c r="EN73" i="7"/>
  <c r="AO72" i="7"/>
  <c r="AN75" i="7"/>
  <c r="CK74" i="7"/>
  <c r="DF74" i="7" s="1"/>
  <c r="C54" i="32"/>
  <c r="M64" i="7"/>
  <c r="AB64" i="7"/>
  <c r="DR62" i="7"/>
  <c r="P63" i="7"/>
  <c r="AF63" i="7"/>
  <c r="AI63" i="7" s="1"/>
  <c r="AE63" i="7"/>
  <c r="BC63" i="7"/>
  <c r="DR63" i="7" s="1"/>
  <c r="BB63" i="7"/>
  <c r="BA63" i="7"/>
  <c r="AZ63" i="7"/>
  <c r="DO63" i="7" s="1"/>
  <c r="E53" i="32"/>
  <c r="AX63" i="7"/>
  <c r="AY63" i="7"/>
  <c r="AH63" i="7"/>
  <c r="AG63" i="7"/>
  <c r="CB65" i="7"/>
  <c r="CW65" i="7" s="1"/>
  <c r="M51" i="32"/>
  <c r="DW63" i="7"/>
  <c r="AW63" i="7"/>
  <c r="BO62" i="7"/>
  <c r="EC63" i="7"/>
  <c r="AT63" i="7"/>
  <c r="AU63" i="7"/>
  <c r="EO63" i="7"/>
  <c r="AV63" i="7"/>
  <c r="BT64" i="7"/>
  <c r="CO64" i="7" s="1"/>
  <c r="L51" i="32"/>
  <c r="DI61" i="7"/>
  <c r="BP60" i="7"/>
  <c r="BQ60" i="7" s="1"/>
  <c r="K51" i="32"/>
  <c r="B31" i="7"/>
  <c r="P31" i="7"/>
  <c r="CL94" i="7"/>
  <c r="DG94" i="7" s="1"/>
  <c r="EM93" i="7"/>
  <c r="EB71" i="7"/>
  <c r="EF71" i="7"/>
  <c r="DZ71" i="7"/>
  <c r="EA71" i="7"/>
  <c r="DX71" i="7"/>
  <c r="M71" i="7"/>
  <c r="DV71" i="7"/>
  <c r="BX94" i="7"/>
  <c r="CS94" i="7" s="1"/>
  <c r="BY94" i="7"/>
  <c r="CT94" i="7" s="1"/>
  <c r="BW96" i="7"/>
  <c r="CR96" i="7" s="1"/>
  <c r="AM75" i="7"/>
  <c r="CE76" i="7"/>
  <c r="CZ76" i="7" s="1"/>
  <c r="CM85" i="7"/>
  <c r="DH85" i="7" s="1"/>
  <c r="BZ74" i="7"/>
  <c r="CU74" i="7" s="1"/>
  <c r="CA75" i="7"/>
  <c r="CV75" i="7" s="1"/>
  <c r="CF76" i="7"/>
  <c r="DA76" i="7" s="1"/>
  <c r="CC79" i="7"/>
  <c r="CX79" i="7" s="1"/>
  <c r="BV85" i="7"/>
  <c r="CQ85" i="7" s="1"/>
  <c r="AH70" i="7"/>
  <c r="CD77" i="7"/>
  <c r="CY77" i="7" s="1"/>
  <c r="BN72" i="7"/>
  <c r="CH73" i="7"/>
  <c r="DC73" i="7" s="1"/>
  <c r="CG73" i="7"/>
  <c r="DB73" i="7" s="1"/>
  <c r="AF70" i="7"/>
  <c r="AE70" i="7"/>
  <c r="AG70" i="7"/>
  <c r="BU79" i="7"/>
  <c r="CP79" i="7" s="1"/>
  <c r="CJ97" i="7"/>
  <c r="DE97" i="7" s="1"/>
  <c r="BD62" i="7" l="1"/>
  <c r="BF62" i="7"/>
  <c r="BE62" i="7"/>
  <c r="DK62" i="7"/>
  <c r="DK63" i="7" s="1"/>
  <c r="DL63" i="7"/>
  <c r="DM63" i="7"/>
  <c r="AC64" i="7"/>
  <c r="BR64" i="7"/>
  <c r="L65" i="7"/>
  <c r="AC65" i="7" s="1"/>
  <c r="EN74" i="7"/>
  <c r="CK75" i="7"/>
  <c r="DF75" i="7" s="1"/>
  <c r="AO73" i="7"/>
  <c r="AN76" i="7"/>
  <c r="DP63" i="7"/>
  <c r="AG64" i="7"/>
  <c r="M65" i="7"/>
  <c r="AD65" i="7"/>
  <c r="AH64" i="7"/>
  <c r="BB64" i="7"/>
  <c r="BA64" i="7"/>
  <c r="AX64" i="7"/>
  <c r="DM64" i="7" s="1"/>
  <c r="BC64" i="7"/>
  <c r="DR64" i="7" s="1"/>
  <c r="AY64" i="7"/>
  <c r="AZ64" i="7"/>
  <c r="DO64" i="7" s="1"/>
  <c r="E54" i="32"/>
  <c r="P64" i="7"/>
  <c r="AF64" i="7"/>
  <c r="AI64" i="7" s="1"/>
  <c r="AE64" i="7"/>
  <c r="CB66" i="7"/>
  <c r="CW66" i="7" s="1"/>
  <c r="DJ63" i="7"/>
  <c r="L52" i="32"/>
  <c r="DN63" i="7"/>
  <c r="G60" i="7"/>
  <c r="H60" i="7"/>
  <c r="EC64" i="7"/>
  <c r="AT64" i="7"/>
  <c r="AW64" i="7"/>
  <c r="BT65" i="7"/>
  <c r="CO65" i="7" s="1"/>
  <c r="DW64" i="7"/>
  <c r="BO63" i="7"/>
  <c r="EO64" i="7"/>
  <c r="AV64" i="7"/>
  <c r="AU64" i="7"/>
  <c r="BF63" i="7"/>
  <c r="BD63" i="7"/>
  <c r="BE63" i="7"/>
  <c r="DI62" i="7"/>
  <c r="BP61" i="7"/>
  <c r="BQ61" i="7" s="1"/>
  <c r="M52" i="32"/>
  <c r="DQ63" i="7"/>
  <c r="N32" i="7"/>
  <c r="D21" i="32"/>
  <c r="EM94" i="7"/>
  <c r="CL95" i="7"/>
  <c r="DG95" i="7" s="1"/>
  <c r="BA71" i="7"/>
  <c r="E61" i="32"/>
  <c r="AY71" i="7"/>
  <c r="BB71" i="7"/>
  <c r="AX71" i="7"/>
  <c r="BC71" i="7"/>
  <c r="AZ71" i="7"/>
  <c r="BY95" i="7"/>
  <c r="CT95" i="7" s="1"/>
  <c r="BX95" i="7"/>
  <c r="CS95" i="7" s="1"/>
  <c r="BW97" i="7"/>
  <c r="CR97" i="7" s="1"/>
  <c r="AM76" i="7"/>
  <c r="CE77" i="7"/>
  <c r="CZ77" i="7" s="1"/>
  <c r="CM86" i="7"/>
  <c r="DH86" i="7" s="1"/>
  <c r="BZ75" i="7"/>
  <c r="CU75" i="7" s="1"/>
  <c r="CA76" i="7"/>
  <c r="CV76" i="7" s="1"/>
  <c r="CF77" i="7"/>
  <c r="DA77" i="7" s="1"/>
  <c r="CC80" i="7"/>
  <c r="CX80" i="7" s="1"/>
  <c r="BV86" i="7"/>
  <c r="CQ86" i="7" s="1"/>
  <c r="CG74" i="7"/>
  <c r="DB74" i="7" s="1"/>
  <c r="CD78" i="7"/>
  <c r="CY78" i="7" s="1"/>
  <c r="AD71" i="7"/>
  <c r="AB71" i="7"/>
  <c r="P71" i="7" s="1"/>
  <c r="AC71" i="7"/>
  <c r="BS72" i="7"/>
  <c r="CN72" i="7" s="1"/>
  <c r="AI70" i="7"/>
  <c r="BN73" i="7"/>
  <c r="CH74" i="7"/>
  <c r="DC74" i="7" s="1"/>
  <c r="AB77" i="7"/>
  <c r="BU80" i="7"/>
  <c r="CP80" i="7" s="1"/>
  <c r="CJ98" i="7"/>
  <c r="DE98" i="7" s="1"/>
  <c r="K52" i="32" l="1"/>
  <c r="DL64" i="7"/>
  <c r="C55" i="32"/>
  <c r="AB65" i="7"/>
  <c r="P65" i="7" s="1"/>
  <c r="BR65" i="7"/>
  <c r="AO74" i="7"/>
  <c r="L66" i="7"/>
  <c r="C56" i="32" s="1"/>
  <c r="EN75" i="7"/>
  <c r="AN77" i="7"/>
  <c r="DP64" i="7"/>
  <c r="CK76" i="7"/>
  <c r="DF76" i="7" s="1"/>
  <c r="AG65" i="7"/>
  <c r="AY65" i="7"/>
  <c r="BA65" i="7"/>
  <c r="DP65" i="7" s="1"/>
  <c r="AZ65" i="7"/>
  <c r="DO65" i="7" s="1"/>
  <c r="BB65" i="7"/>
  <c r="AX65" i="7"/>
  <c r="DM65" i="7" s="1"/>
  <c r="E55" i="32"/>
  <c r="BC65" i="7"/>
  <c r="DR65" i="7" s="1"/>
  <c r="AH65" i="7"/>
  <c r="CB67" i="7"/>
  <c r="CW67" i="7" s="1"/>
  <c r="DJ64" i="7"/>
  <c r="H61" i="7"/>
  <c r="G61" i="7"/>
  <c r="BF64" i="7"/>
  <c r="BE64" i="7"/>
  <c r="BD64" i="7"/>
  <c r="M53" i="32"/>
  <c r="DQ64" i="7"/>
  <c r="AU65" i="7"/>
  <c r="DJ65" i="7" s="1"/>
  <c r="AV65" i="7"/>
  <c r="EO65" i="7"/>
  <c r="BT66" i="7"/>
  <c r="CO66" i="7" s="1"/>
  <c r="AW65" i="7"/>
  <c r="DL65" i="7" s="1"/>
  <c r="DW65" i="7"/>
  <c r="BO64" i="7"/>
  <c r="EC65" i="7"/>
  <c r="AT65" i="7"/>
  <c r="L53" i="32"/>
  <c r="DN64" i="7"/>
  <c r="DI63" i="7"/>
  <c r="BP62" i="7"/>
  <c r="BQ62" i="7" s="1"/>
  <c r="K53" i="32"/>
  <c r="DK64" i="7"/>
  <c r="F21" i="32"/>
  <c r="G21" i="32" s="1"/>
  <c r="P21" i="32" s="1"/>
  <c r="Q21" i="32" s="1"/>
  <c r="AP32" i="7"/>
  <c r="BG32" i="7" s="1"/>
  <c r="AQ32" i="7"/>
  <c r="BH32" i="7" s="1"/>
  <c r="AR32" i="7"/>
  <c r="BI32" i="7" s="1"/>
  <c r="AK32" i="7"/>
  <c r="AL32" i="7"/>
  <c r="AJ32" i="7"/>
  <c r="CL96" i="7"/>
  <c r="DG96" i="7" s="1"/>
  <c r="EM95" i="7"/>
  <c r="EB72" i="7"/>
  <c r="EF72" i="7"/>
  <c r="EA72" i="7"/>
  <c r="DX72" i="7"/>
  <c r="DZ72" i="7"/>
  <c r="M72" i="7"/>
  <c r="DV72" i="7"/>
  <c r="BX96" i="7"/>
  <c r="CS96" i="7" s="1"/>
  <c r="BY96" i="7"/>
  <c r="CT96" i="7" s="1"/>
  <c r="BW98" i="7"/>
  <c r="CR98" i="7" s="1"/>
  <c r="AM77" i="7"/>
  <c r="CE78" i="7"/>
  <c r="CZ78" i="7" s="1"/>
  <c r="CM87" i="7"/>
  <c r="DH87" i="7" s="1"/>
  <c r="BZ76" i="7"/>
  <c r="CU76" i="7" s="1"/>
  <c r="CA77" i="7"/>
  <c r="CV77" i="7" s="1"/>
  <c r="CF78" i="7"/>
  <c r="DA78" i="7" s="1"/>
  <c r="CC81" i="7"/>
  <c r="CX81" i="7" s="1"/>
  <c r="BV87" i="7"/>
  <c r="CQ87" i="7" s="1"/>
  <c r="AG71" i="7"/>
  <c r="BN74" i="7"/>
  <c r="AF71" i="7"/>
  <c r="AE71" i="7"/>
  <c r="CG75" i="7"/>
  <c r="DB75" i="7" s="1"/>
  <c r="CD79" i="7"/>
  <c r="CY79" i="7" s="1"/>
  <c r="BS73" i="7"/>
  <c r="CN73" i="7" s="1"/>
  <c r="AH71" i="7"/>
  <c r="AD77" i="7"/>
  <c r="AC77" i="7"/>
  <c r="AC78" i="7"/>
  <c r="BU81" i="7"/>
  <c r="CP81" i="7" s="1"/>
  <c r="CJ99" i="7"/>
  <c r="DE99" i="7" s="1"/>
  <c r="AF65" i="7" l="1"/>
  <c r="AI65" i="7" s="1"/>
  <c r="AE65" i="7"/>
  <c r="AB66" i="7"/>
  <c r="BR66" i="7"/>
  <c r="AC66" i="7"/>
  <c r="AN78" i="7"/>
  <c r="M66" i="7"/>
  <c r="BC66" i="7" s="1"/>
  <c r="DR66" i="7" s="1"/>
  <c r="DR67" i="7" s="1"/>
  <c r="DR68" i="7" s="1"/>
  <c r="DR69" i="7" s="1"/>
  <c r="DR70" i="7" s="1"/>
  <c r="DR71" i="7" s="1"/>
  <c r="EN76" i="7"/>
  <c r="CK77" i="7"/>
  <c r="DF77" i="7" s="1"/>
  <c r="AO75" i="7"/>
  <c r="AD66" i="7"/>
  <c r="P66" i="7"/>
  <c r="AE66" i="7"/>
  <c r="CB68" i="7"/>
  <c r="CW68" i="7" s="1"/>
  <c r="G62" i="7"/>
  <c r="H62" i="7"/>
  <c r="BP63" i="7"/>
  <c r="BQ63" i="7" s="1"/>
  <c r="DI64" i="7"/>
  <c r="DW66" i="7"/>
  <c r="BO65" i="7"/>
  <c r="BT67" i="7"/>
  <c r="CO67" i="7" s="1"/>
  <c r="EC66" i="7"/>
  <c r="EO66" i="7"/>
  <c r="M54" i="32"/>
  <c r="DQ65" i="7"/>
  <c r="BF65" i="7"/>
  <c r="BD65" i="7"/>
  <c r="BE65" i="7"/>
  <c r="DK65" i="7"/>
  <c r="K54" i="32"/>
  <c r="DN65" i="7"/>
  <c r="L54" i="32"/>
  <c r="D32" i="7"/>
  <c r="BK32" i="7"/>
  <c r="C32" i="7"/>
  <c r="BJ32" i="7"/>
  <c r="E32" i="7"/>
  <c r="BL32" i="7"/>
  <c r="EM96" i="7"/>
  <c r="CL97" i="7"/>
  <c r="DG97" i="7" s="1"/>
  <c r="EB73" i="7"/>
  <c r="EA73" i="7"/>
  <c r="DX73" i="7"/>
  <c r="DZ73" i="7"/>
  <c r="AY72" i="7"/>
  <c r="E62" i="32"/>
  <c r="BB72" i="7"/>
  <c r="AZ72" i="7"/>
  <c r="BC72" i="7"/>
  <c r="M73" i="7"/>
  <c r="DV73" i="7"/>
  <c r="AX72" i="7"/>
  <c r="BA72" i="7"/>
  <c r="BY97" i="7"/>
  <c r="CT97" i="7" s="1"/>
  <c r="BX97" i="7"/>
  <c r="CS97" i="7" s="1"/>
  <c r="BW99" i="7"/>
  <c r="CR99" i="7" s="1"/>
  <c r="AM78" i="7"/>
  <c r="CE79" i="7"/>
  <c r="CZ79" i="7" s="1"/>
  <c r="CM88" i="7"/>
  <c r="DH88" i="7" s="1"/>
  <c r="BZ77" i="7"/>
  <c r="CU77" i="7" s="1"/>
  <c r="CA78" i="7"/>
  <c r="CV78" i="7" s="1"/>
  <c r="CF79" i="7"/>
  <c r="DA79" i="7" s="1"/>
  <c r="CC82" i="7"/>
  <c r="CX82" i="7" s="1"/>
  <c r="BV88" i="7"/>
  <c r="CQ88" i="7" s="1"/>
  <c r="AI71" i="7"/>
  <c r="AB72" i="7"/>
  <c r="P72" i="7" s="1"/>
  <c r="AC72" i="7"/>
  <c r="AD72" i="7"/>
  <c r="CI73" i="7"/>
  <c r="DD73" i="7" s="1"/>
  <c r="CG76" i="7"/>
  <c r="DB76" i="7" s="1"/>
  <c r="CD80" i="7"/>
  <c r="CY80" i="7" s="1"/>
  <c r="AE77" i="7"/>
  <c r="AB78" i="7"/>
  <c r="AD78" i="7"/>
  <c r="BU82" i="7"/>
  <c r="CP82" i="7" s="1"/>
  <c r="CJ100" i="7"/>
  <c r="DE100" i="7" s="1"/>
  <c r="AX66" i="7" l="1"/>
  <c r="DM66" i="7" s="1"/>
  <c r="DM67" i="7" s="1"/>
  <c r="DM68" i="7" s="1"/>
  <c r="DM69" i="7" s="1"/>
  <c r="DM70" i="7" s="1"/>
  <c r="DM71" i="7" s="1"/>
  <c r="BB66" i="7"/>
  <c r="AY66" i="7"/>
  <c r="AV66" i="7"/>
  <c r="DK66" i="7" s="1"/>
  <c r="BA66" i="7"/>
  <c r="DP66" i="7" s="1"/>
  <c r="DP67" i="7" s="1"/>
  <c r="DP68" i="7" s="1"/>
  <c r="DP69" i="7" s="1"/>
  <c r="DP70" i="7" s="1"/>
  <c r="DP71" i="7" s="1"/>
  <c r="DP72" i="7" s="1"/>
  <c r="AT66" i="7"/>
  <c r="AW66" i="7"/>
  <c r="DL66" i="7" s="1"/>
  <c r="AG66" i="7"/>
  <c r="AH66" i="7"/>
  <c r="E56" i="32"/>
  <c r="CK78" i="7"/>
  <c r="DF78" i="7" s="1"/>
  <c r="AO76" i="7"/>
  <c r="EF73" i="7"/>
  <c r="EN77" i="7"/>
  <c r="AU66" i="7"/>
  <c r="DJ66" i="7" s="1"/>
  <c r="AF66" i="7"/>
  <c r="AI66" i="7" s="1"/>
  <c r="AZ66" i="7"/>
  <c r="DO66" i="7" s="1"/>
  <c r="DO67" i="7" s="1"/>
  <c r="DO68" i="7" s="1"/>
  <c r="DO69" i="7" s="1"/>
  <c r="DO70" i="7" s="1"/>
  <c r="DO71" i="7" s="1"/>
  <c r="DO72" i="7" s="1"/>
  <c r="CB69" i="7"/>
  <c r="CW69" i="7" s="1"/>
  <c r="H63" i="7"/>
  <c r="G63" i="7"/>
  <c r="BP64" i="7"/>
  <c r="BQ64" i="7" s="1"/>
  <c r="DI65" i="7"/>
  <c r="K55" i="32"/>
  <c r="M55" i="32"/>
  <c r="DQ66" i="7"/>
  <c r="AV67" i="7"/>
  <c r="AU67" i="7"/>
  <c r="DJ67" i="7" s="1"/>
  <c r="BT68" i="7"/>
  <c r="CO68" i="7" s="1"/>
  <c r="EO67" i="7"/>
  <c r="BO66" i="7"/>
  <c r="EC67" i="7"/>
  <c r="AW67" i="7"/>
  <c r="DL67" i="7" s="1"/>
  <c r="DW67" i="7"/>
  <c r="AT67" i="7"/>
  <c r="DN66" i="7"/>
  <c r="L55" i="32"/>
  <c r="F32" i="7"/>
  <c r="BM32" i="7"/>
  <c r="EM97" i="7"/>
  <c r="CL98" i="7"/>
  <c r="DG98" i="7" s="1"/>
  <c r="AD79" i="7"/>
  <c r="BA73" i="7"/>
  <c r="E63" i="32"/>
  <c r="BB73" i="7"/>
  <c r="AX73" i="7"/>
  <c r="AZ73" i="7"/>
  <c r="BC73" i="7"/>
  <c r="AY73" i="7"/>
  <c r="BY98" i="7"/>
  <c r="CT98" i="7" s="1"/>
  <c r="BX98" i="7"/>
  <c r="CS98" i="7" s="1"/>
  <c r="BW100" i="7"/>
  <c r="CR100" i="7" s="1"/>
  <c r="CF80" i="7"/>
  <c r="DA80" i="7" s="1"/>
  <c r="AN79" i="7"/>
  <c r="AM79" i="7"/>
  <c r="CE80" i="7"/>
  <c r="CZ80" i="7" s="1"/>
  <c r="CM89" i="7"/>
  <c r="DH89" i="7" s="1"/>
  <c r="BZ78" i="7"/>
  <c r="CU78" i="7" s="1"/>
  <c r="CA79" i="7"/>
  <c r="CV79" i="7" s="1"/>
  <c r="CC83" i="7"/>
  <c r="CX83" i="7" s="1"/>
  <c r="BV89" i="7"/>
  <c r="CQ89" i="7" s="1"/>
  <c r="AH72" i="7"/>
  <c r="CD81" i="7"/>
  <c r="CY81" i="7" s="1"/>
  <c r="AC73" i="7"/>
  <c r="AB73" i="7"/>
  <c r="BS74" i="7"/>
  <c r="CN74" i="7" s="1"/>
  <c r="AD73" i="7"/>
  <c r="DS73" i="7"/>
  <c r="CI74" i="7"/>
  <c r="DD74" i="7" s="1"/>
  <c r="AG72" i="7"/>
  <c r="DR72" i="7"/>
  <c r="DM72" i="7"/>
  <c r="CG77" i="7"/>
  <c r="DB77" i="7" s="1"/>
  <c r="AF72" i="7"/>
  <c r="AE72" i="7"/>
  <c r="AC79" i="7"/>
  <c r="AB79" i="7"/>
  <c r="AE78" i="7"/>
  <c r="BU83" i="7"/>
  <c r="CP83" i="7" s="1"/>
  <c r="CJ101" i="7"/>
  <c r="DE101" i="7" s="1"/>
  <c r="BD66" i="7" l="1"/>
  <c r="BE66" i="7"/>
  <c r="BF66" i="7"/>
  <c r="AN80" i="7"/>
  <c r="CK79" i="7"/>
  <c r="DF79" i="7" s="1"/>
  <c r="AO77" i="7"/>
  <c r="EN78" i="7"/>
  <c r="CB70" i="7"/>
  <c r="CW70" i="7" s="1"/>
  <c r="DI66" i="7"/>
  <c r="BP65" i="7"/>
  <c r="BQ65" i="7" s="1"/>
  <c r="H64" i="7"/>
  <c r="G64" i="7"/>
  <c r="L56" i="32"/>
  <c r="DN67" i="7"/>
  <c r="BE67" i="7"/>
  <c r="BD67" i="7"/>
  <c r="BF67" i="7"/>
  <c r="M56" i="32"/>
  <c r="DQ67" i="7"/>
  <c r="DW68" i="7"/>
  <c r="AU68" i="7"/>
  <c r="DJ68" i="7" s="1"/>
  <c r="AT68" i="7"/>
  <c r="EO68" i="7"/>
  <c r="BO67" i="7"/>
  <c r="BT69" i="7"/>
  <c r="CO69" i="7" s="1"/>
  <c r="AV68" i="7"/>
  <c r="AW68" i="7"/>
  <c r="DL68" i="7" s="1"/>
  <c r="EC68" i="7"/>
  <c r="DK67" i="7"/>
  <c r="K56" i="32"/>
  <c r="B32" i="7"/>
  <c r="P32" i="7"/>
  <c r="EM98" i="7"/>
  <c r="CL99" i="7"/>
  <c r="DG99" i="7" s="1"/>
  <c r="P73" i="7"/>
  <c r="CF81" i="7"/>
  <c r="DA81" i="7" s="1"/>
  <c r="EB74" i="7"/>
  <c r="EF74" i="7"/>
  <c r="EA74" i="7"/>
  <c r="DX74" i="7"/>
  <c r="DZ74" i="7"/>
  <c r="M74" i="7"/>
  <c r="DV74" i="7"/>
  <c r="BX99" i="7"/>
  <c r="CS99" i="7" s="1"/>
  <c r="BY99" i="7"/>
  <c r="CT99" i="7" s="1"/>
  <c r="BW101" i="7"/>
  <c r="CR101" i="7" s="1"/>
  <c r="AM80" i="7"/>
  <c r="CM90" i="7"/>
  <c r="DH90" i="7" s="1"/>
  <c r="DO73" i="7"/>
  <c r="BZ79" i="7"/>
  <c r="CU79" i="7" s="1"/>
  <c r="CA80" i="7"/>
  <c r="CV80" i="7" s="1"/>
  <c r="CC84" i="7"/>
  <c r="CX84" i="7" s="1"/>
  <c r="BV90" i="7"/>
  <c r="CQ90" i="7" s="1"/>
  <c r="CG78" i="7"/>
  <c r="DB78" i="7" s="1"/>
  <c r="AH73" i="7"/>
  <c r="BS75" i="7"/>
  <c r="CN75" i="7" s="1"/>
  <c r="CD82" i="7"/>
  <c r="CY82" i="7" s="1"/>
  <c r="DR73" i="7"/>
  <c r="DP73" i="7"/>
  <c r="DM73" i="7"/>
  <c r="AG73" i="7"/>
  <c r="AI72" i="7"/>
  <c r="CI75" i="7"/>
  <c r="DD75" i="7" s="1"/>
  <c r="DS74" i="7"/>
  <c r="AF73" i="7"/>
  <c r="AE73" i="7"/>
  <c r="AE79" i="7"/>
  <c r="CE81" i="7"/>
  <c r="CZ81" i="7" s="1"/>
  <c r="AD80" i="7"/>
  <c r="BU84" i="7"/>
  <c r="CP84" i="7" s="1"/>
  <c r="CJ102" i="7"/>
  <c r="DE102" i="7" s="1"/>
  <c r="CK80" i="7" l="1"/>
  <c r="DF80" i="7" s="1"/>
  <c r="AO78" i="7"/>
  <c r="EN79" i="7"/>
  <c r="AM81" i="7"/>
  <c r="AN81" i="7"/>
  <c r="CB71" i="7"/>
  <c r="CW71" i="7" s="1"/>
  <c r="M57" i="32"/>
  <c r="DQ68" i="7"/>
  <c r="BF68" i="7"/>
  <c r="BE68" i="7"/>
  <c r="BD68" i="7"/>
  <c r="L57" i="32"/>
  <c r="DN68" i="7"/>
  <c r="H65" i="7"/>
  <c r="G65" i="7"/>
  <c r="K57" i="32"/>
  <c r="DK68" i="7"/>
  <c r="BO68" i="7"/>
  <c r="EO69" i="7"/>
  <c r="AU69" i="7"/>
  <c r="DJ69" i="7" s="1"/>
  <c r="AT69" i="7"/>
  <c r="AW69" i="7"/>
  <c r="DL69" i="7" s="1"/>
  <c r="AV69" i="7"/>
  <c r="DW69" i="7"/>
  <c r="BT70" i="7"/>
  <c r="CO70" i="7" s="1"/>
  <c r="EC69" i="7"/>
  <c r="BP66" i="7"/>
  <c r="BQ66" i="7" s="1"/>
  <c r="DI67" i="7"/>
  <c r="N33" i="7"/>
  <c r="D22" i="32"/>
  <c r="CL100" i="7"/>
  <c r="DG100" i="7" s="1"/>
  <c r="EM99" i="7"/>
  <c r="CF82" i="7"/>
  <c r="DA82" i="7" s="1"/>
  <c r="EB75" i="7"/>
  <c r="EF75" i="7"/>
  <c r="DX75" i="7"/>
  <c r="AY74" i="7"/>
  <c r="E64" i="32"/>
  <c r="BB74" i="7"/>
  <c r="AX74" i="7"/>
  <c r="AZ74" i="7"/>
  <c r="BA74" i="7"/>
  <c r="BC74" i="7"/>
  <c r="M75" i="7"/>
  <c r="DV75" i="7"/>
  <c r="BY100" i="7"/>
  <c r="CT100" i="7" s="1"/>
  <c r="BX100" i="7"/>
  <c r="CS100" i="7" s="1"/>
  <c r="BW102" i="7"/>
  <c r="CR102" i="7" s="1"/>
  <c r="CM91" i="7"/>
  <c r="DH91" i="7" s="1"/>
  <c r="BZ80" i="7"/>
  <c r="CU80" i="7" s="1"/>
  <c r="CA81" i="7"/>
  <c r="CV81" i="7" s="1"/>
  <c r="CC85" i="7"/>
  <c r="CX85" i="7" s="1"/>
  <c r="BV91" i="7"/>
  <c r="CQ91" i="7" s="1"/>
  <c r="BS76" i="7"/>
  <c r="CN76" i="7" s="1"/>
  <c r="DS75" i="7"/>
  <c r="CH75" i="7"/>
  <c r="DC75" i="7" s="1"/>
  <c r="AD74" i="7"/>
  <c r="AB74" i="7"/>
  <c r="P74" i="7" s="1"/>
  <c r="AC74" i="7"/>
  <c r="CG79" i="7"/>
  <c r="DB79" i="7" s="1"/>
  <c r="AI73" i="7"/>
  <c r="CD83" i="7"/>
  <c r="CY83" i="7" s="1"/>
  <c r="AC80" i="7"/>
  <c r="AB80" i="7"/>
  <c r="CE82" i="7"/>
  <c r="CZ82" i="7" s="1"/>
  <c r="AB81" i="7"/>
  <c r="AD81" i="7"/>
  <c r="BU85" i="7"/>
  <c r="CP85" i="7" s="1"/>
  <c r="CJ103" i="7"/>
  <c r="DE103" i="7" s="1"/>
  <c r="AM82" i="7" l="1"/>
  <c r="AN82" i="7"/>
  <c r="EN80" i="7"/>
  <c r="AO79" i="7"/>
  <c r="EA75" i="7"/>
  <c r="CK81" i="7"/>
  <c r="DF81" i="7" s="1"/>
  <c r="CB72" i="7"/>
  <c r="CW72" i="7" s="1"/>
  <c r="EC70" i="7"/>
  <c r="BO69" i="7"/>
  <c r="DW70" i="7"/>
  <c r="AW70" i="7"/>
  <c r="DL70" i="7" s="1"/>
  <c r="AT70" i="7"/>
  <c r="BT71" i="7"/>
  <c r="CO71" i="7" s="1"/>
  <c r="AV70" i="7"/>
  <c r="AU70" i="7"/>
  <c r="DJ70" i="7" s="1"/>
  <c r="EO70" i="7"/>
  <c r="BF69" i="7"/>
  <c r="BD69" i="7"/>
  <c r="BE69" i="7"/>
  <c r="DK69" i="7"/>
  <c r="K58" i="32"/>
  <c r="DN69" i="7"/>
  <c r="L58" i="32"/>
  <c r="BP67" i="7"/>
  <c r="BQ67" i="7" s="1"/>
  <c r="DI68" i="7"/>
  <c r="M58" i="32"/>
  <c r="DQ69" i="7"/>
  <c r="H66" i="7"/>
  <c r="G66" i="7"/>
  <c r="AR33" i="7"/>
  <c r="BI33" i="7" s="1"/>
  <c r="AP33" i="7"/>
  <c r="BG33" i="7" s="1"/>
  <c r="F22" i="32"/>
  <c r="G22" i="32" s="1"/>
  <c r="P22" i="32" s="1"/>
  <c r="Q22" i="32" s="1"/>
  <c r="AQ33" i="7"/>
  <c r="BH33" i="7" s="1"/>
  <c r="AJ33" i="7"/>
  <c r="AK33" i="7"/>
  <c r="AL33" i="7"/>
  <c r="EM100" i="7"/>
  <c r="CL101" i="7"/>
  <c r="DG101" i="7" s="1"/>
  <c r="DZ75" i="7"/>
  <c r="EB76" i="7"/>
  <c r="DX76" i="7"/>
  <c r="AX75" i="7"/>
  <c r="E65" i="32"/>
  <c r="BC75" i="7"/>
  <c r="BA75" i="7"/>
  <c r="AZ75" i="7"/>
  <c r="AY75" i="7"/>
  <c r="BB75" i="7"/>
  <c r="DV76" i="7"/>
  <c r="BX101" i="7"/>
  <c r="CS101" i="7" s="1"/>
  <c r="BY101" i="7"/>
  <c r="CT101" i="7" s="1"/>
  <c r="BW103" i="7"/>
  <c r="CR103" i="7" s="1"/>
  <c r="M76" i="7"/>
  <c r="E66" i="32" s="1"/>
  <c r="CM92" i="7"/>
  <c r="DH92" i="7" s="1"/>
  <c r="DO74" i="7"/>
  <c r="BZ81" i="7"/>
  <c r="CU81" i="7" s="1"/>
  <c r="CA82" i="7"/>
  <c r="CV82" i="7" s="1"/>
  <c r="CC86" i="7"/>
  <c r="CX86" i="7" s="1"/>
  <c r="BV92" i="7"/>
  <c r="CQ92" i="7" s="1"/>
  <c r="CD84" i="7"/>
  <c r="CY84" i="7" s="1"/>
  <c r="AG74" i="7"/>
  <c r="AH74" i="7"/>
  <c r="DP74" i="7"/>
  <c r="DR74" i="7"/>
  <c r="DM74" i="7"/>
  <c r="AE74" i="7"/>
  <c r="AF74" i="7"/>
  <c r="BN75" i="7"/>
  <c r="CH76" i="7"/>
  <c r="DC76" i="7" s="1"/>
  <c r="CI76" i="7"/>
  <c r="DD76" i="7" s="1"/>
  <c r="AC75" i="7"/>
  <c r="AB75" i="7"/>
  <c r="P75" i="7" s="1"/>
  <c r="AD75" i="7"/>
  <c r="CG80" i="7"/>
  <c r="DB80" i="7" s="1"/>
  <c r="AC81" i="7"/>
  <c r="AE80" i="7"/>
  <c r="CF83" i="7"/>
  <c r="DA83" i="7" s="1"/>
  <c r="CJ104" i="7"/>
  <c r="DE104" i="7" s="1"/>
  <c r="EF76" i="7" l="1"/>
  <c r="AN83" i="7"/>
  <c r="EA76" i="7"/>
  <c r="CK82" i="7"/>
  <c r="DF82" i="7" s="1"/>
  <c r="EN81" i="7"/>
  <c r="AO80" i="7"/>
  <c r="CB73" i="7"/>
  <c r="CW73" i="7" s="1"/>
  <c r="M59" i="32"/>
  <c r="DQ70" i="7"/>
  <c r="L59" i="32"/>
  <c r="DN70" i="7"/>
  <c r="BP68" i="7"/>
  <c r="BQ68" i="7" s="1"/>
  <c r="DI69" i="7"/>
  <c r="AW71" i="7"/>
  <c r="DL71" i="7" s="1"/>
  <c r="DW71" i="7"/>
  <c r="BT72" i="7"/>
  <c r="CO72" i="7" s="1"/>
  <c r="EC71" i="7"/>
  <c r="AT71" i="7"/>
  <c r="AU71" i="7"/>
  <c r="DJ71" i="7" s="1"/>
  <c r="AV71" i="7"/>
  <c r="BO70" i="7"/>
  <c r="EO71" i="7"/>
  <c r="G67" i="7"/>
  <c r="H67" i="7"/>
  <c r="K59" i="32"/>
  <c r="DK70" i="7"/>
  <c r="BD70" i="7"/>
  <c r="BE70" i="7"/>
  <c r="BF70" i="7"/>
  <c r="E33" i="7"/>
  <c r="BL33" i="7"/>
  <c r="D33" i="7"/>
  <c r="BK33" i="7"/>
  <c r="C33" i="7"/>
  <c r="BJ33" i="7"/>
  <c r="CL102" i="7"/>
  <c r="DG102" i="7" s="1"/>
  <c r="EM101" i="7"/>
  <c r="DZ76" i="7"/>
  <c r="BY102" i="7"/>
  <c r="CT102" i="7" s="1"/>
  <c r="BX102" i="7"/>
  <c r="CS102" i="7" s="1"/>
  <c r="BW104" i="7"/>
  <c r="CR104" i="7" s="1"/>
  <c r="AY76" i="7"/>
  <c r="BC76" i="7"/>
  <c r="AZ76" i="7"/>
  <c r="BA76" i="7"/>
  <c r="BB76" i="7"/>
  <c r="AX76" i="7"/>
  <c r="CM93" i="7"/>
  <c r="DH93" i="7" s="1"/>
  <c r="DO75" i="7"/>
  <c r="CA83" i="7"/>
  <c r="CV83" i="7" s="1"/>
  <c r="BZ82" i="7"/>
  <c r="CU82" i="7" s="1"/>
  <c r="CC87" i="7"/>
  <c r="CX87" i="7" s="1"/>
  <c r="BV93" i="7"/>
  <c r="CQ93" i="7" s="1"/>
  <c r="AG75" i="7"/>
  <c r="CG81" i="7"/>
  <c r="DB81" i="7" s="1"/>
  <c r="BN76" i="7"/>
  <c r="DR75" i="7"/>
  <c r="DM75" i="7"/>
  <c r="DP75" i="7"/>
  <c r="AH75" i="7"/>
  <c r="CI77" i="7"/>
  <c r="DD77" i="7" s="1"/>
  <c r="DS76" i="7"/>
  <c r="CD85" i="7"/>
  <c r="CY85" i="7" s="1"/>
  <c r="AE75" i="7"/>
  <c r="AF75" i="7"/>
  <c r="AI74" i="7"/>
  <c r="AE81" i="7"/>
  <c r="CE83" i="7"/>
  <c r="CZ83" i="7" s="1"/>
  <c r="CF84" i="7"/>
  <c r="DA84" i="7" s="1"/>
  <c r="CJ105" i="7"/>
  <c r="DE105" i="7" s="1"/>
  <c r="CK83" i="7" l="1"/>
  <c r="DF83" i="7" s="1"/>
  <c r="AN84" i="7"/>
  <c r="AO81" i="7"/>
  <c r="EN82" i="7"/>
  <c r="CB74" i="7"/>
  <c r="CW74" i="7" s="1"/>
  <c r="DN71" i="7"/>
  <c r="L60" i="32"/>
  <c r="DK71" i="7"/>
  <c r="K60" i="32"/>
  <c r="BE71" i="7"/>
  <c r="BD71" i="7"/>
  <c r="BF71" i="7"/>
  <c r="BP69" i="7"/>
  <c r="BQ69" i="7" s="1"/>
  <c r="DI70" i="7"/>
  <c r="M60" i="32"/>
  <c r="DQ71" i="7"/>
  <c r="AW72" i="7"/>
  <c r="DL72" i="7" s="1"/>
  <c r="BO71" i="7"/>
  <c r="BT73" i="7"/>
  <c r="CO73" i="7" s="1"/>
  <c r="EO72" i="7"/>
  <c r="AU72" i="7"/>
  <c r="DJ72" i="7" s="1"/>
  <c r="AV72" i="7"/>
  <c r="DW72" i="7"/>
  <c r="EC72" i="7"/>
  <c r="AT72" i="7"/>
  <c r="H68" i="7"/>
  <c r="G68" i="7"/>
  <c r="BM33" i="7"/>
  <c r="B33" i="7" s="1"/>
  <c r="F33" i="7"/>
  <c r="EM102" i="7"/>
  <c r="CL103" i="7"/>
  <c r="DG103" i="7" s="1"/>
  <c r="BX103" i="7"/>
  <c r="CS103" i="7" s="1"/>
  <c r="BY103" i="7"/>
  <c r="CT103" i="7" s="1"/>
  <c r="BW105" i="7"/>
  <c r="CR105" i="7" s="1"/>
  <c r="AM83" i="7"/>
  <c r="CM94" i="7"/>
  <c r="DH94" i="7" s="1"/>
  <c r="BZ83" i="7"/>
  <c r="CU83" i="7" s="1"/>
  <c r="CC88" i="7"/>
  <c r="CX88" i="7" s="1"/>
  <c r="BV94" i="7"/>
  <c r="CQ94" i="7" s="1"/>
  <c r="AI75" i="7"/>
  <c r="DS77" i="7"/>
  <c r="P77" i="7" s="1"/>
  <c r="CI78" i="7"/>
  <c r="DD78" i="7" s="1"/>
  <c r="CH77" i="7"/>
  <c r="DC77" i="7" s="1"/>
  <c r="BS77" i="7"/>
  <c r="CN77" i="7" s="1"/>
  <c r="AC76" i="7"/>
  <c r="AD76" i="7"/>
  <c r="AB76" i="7"/>
  <c r="P76" i="7" s="1"/>
  <c r="CG82" i="7"/>
  <c r="DB82" i="7" s="1"/>
  <c r="CD86" i="7"/>
  <c r="CY86" i="7" s="1"/>
  <c r="CE84" i="7"/>
  <c r="CZ84" i="7" s="1"/>
  <c r="AD83" i="7"/>
  <c r="CA84" i="7"/>
  <c r="CV84" i="7" s="1"/>
  <c r="AC83" i="7"/>
  <c r="AB83" i="7"/>
  <c r="CF85" i="7"/>
  <c r="DA85" i="7" s="1"/>
  <c r="CJ106" i="7"/>
  <c r="DE106" i="7" s="1"/>
  <c r="AO82" i="7" l="1"/>
  <c r="AN85" i="7"/>
  <c r="EN83" i="7"/>
  <c r="CK84" i="7"/>
  <c r="DF84" i="7" s="1"/>
  <c r="CB75" i="7"/>
  <c r="CW75" i="7" s="1"/>
  <c r="BF72" i="7"/>
  <c r="BE72" i="7"/>
  <c r="BD72" i="7"/>
  <c r="H69" i="7"/>
  <c r="G69" i="7"/>
  <c r="M61" i="32"/>
  <c r="DQ72" i="7"/>
  <c r="DK72" i="7"/>
  <c r="K61" i="32"/>
  <c r="AT73" i="7"/>
  <c r="AV73" i="7"/>
  <c r="BT74" i="7"/>
  <c r="CO74" i="7" s="1"/>
  <c r="EC73" i="7"/>
  <c r="EO73" i="7"/>
  <c r="AW73" i="7"/>
  <c r="DL73" i="7" s="1"/>
  <c r="AU73" i="7"/>
  <c r="DJ73" i="7" s="1"/>
  <c r="DW73" i="7"/>
  <c r="BO72" i="7"/>
  <c r="DI71" i="7"/>
  <c r="BP70" i="7"/>
  <c r="BQ70" i="7" s="1"/>
  <c r="L61" i="32"/>
  <c r="DN72" i="7"/>
  <c r="P33" i="7"/>
  <c r="N34" i="7" s="1"/>
  <c r="CL104" i="7"/>
  <c r="DG104" i="7" s="1"/>
  <c r="EM103" i="7"/>
  <c r="EB77" i="7"/>
  <c r="EF77" i="7"/>
  <c r="EA77" i="7"/>
  <c r="DX77" i="7"/>
  <c r="DZ77" i="7"/>
  <c r="M77" i="7"/>
  <c r="DV77" i="7"/>
  <c r="BY104" i="7"/>
  <c r="CT104" i="7" s="1"/>
  <c r="BX104" i="7"/>
  <c r="CS104" i="7" s="1"/>
  <c r="BW106" i="7"/>
  <c r="CR106" i="7" s="1"/>
  <c r="AM84" i="7"/>
  <c r="CM95" i="7"/>
  <c r="DH95" i="7" s="1"/>
  <c r="DO76" i="7"/>
  <c r="BZ84" i="7"/>
  <c r="CU84" i="7" s="1"/>
  <c r="CC89" i="7"/>
  <c r="CX89" i="7" s="1"/>
  <c r="AH76" i="7"/>
  <c r="AG76" i="7"/>
  <c r="CH78" i="7"/>
  <c r="DC78" i="7" s="1"/>
  <c r="BN77" i="7"/>
  <c r="CD87" i="7"/>
  <c r="CY87" i="7" s="1"/>
  <c r="CI79" i="7"/>
  <c r="DD79" i="7" s="1"/>
  <c r="DS78" i="7"/>
  <c r="P78" i="7" s="1"/>
  <c r="AF76" i="7"/>
  <c r="AE76" i="7"/>
  <c r="DR76" i="7"/>
  <c r="DP76" i="7"/>
  <c r="DM76" i="7"/>
  <c r="CG83" i="7"/>
  <c r="DB83" i="7" s="1"/>
  <c r="BS78" i="7"/>
  <c r="CN78" i="7" s="1"/>
  <c r="AD84" i="7"/>
  <c r="AE83" i="7"/>
  <c r="CA85" i="7"/>
  <c r="CV85" i="7" s="1"/>
  <c r="CE85" i="7"/>
  <c r="CZ85" i="7" s="1"/>
  <c r="CF86" i="7"/>
  <c r="DA86" i="7" s="1"/>
  <c r="CJ107" i="7"/>
  <c r="DE107" i="7" s="1"/>
  <c r="EN84" i="7" l="1"/>
  <c r="AN86" i="7"/>
  <c r="CK85" i="7"/>
  <c r="DF85" i="7" s="1"/>
  <c r="AO83" i="7"/>
  <c r="AM85" i="7"/>
  <c r="CB76" i="7"/>
  <c r="CW76" i="7" s="1"/>
  <c r="G70" i="7"/>
  <c r="H70" i="7"/>
  <c r="AV74" i="7"/>
  <c r="DW74" i="7"/>
  <c r="EC74" i="7"/>
  <c r="AT74" i="7"/>
  <c r="BO73" i="7"/>
  <c r="AW74" i="7"/>
  <c r="BT75" i="7"/>
  <c r="CO75" i="7" s="1"/>
  <c r="EO74" i="7"/>
  <c r="AU74" i="7"/>
  <c r="DJ74" i="7" s="1"/>
  <c r="DK73" i="7"/>
  <c r="K62" i="32"/>
  <c r="DI72" i="7"/>
  <c r="BP71" i="7"/>
  <c r="BQ71" i="7" s="1"/>
  <c r="DL74" i="7"/>
  <c r="BE73" i="7"/>
  <c r="M62" i="32"/>
  <c r="DQ73" i="7"/>
  <c r="L62" i="32"/>
  <c r="DN73" i="7"/>
  <c r="BD73" i="7"/>
  <c r="BF73" i="7"/>
  <c r="D23" i="32"/>
  <c r="AR34" i="7"/>
  <c r="BI34" i="7" s="1"/>
  <c r="AP34" i="7"/>
  <c r="BG34" i="7" s="1"/>
  <c r="F23" i="32"/>
  <c r="AQ34" i="7"/>
  <c r="BH34" i="7" s="1"/>
  <c r="AK34" i="7"/>
  <c r="AJ34" i="7"/>
  <c r="AL34" i="7"/>
  <c r="EM104" i="7"/>
  <c r="CL105" i="7"/>
  <c r="EB78" i="7"/>
  <c r="EF78" i="7"/>
  <c r="EA78" i="7"/>
  <c r="DX78" i="7"/>
  <c r="DZ78" i="7"/>
  <c r="BA77" i="7"/>
  <c r="DP77" i="7" s="1"/>
  <c r="E67" i="32"/>
  <c r="BC77" i="7"/>
  <c r="DR77" i="7" s="1"/>
  <c r="BB77" i="7"/>
  <c r="AX77" i="7"/>
  <c r="DM77" i="7" s="1"/>
  <c r="AZ77" i="7"/>
  <c r="DO77" i="7" s="1"/>
  <c r="M78" i="7"/>
  <c r="DV78" i="7"/>
  <c r="AY77" i="7"/>
  <c r="BX105" i="7"/>
  <c r="CS105" i="7" s="1"/>
  <c r="BY105" i="7"/>
  <c r="CT105" i="7" s="1"/>
  <c r="BW107" i="7"/>
  <c r="CR107" i="7" s="1"/>
  <c r="CM96" i="7"/>
  <c r="DH96" i="7" s="1"/>
  <c r="BZ85" i="7"/>
  <c r="CU85" i="7" s="1"/>
  <c r="CC90" i="7"/>
  <c r="CX90" i="7" s="1"/>
  <c r="AI76" i="7"/>
  <c r="BS79" i="7"/>
  <c r="CN79" i="7" s="1"/>
  <c r="AF77" i="7"/>
  <c r="AG77" i="7"/>
  <c r="AH77" i="7"/>
  <c r="CI80" i="7"/>
  <c r="DD80" i="7" s="1"/>
  <c r="DS79" i="7"/>
  <c r="P79" i="7" s="1"/>
  <c r="CG84" i="7"/>
  <c r="DB84" i="7" s="1"/>
  <c r="CD88" i="7"/>
  <c r="CY88" i="7" s="1"/>
  <c r="CH79" i="7"/>
  <c r="DC79" i="7" s="1"/>
  <c r="BN78" i="7"/>
  <c r="AC84" i="7"/>
  <c r="AB84" i="7"/>
  <c r="BU86" i="7"/>
  <c r="CP86" i="7" s="1"/>
  <c r="CA86" i="7"/>
  <c r="CV86" i="7" s="1"/>
  <c r="CE86" i="7"/>
  <c r="CZ86" i="7" s="1"/>
  <c r="CF87" i="7"/>
  <c r="DA87" i="7" s="1"/>
  <c r="CJ108" i="7"/>
  <c r="DE108" i="7" s="1"/>
  <c r="EM105" i="7" l="1"/>
  <c r="DG105" i="7"/>
  <c r="AO84" i="7"/>
  <c r="EN85" i="7"/>
  <c r="AM86" i="7"/>
  <c r="AN87" i="7"/>
  <c r="CK86" i="7"/>
  <c r="DF86" i="7" s="1"/>
  <c r="CB77" i="7"/>
  <c r="CW77" i="7" s="1"/>
  <c r="DQ74" i="7"/>
  <c r="M63" i="32"/>
  <c r="H71" i="7"/>
  <c r="G71" i="7"/>
  <c r="BP72" i="7"/>
  <c r="BQ72" i="7" s="1"/>
  <c r="DI73" i="7"/>
  <c r="BE74" i="7"/>
  <c r="BD74" i="7"/>
  <c r="BF74" i="7"/>
  <c r="L63" i="32"/>
  <c r="DN74" i="7"/>
  <c r="AV75" i="7"/>
  <c r="BT76" i="7"/>
  <c r="CO76" i="7" s="1"/>
  <c r="AT75" i="7"/>
  <c r="DW75" i="7"/>
  <c r="AU75" i="7"/>
  <c r="DJ75" i="7" s="1"/>
  <c r="BO74" i="7"/>
  <c r="AW75" i="7"/>
  <c r="DL75" i="7" s="1"/>
  <c r="EO75" i="7"/>
  <c r="EC75" i="7"/>
  <c r="DK74" i="7"/>
  <c r="K63" i="32"/>
  <c r="G23" i="32"/>
  <c r="P23" i="32" s="1"/>
  <c r="Q23" i="32" s="1"/>
  <c r="E34" i="7"/>
  <c r="BL34" i="7"/>
  <c r="C34" i="7"/>
  <c r="BJ34" i="7"/>
  <c r="BK34" i="7"/>
  <c r="D34" i="7"/>
  <c r="EB79" i="7"/>
  <c r="EF79" i="7"/>
  <c r="EA79" i="7"/>
  <c r="DZ79" i="7"/>
  <c r="DX79" i="7"/>
  <c r="E68" i="32"/>
  <c r="BC78" i="7"/>
  <c r="DR78" i="7" s="1"/>
  <c r="AX78" i="7"/>
  <c r="DM78" i="7" s="1"/>
  <c r="BB78" i="7"/>
  <c r="AY78" i="7"/>
  <c r="BA78" i="7"/>
  <c r="DP78" i="7" s="1"/>
  <c r="AZ78" i="7"/>
  <c r="DO78" i="7" s="1"/>
  <c r="M79" i="7"/>
  <c r="DV79" i="7"/>
  <c r="BY106" i="7"/>
  <c r="CT106" i="7" s="1"/>
  <c r="BX106" i="7"/>
  <c r="CS106" i="7" s="1"/>
  <c r="BW108" i="7"/>
  <c r="CR108" i="7" s="1"/>
  <c r="CM97" i="7"/>
  <c r="DH97" i="7" s="1"/>
  <c r="BZ86" i="7"/>
  <c r="CU86" i="7" s="1"/>
  <c r="CC91" i="7"/>
  <c r="CX91" i="7" s="1"/>
  <c r="CD89" i="7"/>
  <c r="CY89" i="7" s="1"/>
  <c r="DS80" i="7"/>
  <c r="P80" i="7" s="1"/>
  <c r="CI81" i="7"/>
  <c r="DD81" i="7" s="1"/>
  <c r="CH80" i="7"/>
  <c r="DC80" i="7" s="1"/>
  <c r="BN79" i="7"/>
  <c r="AH78" i="7"/>
  <c r="AG78" i="7"/>
  <c r="AF78" i="7"/>
  <c r="AI77" i="7"/>
  <c r="CG85" i="7"/>
  <c r="DB85" i="7" s="1"/>
  <c r="BS80" i="7"/>
  <c r="CN80" i="7" s="1"/>
  <c r="AE84" i="7"/>
  <c r="CE87" i="7"/>
  <c r="CZ87" i="7" s="1"/>
  <c r="CJ109" i="7"/>
  <c r="DE109" i="7" s="1"/>
  <c r="EN86" i="7" l="1"/>
  <c r="AO85" i="7"/>
  <c r="CK87" i="7"/>
  <c r="DF87" i="7" s="1"/>
  <c r="CB78" i="7"/>
  <c r="CW78" i="7" s="1"/>
  <c r="L64" i="32"/>
  <c r="DN75" i="7"/>
  <c r="BD75" i="7"/>
  <c r="BE75" i="7"/>
  <c r="BF75" i="7"/>
  <c r="BP73" i="7"/>
  <c r="BQ73" i="7" s="1"/>
  <c r="DI74" i="7"/>
  <c r="K64" i="32"/>
  <c r="DK75" i="7"/>
  <c r="AV76" i="7"/>
  <c r="DW76" i="7"/>
  <c r="AU76" i="7"/>
  <c r="DJ76" i="7" s="1"/>
  <c r="BO75" i="7"/>
  <c r="AW76" i="7"/>
  <c r="DL76" i="7" s="1"/>
  <c r="EO76" i="7"/>
  <c r="AT76" i="7"/>
  <c r="BT77" i="7"/>
  <c r="CO77" i="7" s="1"/>
  <c r="EC76" i="7"/>
  <c r="H72" i="7"/>
  <c r="G72" i="7"/>
  <c r="M64" i="32"/>
  <c r="DQ75" i="7"/>
  <c r="F34" i="7"/>
  <c r="BM34" i="7"/>
  <c r="EB80" i="7"/>
  <c r="EF80" i="7"/>
  <c r="EA80" i="7"/>
  <c r="DX80" i="7"/>
  <c r="DZ80" i="7"/>
  <c r="BA79" i="7"/>
  <c r="DP79" i="7" s="1"/>
  <c r="E69" i="32"/>
  <c r="AY79" i="7"/>
  <c r="BB79" i="7"/>
  <c r="AX79" i="7"/>
  <c r="DM79" i="7" s="1"/>
  <c r="BC79" i="7"/>
  <c r="DR79" i="7" s="1"/>
  <c r="AZ79" i="7"/>
  <c r="DO79" i="7" s="1"/>
  <c r="M80" i="7"/>
  <c r="DV80" i="7"/>
  <c r="BX107" i="7"/>
  <c r="CS107" i="7" s="1"/>
  <c r="BY107" i="7"/>
  <c r="CT107" i="7" s="1"/>
  <c r="BW109" i="7"/>
  <c r="CR109" i="7" s="1"/>
  <c r="CE88" i="7"/>
  <c r="CZ88" i="7" s="1"/>
  <c r="AM87" i="7"/>
  <c r="CM98" i="7"/>
  <c r="DH98" i="7" s="1"/>
  <c r="BZ87" i="7"/>
  <c r="CU87" i="7" s="1"/>
  <c r="CC92" i="7"/>
  <c r="CX92" i="7" s="1"/>
  <c r="AI78" i="7"/>
  <c r="BS81" i="7"/>
  <c r="CN81" i="7" s="1"/>
  <c r="CD90" i="7"/>
  <c r="CY90" i="7" s="1"/>
  <c r="AF79" i="7"/>
  <c r="AH79" i="7"/>
  <c r="AG79" i="7"/>
  <c r="BN80" i="7"/>
  <c r="CH81" i="7"/>
  <c r="DC81" i="7" s="1"/>
  <c r="DS81" i="7"/>
  <c r="P81" i="7" s="1"/>
  <c r="CI82" i="7"/>
  <c r="DD82" i="7" s="1"/>
  <c r="CG86" i="7"/>
  <c r="DB86" i="7" s="1"/>
  <c r="AD85" i="7"/>
  <c r="AC85" i="7"/>
  <c r="AB85" i="7"/>
  <c r="BU87" i="7"/>
  <c r="CP87" i="7" s="1"/>
  <c r="CA87" i="7"/>
  <c r="CV87" i="7" s="1"/>
  <c r="CJ110" i="7"/>
  <c r="DE110" i="7" s="1"/>
  <c r="AO86" i="7" l="1"/>
  <c r="EN87" i="7"/>
  <c r="AM88" i="7"/>
  <c r="CK88" i="7"/>
  <c r="DF88" i="7" s="1"/>
  <c r="CB79" i="7"/>
  <c r="CW79" i="7" s="1"/>
  <c r="AW77" i="7"/>
  <c r="DL77" i="7" s="1"/>
  <c r="AU77" i="7"/>
  <c r="DJ77" i="7" s="1"/>
  <c r="AV77" i="7"/>
  <c r="AT77" i="7"/>
  <c r="BO76" i="7"/>
  <c r="EO77" i="7"/>
  <c r="BT78" i="7"/>
  <c r="CO78" i="7" s="1"/>
  <c r="EC77" i="7"/>
  <c r="DW77" i="7"/>
  <c r="K65" i="32"/>
  <c r="DK76" i="7"/>
  <c r="G73" i="7"/>
  <c r="H73" i="7"/>
  <c r="BD76" i="7"/>
  <c r="BE76" i="7"/>
  <c r="BF76" i="7"/>
  <c r="DN76" i="7"/>
  <c r="L65" i="32"/>
  <c r="M65" i="32"/>
  <c r="DQ76" i="7"/>
  <c r="BP74" i="7"/>
  <c r="BQ74" i="7" s="1"/>
  <c r="DI75" i="7"/>
  <c r="B34" i="7"/>
  <c r="P34" i="7"/>
  <c r="EF81" i="7"/>
  <c r="EB81" i="7"/>
  <c r="EA81" i="7"/>
  <c r="DX81" i="7"/>
  <c r="DZ81" i="7"/>
  <c r="E70" i="32"/>
  <c r="AZ80" i="7"/>
  <c r="DO80" i="7" s="1"/>
  <c r="BC80" i="7"/>
  <c r="DR80" i="7" s="1"/>
  <c r="AX80" i="7"/>
  <c r="DM80" i="7" s="1"/>
  <c r="BA80" i="7"/>
  <c r="DP80" i="7" s="1"/>
  <c r="AY80" i="7"/>
  <c r="M81" i="7"/>
  <c r="DV81" i="7"/>
  <c r="BB80" i="7"/>
  <c r="BY108" i="7"/>
  <c r="CT108" i="7" s="1"/>
  <c r="BX108" i="7"/>
  <c r="CS108" i="7" s="1"/>
  <c r="BW110" i="7"/>
  <c r="CR110" i="7" s="1"/>
  <c r="CM99" i="7"/>
  <c r="DH99" i="7" s="1"/>
  <c r="BZ88" i="7"/>
  <c r="CU88" i="7" s="1"/>
  <c r="CC93" i="7"/>
  <c r="CX93" i="7" s="1"/>
  <c r="AI79" i="7"/>
  <c r="DS82" i="7"/>
  <c r="CI83" i="7"/>
  <c r="DD83" i="7" s="1"/>
  <c r="AH80" i="7"/>
  <c r="AG80" i="7"/>
  <c r="AF80" i="7"/>
  <c r="CG87" i="7"/>
  <c r="DB87" i="7" s="1"/>
  <c r="BN81" i="7"/>
  <c r="CH82" i="7"/>
  <c r="DC82" i="7" s="1"/>
  <c r="CD91" i="7"/>
  <c r="CY91" i="7" s="1"/>
  <c r="BS82" i="7"/>
  <c r="CN82" i="7" s="1"/>
  <c r="AE85" i="7"/>
  <c r="CF88" i="7"/>
  <c r="DA88" i="7" s="1"/>
  <c r="CE89" i="7"/>
  <c r="CZ89" i="7" s="1"/>
  <c r="CJ111" i="7"/>
  <c r="DE111" i="7" s="1"/>
  <c r="AO87" i="7" l="1"/>
  <c r="CK89" i="7"/>
  <c r="DF89" i="7" s="1"/>
  <c r="EN88" i="7"/>
  <c r="AN88" i="7"/>
  <c r="CB80" i="7"/>
  <c r="CW80" i="7" s="1"/>
  <c r="BD77" i="7"/>
  <c r="BE77" i="7"/>
  <c r="BF77" i="7"/>
  <c r="DI76" i="7"/>
  <c r="BP75" i="7"/>
  <c r="BQ75" i="7" s="1"/>
  <c r="K66" i="32"/>
  <c r="DK77" i="7"/>
  <c r="AT78" i="7"/>
  <c r="AV78" i="7"/>
  <c r="AW78" i="7"/>
  <c r="DL78" i="7" s="1"/>
  <c r="AU78" i="7"/>
  <c r="DJ78" i="7" s="1"/>
  <c r="BO77" i="7"/>
  <c r="BT79" i="7"/>
  <c r="CO79" i="7" s="1"/>
  <c r="EO78" i="7"/>
  <c r="EC78" i="7"/>
  <c r="DW78" i="7"/>
  <c r="H74" i="7"/>
  <c r="G74" i="7"/>
  <c r="L66" i="32"/>
  <c r="DN77" i="7"/>
  <c r="M66" i="32"/>
  <c r="DQ77" i="7"/>
  <c r="N35" i="7"/>
  <c r="D24" i="32"/>
  <c r="EB82" i="7"/>
  <c r="EF82" i="7"/>
  <c r="EA82" i="7"/>
  <c r="DX82" i="7"/>
  <c r="DZ82" i="7"/>
  <c r="AX81" i="7"/>
  <c r="DM81" i="7" s="1"/>
  <c r="E71" i="32"/>
  <c r="AZ81" i="7"/>
  <c r="DO81" i="7" s="1"/>
  <c r="BC81" i="7"/>
  <c r="DR81" i="7" s="1"/>
  <c r="AY81" i="7"/>
  <c r="BA81" i="7"/>
  <c r="DP81" i="7" s="1"/>
  <c r="BB81" i="7"/>
  <c r="M82" i="7"/>
  <c r="DV82" i="7"/>
  <c r="BX109" i="7"/>
  <c r="CS109" i="7" s="1"/>
  <c r="BY109" i="7"/>
  <c r="CT109" i="7" s="1"/>
  <c r="BW111" i="7"/>
  <c r="CR111" i="7" s="1"/>
  <c r="AM89" i="7"/>
  <c r="CM100" i="7"/>
  <c r="DH100" i="7" s="1"/>
  <c r="BZ89" i="7"/>
  <c r="CU89" i="7" s="1"/>
  <c r="CC94" i="7"/>
  <c r="CX94" i="7" s="1"/>
  <c r="AI80" i="7"/>
  <c r="AD82" i="7"/>
  <c r="AB82" i="7"/>
  <c r="P82" i="7" s="1"/>
  <c r="AC82" i="7"/>
  <c r="BS83" i="7"/>
  <c r="CN83" i="7" s="1"/>
  <c r="DS83" i="7"/>
  <c r="P83" i="7" s="1"/>
  <c r="CI84" i="7"/>
  <c r="DD84" i="7" s="1"/>
  <c r="BN82" i="7"/>
  <c r="CH83" i="7"/>
  <c r="DC83" i="7" s="1"/>
  <c r="CG88" i="7"/>
  <c r="DB88" i="7" s="1"/>
  <c r="CD92" i="7"/>
  <c r="CY92" i="7" s="1"/>
  <c r="AH81" i="7"/>
  <c r="AF81" i="7"/>
  <c r="AG81" i="7"/>
  <c r="CA88" i="7"/>
  <c r="CV88" i="7" s="1"/>
  <c r="BU88" i="7"/>
  <c r="CP88" i="7" s="1"/>
  <c r="CF89" i="7"/>
  <c r="DA89" i="7" s="1"/>
  <c r="CE90" i="7"/>
  <c r="CZ90" i="7" s="1"/>
  <c r="CJ112" i="7"/>
  <c r="DE112" i="7" s="1"/>
  <c r="AO88" i="7" l="1"/>
  <c r="CK90" i="7"/>
  <c r="DF90" i="7" s="1"/>
  <c r="EN89" i="7"/>
  <c r="CB81" i="7"/>
  <c r="CW81" i="7" s="1"/>
  <c r="K67" i="32"/>
  <c r="DK78" i="7"/>
  <c r="M67" i="32"/>
  <c r="DQ78" i="7"/>
  <c r="AV79" i="7"/>
  <c r="AW79" i="7"/>
  <c r="DL79" i="7" s="1"/>
  <c r="AU79" i="7"/>
  <c r="DJ79" i="7" s="1"/>
  <c r="AT79" i="7"/>
  <c r="BT80" i="7"/>
  <c r="CO80" i="7" s="1"/>
  <c r="EC79" i="7"/>
  <c r="DW79" i="7"/>
  <c r="BO78" i="7"/>
  <c r="EO79" i="7"/>
  <c r="H75" i="7"/>
  <c r="G75" i="7"/>
  <c r="L67" i="32"/>
  <c r="DN78" i="7"/>
  <c r="BF78" i="7"/>
  <c r="BE78" i="7"/>
  <c r="BD78" i="7"/>
  <c r="BP76" i="7"/>
  <c r="BQ76" i="7" s="1"/>
  <c r="DI77" i="7"/>
  <c r="AP35" i="7"/>
  <c r="BG35" i="7" s="1"/>
  <c r="F24" i="32"/>
  <c r="G24" i="32" s="1"/>
  <c r="P24" i="32" s="1"/>
  <c r="Q24" i="32" s="1"/>
  <c r="AR35" i="7"/>
  <c r="BI35" i="7" s="1"/>
  <c r="AQ35" i="7"/>
  <c r="BH35" i="7" s="1"/>
  <c r="AK35" i="7"/>
  <c r="AJ35" i="7"/>
  <c r="AL35" i="7"/>
  <c r="EB83" i="7"/>
  <c r="EF83" i="7"/>
  <c r="DZ83" i="7"/>
  <c r="EA83" i="7"/>
  <c r="DX83" i="7"/>
  <c r="AY82" i="7"/>
  <c r="E72" i="32"/>
  <c r="BA82" i="7"/>
  <c r="DP82" i="7" s="1"/>
  <c r="BB82" i="7"/>
  <c r="AZ82" i="7"/>
  <c r="DO82" i="7" s="1"/>
  <c r="M83" i="7"/>
  <c r="BB83" i="7" s="1"/>
  <c r="DV83" i="7"/>
  <c r="AX82" i="7"/>
  <c r="DM82" i="7" s="1"/>
  <c r="BC82" i="7"/>
  <c r="DR82" i="7" s="1"/>
  <c r="BY110" i="7"/>
  <c r="CT110" i="7" s="1"/>
  <c r="BX110" i="7"/>
  <c r="CS110" i="7" s="1"/>
  <c r="BW112" i="7"/>
  <c r="CR112" i="7" s="1"/>
  <c r="CF90" i="7"/>
  <c r="DA90" i="7" s="1"/>
  <c r="AN89" i="7"/>
  <c r="AM90" i="7"/>
  <c r="CM101" i="7"/>
  <c r="DH101" i="7" s="1"/>
  <c r="BZ90" i="7"/>
  <c r="CU90" i="7" s="1"/>
  <c r="CC95" i="7"/>
  <c r="CX95" i="7" s="1"/>
  <c r="AE82" i="7"/>
  <c r="CA89" i="7"/>
  <c r="CV89" i="7" s="1"/>
  <c r="AI81" i="7"/>
  <c r="CD93" i="7"/>
  <c r="CY93" i="7" s="1"/>
  <c r="CH84" i="7"/>
  <c r="DC84" i="7" s="1"/>
  <c r="BN83" i="7"/>
  <c r="CI85" i="7"/>
  <c r="DD85" i="7" s="1"/>
  <c r="DS84" i="7"/>
  <c r="P84" i="7" s="1"/>
  <c r="AG82" i="7"/>
  <c r="AF82" i="7"/>
  <c r="AH82" i="7"/>
  <c r="CG89" i="7"/>
  <c r="DB89" i="7" s="1"/>
  <c r="BS84" i="7"/>
  <c r="CN84" i="7" s="1"/>
  <c r="BU89" i="7"/>
  <c r="CP89" i="7" s="1"/>
  <c r="CJ113" i="7"/>
  <c r="DE113" i="7" s="1"/>
  <c r="AO89" i="7" l="1"/>
  <c r="CK91" i="7"/>
  <c r="DF91" i="7" s="1"/>
  <c r="EN90" i="7"/>
  <c r="AN90" i="7"/>
  <c r="CB82" i="7"/>
  <c r="CW82" i="7" s="1"/>
  <c r="M68" i="32"/>
  <c r="DQ79" i="7"/>
  <c r="DI78" i="7"/>
  <c r="BP77" i="7"/>
  <c r="BQ77" i="7" s="1"/>
  <c r="H76" i="7"/>
  <c r="G76" i="7"/>
  <c r="L68" i="32"/>
  <c r="DN79" i="7"/>
  <c r="AU80" i="7"/>
  <c r="DJ80" i="7" s="1"/>
  <c r="AT80" i="7"/>
  <c r="AV80" i="7"/>
  <c r="AW80" i="7"/>
  <c r="DL80" i="7" s="1"/>
  <c r="BO79" i="7"/>
  <c r="EC80" i="7"/>
  <c r="DW80" i="7"/>
  <c r="EO80" i="7"/>
  <c r="BT81" i="7"/>
  <c r="CO81" i="7" s="1"/>
  <c r="K68" i="32"/>
  <c r="DK79" i="7"/>
  <c r="K69" i="32" s="1"/>
  <c r="BD79" i="7"/>
  <c r="BF79" i="7"/>
  <c r="BE79" i="7"/>
  <c r="E35" i="7"/>
  <c r="BL35" i="7"/>
  <c r="BJ35" i="7"/>
  <c r="C35" i="7"/>
  <c r="D35" i="7"/>
  <c r="BK35" i="7"/>
  <c r="EB84" i="7"/>
  <c r="EF84" i="7"/>
  <c r="EA84" i="7"/>
  <c r="DX84" i="7"/>
  <c r="DZ84" i="7"/>
  <c r="AY83" i="7"/>
  <c r="BA83" i="7"/>
  <c r="DP83" i="7" s="1"/>
  <c r="E73" i="32"/>
  <c r="AX83" i="7"/>
  <c r="DM83" i="7" s="1"/>
  <c r="BC83" i="7"/>
  <c r="DR83" i="7" s="1"/>
  <c r="M84" i="7"/>
  <c r="DV84" i="7"/>
  <c r="AZ83" i="7"/>
  <c r="DO83" i="7" s="1"/>
  <c r="BX111" i="7"/>
  <c r="CS111" i="7" s="1"/>
  <c r="BY111" i="7"/>
  <c r="CT111" i="7" s="1"/>
  <c r="BW113" i="7"/>
  <c r="CR113" i="7" s="1"/>
  <c r="CM102" i="7"/>
  <c r="DH102" i="7" s="1"/>
  <c r="BZ91" i="7"/>
  <c r="CU91" i="7" s="1"/>
  <c r="CC96" i="7"/>
  <c r="CX96" i="7" s="1"/>
  <c r="CA90" i="7"/>
  <c r="CV90" i="7" s="1"/>
  <c r="CH85" i="7"/>
  <c r="DC85" i="7" s="1"/>
  <c r="BN84" i="7"/>
  <c r="CD94" i="7"/>
  <c r="CY94" i="7" s="1"/>
  <c r="BS85" i="7"/>
  <c r="CN85" i="7" s="1"/>
  <c r="AG83" i="7"/>
  <c r="AF83" i="7"/>
  <c r="AH83" i="7"/>
  <c r="DS85" i="7"/>
  <c r="P85" i="7" s="1"/>
  <c r="CI86" i="7"/>
  <c r="DD86" i="7" s="1"/>
  <c r="CG90" i="7"/>
  <c r="DB90" i="7" s="1"/>
  <c r="AI82" i="7"/>
  <c r="BU90" i="7"/>
  <c r="CP90" i="7" s="1"/>
  <c r="CF91" i="7"/>
  <c r="DA91" i="7" s="1"/>
  <c r="CJ114" i="7"/>
  <c r="DE114" i="7" s="1"/>
  <c r="AO90" i="7" l="1"/>
  <c r="EN91" i="7"/>
  <c r="CK92" i="7"/>
  <c r="DF92" i="7" s="1"/>
  <c r="AN91" i="7"/>
  <c r="CB83" i="7"/>
  <c r="CW83" i="7" s="1"/>
  <c r="BD80" i="7"/>
  <c r="BE80" i="7"/>
  <c r="BF80" i="7"/>
  <c r="BP78" i="7"/>
  <c r="BQ78" i="7" s="1"/>
  <c r="DI79" i="7"/>
  <c r="AW81" i="7"/>
  <c r="DL81" i="7" s="1"/>
  <c r="AT81" i="7"/>
  <c r="AV81" i="7"/>
  <c r="AU81" i="7"/>
  <c r="DJ81" i="7" s="1"/>
  <c r="EO81" i="7"/>
  <c r="BT82" i="7"/>
  <c r="CO82" i="7" s="1"/>
  <c r="EC81" i="7"/>
  <c r="DW81" i="7"/>
  <c r="BO80" i="7"/>
  <c r="L69" i="32"/>
  <c r="DN80" i="7"/>
  <c r="M69" i="32"/>
  <c r="DQ80" i="7"/>
  <c r="DK80" i="7"/>
  <c r="K70" i="32" s="1"/>
  <c r="H77" i="7"/>
  <c r="G77" i="7"/>
  <c r="F35" i="7"/>
  <c r="BM35" i="7"/>
  <c r="EF85" i="7"/>
  <c r="EB85" i="7"/>
  <c r="EA85" i="7"/>
  <c r="DX85" i="7"/>
  <c r="DZ85" i="7"/>
  <c r="BC84" i="7"/>
  <c r="DR84" i="7" s="1"/>
  <c r="E74" i="32"/>
  <c r="AY84" i="7"/>
  <c r="BB84" i="7"/>
  <c r="BA84" i="7"/>
  <c r="DP84" i="7" s="1"/>
  <c r="AX84" i="7"/>
  <c r="DM84" i="7" s="1"/>
  <c r="AZ84" i="7"/>
  <c r="DO84" i="7" s="1"/>
  <c r="M85" i="7"/>
  <c r="AX85" i="7" s="1"/>
  <c r="DV85" i="7"/>
  <c r="BY112" i="7"/>
  <c r="CT112" i="7" s="1"/>
  <c r="BX112" i="7"/>
  <c r="CS112" i="7" s="1"/>
  <c r="BW114" i="7"/>
  <c r="CR114" i="7" s="1"/>
  <c r="CM103" i="7"/>
  <c r="DH103" i="7" s="1"/>
  <c r="BZ92" i="7"/>
  <c r="CU92" i="7" s="1"/>
  <c r="CC97" i="7"/>
  <c r="CX97" i="7" s="1"/>
  <c r="CI87" i="7"/>
  <c r="DD87" i="7" s="1"/>
  <c r="DS86" i="7"/>
  <c r="BS86" i="7"/>
  <c r="CN86" i="7" s="1"/>
  <c r="CG91" i="7"/>
  <c r="DB91" i="7" s="1"/>
  <c r="AI83" i="7"/>
  <c r="AG84" i="7"/>
  <c r="AH84" i="7"/>
  <c r="AF84" i="7"/>
  <c r="CD95" i="7"/>
  <c r="CY95" i="7" s="1"/>
  <c r="BN85" i="7"/>
  <c r="CH86" i="7"/>
  <c r="DC86" i="7" s="1"/>
  <c r="CA91" i="7"/>
  <c r="CV91" i="7" s="1"/>
  <c r="CE91" i="7"/>
  <c r="CZ91" i="7" s="1"/>
  <c r="AB90" i="7"/>
  <c r="AD90" i="7"/>
  <c r="AC90" i="7"/>
  <c r="BU91" i="7"/>
  <c r="CP91" i="7" s="1"/>
  <c r="CF92" i="7"/>
  <c r="DA92" i="7" s="1"/>
  <c r="CJ115" i="7"/>
  <c r="DE115" i="7" s="1"/>
  <c r="EN92" i="7" l="1"/>
  <c r="AN92" i="7"/>
  <c r="AO91" i="7"/>
  <c r="CK93" i="7"/>
  <c r="DF93" i="7" s="1"/>
  <c r="CB84" i="7"/>
  <c r="CW84" i="7" s="1"/>
  <c r="L70" i="32"/>
  <c r="DN81" i="7"/>
  <c r="DK81" i="7"/>
  <c r="K71" i="32" s="1"/>
  <c r="H78" i="7"/>
  <c r="G78" i="7"/>
  <c r="AV82" i="7"/>
  <c r="AT82" i="7"/>
  <c r="AU82" i="7"/>
  <c r="DJ82" i="7" s="1"/>
  <c r="AW82" i="7"/>
  <c r="DL82" i="7" s="1"/>
  <c r="BT83" i="7"/>
  <c r="CO83" i="7" s="1"/>
  <c r="BO81" i="7"/>
  <c r="EO82" i="7"/>
  <c r="EC82" i="7"/>
  <c r="DW82" i="7"/>
  <c r="BF81" i="7"/>
  <c r="BE81" i="7"/>
  <c r="BD81" i="7"/>
  <c r="M70" i="32"/>
  <c r="DQ81" i="7"/>
  <c r="BP79" i="7"/>
  <c r="BQ79" i="7" s="1"/>
  <c r="DI80" i="7"/>
  <c r="B35" i="7"/>
  <c r="P35" i="7"/>
  <c r="EB86" i="7"/>
  <c r="EF86" i="7"/>
  <c r="EA86" i="7"/>
  <c r="DX86" i="7"/>
  <c r="DZ86" i="7"/>
  <c r="BC85" i="7"/>
  <c r="DR85" i="7" s="1"/>
  <c r="BA85" i="7"/>
  <c r="DP85" i="7" s="1"/>
  <c r="E75" i="32"/>
  <c r="AY85" i="7"/>
  <c r="BB85" i="7"/>
  <c r="AZ85" i="7"/>
  <c r="DO85" i="7" s="1"/>
  <c r="M86" i="7"/>
  <c r="DV86" i="7"/>
  <c r="BX113" i="7"/>
  <c r="CS113" i="7" s="1"/>
  <c r="BY113" i="7"/>
  <c r="CT113" i="7" s="1"/>
  <c r="BW115" i="7"/>
  <c r="CR115" i="7" s="1"/>
  <c r="CE92" i="7"/>
  <c r="CZ92" i="7" s="1"/>
  <c r="AM91" i="7"/>
  <c r="CM104" i="7"/>
  <c r="DH104" i="7" s="1"/>
  <c r="BZ93" i="7"/>
  <c r="CU93" i="7" s="1"/>
  <c r="CC98" i="7"/>
  <c r="CX98" i="7" s="1"/>
  <c r="AI84" i="7"/>
  <c r="BN86" i="7"/>
  <c r="CD96" i="7"/>
  <c r="CY96" i="7" s="1"/>
  <c r="BS87" i="7"/>
  <c r="CN87" i="7" s="1"/>
  <c r="CG92" i="7"/>
  <c r="DB92" i="7" s="1"/>
  <c r="AG85" i="7"/>
  <c r="DM85" i="7"/>
  <c r="AH85" i="7"/>
  <c r="AF85" i="7"/>
  <c r="DS87" i="7"/>
  <c r="CI88" i="7"/>
  <c r="DD88" i="7" s="1"/>
  <c r="AE90" i="7"/>
  <c r="CA92" i="7"/>
  <c r="CV92" i="7" s="1"/>
  <c r="CF93" i="7"/>
  <c r="DA93" i="7" s="1"/>
  <c r="CJ116" i="7"/>
  <c r="DE116" i="7" s="1"/>
  <c r="CK94" i="7" l="1"/>
  <c r="DF94" i="7" s="1"/>
  <c r="EN93" i="7"/>
  <c r="AN93" i="7"/>
  <c r="AO92" i="7"/>
  <c r="CB85" i="7"/>
  <c r="CW85" i="7" s="1"/>
  <c r="DK82" i="7"/>
  <c r="K72" i="32" s="1"/>
  <c r="BE82" i="7"/>
  <c r="BD82" i="7"/>
  <c r="BF82" i="7"/>
  <c r="BP80" i="7"/>
  <c r="BQ80" i="7" s="1"/>
  <c r="DI81" i="7"/>
  <c r="AV83" i="7"/>
  <c r="AW83" i="7"/>
  <c r="DL83" i="7" s="1"/>
  <c r="AT83" i="7"/>
  <c r="AU83" i="7"/>
  <c r="DJ83" i="7" s="1"/>
  <c r="BT84" i="7"/>
  <c r="CO84" i="7" s="1"/>
  <c r="BO82" i="7"/>
  <c r="EC83" i="7"/>
  <c r="DW83" i="7"/>
  <c r="EO83" i="7"/>
  <c r="H79" i="7"/>
  <c r="G79" i="7"/>
  <c r="L71" i="32"/>
  <c r="DN82" i="7"/>
  <c r="M71" i="32"/>
  <c r="DQ82" i="7"/>
  <c r="N36" i="7"/>
  <c r="D25" i="32"/>
  <c r="EB87" i="7"/>
  <c r="EF87" i="7"/>
  <c r="DX87" i="7"/>
  <c r="AY86" i="7"/>
  <c r="E76" i="32"/>
  <c r="AX86" i="7"/>
  <c r="BA86" i="7"/>
  <c r="AZ86" i="7"/>
  <c r="BC86" i="7"/>
  <c r="M87" i="7"/>
  <c r="DV87" i="7"/>
  <c r="BB86" i="7"/>
  <c r="BY114" i="7"/>
  <c r="CT114" i="7" s="1"/>
  <c r="BX114" i="7"/>
  <c r="CS114" i="7" s="1"/>
  <c r="BW116" i="7"/>
  <c r="CR116" i="7" s="1"/>
  <c r="AM92" i="7"/>
  <c r="CM105" i="7"/>
  <c r="DH105" i="7" s="1"/>
  <c r="BZ94" i="7"/>
  <c r="CU94" i="7" s="1"/>
  <c r="CC99" i="7"/>
  <c r="CX99" i="7" s="1"/>
  <c r="AI85" i="7"/>
  <c r="BS88" i="7"/>
  <c r="CN88" i="7" s="1"/>
  <c r="CG93" i="7"/>
  <c r="DB93" i="7" s="1"/>
  <c r="CD97" i="7"/>
  <c r="CY97" i="7" s="1"/>
  <c r="CH87" i="7"/>
  <c r="DC87" i="7" s="1"/>
  <c r="AD86" i="7"/>
  <c r="AC86" i="7"/>
  <c r="AB86" i="7"/>
  <c r="P86" i="7" s="1"/>
  <c r="DS88" i="7"/>
  <c r="BU92" i="7"/>
  <c r="CP92" i="7" s="1"/>
  <c r="CA93" i="7"/>
  <c r="CV93" i="7" s="1"/>
  <c r="CE93" i="7"/>
  <c r="CZ93" i="7" s="1"/>
  <c r="CF94" i="7"/>
  <c r="DA94" i="7" s="1"/>
  <c r="CJ117" i="7"/>
  <c r="DE117" i="7" s="1"/>
  <c r="AN94" i="7" l="1"/>
  <c r="EA87" i="7"/>
  <c r="AO93" i="7"/>
  <c r="EN94" i="7"/>
  <c r="BU93" i="7"/>
  <c r="CP93" i="7" s="1"/>
  <c r="CK95" i="7"/>
  <c r="DF95" i="7" s="1"/>
  <c r="DK83" i="7"/>
  <c r="K73" i="32" s="1"/>
  <c r="CB86" i="7"/>
  <c r="CW86" i="7" s="1"/>
  <c r="L72" i="32"/>
  <c r="DN83" i="7"/>
  <c r="AW84" i="7"/>
  <c r="DL84" i="7" s="1"/>
  <c r="AT84" i="7"/>
  <c r="AU84" i="7"/>
  <c r="DJ84" i="7" s="1"/>
  <c r="AV84" i="7"/>
  <c r="EC84" i="7"/>
  <c r="DW84" i="7"/>
  <c r="BO83" i="7"/>
  <c r="EO84" i="7"/>
  <c r="BT85" i="7"/>
  <c r="CO85" i="7" s="1"/>
  <c r="M72" i="32"/>
  <c r="DQ83" i="7"/>
  <c r="BP81" i="7"/>
  <c r="BQ81" i="7" s="1"/>
  <c r="DI82" i="7"/>
  <c r="BD83" i="7"/>
  <c r="BF83" i="7"/>
  <c r="BE83" i="7"/>
  <c r="H80" i="7"/>
  <c r="G80" i="7"/>
  <c r="AQ36" i="7"/>
  <c r="BH36" i="7" s="1"/>
  <c r="F25" i="32"/>
  <c r="G25" i="32" s="1"/>
  <c r="P25" i="32" s="1"/>
  <c r="Q25" i="32" s="1"/>
  <c r="AR36" i="7"/>
  <c r="BI36" i="7" s="1"/>
  <c r="AP36" i="7"/>
  <c r="BG36" i="7" s="1"/>
  <c r="AJ36" i="7"/>
  <c r="AK36" i="7"/>
  <c r="AL36" i="7"/>
  <c r="DZ87" i="7"/>
  <c r="EB88" i="7"/>
  <c r="EF88" i="7"/>
  <c r="DX88" i="7"/>
  <c r="BC87" i="7"/>
  <c r="E77" i="32"/>
  <c r="AY87" i="7"/>
  <c r="BB87" i="7"/>
  <c r="AX87" i="7"/>
  <c r="AZ87" i="7"/>
  <c r="BA87" i="7"/>
  <c r="M88" i="7"/>
  <c r="DV88" i="7"/>
  <c r="BX115" i="7"/>
  <c r="CS115" i="7" s="1"/>
  <c r="BY115" i="7"/>
  <c r="CT115" i="7" s="1"/>
  <c r="BW117" i="7"/>
  <c r="CR117" i="7" s="1"/>
  <c r="AM93" i="7"/>
  <c r="CM106" i="7"/>
  <c r="DH106" i="7" s="1"/>
  <c r="DO86" i="7"/>
  <c r="BZ95" i="7"/>
  <c r="CU95" i="7" s="1"/>
  <c r="CC100" i="7"/>
  <c r="CX100" i="7" s="1"/>
  <c r="AH86" i="7"/>
  <c r="AG86" i="7"/>
  <c r="BN87" i="7"/>
  <c r="DM86" i="7"/>
  <c r="DR86" i="7"/>
  <c r="DP86" i="7"/>
  <c r="CD98" i="7"/>
  <c r="CY98" i="7" s="1"/>
  <c r="AE86" i="7"/>
  <c r="AF86" i="7"/>
  <c r="BS89" i="7"/>
  <c r="CN89" i="7" s="1"/>
  <c r="AC92" i="7"/>
  <c r="AB92" i="7"/>
  <c r="AD92" i="7"/>
  <c r="BU94" i="7"/>
  <c r="CP94" i="7" s="1"/>
  <c r="CE94" i="7"/>
  <c r="CZ94" i="7" s="1"/>
  <c r="CF95" i="7"/>
  <c r="DA95" i="7" s="1"/>
  <c r="CJ118" i="7"/>
  <c r="DE118" i="7" s="1"/>
  <c r="DK84" i="7" l="1"/>
  <c r="K74" i="32" s="1"/>
  <c r="CK96" i="7"/>
  <c r="DF96" i="7" s="1"/>
  <c r="AN95" i="7"/>
  <c r="EN95" i="7"/>
  <c r="CB87" i="7"/>
  <c r="CW87" i="7" s="1"/>
  <c r="BE84" i="7"/>
  <c r="BD84" i="7"/>
  <c r="BF84" i="7"/>
  <c r="BP82" i="7"/>
  <c r="BQ82" i="7" s="1"/>
  <c r="DI83" i="7"/>
  <c r="AT85" i="7"/>
  <c r="AU85" i="7"/>
  <c r="DJ85" i="7" s="1"/>
  <c r="AV85" i="7"/>
  <c r="DK85" i="7" s="1"/>
  <c r="AW85" i="7"/>
  <c r="DL85" i="7" s="1"/>
  <c r="EO85" i="7"/>
  <c r="EC85" i="7"/>
  <c r="BO84" i="7"/>
  <c r="BT86" i="7"/>
  <c r="CO86" i="7" s="1"/>
  <c r="DW85" i="7"/>
  <c r="H81" i="7"/>
  <c r="G81" i="7"/>
  <c r="L73" i="32"/>
  <c r="DN84" i="7"/>
  <c r="M73" i="32"/>
  <c r="DQ84" i="7"/>
  <c r="D36" i="7"/>
  <c r="BK36" i="7"/>
  <c r="BL36" i="7"/>
  <c r="E36" i="7"/>
  <c r="C36" i="7"/>
  <c r="BJ36" i="7"/>
  <c r="EB89" i="7"/>
  <c r="DX89" i="7"/>
  <c r="AZ88" i="7"/>
  <c r="E78" i="32"/>
  <c r="BB88" i="7"/>
  <c r="BC88" i="7"/>
  <c r="BA88" i="7"/>
  <c r="AX88" i="7"/>
  <c r="AY88" i="7"/>
  <c r="M89" i="7"/>
  <c r="DV89" i="7"/>
  <c r="BY116" i="7"/>
  <c r="CT116" i="7" s="1"/>
  <c r="BX116" i="7"/>
  <c r="CS116" i="7" s="1"/>
  <c r="BW118" i="7"/>
  <c r="CR118" i="7" s="1"/>
  <c r="AM94" i="7"/>
  <c r="CM107" i="7"/>
  <c r="DH107" i="7" s="1"/>
  <c r="BZ96" i="7"/>
  <c r="CU96" i="7" s="1"/>
  <c r="CC101" i="7"/>
  <c r="CX101" i="7" s="1"/>
  <c r="AI86" i="7"/>
  <c r="CH88" i="7"/>
  <c r="DC88" i="7" s="1"/>
  <c r="AB87" i="7"/>
  <c r="P87" i="7" s="1"/>
  <c r="AC87" i="7"/>
  <c r="AD87" i="7"/>
  <c r="BS90" i="7"/>
  <c r="CN90" i="7" s="1"/>
  <c r="AE92" i="7"/>
  <c r="CA94" i="7"/>
  <c r="CV94" i="7" s="1"/>
  <c r="BU95" i="7"/>
  <c r="CP95" i="7" s="1"/>
  <c r="CE95" i="7"/>
  <c r="CZ95" i="7" s="1"/>
  <c r="CG94" i="7"/>
  <c r="DB94" i="7" s="1"/>
  <c r="CF96" i="7"/>
  <c r="DA96" i="7" s="1"/>
  <c r="CJ119" i="7"/>
  <c r="DE119" i="7" s="1"/>
  <c r="AN96" i="7" l="1"/>
  <c r="AO94" i="7"/>
  <c r="EN96" i="7"/>
  <c r="CK97" i="7"/>
  <c r="DF97" i="7" s="1"/>
  <c r="CB88" i="7"/>
  <c r="CW88" i="7" s="1"/>
  <c r="M74" i="32"/>
  <c r="DQ85" i="7"/>
  <c r="K75" i="32"/>
  <c r="G82" i="7"/>
  <c r="H82" i="7"/>
  <c r="L74" i="32"/>
  <c r="DN85" i="7"/>
  <c r="BF85" i="7"/>
  <c r="BD85" i="7"/>
  <c r="BE85" i="7"/>
  <c r="AU86" i="7"/>
  <c r="DJ86" i="7" s="1"/>
  <c r="AT86" i="7"/>
  <c r="BT87" i="7"/>
  <c r="CO87" i="7" s="1"/>
  <c r="AW86" i="7"/>
  <c r="DL86" i="7" s="1"/>
  <c r="AV86" i="7"/>
  <c r="DK86" i="7" s="1"/>
  <c r="EC86" i="7"/>
  <c r="DW86" i="7"/>
  <c r="BO85" i="7"/>
  <c r="EO86" i="7"/>
  <c r="DI84" i="7"/>
  <c r="BP83" i="7"/>
  <c r="BQ83" i="7" s="1"/>
  <c r="BM36" i="7"/>
  <c r="B36" i="7" s="1"/>
  <c r="F36" i="7"/>
  <c r="EB90" i="7"/>
  <c r="DX90" i="7"/>
  <c r="DZ88" i="7"/>
  <c r="EA88" i="7"/>
  <c r="AX89" i="7"/>
  <c r="E79" i="32"/>
  <c r="AY89" i="7"/>
  <c r="BB89" i="7"/>
  <c r="BA89" i="7"/>
  <c r="AZ89" i="7"/>
  <c r="M90" i="7"/>
  <c r="AY90" i="7" s="1"/>
  <c r="DV90" i="7"/>
  <c r="BC89" i="7"/>
  <c r="BX117" i="7"/>
  <c r="CS117" i="7" s="1"/>
  <c r="BY117" i="7"/>
  <c r="CT117" i="7" s="1"/>
  <c r="BW119" i="7"/>
  <c r="CR119" i="7" s="1"/>
  <c r="AM95" i="7"/>
  <c r="CM108" i="7"/>
  <c r="DH108" i="7" s="1"/>
  <c r="DO87" i="7"/>
  <c r="BZ97" i="7"/>
  <c r="CU97" i="7" s="1"/>
  <c r="CC102" i="7"/>
  <c r="CX102" i="7" s="1"/>
  <c r="AH87" i="7"/>
  <c r="BS91" i="7"/>
  <c r="CN91" i="7" s="1"/>
  <c r="DR87" i="7"/>
  <c r="DM87" i="7"/>
  <c r="DP87" i="7"/>
  <c r="BN88" i="7"/>
  <c r="CH89" i="7"/>
  <c r="DC89" i="7" s="1"/>
  <c r="AG87" i="7"/>
  <c r="AE87" i="7"/>
  <c r="AF87" i="7"/>
  <c r="BU96" i="7"/>
  <c r="CP96" i="7" s="1"/>
  <c r="CE96" i="7"/>
  <c r="CZ96" i="7" s="1"/>
  <c r="BV95" i="7"/>
  <c r="CQ95" i="7" s="1"/>
  <c r="CJ120" i="7"/>
  <c r="DE120" i="7" s="1"/>
  <c r="CK98" i="7" l="1"/>
  <c r="DF98" i="7" s="1"/>
  <c r="EN97" i="7"/>
  <c r="CB89" i="7"/>
  <c r="CW89" i="7" s="1"/>
  <c r="P36" i="7"/>
  <c r="D26" i="32" s="1"/>
  <c r="K76" i="32"/>
  <c r="H83" i="7"/>
  <c r="G83" i="7"/>
  <c r="BP84" i="7"/>
  <c r="BQ84" i="7" s="1"/>
  <c r="DI85" i="7"/>
  <c r="EO87" i="7"/>
  <c r="DW87" i="7"/>
  <c r="AV87" i="7"/>
  <c r="DK87" i="7" s="1"/>
  <c r="K77" i="32" s="1"/>
  <c r="BO86" i="7"/>
  <c r="AU87" i="7"/>
  <c r="DJ87" i="7" s="1"/>
  <c r="EC87" i="7"/>
  <c r="AW87" i="7"/>
  <c r="DL87" i="7" s="1"/>
  <c r="AT87" i="7"/>
  <c r="BT88" i="7"/>
  <c r="CO88" i="7" s="1"/>
  <c r="BE86" i="7"/>
  <c r="BF86" i="7"/>
  <c r="BD86" i="7"/>
  <c r="M75" i="32"/>
  <c r="DQ86" i="7"/>
  <c r="L75" i="32"/>
  <c r="DN86" i="7"/>
  <c r="DZ89" i="7"/>
  <c r="EA89" i="7"/>
  <c r="EB91" i="7"/>
  <c r="DX91" i="7"/>
  <c r="BC90" i="7"/>
  <c r="E80" i="32"/>
  <c r="AX90" i="7"/>
  <c r="AZ90" i="7"/>
  <c r="BA90" i="7"/>
  <c r="BB90" i="7"/>
  <c r="M91" i="7"/>
  <c r="BB91" i="7" s="1"/>
  <c r="DV91" i="7"/>
  <c r="BY118" i="7"/>
  <c r="CT118" i="7" s="1"/>
  <c r="BX118" i="7"/>
  <c r="CS118" i="7" s="1"/>
  <c r="BW120" i="7"/>
  <c r="CR120" i="7" s="1"/>
  <c r="AM96" i="7"/>
  <c r="CM109" i="7"/>
  <c r="DH109" i="7" s="1"/>
  <c r="BZ98" i="7"/>
  <c r="CU98" i="7" s="1"/>
  <c r="CC103" i="7"/>
  <c r="CX103" i="7" s="1"/>
  <c r="AC89" i="7"/>
  <c r="AB89" i="7"/>
  <c r="AD89" i="7"/>
  <c r="AI87" i="7"/>
  <c r="AH90" i="7"/>
  <c r="AF90" i="7"/>
  <c r="AG90" i="7"/>
  <c r="BS92" i="7"/>
  <c r="CN92" i="7" s="1"/>
  <c r="CI89" i="7"/>
  <c r="DD89" i="7" s="1"/>
  <c r="AD88" i="7"/>
  <c r="AB88" i="7"/>
  <c r="P88" i="7" s="1"/>
  <c r="AC88" i="7"/>
  <c r="BN89" i="7"/>
  <c r="CH90" i="7"/>
  <c r="DC90" i="7" s="1"/>
  <c r="CG95" i="7"/>
  <c r="DB95" i="7" s="1"/>
  <c r="CA95" i="7"/>
  <c r="CV95" i="7" s="1"/>
  <c r="BU97" i="7"/>
  <c r="CP97" i="7" s="1"/>
  <c r="CE97" i="7"/>
  <c r="CZ97" i="7" s="1"/>
  <c r="AB94" i="7"/>
  <c r="AC94" i="7"/>
  <c r="AD94" i="7"/>
  <c r="CF97" i="7"/>
  <c r="DA97" i="7" s="1"/>
  <c r="CJ121" i="7"/>
  <c r="DE121" i="7" s="1"/>
  <c r="BT89" i="7" l="1"/>
  <c r="CO89" i="7" s="1"/>
  <c r="EF89" i="7"/>
  <c r="AN97" i="7"/>
  <c r="EN98" i="7"/>
  <c r="CK99" i="7"/>
  <c r="DF99" i="7" s="1"/>
  <c r="CB90" i="7"/>
  <c r="CW90" i="7" s="1"/>
  <c r="N37" i="7"/>
  <c r="AR37" i="7" s="1"/>
  <c r="BI37" i="7" s="1"/>
  <c r="BD87" i="7"/>
  <c r="BE87" i="7"/>
  <c r="BF87" i="7"/>
  <c r="L76" i="32"/>
  <c r="DN87" i="7"/>
  <c r="L77" i="32" s="1"/>
  <c r="BP85" i="7"/>
  <c r="BQ85" i="7" s="1"/>
  <c r="DI86" i="7"/>
  <c r="H84" i="7"/>
  <c r="G84" i="7"/>
  <c r="M76" i="32"/>
  <c r="DQ87" i="7"/>
  <c r="M77" i="32" s="1"/>
  <c r="DW88" i="7"/>
  <c r="AW88" i="7"/>
  <c r="DL88" i="7" s="1"/>
  <c r="BO87" i="7"/>
  <c r="AT88" i="7"/>
  <c r="EO88" i="7"/>
  <c r="AV88" i="7"/>
  <c r="DK88" i="7" s="1"/>
  <c r="K78" i="32" s="1"/>
  <c r="EC88" i="7"/>
  <c r="AU88" i="7"/>
  <c r="AQ37" i="7"/>
  <c r="BH37" i="7" s="1"/>
  <c r="EO89" i="7"/>
  <c r="EC89" i="7"/>
  <c r="DW89" i="7"/>
  <c r="DZ90" i="7"/>
  <c r="EA90" i="7"/>
  <c r="EB92" i="7"/>
  <c r="DX92" i="7"/>
  <c r="BC91" i="7"/>
  <c r="AX91" i="7"/>
  <c r="E81" i="32"/>
  <c r="BA91" i="7"/>
  <c r="AZ91" i="7"/>
  <c r="AY91" i="7"/>
  <c r="M92" i="7"/>
  <c r="DV92" i="7"/>
  <c r="BX119" i="7"/>
  <c r="CS119" i="7" s="1"/>
  <c r="BY119" i="7"/>
  <c r="CT119" i="7" s="1"/>
  <c r="BW121" i="7"/>
  <c r="CR121" i="7" s="1"/>
  <c r="AW89" i="7"/>
  <c r="AV89" i="7"/>
  <c r="AT89" i="7"/>
  <c r="AU89" i="7"/>
  <c r="AO95" i="7"/>
  <c r="AM97" i="7"/>
  <c r="CM110" i="7"/>
  <c r="DH110" i="7" s="1"/>
  <c r="DO88" i="7"/>
  <c r="BZ99" i="7"/>
  <c r="CU99" i="7" s="1"/>
  <c r="CC104" i="7"/>
  <c r="CX104" i="7" s="1"/>
  <c r="AH89" i="7"/>
  <c r="AH88" i="7"/>
  <c r="AE89" i="7"/>
  <c r="AF89" i="7"/>
  <c r="AG89" i="7"/>
  <c r="AG88" i="7"/>
  <c r="AI90" i="7"/>
  <c r="CH91" i="7"/>
  <c r="DC91" i="7" s="1"/>
  <c r="BN90" i="7"/>
  <c r="AE88" i="7"/>
  <c r="AF88" i="7"/>
  <c r="BT90" i="7"/>
  <c r="CO90" i="7" s="1"/>
  <c r="BS93" i="7"/>
  <c r="CN93" i="7" s="1"/>
  <c r="DQ88" i="7"/>
  <c r="M78" i="32" s="1"/>
  <c r="DP88" i="7"/>
  <c r="DR88" i="7"/>
  <c r="DM88" i="7"/>
  <c r="DJ88" i="7"/>
  <c r="CI90" i="7"/>
  <c r="DD90" i="7" s="1"/>
  <c r="DS89" i="7"/>
  <c r="P89" i="7" s="1"/>
  <c r="CA96" i="7"/>
  <c r="CV96" i="7" s="1"/>
  <c r="BU98" i="7"/>
  <c r="CP98" i="7" s="1"/>
  <c r="CE98" i="7"/>
  <c r="CZ98" i="7" s="1"/>
  <c r="AE94" i="7"/>
  <c r="CJ122" i="7"/>
  <c r="DE122" i="7" s="1"/>
  <c r="EF90" i="7" l="1"/>
  <c r="EN99" i="7"/>
  <c r="CK100" i="7"/>
  <c r="DF100" i="7" s="1"/>
  <c r="AP37" i="7"/>
  <c r="BG37" i="7" s="1"/>
  <c r="AK37" i="7"/>
  <c r="BK37" i="7" s="1"/>
  <c r="AJ37" i="7"/>
  <c r="C37" i="7" s="1"/>
  <c r="F26" i="32"/>
  <c r="G26" i="32" s="1"/>
  <c r="P26" i="32" s="1"/>
  <c r="Q26" i="32" s="1"/>
  <c r="AL37" i="7"/>
  <c r="BL37" i="7" s="1"/>
  <c r="CB91" i="7"/>
  <c r="CW91" i="7" s="1"/>
  <c r="DN88" i="7"/>
  <c r="L78" i="32" s="1"/>
  <c r="H85" i="7"/>
  <c r="G85" i="7"/>
  <c r="BP86" i="7"/>
  <c r="BQ86" i="7" s="1"/>
  <c r="DI87" i="7"/>
  <c r="BO88" i="7"/>
  <c r="DZ91" i="7"/>
  <c r="EA91" i="7"/>
  <c r="EB93" i="7"/>
  <c r="DX93" i="7"/>
  <c r="EO90" i="7"/>
  <c r="DW90" i="7"/>
  <c r="EC90" i="7"/>
  <c r="BA92" i="7"/>
  <c r="E82" i="32"/>
  <c r="BC92" i="7"/>
  <c r="AX92" i="7"/>
  <c r="AY92" i="7"/>
  <c r="BB92" i="7"/>
  <c r="AZ92" i="7"/>
  <c r="M93" i="7"/>
  <c r="BB93" i="7" s="1"/>
  <c r="DV93" i="7"/>
  <c r="BY120" i="7"/>
  <c r="CT120" i="7" s="1"/>
  <c r="BX120" i="7"/>
  <c r="CS120" i="7" s="1"/>
  <c r="BW122" i="7"/>
  <c r="CR122" i="7" s="1"/>
  <c r="AU90" i="7"/>
  <c r="AW90" i="7"/>
  <c r="AT90" i="7"/>
  <c r="AV90" i="7"/>
  <c r="AM98" i="7"/>
  <c r="CM111" i="7"/>
  <c r="DH111" i="7" s="1"/>
  <c r="DL89" i="7"/>
  <c r="DO89" i="7"/>
  <c r="DO90" i="7" s="1"/>
  <c r="BZ100" i="7"/>
  <c r="CU100" i="7" s="1"/>
  <c r="CC105" i="7"/>
  <c r="CX105" i="7" s="1"/>
  <c r="DP89" i="7"/>
  <c r="DP90" i="7" s="1"/>
  <c r="DQ89" i="7"/>
  <c r="DR89" i="7"/>
  <c r="DR90" i="7" s="1"/>
  <c r="AI88" i="7"/>
  <c r="DK89" i="7"/>
  <c r="K79" i="32" s="1"/>
  <c r="DM89" i="7"/>
  <c r="DM90" i="7" s="1"/>
  <c r="AI89" i="7"/>
  <c r="AF92" i="7"/>
  <c r="AH92" i="7"/>
  <c r="AG92" i="7"/>
  <c r="BS94" i="7"/>
  <c r="CN94" i="7" s="1"/>
  <c r="BT91" i="7"/>
  <c r="CO91" i="7" s="1"/>
  <c r="BF89" i="7"/>
  <c r="BE89" i="7"/>
  <c r="BD89" i="7"/>
  <c r="DS90" i="7"/>
  <c r="P90" i="7" s="1"/>
  <c r="CI91" i="7"/>
  <c r="DD91" i="7" s="1"/>
  <c r="BE88" i="7"/>
  <c r="BF88" i="7"/>
  <c r="BD88" i="7"/>
  <c r="DJ89" i="7"/>
  <c r="BN91" i="7"/>
  <c r="CH92" i="7"/>
  <c r="DC92" i="7" s="1"/>
  <c r="BV96" i="7"/>
  <c r="CQ96" i="7" s="1"/>
  <c r="BU99" i="7"/>
  <c r="CP99" i="7" s="1"/>
  <c r="CG96" i="7"/>
  <c r="DB96" i="7" s="1"/>
  <c r="AD95" i="7"/>
  <c r="AC95" i="7"/>
  <c r="AB95" i="7"/>
  <c r="CF98" i="7"/>
  <c r="DA98" i="7" s="1"/>
  <c r="CJ123" i="7"/>
  <c r="DE123" i="7" s="1"/>
  <c r="CA97" i="7" l="1"/>
  <c r="CV97" i="7" s="1"/>
  <c r="EN100" i="7"/>
  <c r="EF91" i="7"/>
  <c r="AN98" i="7"/>
  <c r="AO96" i="7"/>
  <c r="CK101" i="7"/>
  <c r="DF101" i="7" s="1"/>
  <c r="BJ37" i="7"/>
  <c r="BM37" i="7" s="1"/>
  <c r="D37" i="7"/>
  <c r="E37" i="7"/>
  <c r="CB92" i="7"/>
  <c r="CW92" i="7" s="1"/>
  <c r="DN89" i="7"/>
  <c r="L79" i="32" s="1"/>
  <c r="BP87" i="7"/>
  <c r="BQ87" i="7" s="1"/>
  <c r="DI88" i="7"/>
  <c r="H86" i="7"/>
  <c r="G86" i="7"/>
  <c r="F37" i="7"/>
  <c r="BO89" i="7"/>
  <c r="DQ90" i="7"/>
  <c r="M80" i="32" s="1"/>
  <c r="M79" i="32"/>
  <c r="EO91" i="7"/>
  <c r="EC91" i="7"/>
  <c r="DW91" i="7"/>
  <c r="DZ92" i="7"/>
  <c r="EA92" i="7"/>
  <c r="EB94" i="7"/>
  <c r="DX94" i="7"/>
  <c r="AY93" i="7"/>
  <c r="E83" i="32"/>
  <c r="AX93" i="7"/>
  <c r="BC93" i="7"/>
  <c r="BA93" i="7"/>
  <c r="AZ93" i="7"/>
  <c r="M94" i="7"/>
  <c r="BC94" i="7" s="1"/>
  <c r="DV94" i="7"/>
  <c r="BX121" i="7"/>
  <c r="CS121" i="7" s="1"/>
  <c r="BY121" i="7"/>
  <c r="CT121" i="7" s="1"/>
  <c r="BW123" i="7"/>
  <c r="CR123" i="7" s="1"/>
  <c r="AW91" i="7"/>
  <c r="AU91" i="7"/>
  <c r="AT91" i="7"/>
  <c r="AV91" i="7"/>
  <c r="CM112" i="7"/>
  <c r="DH112" i="7" s="1"/>
  <c r="DL90" i="7"/>
  <c r="BZ101" i="7"/>
  <c r="CU101" i="7" s="1"/>
  <c r="CC106" i="7"/>
  <c r="CX106" i="7" s="1"/>
  <c r="DK90" i="7"/>
  <c r="K80" i="32" s="1"/>
  <c r="AI92" i="7"/>
  <c r="DS91" i="7"/>
  <c r="CH93" i="7"/>
  <c r="DC93" i="7" s="1"/>
  <c r="BN92" i="7"/>
  <c r="BF90" i="7"/>
  <c r="BE90" i="7"/>
  <c r="BD90" i="7"/>
  <c r="BT92" i="7"/>
  <c r="CO92" i="7" s="1"/>
  <c r="DJ90" i="7"/>
  <c r="BS95" i="7"/>
  <c r="CN95" i="7" s="1"/>
  <c r="BV97" i="7"/>
  <c r="CQ97" i="7" s="1"/>
  <c r="BU100" i="7"/>
  <c r="CP100" i="7" s="1"/>
  <c r="AB96" i="7"/>
  <c r="AC96" i="7"/>
  <c r="AD96" i="7"/>
  <c r="AE95" i="7"/>
  <c r="CG97" i="7"/>
  <c r="DB97" i="7" s="1"/>
  <c r="CD99" i="7"/>
  <c r="CY99" i="7" s="1"/>
  <c r="CJ124" i="7"/>
  <c r="DE124" i="7" s="1"/>
  <c r="CK102" i="7" l="1"/>
  <c r="DF102" i="7" s="1"/>
  <c r="CA98" i="7"/>
  <c r="CV98" i="7" s="1"/>
  <c r="EN101" i="7"/>
  <c r="AO97" i="7"/>
  <c r="CB93" i="7"/>
  <c r="CW93" i="7" s="1"/>
  <c r="DN90" i="7"/>
  <c r="L80" i="32" s="1"/>
  <c r="BP88" i="7"/>
  <c r="BQ88" i="7" s="1"/>
  <c r="DI89" i="7"/>
  <c r="H87" i="7"/>
  <c r="G87" i="7"/>
  <c r="B37" i="7"/>
  <c r="P37" i="7"/>
  <c r="BO90" i="7"/>
  <c r="EA93" i="7"/>
  <c r="DZ93" i="7"/>
  <c r="EB95" i="7"/>
  <c r="DX95" i="7"/>
  <c r="EO92" i="7"/>
  <c r="EC92" i="7"/>
  <c r="DW92" i="7"/>
  <c r="BB94" i="7"/>
  <c r="AZ94" i="7"/>
  <c r="AX94" i="7"/>
  <c r="E84" i="32"/>
  <c r="BA94" i="7"/>
  <c r="AY94" i="7"/>
  <c r="M95" i="7"/>
  <c r="BB95" i="7" s="1"/>
  <c r="DV95" i="7"/>
  <c r="BY122" i="7"/>
  <c r="CT122" i="7" s="1"/>
  <c r="BX122" i="7"/>
  <c r="CS122" i="7" s="1"/>
  <c r="BW124" i="7"/>
  <c r="CR124" i="7" s="1"/>
  <c r="AU92" i="7"/>
  <c r="AW92" i="7"/>
  <c r="AT92" i="7"/>
  <c r="AV92" i="7"/>
  <c r="CM113" i="7"/>
  <c r="DH113" i="7" s="1"/>
  <c r="BZ102" i="7"/>
  <c r="CU102" i="7" s="1"/>
  <c r="CC107" i="7"/>
  <c r="CX107" i="7" s="1"/>
  <c r="AD93" i="7"/>
  <c r="AB93" i="7"/>
  <c r="AC93" i="7"/>
  <c r="CH94" i="7"/>
  <c r="DC94" i="7" s="1"/>
  <c r="BN93" i="7"/>
  <c r="BT93" i="7"/>
  <c r="CO93" i="7" s="1"/>
  <c r="CI92" i="7"/>
  <c r="DD92" i="7" s="1"/>
  <c r="AC91" i="7"/>
  <c r="AD91" i="7"/>
  <c r="AB91" i="7"/>
  <c r="P91" i="7" s="1"/>
  <c r="AG94" i="7"/>
  <c r="AF94" i="7"/>
  <c r="AH94" i="7"/>
  <c r="BS96" i="7"/>
  <c r="CN96" i="7" s="1"/>
  <c r="BV98" i="7"/>
  <c r="CQ98" i="7" s="1"/>
  <c r="CD100" i="7"/>
  <c r="CY100" i="7" s="1"/>
  <c r="BU101" i="7"/>
  <c r="CP101" i="7" s="1"/>
  <c r="AE96" i="7"/>
  <c r="CE99" i="7"/>
  <c r="CZ99" i="7" s="1"/>
  <c r="CG98" i="7"/>
  <c r="DB98" i="7" s="1"/>
  <c r="CF99" i="7"/>
  <c r="DA99" i="7" s="1"/>
  <c r="CJ125" i="7"/>
  <c r="DE125" i="7" s="1"/>
  <c r="AM99" i="7" l="1"/>
  <c r="EF92" i="7"/>
  <c r="EN102" i="7"/>
  <c r="CK103" i="7"/>
  <c r="DF103" i="7" s="1"/>
  <c r="CB94" i="7"/>
  <c r="CW94" i="7" s="1"/>
  <c r="DI90" i="7"/>
  <c r="BP90" i="7" s="1"/>
  <c r="BQ90" i="7" s="1"/>
  <c r="H90" i="7" s="1"/>
  <c r="BP89" i="7"/>
  <c r="BQ89" i="7" s="1"/>
  <c r="H88" i="7"/>
  <c r="G88" i="7"/>
  <c r="D27" i="32"/>
  <c r="N38" i="7"/>
  <c r="EO93" i="7"/>
  <c r="EC93" i="7"/>
  <c r="DW93" i="7"/>
  <c r="EB96" i="7"/>
  <c r="DX96" i="7"/>
  <c r="EA94" i="7"/>
  <c r="DZ94" i="7"/>
  <c r="BC95" i="7"/>
  <c r="E85" i="32"/>
  <c r="AX95" i="7"/>
  <c r="BA95" i="7"/>
  <c r="AZ95" i="7"/>
  <c r="AY95" i="7"/>
  <c r="M96" i="7"/>
  <c r="AZ96" i="7" s="1"/>
  <c r="DV96" i="7"/>
  <c r="BX123" i="7"/>
  <c r="CS123" i="7" s="1"/>
  <c r="BY123" i="7"/>
  <c r="CT123" i="7" s="1"/>
  <c r="BW125" i="7"/>
  <c r="CR125" i="7" s="1"/>
  <c r="AW93" i="7"/>
  <c r="AU93" i="7"/>
  <c r="AV93" i="7"/>
  <c r="AT93" i="7"/>
  <c r="AN99" i="7"/>
  <c r="CA99" i="7"/>
  <c r="CV99" i="7" s="1"/>
  <c r="AO98" i="7"/>
  <c r="CM114" i="7"/>
  <c r="DH114" i="7" s="1"/>
  <c r="DK91" i="7"/>
  <c r="K81" i="32" s="1"/>
  <c r="DL91" i="7"/>
  <c r="DL92" i="7" s="1"/>
  <c r="DO91" i="7"/>
  <c r="DO92" i="7" s="1"/>
  <c r="BZ103" i="7"/>
  <c r="CU103" i="7" s="1"/>
  <c r="CC108" i="7"/>
  <c r="CX108" i="7" s="1"/>
  <c r="AH91" i="7"/>
  <c r="AG91" i="7"/>
  <c r="AG93" i="7"/>
  <c r="AE93" i="7"/>
  <c r="AF93" i="7"/>
  <c r="AH93" i="7"/>
  <c r="BS97" i="7"/>
  <c r="CN97" i="7" s="1"/>
  <c r="BT94" i="7"/>
  <c r="CO94" i="7" s="1"/>
  <c r="AG95" i="7"/>
  <c r="AH95" i="7"/>
  <c r="AF95" i="7"/>
  <c r="AI94" i="7"/>
  <c r="BE92" i="7"/>
  <c r="BF92" i="7"/>
  <c r="BD92" i="7"/>
  <c r="AF91" i="7"/>
  <c r="AE91" i="7"/>
  <c r="BO91" i="7"/>
  <c r="DS92" i="7"/>
  <c r="P92" i="7" s="1"/>
  <c r="CI93" i="7"/>
  <c r="DD93" i="7" s="1"/>
  <c r="DR91" i="7"/>
  <c r="DR92" i="7" s="1"/>
  <c r="DJ91" i="7"/>
  <c r="DJ92" i="7" s="1"/>
  <c r="DQ91" i="7"/>
  <c r="DN91" i="7"/>
  <c r="L81" i="32" s="1"/>
  <c r="BN94" i="7"/>
  <c r="CH95" i="7"/>
  <c r="DC95" i="7" s="1"/>
  <c r="AD98" i="7"/>
  <c r="AB98" i="7"/>
  <c r="AC98" i="7"/>
  <c r="AC97" i="7"/>
  <c r="AD97" i="7"/>
  <c r="AB97" i="7"/>
  <c r="BV99" i="7"/>
  <c r="CQ99" i="7" s="1"/>
  <c r="BU102" i="7"/>
  <c r="CP102" i="7" s="1"/>
  <c r="CG99" i="7"/>
  <c r="DB99" i="7" s="1"/>
  <c r="CJ126" i="7"/>
  <c r="DE126" i="7" s="1"/>
  <c r="CK104" i="7" l="1"/>
  <c r="DF104" i="7" s="1"/>
  <c r="EF93" i="7"/>
  <c r="BO92" i="7"/>
  <c r="AO99" i="7"/>
  <c r="EN103" i="7"/>
  <c r="CB95" i="7"/>
  <c r="CW95" i="7" s="1"/>
  <c r="H89" i="7"/>
  <c r="G89" i="7"/>
  <c r="G90" i="7"/>
  <c r="AP38" i="7"/>
  <c r="BG38" i="7" s="1"/>
  <c r="F27" i="32"/>
  <c r="G27" i="32" s="1"/>
  <c r="P27" i="32" s="1"/>
  <c r="Q27" i="32" s="1"/>
  <c r="AQ38" i="7"/>
  <c r="BH38" i="7" s="1"/>
  <c r="AR38" i="7"/>
  <c r="BI38" i="7" s="1"/>
  <c r="AJ38" i="7"/>
  <c r="AL38" i="7"/>
  <c r="AK38" i="7"/>
  <c r="DQ92" i="7"/>
  <c r="M82" i="32" s="1"/>
  <c r="M81" i="32"/>
  <c r="EO94" i="7"/>
  <c r="EC94" i="7"/>
  <c r="DW94" i="7"/>
  <c r="EA95" i="7"/>
  <c r="DZ95" i="7"/>
  <c r="EB97" i="7"/>
  <c r="DX97" i="7"/>
  <c r="BC96" i="7"/>
  <c r="E86" i="32"/>
  <c r="AY96" i="7"/>
  <c r="DN92" i="7"/>
  <c r="L82" i="32" s="1"/>
  <c r="DK92" i="7"/>
  <c r="K82" i="32" s="1"/>
  <c r="BB96" i="7"/>
  <c r="BA96" i="7"/>
  <c r="M97" i="7"/>
  <c r="AG97" i="7" s="1"/>
  <c r="DV97" i="7"/>
  <c r="AX96" i="7"/>
  <c r="BY124" i="7"/>
  <c r="CT124" i="7" s="1"/>
  <c r="BX124" i="7"/>
  <c r="CS124" i="7" s="1"/>
  <c r="BW126" i="7"/>
  <c r="CR126" i="7" s="1"/>
  <c r="AU94" i="7"/>
  <c r="AW94" i="7"/>
  <c r="AV94" i="7"/>
  <c r="AT94" i="7"/>
  <c r="CM115" i="7"/>
  <c r="DH115" i="7" s="1"/>
  <c r="DL93" i="7"/>
  <c r="DO93" i="7"/>
  <c r="DO94" i="7" s="1"/>
  <c r="DO95" i="7" s="1"/>
  <c r="DP91" i="7"/>
  <c r="DP92" i="7" s="1"/>
  <c r="DP93" i="7" s="1"/>
  <c r="DP94" i="7" s="1"/>
  <c r="DP95" i="7" s="1"/>
  <c r="DM91" i="7"/>
  <c r="DM92" i="7" s="1"/>
  <c r="DM93" i="7" s="1"/>
  <c r="DM94" i="7" s="1"/>
  <c r="DM95" i="7" s="1"/>
  <c r="BZ104" i="7"/>
  <c r="CU104" i="7" s="1"/>
  <c r="CC109" i="7"/>
  <c r="CX109" i="7" s="1"/>
  <c r="AI91" i="7"/>
  <c r="DR93" i="7"/>
  <c r="DR94" i="7" s="1"/>
  <c r="DR95" i="7" s="1"/>
  <c r="AI93" i="7"/>
  <c r="AI95" i="7"/>
  <c r="BN95" i="7"/>
  <c r="CH96" i="7"/>
  <c r="DC96" i="7" s="1"/>
  <c r="DJ93" i="7"/>
  <c r="BD93" i="7"/>
  <c r="BE93" i="7"/>
  <c r="BF93" i="7"/>
  <c r="AF96" i="7"/>
  <c r="AG96" i="7"/>
  <c r="AH96" i="7"/>
  <c r="CI94" i="7"/>
  <c r="DD94" i="7" s="1"/>
  <c r="DS93" i="7"/>
  <c r="P93" i="7" s="1"/>
  <c r="BT95" i="7"/>
  <c r="CO95" i="7" s="1"/>
  <c r="BS98" i="7"/>
  <c r="CN98" i="7" s="1"/>
  <c r="BF91" i="7"/>
  <c r="BD91" i="7"/>
  <c r="BE91" i="7"/>
  <c r="DI91" i="7"/>
  <c r="AE98" i="7"/>
  <c r="AE97" i="7"/>
  <c r="CA100" i="7"/>
  <c r="CV100" i="7" s="1"/>
  <c r="BV100" i="7"/>
  <c r="CQ100" i="7" s="1"/>
  <c r="BU103" i="7"/>
  <c r="CP103" i="7" s="1"/>
  <c r="CG100" i="7"/>
  <c r="DB100" i="7" s="1"/>
  <c r="CF100" i="7"/>
  <c r="DA100" i="7" s="1"/>
  <c r="CE100" i="7"/>
  <c r="CZ100" i="7" s="1"/>
  <c r="CJ127" i="7"/>
  <c r="DE127" i="7" s="1"/>
  <c r="EF94" i="7" l="1"/>
  <c r="AO100" i="7"/>
  <c r="AM100" i="7"/>
  <c r="CK105" i="7"/>
  <c r="DF105" i="7" s="1"/>
  <c r="CB96" i="7"/>
  <c r="CW96" i="7" s="1"/>
  <c r="C38" i="7"/>
  <c r="BJ38" i="7"/>
  <c r="BL38" i="7"/>
  <c r="E38" i="7"/>
  <c r="D38" i="7"/>
  <c r="BK38" i="7"/>
  <c r="EN104" i="7"/>
  <c r="AF97" i="7"/>
  <c r="AI97" i="7" s="1"/>
  <c r="DQ93" i="7"/>
  <c r="DQ94" i="7" s="1"/>
  <c r="BB97" i="7"/>
  <c r="DN93" i="7"/>
  <c r="L83" i="32" s="1"/>
  <c r="AH97" i="7"/>
  <c r="DK93" i="7"/>
  <c r="K83" i="32" s="1"/>
  <c r="EB98" i="7"/>
  <c r="DX98" i="7"/>
  <c r="EO95" i="7"/>
  <c r="EC95" i="7"/>
  <c r="DW95" i="7"/>
  <c r="DZ96" i="7"/>
  <c r="EA96" i="7"/>
  <c r="BA97" i="7"/>
  <c r="E87" i="32"/>
  <c r="AY97" i="7"/>
  <c r="M98" i="7"/>
  <c r="BA98" i="7" s="1"/>
  <c r="DV98" i="7"/>
  <c r="BC97" i="7"/>
  <c r="AX97" i="7"/>
  <c r="AZ97" i="7"/>
  <c r="BX125" i="7"/>
  <c r="CS125" i="7" s="1"/>
  <c r="BY125" i="7"/>
  <c r="CT125" i="7" s="1"/>
  <c r="BW127" i="7"/>
  <c r="CR127" i="7" s="1"/>
  <c r="AW95" i="7"/>
  <c r="AU95" i="7"/>
  <c r="AT95" i="7"/>
  <c r="AV95" i="7"/>
  <c r="AN100" i="7"/>
  <c r="CM116" i="7"/>
  <c r="DH116" i="7" s="1"/>
  <c r="DL94" i="7"/>
  <c r="BP91" i="7"/>
  <c r="BQ91" i="7" s="1"/>
  <c r="H91" i="7" s="1"/>
  <c r="DO96" i="7"/>
  <c r="CC110" i="7"/>
  <c r="CX110" i="7" s="1"/>
  <c r="DJ94" i="7"/>
  <c r="DM96" i="7"/>
  <c r="DP96" i="7"/>
  <c r="DI92" i="7"/>
  <c r="BP92" i="7" s="1"/>
  <c r="BT96" i="7"/>
  <c r="CO96" i="7" s="1"/>
  <c r="BN96" i="7"/>
  <c r="CH97" i="7"/>
  <c r="DC97" i="7" s="1"/>
  <c r="BD94" i="7"/>
  <c r="BF94" i="7"/>
  <c r="BE94" i="7"/>
  <c r="BO93" i="7"/>
  <c r="DS94" i="7"/>
  <c r="P94" i="7" s="1"/>
  <c r="CI95" i="7"/>
  <c r="DD95" i="7" s="1"/>
  <c r="BS99" i="7"/>
  <c r="CN99" i="7" s="1"/>
  <c r="AI96" i="7"/>
  <c r="DR96" i="7"/>
  <c r="BU104" i="7"/>
  <c r="CP104" i="7" s="1"/>
  <c r="CF101" i="7"/>
  <c r="DA101" i="7" s="1"/>
  <c r="CE101" i="7"/>
  <c r="CZ101" i="7" s="1"/>
  <c r="CJ128" i="7"/>
  <c r="DE128" i="7" s="1"/>
  <c r="EF95" i="7" l="1"/>
  <c r="CK106" i="7"/>
  <c r="DF106" i="7" s="1"/>
  <c r="AN101" i="7"/>
  <c r="AM101" i="7"/>
  <c r="CB97" i="7"/>
  <c r="CW97" i="7" s="1"/>
  <c r="F38" i="7"/>
  <c r="DN94" i="7"/>
  <c r="L84" i="32" s="1"/>
  <c r="BM38" i="7"/>
  <c r="DK94" i="7"/>
  <c r="K84" i="32" s="1"/>
  <c r="M83" i="32"/>
  <c r="DP97" i="7"/>
  <c r="DP98" i="7" s="1"/>
  <c r="DM97" i="7"/>
  <c r="DQ95" i="7"/>
  <c r="M84" i="32"/>
  <c r="AZ98" i="7"/>
  <c r="EB99" i="7"/>
  <c r="DX99" i="7"/>
  <c r="EA97" i="7"/>
  <c r="DZ97" i="7"/>
  <c r="EO96" i="7"/>
  <c r="EC96" i="7"/>
  <c r="DW96" i="7"/>
  <c r="BC98" i="7"/>
  <c r="AY98" i="7"/>
  <c r="BB98" i="7"/>
  <c r="AX98" i="7"/>
  <c r="E88" i="32"/>
  <c r="DO97" i="7"/>
  <c r="DR97" i="7"/>
  <c r="M99" i="7"/>
  <c r="BA99" i="7" s="1"/>
  <c r="DV99" i="7"/>
  <c r="BY126" i="7"/>
  <c r="CT126" i="7" s="1"/>
  <c r="BX126" i="7"/>
  <c r="CS126" i="7" s="1"/>
  <c r="BW128" i="7"/>
  <c r="CR128" i="7" s="1"/>
  <c r="AU96" i="7"/>
  <c r="AW96" i="7"/>
  <c r="AT96" i="7"/>
  <c r="AV96" i="7"/>
  <c r="CM117" i="7"/>
  <c r="DH117" i="7" s="1"/>
  <c r="DL95" i="7"/>
  <c r="CC111" i="7"/>
  <c r="CX111" i="7" s="1"/>
  <c r="G91" i="7"/>
  <c r="AG98" i="7" s="1"/>
  <c r="DJ95" i="7"/>
  <c r="DK95" i="7"/>
  <c r="K85" i="32" s="1"/>
  <c r="BE95" i="7"/>
  <c r="BF95" i="7"/>
  <c r="BD95" i="7"/>
  <c r="BT97" i="7"/>
  <c r="CO97" i="7" s="1"/>
  <c r="BQ92" i="7"/>
  <c r="H92" i="7" s="1"/>
  <c r="DI93" i="7"/>
  <c r="BP93" i="7" s="1"/>
  <c r="AH98" i="7"/>
  <c r="AF98" i="7"/>
  <c r="BO94" i="7"/>
  <c r="CI96" i="7"/>
  <c r="DD96" i="7" s="1"/>
  <c r="DS95" i="7"/>
  <c r="P95" i="7" s="1"/>
  <c r="BN97" i="7"/>
  <c r="CH98" i="7"/>
  <c r="DC98" i="7" s="1"/>
  <c r="BS100" i="7"/>
  <c r="CN100" i="7" s="1"/>
  <c r="BV101" i="7"/>
  <c r="CQ101" i="7" s="1"/>
  <c r="CD101" i="7"/>
  <c r="CY101" i="7" s="1"/>
  <c r="BU105" i="7"/>
  <c r="CP105" i="7" s="1"/>
  <c r="CG101" i="7"/>
  <c r="DB101" i="7" s="1"/>
  <c r="CE102" i="7"/>
  <c r="CZ102" i="7" s="1"/>
  <c r="CJ129" i="7"/>
  <c r="DE129" i="7" s="1"/>
  <c r="AM102" i="7" l="1"/>
  <c r="CK107" i="7"/>
  <c r="DF107" i="7" s="1"/>
  <c r="EF96" i="7"/>
  <c r="CB98" i="7"/>
  <c r="CW98" i="7" s="1"/>
  <c r="DN95" i="7"/>
  <c r="L85" i="32" s="1"/>
  <c r="B38" i="7"/>
  <c r="P38" i="7"/>
  <c r="M85" i="32"/>
  <c r="DQ96" i="7"/>
  <c r="DR98" i="7"/>
  <c r="DZ98" i="7"/>
  <c r="EA98" i="7"/>
  <c r="EO97" i="7"/>
  <c r="EC97" i="7"/>
  <c r="DW97" i="7"/>
  <c r="EB100" i="7"/>
  <c r="DX100" i="7"/>
  <c r="BB99" i="7"/>
  <c r="AX99" i="7"/>
  <c r="BC99" i="7"/>
  <c r="E89" i="32"/>
  <c r="AZ99" i="7"/>
  <c r="AY99" i="7"/>
  <c r="DV100" i="7"/>
  <c r="BX127" i="7"/>
  <c r="CS127" i="7" s="1"/>
  <c r="BY127" i="7"/>
  <c r="CT127" i="7" s="1"/>
  <c r="BW129" i="7"/>
  <c r="CR129" i="7" s="1"/>
  <c r="AW97" i="7"/>
  <c r="AT97" i="7"/>
  <c r="AU97" i="7"/>
  <c r="AV97" i="7"/>
  <c r="AO101" i="7"/>
  <c r="M100" i="7"/>
  <c r="E90" i="32" s="1"/>
  <c r="DO98" i="7"/>
  <c r="CM118" i="7"/>
  <c r="DH118" i="7" s="1"/>
  <c r="DL96" i="7"/>
  <c r="DM98" i="7"/>
  <c r="CC112" i="7"/>
  <c r="CX112" i="7" s="1"/>
  <c r="G92" i="7"/>
  <c r="BS101" i="7"/>
  <c r="CN101" i="7" s="1"/>
  <c r="DJ96" i="7"/>
  <c r="DK96" i="7"/>
  <c r="K86" i="32" s="1"/>
  <c r="BN98" i="7"/>
  <c r="CH99" i="7"/>
  <c r="DC99" i="7" s="1"/>
  <c r="BF96" i="7"/>
  <c r="BD96" i="7"/>
  <c r="BE96" i="7"/>
  <c r="BT98" i="7"/>
  <c r="CO98" i="7" s="1"/>
  <c r="AI98" i="7"/>
  <c r="BQ93" i="7"/>
  <c r="H93" i="7" s="1"/>
  <c r="DI94" i="7"/>
  <c r="BP94" i="7" s="1"/>
  <c r="BO95" i="7"/>
  <c r="DS96" i="7"/>
  <c r="P96" i="7" s="1"/>
  <c r="CI97" i="7"/>
  <c r="DD97" i="7" s="1"/>
  <c r="CF102" i="7"/>
  <c r="DA102" i="7" s="1"/>
  <c r="CD102" i="7"/>
  <c r="CY102" i="7" s="1"/>
  <c r="BU106" i="7"/>
  <c r="CP106" i="7" s="1"/>
  <c r="CJ130" i="7"/>
  <c r="DE130" i="7" s="1"/>
  <c r="CK108" i="7" l="1"/>
  <c r="DF108" i="7" s="1"/>
  <c r="EF97" i="7"/>
  <c r="BO96" i="7"/>
  <c r="CB99" i="7"/>
  <c r="CW99" i="7" s="1"/>
  <c r="DN96" i="7"/>
  <c r="L86" i="32" s="1"/>
  <c r="N39" i="7"/>
  <c r="D28" i="32"/>
  <c r="DQ97" i="7"/>
  <c r="M86" i="32"/>
  <c r="EO98" i="7"/>
  <c r="EC98" i="7"/>
  <c r="DW98" i="7"/>
  <c r="EA99" i="7"/>
  <c r="DZ99" i="7"/>
  <c r="DV101" i="7"/>
  <c r="BY128" i="7"/>
  <c r="CT128" i="7" s="1"/>
  <c r="BX128" i="7"/>
  <c r="CS128" i="7" s="1"/>
  <c r="BW130" i="7"/>
  <c r="CR130" i="7" s="1"/>
  <c r="AU98" i="7"/>
  <c r="AW98" i="7"/>
  <c r="AT98" i="7"/>
  <c r="AV98" i="7"/>
  <c r="AY100" i="7"/>
  <c r="BC100" i="7"/>
  <c r="AZ100" i="7"/>
  <c r="BA100" i="7"/>
  <c r="BB100" i="7"/>
  <c r="AX100" i="7"/>
  <c r="AN102" i="7"/>
  <c r="M101" i="7"/>
  <c r="E91" i="32" s="1"/>
  <c r="CM119" i="7"/>
  <c r="DH119" i="7" s="1"/>
  <c r="DL97" i="7"/>
  <c r="BS102" i="7"/>
  <c r="CN102" i="7" s="1"/>
  <c r="CC113" i="7"/>
  <c r="CX113" i="7" s="1"/>
  <c r="G93" i="7"/>
  <c r="DJ97" i="7"/>
  <c r="AC99" i="7"/>
  <c r="AB99" i="7"/>
  <c r="AD99" i="7"/>
  <c r="DK97" i="7"/>
  <c r="K87" i="32" s="1"/>
  <c r="BT99" i="7"/>
  <c r="CO99" i="7" s="1"/>
  <c r="BQ94" i="7"/>
  <c r="H94" i="7" s="1"/>
  <c r="DI95" i="7"/>
  <c r="BP95" i="7" s="1"/>
  <c r="BE97" i="7"/>
  <c r="BF97" i="7"/>
  <c r="BD97" i="7"/>
  <c r="DS97" i="7"/>
  <c r="P97" i="7" s="1"/>
  <c r="CI98" i="7"/>
  <c r="DD98" i="7" s="1"/>
  <c r="BN99" i="7"/>
  <c r="CH100" i="7"/>
  <c r="DC100" i="7" s="1"/>
  <c r="CF103" i="7"/>
  <c r="DA103" i="7" s="1"/>
  <c r="CG102" i="7"/>
  <c r="DB102" i="7" s="1"/>
  <c r="BU107" i="7"/>
  <c r="CP107" i="7" s="1"/>
  <c r="CJ131" i="7"/>
  <c r="DE131" i="7" s="1"/>
  <c r="EF98" i="7" l="1"/>
  <c r="CB100" i="7"/>
  <c r="CW100" i="7" s="1"/>
  <c r="DN97" i="7"/>
  <c r="L87" i="32" s="1"/>
  <c r="AP39" i="7"/>
  <c r="BG39" i="7" s="1"/>
  <c r="AQ39" i="7"/>
  <c r="BH39" i="7" s="1"/>
  <c r="AR39" i="7"/>
  <c r="BI39" i="7" s="1"/>
  <c r="F28" i="32"/>
  <c r="G28" i="32" s="1"/>
  <c r="P28" i="32" s="1"/>
  <c r="Q28" i="32" s="1"/>
  <c r="AL39" i="7"/>
  <c r="AJ39" i="7"/>
  <c r="AK39" i="7"/>
  <c r="M87" i="32"/>
  <c r="DQ98" i="7"/>
  <c r="M88" i="32" s="1"/>
  <c r="CA101" i="7"/>
  <c r="CV101" i="7" s="1"/>
  <c r="EA100" i="7"/>
  <c r="DZ100" i="7"/>
  <c r="EO99" i="7"/>
  <c r="EC99" i="7"/>
  <c r="DW99" i="7"/>
  <c r="DV102" i="7"/>
  <c r="BX129" i="7"/>
  <c r="CS129" i="7" s="1"/>
  <c r="BY129" i="7"/>
  <c r="CT129" i="7" s="1"/>
  <c r="BW131" i="7"/>
  <c r="CR131" i="7" s="1"/>
  <c r="AW99" i="7"/>
  <c r="AU99" i="7"/>
  <c r="AT99" i="7"/>
  <c r="AV99" i="7"/>
  <c r="BA101" i="7"/>
  <c r="AX101" i="7"/>
  <c r="BB101" i="7"/>
  <c r="AY101" i="7"/>
  <c r="AZ101" i="7"/>
  <c r="BC101" i="7"/>
  <c r="AO102" i="7"/>
  <c r="BS103" i="7"/>
  <c r="CN103" i="7" s="1"/>
  <c r="M102" i="7"/>
  <c r="E92" i="32" s="1"/>
  <c r="AN103" i="7"/>
  <c r="CM120" i="7"/>
  <c r="DH120" i="7" s="1"/>
  <c r="DL98" i="7"/>
  <c r="DO99" i="7"/>
  <c r="CC114" i="7"/>
  <c r="CX114" i="7" s="1"/>
  <c r="G94" i="7"/>
  <c r="DJ98" i="7"/>
  <c r="DK98" i="7"/>
  <c r="K88" i="32" s="1"/>
  <c r="AH99" i="7"/>
  <c r="AE99" i="7"/>
  <c r="AF99" i="7"/>
  <c r="DR99" i="7"/>
  <c r="AG99" i="7"/>
  <c r="AD100" i="7"/>
  <c r="AC100" i="7"/>
  <c r="AB100" i="7"/>
  <c r="BN100" i="7"/>
  <c r="CH101" i="7"/>
  <c r="DC101" i="7" s="1"/>
  <c r="BO97" i="7"/>
  <c r="DS98" i="7"/>
  <c r="P98" i="7" s="1"/>
  <c r="CI99" i="7"/>
  <c r="DD99" i="7" s="1"/>
  <c r="DI96" i="7"/>
  <c r="BP96" i="7" s="1"/>
  <c r="BQ95" i="7"/>
  <c r="H95" i="7" s="1"/>
  <c r="BT100" i="7"/>
  <c r="CO100" i="7" s="1"/>
  <c r="BE98" i="7"/>
  <c r="BF98" i="7"/>
  <c r="BD98" i="7"/>
  <c r="CF104" i="7"/>
  <c r="DA104" i="7" s="1"/>
  <c r="CG103" i="7"/>
  <c r="DB103" i="7" s="1"/>
  <c r="CD103" i="7"/>
  <c r="CY103" i="7" s="1"/>
  <c r="BU108" i="7"/>
  <c r="CP108" i="7" s="1"/>
  <c r="CJ132" i="7"/>
  <c r="DE132" i="7" s="1"/>
  <c r="AO103" i="7" l="1"/>
  <c r="EF99" i="7"/>
  <c r="BO98" i="7"/>
  <c r="DN98" i="7"/>
  <c r="L88" i="32" s="1"/>
  <c r="CB101" i="7"/>
  <c r="CW101" i="7" s="1"/>
  <c r="BS104" i="7"/>
  <c r="CN104" i="7" s="1"/>
  <c r="DQ99" i="7"/>
  <c r="M89" i="32" s="1"/>
  <c r="C39" i="7"/>
  <c r="BJ39" i="7"/>
  <c r="BK39" i="7"/>
  <c r="D39" i="7"/>
  <c r="BL39" i="7"/>
  <c r="E39" i="7"/>
  <c r="CA102" i="7"/>
  <c r="CV102" i="7" s="1"/>
  <c r="DZ101" i="7"/>
  <c r="EA101" i="7"/>
  <c r="EO100" i="7"/>
  <c r="EC100" i="7"/>
  <c r="DW100" i="7"/>
  <c r="DX101" i="7"/>
  <c r="EB101" i="7"/>
  <c r="M103" i="7"/>
  <c r="E93" i="32" s="1"/>
  <c r="DV103" i="7"/>
  <c r="BY130" i="7"/>
  <c r="CT130" i="7" s="1"/>
  <c r="BX130" i="7"/>
  <c r="CS130" i="7" s="1"/>
  <c r="BW132" i="7"/>
  <c r="CR132" i="7" s="1"/>
  <c r="AU100" i="7"/>
  <c r="AW100" i="7"/>
  <c r="AT100" i="7"/>
  <c r="AV100" i="7"/>
  <c r="AY102" i="7"/>
  <c r="AZ102" i="7"/>
  <c r="AX102" i="7"/>
  <c r="BA102" i="7"/>
  <c r="AN104" i="7"/>
  <c r="CM121" i="7"/>
  <c r="DH121" i="7" s="1"/>
  <c r="DL99" i="7"/>
  <c r="DO100" i="7"/>
  <c r="DM99" i="7"/>
  <c r="DP99" i="7"/>
  <c r="DJ99" i="7"/>
  <c r="CC115" i="7"/>
  <c r="CX115" i="7" s="1"/>
  <c r="G95" i="7"/>
  <c r="DK99" i="7"/>
  <c r="K89" i="32" s="1"/>
  <c r="AI99" i="7"/>
  <c r="AG100" i="7"/>
  <c r="DR100" i="7"/>
  <c r="AE100" i="7"/>
  <c r="AF100" i="7"/>
  <c r="AH100" i="7"/>
  <c r="BT101" i="7"/>
  <c r="CO101" i="7" s="1"/>
  <c r="DI97" i="7"/>
  <c r="BP97" i="7" s="1"/>
  <c r="BQ96" i="7"/>
  <c r="H96" i="7" s="1"/>
  <c r="BN101" i="7"/>
  <c r="DS99" i="7"/>
  <c r="P99" i="7" s="1"/>
  <c r="CI100" i="7"/>
  <c r="DD100" i="7" s="1"/>
  <c r="BD99" i="7"/>
  <c r="BF99" i="7"/>
  <c r="BE99" i="7"/>
  <c r="CE103" i="7"/>
  <c r="CZ103" i="7" s="1"/>
  <c r="CG104" i="7"/>
  <c r="DB104" i="7" s="1"/>
  <c r="BU109" i="7"/>
  <c r="CP109" i="7" s="1"/>
  <c r="CJ133" i="7"/>
  <c r="DE133" i="7" s="1"/>
  <c r="DN99" i="7" l="1"/>
  <c r="L89" i="32" s="1"/>
  <c r="AM103" i="7"/>
  <c r="EF100" i="7"/>
  <c r="BO99" i="7"/>
  <c r="M104" i="7"/>
  <c r="E94" i="32" s="1"/>
  <c r="CB102" i="7"/>
  <c r="CW102" i="7" s="1"/>
  <c r="DV104" i="7"/>
  <c r="BS105" i="7"/>
  <c r="CN105" i="7" s="1"/>
  <c r="DN100" i="7"/>
  <c r="L90" i="32" s="1"/>
  <c r="F39" i="7"/>
  <c r="BM39" i="7"/>
  <c r="DQ100" i="7"/>
  <c r="M90" i="32" s="1"/>
  <c r="EB102" i="7"/>
  <c r="DX102" i="7"/>
  <c r="AX103" i="7"/>
  <c r="BA103" i="7"/>
  <c r="AZ103" i="7"/>
  <c r="AY103" i="7"/>
  <c r="EO101" i="7"/>
  <c r="EC101" i="7"/>
  <c r="DW101" i="7"/>
  <c r="AX104" i="7"/>
  <c r="AZ104" i="7"/>
  <c r="AY104" i="7"/>
  <c r="BX131" i="7"/>
  <c r="CS131" i="7" s="1"/>
  <c r="BY131" i="7"/>
  <c r="CT131" i="7" s="1"/>
  <c r="BW133" i="7"/>
  <c r="CR133" i="7" s="1"/>
  <c r="AW101" i="7"/>
  <c r="AU101" i="7"/>
  <c r="AV101" i="7"/>
  <c r="AT101" i="7"/>
  <c r="AO104" i="7"/>
  <c r="CM122" i="7"/>
  <c r="DH122" i="7" s="1"/>
  <c r="DP100" i="7"/>
  <c r="DL100" i="7"/>
  <c r="DJ100" i="7"/>
  <c r="DM100" i="7"/>
  <c r="CC116" i="7"/>
  <c r="CX116" i="7" s="1"/>
  <c r="G96" i="7"/>
  <c r="DK100" i="7"/>
  <c r="K90" i="32" s="1"/>
  <c r="AI100" i="7"/>
  <c r="DS100" i="7"/>
  <c r="P100" i="7" s="1"/>
  <c r="CI101" i="7"/>
  <c r="DD101" i="7" s="1"/>
  <c r="BV102" i="7"/>
  <c r="CQ102" i="7" s="1"/>
  <c r="CH102" i="7"/>
  <c r="DC102" i="7" s="1"/>
  <c r="AB101" i="7"/>
  <c r="AD101" i="7"/>
  <c r="AC101" i="7"/>
  <c r="DI98" i="7"/>
  <c r="BP98" i="7" s="1"/>
  <c r="BQ97" i="7"/>
  <c r="H97" i="7" s="1"/>
  <c r="BE100" i="7"/>
  <c r="BF100" i="7"/>
  <c r="BD100" i="7"/>
  <c r="BT102" i="7"/>
  <c r="CO102" i="7" s="1"/>
  <c r="CD104" i="7"/>
  <c r="CY104" i="7" s="1"/>
  <c r="CE104" i="7"/>
  <c r="CZ104" i="7" s="1"/>
  <c r="CG105" i="7"/>
  <c r="DB105" i="7" s="1"/>
  <c r="CF105" i="7"/>
  <c r="DA105" i="7" s="1"/>
  <c r="BU110" i="7"/>
  <c r="CP110" i="7" s="1"/>
  <c r="CJ134" i="7"/>
  <c r="DE134" i="7" s="1"/>
  <c r="BA104" i="7" l="1"/>
  <c r="AM104" i="7"/>
  <c r="EF101" i="7"/>
  <c r="BS106" i="7"/>
  <c r="CN106" i="7" s="1"/>
  <c r="DV105" i="7"/>
  <c r="M105" i="7"/>
  <c r="AZ105" i="7" s="1"/>
  <c r="CB103" i="7"/>
  <c r="CW103" i="7" s="1"/>
  <c r="B39" i="7"/>
  <c r="P39" i="7"/>
  <c r="EO102" i="7"/>
  <c r="EC102" i="7"/>
  <c r="DW102" i="7"/>
  <c r="CA103" i="7"/>
  <c r="CV103" i="7" s="1"/>
  <c r="DZ102" i="7"/>
  <c r="EA102" i="7"/>
  <c r="M106" i="7"/>
  <c r="AY106" i="7" s="1"/>
  <c r="DV106" i="7"/>
  <c r="BY132" i="7"/>
  <c r="CT132" i="7" s="1"/>
  <c r="BX132" i="7"/>
  <c r="CS132" i="7" s="1"/>
  <c r="BW134" i="7"/>
  <c r="CR134" i="7" s="1"/>
  <c r="BC102" i="7"/>
  <c r="BB102" i="7"/>
  <c r="AV102" i="7"/>
  <c r="AT102" i="7"/>
  <c r="AU102" i="7"/>
  <c r="AW102" i="7"/>
  <c r="AO105" i="7"/>
  <c r="CF106" i="7"/>
  <c r="DA106" i="7" s="1"/>
  <c r="AN105" i="7"/>
  <c r="CM123" i="7"/>
  <c r="DH123" i="7" s="1"/>
  <c r="DK101" i="7"/>
  <c r="K91" i="32" s="1"/>
  <c r="DL101" i="7"/>
  <c r="DO101" i="7"/>
  <c r="CC117" i="7"/>
  <c r="CX117" i="7" s="1"/>
  <c r="G97" i="7"/>
  <c r="AG101" i="7"/>
  <c r="AH101" i="7"/>
  <c r="AF101" i="7"/>
  <c r="AE101" i="7"/>
  <c r="BQ98" i="7"/>
  <c r="H98" i="7" s="1"/>
  <c r="DI99" i="7"/>
  <c r="BP99" i="7" s="1"/>
  <c r="BO100" i="7"/>
  <c r="CI102" i="7"/>
  <c r="DD102" i="7" s="1"/>
  <c r="DS101" i="7"/>
  <c r="P101" i="7" s="1"/>
  <c r="BT103" i="7"/>
  <c r="CO103" i="7" s="1"/>
  <c r="DM101" i="7"/>
  <c r="DN101" i="7"/>
  <c r="L91" i="32" s="1"/>
  <c r="DQ101" i="7"/>
  <c r="M91" i="32" s="1"/>
  <c r="DR101" i="7"/>
  <c r="DJ101" i="7"/>
  <c r="BN102" i="7"/>
  <c r="CH103" i="7"/>
  <c r="DC103" i="7" s="1"/>
  <c r="CG106" i="7"/>
  <c r="DB106" i="7" s="1"/>
  <c r="CE105" i="7"/>
  <c r="CZ105" i="7" s="1"/>
  <c r="BU111" i="7"/>
  <c r="CP111" i="7" s="1"/>
  <c r="CJ135" i="7"/>
  <c r="DE135" i="7" s="1"/>
  <c r="AM105" i="7" l="1"/>
  <c r="CF107" i="7"/>
  <c r="DA107" i="7" s="1"/>
  <c r="EF102" i="7"/>
  <c r="E95" i="32"/>
  <c r="BA105" i="7"/>
  <c r="AX105" i="7"/>
  <c r="AY105" i="7"/>
  <c r="CB104" i="7"/>
  <c r="CW104" i="7" s="1"/>
  <c r="D29" i="32"/>
  <c r="N40" i="7"/>
  <c r="CA104" i="7"/>
  <c r="CV104" i="7" s="1"/>
  <c r="EB103" i="7"/>
  <c r="DX103" i="7"/>
  <c r="DW103" i="7"/>
  <c r="EB104" i="7"/>
  <c r="EA103" i="7"/>
  <c r="DZ103" i="7"/>
  <c r="EO103" i="7"/>
  <c r="EC103" i="7"/>
  <c r="AX106" i="7"/>
  <c r="BA106" i="7"/>
  <c r="E96" i="32"/>
  <c r="AZ106" i="7"/>
  <c r="BX133" i="7"/>
  <c r="CS133" i="7" s="1"/>
  <c r="BY133" i="7"/>
  <c r="CT133" i="7" s="1"/>
  <c r="BW135" i="7"/>
  <c r="CR135" i="7" s="1"/>
  <c r="AW103" i="7"/>
  <c r="AU103" i="7"/>
  <c r="AT103" i="7"/>
  <c r="AV103" i="7"/>
  <c r="AN107" i="7"/>
  <c r="AN106" i="7"/>
  <c r="AO106" i="7"/>
  <c r="CM124" i="7"/>
  <c r="DH124" i="7" s="1"/>
  <c r="DP101" i="7"/>
  <c r="CC118" i="7"/>
  <c r="CX118" i="7" s="1"/>
  <c r="G98" i="7"/>
  <c r="AI101" i="7"/>
  <c r="CD105" i="7"/>
  <c r="CY105" i="7" s="1"/>
  <c r="BQ99" i="7"/>
  <c r="H99" i="7" s="1"/>
  <c r="DI100" i="7"/>
  <c r="BT104" i="7"/>
  <c r="CO104" i="7" s="1"/>
  <c r="BE101" i="7"/>
  <c r="BF101" i="7"/>
  <c r="BD101" i="7"/>
  <c r="BV103" i="7"/>
  <c r="CQ103" i="7" s="1"/>
  <c r="AB102" i="7"/>
  <c r="AC102" i="7"/>
  <c r="AD102" i="7"/>
  <c r="BN103" i="7"/>
  <c r="CH104" i="7"/>
  <c r="DC104" i="7" s="1"/>
  <c r="DS102" i="7"/>
  <c r="BO101" i="7"/>
  <c r="CI103" i="7"/>
  <c r="DD103" i="7" s="1"/>
  <c r="CE106" i="7"/>
  <c r="CZ106" i="7" s="1"/>
  <c r="BU112" i="7"/>
  <c r="CP112" i="7" s="1"/>
  <c r="BS107" i="7"/>
  <c r="CN107" i="7" s="1"/>
  <c r="CG107" i="7"/>
  <c r="DB107" i="7" s="1"/>
  <c r="CF108" i="7"/>
  <c r="DA108" i="7" s="1"/>
  <c r="CJ136" i="7"/>
  <c r="DE136" i="7" s="1"/>
  <c r="DX104" i="7" l="1"/>
  <c r="AN108" i="7"/>
  <c r="EF103" i="7"/>
  <c r="CB105" i="7"/>
  <c r="CW105" i="7" s="1"/>
  <c r="AP40" i="7"/>
  <c r="BG40" i="7" s="1"/>
  <c r="AQ40" i="7"/>
  <c r="BH40" i="7" s="1"/>
  <c r="AR40" i="7"/>
  <c r="BI40" i="7" s="1"/>
  <c r="F29" i="32"/>
  <c r="G29" i="32" s="1"/>
  <c r="P29" i="32" s="1"/>
  <c r="Q29" i="32" s="1"/>
  <c r="AL40" i="7"/>
  <c r="AK40" i="7"/>
  <c r="AJ40" i="7"/>
  <c r="P102" i="7"/>
  <c r="EO104" i="7"/>
  <c r="EC104" i="7"/>
  <c r="DW104" i="7"/>
  <c r="BZ105" i="7"/>
  <c r="CU105" i="7" s="1"/>
  <c r="EA104" i="7"/>
  <c r="DZ104" i="7"/>
  <c r="M107" i="7"/>
  <c r="BA107" i="7" s="1"/>
  <c r="DV107" i="7"/>
  <c r="BY134" i="7"/>
  <c r="CT134" i="7" s="1"/>
  <c r="BX134" i="7"/>
  <c r="CS134" i="7" s="1"/>
  <c r="BW136" i="7"/>
  <c r="CR136" i="7" s="1"/>
  <c r="BB103" i="7"/>
  <c r="BC103" i="7"/>
  <c r="AU104" i="7"/>
  <c r="AW104" i="7"/>
  <c r="AT104" i="7"/>
  <c r="AV104" i="7"/>
  <c r="CE107" i="7"/>
  <c r="CZ107" i="7" s="1"/>
  <c r="AM106" i="7"/>
  <c r="CG108" i="7"/>
  <c r="DB108" i="7" s="1"/>
  <c r="AO107" i="7"/>
  <c r="CM125" i="7"/>
  <c r="DH125" i="7" s="1"/>
  <c r="DK102" i="7"/>
  <c r="K92" i="32" s="1"/>
  <c r="DL102" i="7"/>
  <c r="BP100" i="7"/>
  <c r="BQ100" i="7" s="1"/>
  <c r="H100" i="7" s="1"/>
  <c r="DO102" i="7"/>
  <c r="CC119" i="7"/>
  <c r="CX119" i="7" s="1"/>
  <c r="G99" i="7"/>
  <c r="DR102" i="7"/>
  <c r="DJ102" i="7"/>
  <c r="DQ102" i="7"/>
  <c r="M92" i="32" s="1"/>
  <c r="DP102" i="7"/>
  <c r="DN102" i="7"/>
  <c r="L92" i="32" s="1"/>
  <c r="DM102" i="7"/>
  <c r="AH102" i="7"/>
  <c r="AF102" i="7"/>
  <c r="AE102" i="7"/>
  <c r="BN104" i="7"/>
  <c r="CH105" i="7"/>
  <c r="DC105" i="7" s="1"/>
  <c r="DI101" i="7"/>
  <c r="DS103" i="7"/>
  <c r="CI104" i="7"/>
  <c r="DD104" i="7" s="1"/>
  <c r="AG102" i="7"/>
  <c r="BT105" i="7"/>
  <c r="CO105" i="7" s="1"/>
  <c r="AB104" i="7"/>
  <c r="AC104" i="7"/>
  <c r="CA105" i="7"/>
  <c r="CV105" i="7" s="1"/>
  <c r="AD104" i="7"/>
  <c r="BU113" i="7"/>
  <c r="CP113" i="7" s="1"/>
  <c r="BS108" i="7"/>
  <c r="CN108" i="7" s="1"/>
  <c r="CF109" i="7"/>
  <c r="DA109" i="7" s="1"/>
  <c r="CJ137" i="7"/>
  <c r="DE137" i="7" s="1"/>
  <c r="AO108" i="7" l="1"/>
  <c r="AN109" i="7"/>
  <c r="EF104" i="7"/>
  <c r="AM107" i="7"/>
  <c r="CB106" i="7"/>
  <c r="CW106" i="7" s="1"/>
  <c r="BJ40" i="7"/>
  <c r="C40" i="7"/>
  <c r="BK40" i="7"/>
  <c r="D40" i="7"/>
  <c r="BL40" i="7"/>
  <c r="E40" i="7"/>
  <c r="BO102" i="7"/>
  <c r="EN105" i="7"/>
  <c r="DZ105" i="7"/>
  <c r="EA105" i="7"/>
  <c r="EO105" i="7"/>
  <c r="EC105" i="7"/>
  <c r="DX105" i="7"/>
  <c r="EB105" i="7"/>
  <c r="DW105" i="7"/>
  <c r="AZ107" i="7"/>
  <c r="AY107" i="7"/>
  <c r="AX107" i="7"/>
  <c r="E97" i="32"/>
  <c r="CG109" i="7"/>
  <c r="DB109" i="7" s="1"/>
  <c r="DV108" i="7"/>
  <c r="BX135" i="7"/>
  <c r="CS135" i="7" s="1"/>
  <c r="BY135" i="7"/>
  <c r="CT135" i="7" s="1"/>
  <c r="BW137" i="7"/>
  <c r="CR137" i="7" s="1"/>
  <c r="CE108" i="7"/>
  <c r="CZ108" i="7" s="1"/>
  <c r="AW105" i="7"/>
  <c r="AV105" i="7"/>
  <c r="AT105" i="7"/>
  <c r="AU105" i="7"/>
  <c r="M108" i="7"/>
  <c r="E98" i="32" s="1"/>
  <c r="CM126" i="7"/>
  <c r="DH126" i="7" s="1"/>
  <c r="G100" i="7"/>
  <c r="BP101" i="7"/>
  <c r="BQ101" i="7" s="1"/>
  <c r="H101" i="7" s="1"/>
  <c r="CC120" i="7"/>
  <c r="CX120" i="7" s="1"/>
  <c r="BZ106" i="7"/>
  <c r="CU106" i="7" s="1"/>
  <c r="CL106" i="7"/>
  <c r="AC105" i="7"/>
  <c r="DI102" i="7"/>
  <c r="BE102" i="7"/>
  <c r="BD102" i="7"/>
  <c r="BF102" i="7"/>
  <c r="BT106" i="7"/>
  <c r="CO106" i="7" s="1"/>
  <c r="CI105" i="7"/>
  <c r="DD105" i="7" s="1"/>
  <c r="DS104" i="7"/>
  <c r="P104" i="7" s="1"/>
  <c r="BV104" i="7"/>
  <c r="CQ104" i="7" s="1"/>
  <c r="AC103" i="7"/>
  <c r="AD103" i="7"/>
  <c r="AB103" i="7"/>
  <c r="P103" i="7" s="1"/>
  <c r="AI102" i="7"/>
  <c r="BN105" i="7"/>
  <c r="AD105" i="7"/>
  <c r="CD106" i="7"/>
  <c r="CY106" i="7" s="1"/>
  <c r="AB105" i="7"/>
  <c r="CH106" i="7"/>
  <c r="DC106" i="7" s="1"/>
  <c r="AH104" i="7"/>
  <c r="CA106" i="7"/>
  <c r="CV106" i="7" s="1"/>
  <c r="AE104" i="7"/>
  <c r="AF104" i="7"/>
  <c r="AG104" i="7"/>
  <c r="BU114" i="7"/>
  <c r="CP114" i="7" s="1"/>
  <c r="CJ138" i="7"/>
  <c r="DE138" i="7" s="1"/>
  <c r="EM106" i="7" l="1"/>
  <c r="DG106" i="7"/>
  <c r="AO109" i="7"/>
  <c r="EF105" i="7"/>
  <c r="AM108" i="7"/>
  <c r="CB107" i="7"/>
  <c r="CW107" i="7" s="1"/>
  <c r="F40" i="7"/>
  <c r="BM40" i="7"/>
  <c r="BZ107" i="7"/>
  <c r="CU107" i="7" s="1"/>
  <c r="EN106" i="7"/>
  <c r="EA106" i="7"/>
  <c r="DZ106" i="7"/>
  <c r="EB106" i="7"/>
  <c r="DX106" i="7"/>
  <c r="DW106" i="7"/>
  <c r="EO106" i="7"/>
  <c r="EC106" i="7"/>
  <c r="BY136" i="7"/>
  <c r="CT136" i="7" s="1"/>
  <c r="CE109" i="7"/>
  <c r="CZ109" i="7" s="1"/>
  <c r="BX136" i="7"/>
  <c r="CS136" i="7" s="1"/>
  <c r="BW138" i="7"/>
  <c r="CR138" i="7" s="1"/>
  <c r="BC104" i="7"/>
  <c r="BB104" i="7"/>
  <c r="AV106" i="7"/>
  <c r="AU106" i="7"/>
  <c r="AW106" i="7"/>
  <c r="AT106" i="7"/>
  <c r="AY108" i="7"/>
  <c r="AZ108" i="7"/>
  <c r="BA108" i="7"/>
  <c r="AX108" i="7"/>
  <c r="CM127" i="7"/>
  <c r="DH127" i="7" s="1"/>
  <c r="G101" i="7"/>
  <c r="DK103" i="7"/>
  <c r="K93" i="32" s="1"/>
  <c r="DL103" i="7"/>
  <c r="DL104" i="7" s="1"/>
  <c r="BP102" i="7"/>
  <c r="BQ102" i="7" s="1"/>
  <c r="H102" i="7" s="1"/>
  <c r="DO103" i="7"/>
  <c r="DO104" i="7" s="1"/>
  <c r="CC121" i="7"/>
  <c r="CX121" i="7" s="1"/>
  <c r="CL107" i="7"/>
  <c r="AG103" i="7"/>
  <c r="AH103" i="7"/>
  <c r="BT107" i="7"/>
  <c r="CO107" i="7" s="1"/>
  <c r="DJ103" i="7"/>
  <c r="DJ104" i="7" s="1"/>
  <c r="DN103" i="7"/>
  <c r="L93" i="32" s="1"/>
  <c r="DR103" i="7"/>
  <c r="DQ103" i="7"/>
  <c r="DM103" i="7"/>
  <c r="DM104" i="7" s="1"/>
  <c r="DI103" i="7"/>
  <c r="DP103" i="7"/>
  <c r="DP104" i="7" s="1"/>
  <c r="DS105" i="7"/>
  <c r="P105" i="7" s="1"/>
  <c r="CI106" i="7"/>
  <c r="DD106" i="7" s="1"/>
  <c r="BO103" i="7"/>
  <c r="BV105" i="7"/>
  <c r="CQ105" i="7" s="1"/>
  <c r="AF103" i="7"/>
  <c r="AE103" i="7"/>
  <c r="AG105" i="7"/>
  <c r="AF105" i="7"/>
  <c r="AE105" i="7"/>
  <c r="AH105" i="7"/>
  <c r="CD107" i="7"/>
  <c r="CY107" i="7" s="1"/>
  <c r="CH107" i="7"/>
  <c r="DC107" i="7" s="1"/>
  <c r="BN106" i="7"/>
  <c r="AI104" i="7"/>
  <c r="BU115" i="7"/>
  <c r="CP115" i="7" s="1"/>
  <c r="BS109" i="7"/>
  <c r="CN109" i="7" s="1"/>
  <c r="CG110" i="7"/>
  <c r="DB110" i="7" s="1"/>
  <c r="CJ139" i="7"/>
  <c r="DE139" i="7" s="1"/>
  <c r="EM107" i="7" l="1"/>
  <c r="DG107" i="7"/>
  <c r="EF106" i="7"/>
  <c r="AM109" i="7"/>
  <c r="EN107" i="7"/>
  <c r="CB108" i="7"/>
  <c r="CW108" i="7" s="1"/>
  <c r="BZ108" i="7"/>
  <c r="CU108" i="7" s="1"/>
  <c r="B40" i="7"/>
  <c r="P40" i="7"/>
  <c r="DQ104" i="7"/>
  <c r="M94" i="32" s="1"/>
  <c r="M93" i="32"/>
  <c r="DZ107" i="7"/>
  <c r="EA107" i="7"/>
  <c r="EO107" i="7"/>
  <c r="EC107" i="7"/>
  <c r="DN104" i="7"/>
  <c r="L94" i="32" s="1"/>
  <c r="DK104" i="7"/>
  <c r="K94" i="32" s="1"/>
  <c r="DV109" i="7"/>
  <c r="CE110" i="7"/>
  <c r="CZ110" i="7" s="1"/>
  <c r="BX137" i="7"/>
  <c r="CS137" i="7" s="1"/>
  <c r="BY137" i="7"/>
  <c r="CT137" i="7" s="1"/>
  <c r="BW139" i="7"/>
  <c r="CR139" i="7" s="1"/>
  <c r="G102" i="7"/>
  <c r="BF104" i="7"/>
  <c r="BB105" i="7"/>
  <c r="BC105" i="7"/>
  <c r="AT107" i="7"/>
  <c r="AV107" i="7"/>
  <c r="AW107" i="7"/>
  <c r="AU107" i="7"/>
  <c r="BS110" i="7"/>
  <c r="CN110" i="7" s="1"/>
  <c r="M109" i="7"/>
  <c r="E99" i="32" s="1"/>
  <c r="AO110" i="7"/>
  <c r="CM128" i="7"/>
  <c r="DH128" i="7" s="1"/>
  <c r="DO105" i="7"/>
  <c r="DL105" i="7"/>
  <c r="BP103" i="7"/>
  <c r="BQ103" i="7" s="1"/>
  <c r="H103" i="7" s="1"/>
  <c r="CC122" i="7"/>
  <c r="CX122" i="7" s="1"/>
  <c r="AI103" i="7"/>
  <c r="DR104" i="7"/>
  <c r="DP105" i="7"/>
  <c r="DI104" i="7"/>
  <c r="BD104" i="7"/>
  <c r="DM105" i="7"/>
  <c r="BO104" i="7"/>
  <c r="BV106" i="7"/>
  <c r="CQ106" i="7" s="1"/>
  <c r="CI107" i="7"/>
  <c r="DD107" i="7" s="1"/>
  <c r="DS106" i="7"/>
  <c r="BF103" i="7"/>
  <c r="BD103" i="7"/>
  <c r="BE103" i="7"/>
  <c r="DJ105" i="7"/>
  <c r="BE104" i="7"/>
  <c r="BT108" i="7"/>
  <c r="CO108" i="7" s="1"/>
  <c r="AI105" i="7"/>
  <c r="BN107" i="7"/>
  <c r="CA107" i="7"/>
  <c r="CV107" i="7" s="1"/>
  <c r="AB106" i="7"/>
  <c r="AD106" i="7"/>
  <c r="AC106" i="7"/>
  <c r="BU116" i="7"/>
  <c r="CP116" i="7" s="1"/>
  <c r="CG111" i="7"/>
  <c r="DB111" i="7" s="1"/>
  <c r="CJ140" i="7"/>
  <c r="DE140" i="7" s="1"/>
  <c r="EF107" i="7" l="1"/>
  <c r="AO111" i="7"/>
  <c r="EN108" i="7"/>
  <c r="AM110" i="7"/>
  <c r="CB109" i="7"/>
  <c r="CW109" i="7" s="1"/>
  <c r="BZ109" i="7"/>
  <c r="CU109" i="7" s="1"/>
  <c r="DN105" i="7"/>
  <c r="L95" i="32" s="1"/>
  <c r="N41" i="7"/>
  <c r="D30" i="32"/>
  <c r="P106" i="7"/>
  <c r="DK105" i="7"/>
  <c r="K95" i="32" s="1"/>
  <c r="DQ105" i="7"/>
  <c r="M95" i="32" s="1"/>
  <c r="CE111" i="7"/>
  <c r="CZ111" i="7" s="1"/>
  <c r="EO108" i="7"/>
  <c r="EC108" i="7"/>
  <c r="DX107" i="7"/>
  <c r="DW107" i="7"/>
  <c r="EB107" i="7"/>
  <c r="BS111" i="7"/>
  <c r="CN111" i="7" s="1"/>
  <c r="DV110" i="7"/>
  <c r="BY138" i="7"/>
  <c r="CT138" i="7" s="1"/>
  <c r="BX138" i="7"/>
  <c r="CS138" i="7" s="1"/>
  <c r="BW140" i="7"/>
  <c r="CR140" i="7" s="1"/>
  <c r="BE105" i="7"/>
  <c r="BC106" i="7"/>
  <c r="BB106" i="7"/>
  <c r="AT108" i="7"/>
  <c r="AV108" i="7"/>
  <c r="AU108" i="7"/>
  <c r="AW108" i="7"/>
  <c r="BA109" i="7"/>
  <c r="AX109" i="7"/>
  <c r="AY109" i="7"/>
  <c r="AZ109" i="7"/>
  <c r="M110" i="7"/>
  <c r="E100" i="32" s="1"/>
  <c r="CM129" i="7"/>
  <c r="DH129" i="7" s="1"/>
  <c r="BP104" i="7"/>
  <c r="BQ104" i="7" s="1"/>
  <c r="H104" i="7" s="1"/>
  <c r="DL106" i="7"/>
  <c r="DO106" i="7"/>
  <c r="CC123" i="7"/>
  <c r="CX123" i="7" s="1"/>
  <c r="G103" i="7"/>
  <c r="BF105" i="7"/>
  <c r="BD105" i="7"/>
  <c r="CD108" i="7"/>
  <c r="CY108" i="7" s="1"/>
  <c r="CL108" i="7"/>
  <c r="DR105" i="7"/>
  <c r="DI105" i="7"/>
  <c r="BT109" i="7"/>
  <c r="CO109" i="7" s="1"/>
  <c r="DS107" i="7"/>
  <c r="CI108" i="7"/>
  <c r="DD108" i="7" s="1"/>
  <c r="BO105" i="7"/>
  <c r="BV107" i="7"/>
  <c r="CQ107" i="7" s="1"/>
  <c r="CH108" i="7"/>
  <c r="DC108" i="7" s="1"/>
  <c r="AB107" i="7"/>
  <c r="AC107" i="7"/>
  <c r="AD107" i="7"/>
  <c r="DJ106" i="7"/>
  <c r="DM106" i="7"/>
  <c r="DP106" i="7"/>
  <c r="DN106" i="7"/>
  <c r="L96" i="32" s="1"/>
  <c r="AE106" i="7"/>
  <c r="AF106" i="7"/>
  <c r="AG106" i="7"/>
  <c r="CA108" i="7"/>
  <c r="CV108" i="7" s="1"/>
  <c r="AH106" i="7"/>
  <c r="BU117" i="7"/>
  <c r="CP117" i="7" s="1"/>
  <c r="CJ141" i="7"/>
  <c r="DE141" i="7" s="1"/>
  <c r="EM108" i="7" l="1"/>
  <c r="DG108" i="7"/>
  <c r="CD109" i="7"/>
  <c r="CY109" i="7" s="1"/>
  <c r="EF108" i="7"/>
  <c r="EN109" i="7"/>
  <c r="AM111" i="7"/>
  <c r="BZ110" i="7"/>
  <c r="CU110" i="7" s="1"/>
  <c r="CB110" i="7"/>
  <c r="CW110" i="7" s="1"/>
  <c r="DQ106" i="7"/>
  <c r="M96" i="32" s="1"/>
  <c r="CE112" i="7"/>
  <c r="AQ41" i="7"/>
  <c r="BH41" i="7" s="1"/>
  <c r="AR41" i="7"/>
  <c r="BI41" i="7" s="1"/>
  <c r="AP41" i="7"/>
  <c r="BG41" i="7" s="1"/>
  <c r="F30" i="32"/>
  <c r="G30" i="32" s="1"/>
  <c r="P30" i="32" s="1"/>
  <c r="Q30" i="32" s="1"/>
  <c r="AL41" i="7"/>
  <c r="AK41" i="7"/>
  <c r="AJ41" i="7"/>
  <c r="DK106" i="7"/>
  <c r="K96" i="32" s="1"/>
  <c r="P107" i="7"/>
  <c r="M111" i="7"/>
  <c r="E101" i="32" s="1"/>
  <c r="BN108" i="7"/>
  <c r="DZ108" i="7"/>
  <c r="EA108" i="7"/>
  <c r="EB108" i="7"/>
  <c r="DX108" i="7"/>
  <c r="DW108" i="7"/>
  <c r="AT109" i="7"/>
  <c r="EO109" i="7"/>
  <c r="EC109" i="7"/>
  <c r="DV111" i="7"/>
  <c r="BX139" i="7"/>
  <c r="CS139" i="7" s="1"/>
  <c r="BY139" i="7"/>
  <c r="CT139" i="7" s="1"/>
  <c r="BW141" i="7"/>
  <c r="CR141" i="7" s="1"/>
  <c r="AV109" i="7"/>
  <c r="AU109" i="7"/>
  <c r="AW109" i="7"/>
  <c r="BC107" i="7"/>
  <c r="BB107" i="7"/>
  <c r="DQ107" i="7" s="1"/>
  <c r="M97" i="32" s="1"/>
  <c r="AY110" i="7"/>
  <c r="AZ110" i="7"/>
  <c r="AX110" i="7"/>
  <c r="BA110" i="7"/>
  <c r="CM130" i="7"/>
  <c r="DH130" i="7" s="1"/>
  <c r="DL107" i="7"/>
  <c r="BP105" i="7"/>
  <c r="BQ105" i="7" s="1"/>
  <c r="H105" i="7" s="1"/>
  <c r="DO107" i="7"/>
  <c r="CC124" i="7"/>
  <c r="CX124" i="7" s="1"/>
  <c r="G104" i="7"/>
  <c r="DR106" i="7"/>
  <c r="BV108" i="7"/>
  <c r="CQ108" i="7" s="1"/>
  <c r="BO106" i="7"/>
  <c r="DS108" i="7"/>
  <c r="CI109" i="7"/>
  <c r="DD109" i="7" s="1"/>
  <c r="BT110" i="7"/>
  <c r="CO110" i="7" s="1"/>
  <c r="CH109" i="7"/>
  <c r="DC109" i="7" s="1"/>
  <c r="CF110" i="7"/>
  <c r="DA110" i="7" s="1"/>
  <c r="AH107" i="7"/>
  <c r="AG107" i="7"/>
  <c r="DJ107" i="7"/>
  <c r="DM107" i="7"/>
  <c r="DP107" i="7"/>
  <c r="DN107" i="7"/>
  <c r="L97" i="32" s="1"/>
  <c r="AF107" i="7"/>
  <c r="AE107" i="7"/>
  <c r="BD106" i="7"/>
  <c r="DI106" i="7"/>
  <c r="BE106" i="7"/>
  <c r="BF106" i="7"/>
  <c r="AI106" i="7"/>
  <c r="BU118" i="7"/>
  <c r="CP118" i="7" s="1"/>
  <c r="BS112" i="7"/>
  <c r="CN112" i="7" s="1"/>
  <c r="CG112" i="7"/>
  <c r="DB112" i="7" s="1"/>
  <c r="CJ142" i="7"/>
  <c r="DE142" i="7" s="1"/>
  <c r="BZ111" i="7" l="1"/>
  <c r="CU111" i="7" s="1"/>
  <c r="CE113" i="7"/>
  <c r="CZ113" i="7" s="1"/>
  <c r="CZ112" i="7"/>
  <c r="AM113" i="7"/>
  <c r="AN110" i="7"/>
  <c r="EN111" i="7"/>
  <c r="EF109" i="7"/>
  <c r="AO112" i="7"/>
  <c r="AM112" i="7"/>
  <c r="EN110" i="7"/>
  <c r="CB111" i="7"/>
  <c r="CW111" i="7" s="1"/>
  <c r="C41" i="7"/>
  <c r="BJ41" i="7"/>
  <c r="E41" i="7"/>
  <c r="BL41" i="7"/>
  <c r="D41" i="7"/>
  <c r="BK41" i="7"/>
  <c r="DK107" i="7"/>
  <c r="K97" i="32" s="1"/>
  <c r="AZ111" i="7"/>
  <c r="AY111" i="7"/>
  <c r="AX111" i="7"/>
  <c r="BA111" i="7"/>
  <c r="DZ109" i="7"/>
  <c r="EA109" i="7"/>
  <c r="AW110" i="7"/>
  <c r="EO110" i="7"/>
  <c r="EC110" i="7"/>
  <c r="DV112" i="7"/>
  <c r="BY140" i="7"/>
  <c r="CT140" i="7" s="1"/>
  <c r="BX140" i="7"/>
  <c r="CS140" i="7" s="1"/>
  <c r="BW142" i="7"/>
  <c r="CR142" i="7" s="1"/>
  <c r="AU110" i="7"/>
  <c r="BC108" i="7"/>
  <c r="BB108" i="7"/>
  <c r="AT110" i="7"/>
  <c r="AV110" i="7"/>
  <c r="M112" i="7"/>
  <c r="E102" i="32" s="1"/>
  <c r="CM131" i="7"/>
  <c r="DH131" i="7" s="1"/>
  <c r="BP106" i="7"/>
  <c r="BQ106" i="7" s="1"/>
  <c r="H106" i="7" s="1"/>
  <c r="CC125" i="7"/>
  <c r="CX125" i="7" s="1"/>
  <c r="G105" i="7"/>
  <c r="DR107" i="7"/>
  <c r="CL109" i="7"/>
  <c r="CK109" i="7"/>
  <c r="DF109" i="7" s="1"/>
  <c r="BZ112" i="7"/>
  <c r="CU112" i="7" s="1"/>
  <c r="BT111" i="7"/>
  <c r="CO111" i="7" s="1"/>
  <c r="CI110" i="7"/>
  <c r="DD110" i="7" s="1"/>
  <c r="DS109" i="7"/>
  <c r="BO107" i="7"/>
  <c r="BV109" i="7"/>
  <c r="CQ109" i="7" s="1"/>
  <c r="BN109" i="7"/>
  <c r="AI107" i="7"/>
  <c r="BE107" i="7"/>
  <c r="BF107" i="7"/>
  <c r="BD107" i="7"/>
  <c r="AD108" i="7"/>
  <c r="AB108" i="7"/>
  <c r="P108" i="7" s="1"/>
  <c r="AC108" i="7"/>
  <c r="DI107" i="7"/>
  <c r="CA109" i="7"/>
  <c r="CV109" i="7" s="1"/>
  <c r="BU119" i="7"/>
  <c r="CP119" i="7" s="1"/>
  <c r="BS113" i="7"/>
  <c r="CN113" i="7" s="1"/>
  <c r="CG113" i="7"/>
  <c r="DB113" i="7" s="1"/>
  <c r="CE114" i="7"/>
  <c r="CZ114" i="7" s="1"/>
  <c r="CJ143" i="7"/>
  <c r="DE143" i="7" s="1"/>
  <c r="EM109" i="7" l="1"/>
  <c r="DG109" i="7"/>
  <c r="EF110" i="7"/>
  <c r="AM114" i="7"/>
  <c r="EN112" i="7"/>
  <c r="CB112" i="7"/>
  <c r="CW112" i="7" s="1"/>
  <c r="F41" i="7"/>
  <c r="BM41" i="7"/>
  <c r="EB109" i="7"/>
  <c r="DX109" i="7"/>
  <c r="DW109" i="7"/>
  <c r="EO111" i="7"/>
  <c r="EC111" i="7"/>
  <c r="DV113" i="7"/>
  <c r="BX141" i="7"/>
  <c r="CS141" i="7" s="1"/>
  <c r="BY141" i="7"/>
  <c r="CT141" i="7" s="1"/>
  <c r="BW143" i="7"/>
  <c r="CR143" i="7" s="1"/>
  <c r="BC109" i="7"/>
  <c r="BB109" i="7"/>
  <c r="AV111" i="7"/>
  <c r="AW111" i="7"/>
  <c r="AU111" i="7"/>
  <c r="AT111" i="7"/>
  <c r="AY112" i="7"/>
  <c r="AZ112" i="7"/>
  <c r="BA112" i="7"/>
  <c r="AX112" i="7"/>
  <c r="M113" i="7"/>
  <c r="E103" i="32" s="1"/>
  <c r="AO113" i="7"/>
  <c r="CM132" i="7"/>
  <c r="DH132" i="7" s="1"/>
  <c r="BP107" i="7"/>
  <c r="BQ107" i="7" s="1"/>
  <c r="H107" i="7" s="1"/>
  <c r="DK108" i="7"/>
  <c r="K98" i="32" s="1"/>
  <c r="DL108" i="7"/>
  <c r="DO108" i="7"/>
  <c r="CC126" i="7"/>
  <c r="CX126" i="7" s="1"/>
  <c r="G106" i="7"/>
  <c r="CL110" i="7"/>
  <c r="CK110" i="7"/>
  <c r="DF110" i="7" s="1"/>
  <c r="BZ113" i="7"/>
  <c r="CU113" i="7" s="1"/>
  <c r="BV110" i="7"/>
  <c r="CQ110" i="7" s="1"/>
  <c r="CI111" i="7"/>
  <c r="DD111" i="7" s="1"/>
  <c r="DS110" i="7"/>
  <c r="BT112" i="7"/>
  <c r="CO112" i="7" s="1"/>
  <c r="CH110" i="7"/>
  <c r="DC110" i="7" s="1"/>
  <c r="CD110" i="7"/>
  <c r="CY110" i="7" s="1"/>
  <c r="AG108" i="7"/>
  <c r="AB109" i="7"/>
  <c r="P109" i="7" s="1"/>
  <c r="AC109" i="7"/>
  <c r="AD109" i="7"/>
  <c r="CA110" i="7"/>
  <c r="CV110" i="7" s="1"/>
  <c r="AH108" i="7"/>
  <c r="DP108" i="7"/>
  <c r="DI108" i="7"/>
  <c r="DM108" i="7"/>
  <c r="DN108" i="7"/>
  <c r="L98" i="32" s="1"/>
  <c r="DQ108" i="7"/>
  <c r="M98" i="32" s="1"/>
  <c r="DJ108" i="7"/>
  <c r="DR108" i="7"/>
  <c r="AF108" i="7"/>
  <c r="AE108" i="7"/>
  <c r="BU120" i="7"/>
  <c r="CP120" i="7" s="1"/>
  <c r="CG114" i="7"/>
  <c r="DB114" i="7" s="1"/>
  <c r="BS114" i="7"/>
  <c r="CN114" i="7" s="1"/>
  <c r="CJ144" i="7"/>
  <c r="DE144" i="7" s="1"/>
  <c r="EM110" i="7" l="1"/>
  <c r="DG110" i="7"/>
  <c r="EN113" i="7"/>
  <c r="EF111" i="7"/>
  <c r="CB113" i="7"/>
  <c r="CW113" i="7" s="1"/>
  <c r="B41" i="7"/>
  <c r="P41" i="7"/>
  <c r="BO108" i="7"/>
  <c r="EA110" i="7"/>
  <c r="DZ110" i="7"/>
  <c r="AV112" i="7"/>
  <c r="EO112" i="7"/>
  <c r="EC112" i="7"/>
  <c r="EB110" i="7"/>
  <c r="DX110" i="7"/>
  <c r="DW110" i="7"/>
  <c r="DV114" i="7"/>
  <c r="BY142" i="7"/>
  <c r="CT142" i="7" s="1"/>
  <c r="BX142" i="7"/>
  <c r="CS142" i="7" s="1"/>
  <c r="BW144" i="7"/>
  <c r="CR144" i="7" s="1"/>
  <c r="AW112" i="7"/>
  <c r="AT112" i="7"/>
  <c r="BB110" i="7"/>
  <c r="BC110" i="7"/>
  <c r="AU112" i="7"/>
  <c r="BA113" i="7"/>
  <c r="AX113" i="7"/>
  <c r="AY113" i="7"/>
  <c r="AZ113" i="7"/>
  <c r="M114" i="7"/>
  <c r="E104" i="32" s="1"/>
  <c r="AO114" i="7"/>
  <c r="CM133" i="7"/>
  <c r="DH133" i="7" s="1"/>
  <c r="BP108" i="7"/>
  <c r="DK109" i="7"/>
  <c r="K99" i="32" s="1"/>
  <c r="DL109" i="7"/>
  <c r="DO109" i="7"/>
  <c r="CC127" i="7"/>
  <c r="CX127" i="7" s="1"/>
  <c r="G107" i="7"/>
  <c r="BZ114" i="7"/>
  <c r="CU114" i="7" s="1"/>
  <c r="CI112" i="7"/>
  <c r="DD112" i="7" s="1"/>
  <c r="DS111" i="7"/>
  <c r="BT113" i="7"/>
  <c r="CO113" i="7" s="1"/>
  <c r="BV111" i="7"/>
  <c r="CQ111" i="7" s="1"/>
  <c r="CH111" i="7"/>
  <c r="DC111" i="7" s="1"/>
  <c r="CK111" i="7"/>
  <c r="DF111" i="7" s="1"/>
  <c r="BN110" i="7"/>
  <c r="CF111" i="7"/>
  <c r="DA111" i="7" s="1"/>
  <c r="AH109" i="7"/>
  <c r="AG109" i="7"/>
  <c r="AF109" i="7"/>
  <c r="AE109" i="7"/>
  <c r="DP109" i="7"/>
  <c r="DR109" i="7"/>
  <c r="DM109" i="7"/>
  <c r="DQ109" i="7"/>
  <c r="M99" i="32" s="1"/>
  <c r="DI109" i="7"/>
  <c r="DN109" i="7"/>
  <c r="L99" i="32" s="1"/>
  <c r="DJ109" i="7"/>
  <c r="AI108" i="7"/>
  <c r="BD108" i="7"/>
  <c r="BE108" i="7"/>
  <c r="BF108" i="7"/>
  <c r="BU121" i="7"/>
  <c r="CP121" i="7" s="1"/>
  <c r="CJ145" i="7"/>
  <c r="DE145" i="7" s="1"/>
  <c r="AN111" i="7" l="1"/>
  <c r="EF112" i="7"/>
  <c r="CK112" i="7"/>
  <c r="DF112" i="7" s="1"/>
  <c r="CB114" i="7"/>
  <c r="CW114" i="7" s="1"/>
  <c r="N42" i="7"/>
  <c r="D31" i="32"/>
  <c r="BQ108" i="7"/>
  <c r="H108" i="7" s="1"/>
  <c r="BO109" i="7"/>
  <c r="EN114" i="7"/>
  <c r="BN111" i="7"/>
  <c r="EA111" i="7"/>
  <c r="DZ111" i="7"/>
  <c r="AT113" i="7"/>
  <c r="EO113" i="7"/>
  <c r="EC113" i="7"/>
  <c r="BX143" i="7"/>
  <c r="CS143" i="7" s="1"/>
  <c r="BY143" i="7"/>
  <c r="CT143" i="7" s="1"/>
  <c r="BW145" i="7"/>
  <c r="CR145" i="7" s="1"/>
  <c r="AV113" i="7"/>
  <c r="AW113" i="7"/>
  <c r="AU113" i="7"/>
  <c r="BB111" i="7"/>
  <c r="BC111" i="7"/>
  <c r="AY114" i="7"/>
  <c r="AZ114" i="7"/>
  <c r="AX114" i="7"/>
  <c r="BA114" i="7"/>
  <c r="CM134" i="7"/>
  <c r="DH134" i="7" s="1"/>
  <c r="BP109" i="7"/>
  <c r="CC128" i="7"/>
  <c r="CX128" i="7" s="1"/>
  <c r="CD111" i="7"/>
  <c r="CY111" i="7" s="1"/>
  <c r="CL111" i="7"/>
  <c r="BV112" i="7"/>
  <c r="CQ112" i="7" s="1"/>
  <c r="BT114" i="7"/>
  <c r="CO114" i="7" s="1"/>
  <c r="DS112" i="7"/>
  <c r="CI113" i="7"/>
  <c r="DD113" i="7" s="1"/>
  <c r="CA111" i="7"/>
  <c r="CV111" i="7" s="1"/>
  <c r="AB110" i="7"/>
  <c r="P110" i="7" s="1"/>
  <c r="AD110" i="7"/>
  <c r="AC110" i="7"/>
  <c r="CF112" i="7"/>
  <c r="DA112" i="7" s="1"/>
  <c r="AI109" i="7"/>
  <c r="BF109" i="7"/>
  <c r="BE109" i="7"/>
  <c r="BD109" i="7"/>
  <c r="CE115" i="7"/>
  <c r="CZ115" i="7" s="1"/>
  <c r="BZ115" i="7"/>
  <c r="CU115" i="7" s="1"/>
  <c r="BU122" i="7"/>
  <c r="CP122" i="7" s="1"/>
  <c r="BS115" i="7"/>
  <c r="CN115" i="7" s="1"/>
  <c r="CJ146" i="7"/>
  <c r="DE146" i="7" s="1"/>
  <c r="EM111" i="7" l="1"/>
  <c r="DG111" i="7"/>
  <c r="AN112" i="7"/>
  <c r="EF113" i="7"/>
  <c r="EN115" i="7"/>
  <c r="CK113" i="7"/>
  <c r="DF113" i="7" s="1"/>
  <c r="CB115" i="7"/>
  <c r="CW115" i="7" s="1"/>
  <c r="AP42" i="7"/>
  <c r="BG42" i="7" s="1"/>
  <c r="AQ42" i="7"/>
  <c r="BH42" i="7" s="1"/>
  <c r="F31" i="32"/>
  <c r="G31" i="32" s="1"/>
  <c r="P31" i="32" s="1"/>
  <c r="Q31" i="32" s="1"/>
  <c r="AR42" i="7"/>
  <c r="BI42" i="7" s="1"/>
  <c r="AK42" i="7"/>
  <c r="AJ42" i="7"/>
  <c r="AL42" i="7"/>
  <c r="G108" i="7"/>
  <c r="BQ109" i="7"/>
  <c r="H109" i="7" s="1"/>
  <c r="AV114" i="7"/>
  <c r="EO114" i="7"/>
  <c r="EC114" i="7"/>
  <c r="EB111" i="7"/>
  <c r="DX111" i="7"/>
  <c r="DW111" i="7"/>
  <c r="M115" i="7"/>
  <c r="BA115" i="7" s="1"/>
  <c r="DV115" i="7"/>
  <c r="CH112" i="7"/>
  <c r="DC112" i="7" s="1"/>
  <c r="BY144" i="7"/>
  <c r="CT144" i="7" s="1"/>
  <c r="BX144" i="7"/>
  <c r="CS144" i="7" s="1"/>
  <c r="BW146" i="7"/>
  <c r="CR146" i="7" s="1"/>
  <c r="AT114" i="7"/>
  <c r="AW114" i="7"/>
  <c r="AU114" i="7"/>
  <c r="BC112" i="7"/>
  <c r="BB112" i="7"/>
  <c r="AM115" i="7"/>
  <c r="CM135" i="7"/>
  <c r="DH135" i="7" s="1"/>
  <c r="DK110" i="7"/>
  <c r="K100" i="32" s="1"/>
  <c r="DL110" i="7"/>
  <c r="DJ110" i="7"/>
  <c r="DO110" i="7"/>
  <c r="CC129" i="7"/>
  <c r="CX129" i="7" s="1"/>
  <c r="CL112" i="7"/>
  <c r="DS113" i="7"/>
  <c r="CI114" i="7"/>
  <c r="DD114" i="7" s="1"/>
  <c r="BV113" i="7"/>
  <c r="CQ113" i="7" s="1"/>
  <c r="BT115" i="7"/>
  <c r="CO115" i="7" s="1"/>
  <c r="AF110" i="7"/>
  <c r="DM110" i="7"/>
  <c r="DP110" i="7"/>
  <c r="AB111" i="7"/>
  <c r="P111" i="7" s="1"/>
  <c r="BO110" i="7"/>
  <c r="AC111" i="7"/>
  <c r="CD112" i="7"/>
  <c r="CY112" i="7" s="1"/>
  <c r="AD111" i="7"/>
  <c r="CA112" i="7"/>
  <c r="CV112" i="7" s="1"/>
  <c r="DQ110" i="7"/>
  <c r="M100" i="32" s="1"/>
  <c r="AH110" i="7"/>
  <c r="DR110" i="7"/>
  <c r="DN110" i="7"/>
  <c r="L100" i="32" s="1"/>
  <c r="AE110" i="7"/>
  <c r="AG110" i="7"/>
  <c r="CE116" i="7"/>
  <c r="CZ116" i="7" s="1"/>
  <c r="BZ116" i="7"/>
  <c r="CU116" i="7" s="1"/>
  <c r="BU123" i="7"/>
  <c r="CP123" i="7" s="1"/>
  <c r="BS116" i="7"/>
  <c r="CN116" i="7" s="1"/>
  <c r="CJ147" i="7"/>
  <c r="DE147" i="7" s="1"/>
  <c r="EM112" i="7" l="1"/>
  <c r="DG112" i="7"/>
  <c r="EN116" i="7"/>
  <c r="EO115" i="7"/>
  <c r="CK114" i="7"/>
  <c r="DF114" i="7" s="1"/>
  <c r="EF114" i="7"/>
  <c r="CB116" i="7"/>
  <c r="CW116" i="7" s="1"/>
  <c r="C42" i="7"/>
  <c r="BJ42" i="7"/>
  <c r="BL42" i="7"/>
  <c r="E42" i="7"/>
  <c r="D42" i="7"/>
  <c r="BK42" i="7"/>
  <c r="G109" i="7"/>
  <c r="BN112" i="7"/>
  <c r="DZ112" i="7"/>
  <c r="EA112" i="7"/>
  <c r="EC115" i="7"/>
  <c r="EB112" i="7"/>
  <c r="DX112" i="7"/>
  <c r="DW112" i="7"/>
  <c r="AV115" i="7"/>
  <c r="AZ115" i="7"/>
  <c r="AX115" i="7"/>
  <c r="AY115" i="7"/>
  <c r="E105" i="32"/>
  <c r="M116" i="7"/>
  <c r="BA116" i="7" s="1"/>
  <c r="DV116" i="7"/>
  <c r="BX145" i="7"/>
  <c r="CS145" i="7" s="1"/>
  <c r="BY145" i="7"/>
  <c r="CT145" i="7" s="1"/>
  <c r="BW147" i="7"/>
  <c r="CR147" i="7" s="1"/>
  <c r="AT115" i="7"/>
  <c r="AU115" i="7"/>
  <c r="BC113" i="7"/>
  <c r="BB113" i="7"/>
  <c r="AW115" i="7"/>
  <c r="AM116" i="7"/>
  <c r="CM136" i="7"/>
  <c r="DH136" i="7" s="1"/>
  <c r="DK111" i="7"/>
  <c r="K101" i="32" s="1"/>
  <c r="DL111" i="7"/>
  <c r="DO111" i="7"/>
  <c r="CC130" i="7"/>
  <c r="CX130" i="7" s="1"/>
  <c r="CL113" i="7"/>
  <c r="AF111" i="7"/>
  <c r="BV114" i="7"/>
  <c r="CQ114" i="7" s="1"/>
  <c r="BT116" i="7"/>
  <c r="CO116" i="7" s="1"/>
  <c r="DS114" i="7"/>
  <c r="CI115" i="7"/>
  <c r="DD115" i="7" s="1"/>
  <c r="DQ111" i="7"/>
  <c r="M101" i="32" s="1"/>
  <c r="DM111" i="7"/>
  <c r="DR111" i="7"/>
  <c r="DJ111" i="7"/>
  <c r="DN111" i="7"/>
  <c r="L101" i="32" s="1"/>
  <c r="DP111" i="7"/>
  <c r="AI110" i="7"/>
  <c r="AH111" i="7"/>
  <c r="AG111" i="7"/>
  <c r="AE111" i="7"/>
  <c r="BO111" i="7"/>
  <c r="BE110" i="7"/>
  <c r="DI110" i="7"/>
  <c r="BD110" i="7"/>
  <c r="BF110" i="7"/>
  <c r="CD113" i="7"/>
  <c r="CY113" i="7" s="1"/>
  <c r="CH113" i="7"/>
  <c r="DC113" i="7" s="1"/>
  <c r="CF113" i="7"/>
  <c r="DA113" i="7" s="1"/>
  <c r="AB112" i="7"/>
  <c r="P112" i="7" s="1"/>
  <c r="AC112" i="7"/>
  <c r="AD112" i="7"/>
  <c r="CA113" i="7"/>
  <c r="CV113" i="7" s="1"/>
  <c r="CE117" i="7"/>
  <c r="CZ117" i="7" s="1"/>
  <c r="BU124" i="7"/>
  <c r="CP124" i="7" s="1"/>
  <c r="BS117" i="7"/>
  <c r="CN117" i="7" s="1"/>
  <c r="CJ148" i="7"/>
  <c r="DE148" i="7" s="1"/>
  <c r="EM113" i="7" l="1"/>
  <c r="DG113" i="7"/>
  <c r="EF115" i="7"/>
  <c r="CK115" i="7"/>
  <c r="DF115" i="7" s="1"/>
  <c r="CB117" i="7"/>
  <c r="CW117" i="7" s="1"/>
  <c r="F42" i="7"/>
  <c r="BM42" i="7"/>
  <c r="AZ116" i="7"/>
  <c r="DZ113" i="7"/>
  <c r="EA113" i="7"/>
  <c r="AU116" i="7"/>
  <c r="EO116" i="7"/>
  <c r="DX113" i="7"/>
  <c r="EB113" i="7"/>
  <c r="DW113" i="7"/>
  <c r="EC116" i="7"/>
  <c r="AX116" i="7"/>
  <c r="AY116" i="7"/>
  <c r="E106" i="32"/>
  <c r="M117" i="7"/>
  <c r="AY117" i="7" s="1"/>
  <c r="DV117" i="7"/>
  <c r="BY146" i="7"/>
  <c r="CT146" i="7" s="1"/>
  <c r="BX146" i="7"/>
  <c r="CS146" i="7" s="1"/>
  <c r="BW148" i="7"/>
  <c r="CR148" i="7" s="1"/>
  <c r="AV116" i="7"/>
  <c r="BB114" i="7"/>
  <c r="BC114" i="7"/>
  <c r="AT116" i="7"/>
  <c r="AW116" i="7"/>
  <c r="AN113" i="7"/>
  <c r="AM117" i="7"/>
  <c r="CM137" i="7"/>
  <c r="DH137" i="7" s="1"/>
  <c r="BP110" i="7"/>
  <c r="BQ110" i="7" s="1"/>
  <c r="H110" i="7" s="1"/>
  <c r="DK112" i="7"/>
  <c r="K102" i="32" s="1"/>
  <c r="DL112" i="7"/>
  <c r="DO112" i="7"/>
  <c r="CC131" i="7"/>
  <c r="CX131" i="7" s="1"/>
  <c r="BT117" i="7"/>
  <c r="CO117" i="7" s="1"/>
  <c r="DS115" i="7"/>
  <c r="CI116" i="7"/>
  <c r="DD116" i="7" s="1"/>
  <c r="BV115" i="7"/>
  <c r="CQ115" i="7" s="1"/>
  <c r="AI111" i="7"/>
  <c r="BE111" i="7"/>
  <c r="BF111" i="7"/>
  <c r="BD111" i="7"/>
  <c r="DI111" i="7"/>
  <c r="CD114" i="7"/>
  <c r="CY114" i="7" s="1"/>
  <c r="BN113" i="7"/>
  <c r="AH112" i="7"/>
  <c r="AG112" i="7"/>
  <c r="DM112" i="7"/>
  <c r="DQ112" i="7"/>
  <c r="M102" i="32" s="1"/>
  <c r="DN112" i="7"/>
  <c r="L102" i="32" s="1"/>
  <c r="DJ112" i="7"/>
  <c r="DP112" i="7"/>
  <c r="DR112" i="7"/>
  <c r="AF112" i="7"/>
  <c r="AE112" i="7"/>
  <c r="CE118" i="7"/>
  <c r="CZ118" i="7" s="1"/>
  <c r="BZ117" i="7"/>
  <c r="CU117" i="7" s="1"/>
  <c r="BU125" i="7"/>
  <c r="CP125" i="7" s="1"/>
  <c r="BS118" i="7"/>
  <c r="CN118" i="7" s="1"/>
  <c r="CJ149" i="7"/>
  <c r="DE149" i="7" s="1"/>
  <c r="EN117" i="7" l="1"/>
  <c r="EF116" i="7"/>
  <c r="CK116" i="7"/>
  <c r="DF116" i="7" s="1"/>
  <c r="EO117" i="7"/>
  <c r="CB118" i="7"/>
  <c r="CW118" i="7" s="1"/>
  <c r="B42" i="7"/>
  <c r="P42" i="7"/>
  <c r="BO112" i="7"/>
  <c r="AX117" i="7"/>
  <c r="EC117" i="7"/>
  <c r="AW117" i="7"/>
  <c r="BA117" i="7"/>
  <c r="E107" i="32"/>
  <c r="AZ117" i="7"/>
  <c r="M118" i="7"/>
  <c r="AY118" i="7" s="1"/>
  <c r="DV118" i="7"/>
  <c r="BX147" i="7"/>
  <c r="CS147" i="7" s="1"/>
  <c r="BY147" i="7"/>
  <c r="CT147" i="7" s="1"/>
  <c r="BW149" i="7"/>
  <c r="CR149" i="7" s="1"/>
  <c r="AU117" i="7"/>
  <c r="AT117" i="7"/>
  <c r="AV117" i="7"/>
  <c r="BB115" i="7"/>
  <c r="BC115" i="7"/>
  <c r="AM118" i="7"/>
  <c r="CM138" i="7"/>
  <c r="DH138" i="7" s="1"/>
  <c r="G110" i="7"/>
  <c r="BP111" i="7"/>
  <c r="BQ111" i="7" s="1"/>
  <c r="H111" i="7" s="1"/>
  <c r="CC132" i="7"/>
  <c r="CX132" i="7" s="1"/>
  <c r="CL114" i="7"/>
  <c r="BV116" i="7"/>
  <c r="CQ116" i="7" s="1"/>
  <c r="CI117" i="7"/>
  <c r="DD117" i="7" s="1"/>
  <c r="DS116" i="7"/>
  <c r="BT118" i="7"/>
  <c r="CO118" i="7" s="1"/>
  <c r="CH114" i="7"/>
  <c r="DC114" i="7" s="1"/>
  <c r="CF114" i="7"/>
  <c r="DA114" i="7" s="1"/>
  <c r="AI112" i="7"/>
  <c r="CE119" i="7"/>
  <c r="CZ119" i="7" s="1"/>
  <c r="BD112" i="7"/>
  <c r="BF112" i="7"/>
  <c r="DI112" i="7"/>
  <c r="BP112" i="7" s="1"/>
  <c r="BE112" i="7"/>
  <c r="AB113" i="7"/>
  <c r="P113" i="7" s="1"/>
  <c r="CA114" i="7"/>
  <c r="CV114" i="7" s="1"/>
  <c r="AD113" i="7"/>
  <c r="AC113" i="7"/>
  <c r="BU126" i="7"/>
  <c r="CP126" i="7" s="1"/>
  <c r="BS119" i="7"/>
  <c r="CN119" i="7" s="1"/>
  <c r="CJ150" i="7"/>
  <c r="DE150" i="7" s="1"/>
  <c r="EM114" i="7" l="1"/>
  <c r="DG114" i="7"/>
  <c r="EF117" i="7"/>
  <c r="EO118" i="7"/>
  <c r="CK117" i="7"/>
  <c r="DF117" i="7" s="1"/>
  <c r="CB119" i="7"/>
  <c r="CW119" i="7" s="1"/>
  <c r="D32" i="32"/>
  <c r="N43" i="7"/>
  <c r="CH115" i="7"/>
  <c r="DC115" i="7" s="1"/>
  <c r="DZ114" i="7"/>
  <c r="EA114" i="7"/>
  <c r="EC118" i="7"/>
  <c r="EB114" i="7"/>
  <c r="DX114" i="7"/>
  <c r="DW114" i="7"/>
  <c r="AZ118" i="7"/>
  <c r="E108" i="32"/>
  <c r="AX118" i="7"/>
  <c r="AU118" i="7"/>
  <c r="BA118" i="7"/>
  <c r="M119" i="7"/>
  <c r="AX119" i="7" s="1"/>
  <c r="DV119" i="7"/>
  <c r="BY148" i="7"/>
  <c r="CT148" i="7" s="1"/>
  <c r="BX148" i="7"/>
  <c r="CS148" i="7" s="1"/>
  <c r="BW150" i="7"/>
  <c r="CR150" i="7" s="1"/>
  <c r="AV118" i="7"/>
  <c r="AT118" i="7"/>
  <c r="BB116" i="7"/>
  <c r="BC116" i="7"/>
  <c r="AW118" i="7"/>
  <c r="AM119" i="7"/>
  <c r="AN114" i="7"/>
  <c r="CM139" i="7"/>
  <c r="DH139" i="7" s="1"/>
  <c r="G111" i="7"/>
  <c r="DK113" i="7"/>
  <c r="K103" i="32" s="1"/>
  <c r="DL113" i="7"/>
  <c r="DO113" i="7"/>
  <c r="CC133" i="7"/>
  <c r="CX133" i="7" s="1"/>
  <c r="CL115" i="7"/>
  <c r="DG115" i="7" s="1"/>
  <c r="CF115" i="7"/>
  <c r="DA115" i="7" s="1"/>
  <c r="BT119" i="7"/>
  <c r="CO119" i="7" s="1"/>
  <c r="DS117" i="7"/>
  <c r="CI118" i="7"/>
  <c r="DD118" i="7" s="1"/>
  <c r="BV117" i="7"/>
  <c r="CQ117" i="7" s="1"/>
  <c r="CE120" i="7"/>
  <c r="CZ120" i="7" s="1"/>
  <c r="BN114" i="7"/>
  <c r="CG115" i="7"/>
  <c r="DB115" i="7" s="1"/>
  <c r="CD115" i="7"/>
  <c r="CY115" i="7" s="1"/>
  <c r="AG113" i="7"/>
  <c r="AH113" i="7"/>
  <c r="AC114" i="7"/>
  <c r="AD114" i="7"/>
  <c r="AB114" i="7"/>
  <c r="P114" i="7" s="1"/>
  <c r="CA115" i="7"/>
  <c r="CV115" i="7" s="1"/>
  <c r="AE113" i="7"/>
  <c r="AF113" i="7"/>
  <c r="DQ113" i="7"/>
  <c r="M103" i="32" s="1"/>
  <c r="DN113" i="7"/>
  <c r="L103" i="32" s="1"/>
  <c r="DM113" i="7"/>
  <c r="DJ113" i="7"/>
  <c r="DP113" i="7"/>
  <c r="DI113" i="7"/>
  <c r="DR113" i="7"/>
  <c r="BQ112" i="7"/>
  <c r="H112" i="7" s="1"/>
  <c r="BZ118" i="7"/>
  <c r="CU118" i="7" s="1"/>
  <c r="BU127" i="7"/>
  <c r="CP127" i="7" s="1"/>
  <c r="BS120" i="7"/>
  <c r="CN120" i="7" s="1"/>
  <c r="CJ151" i="7"/>
  <c r="DE151" i="7" s="1"/>
  <c r="EN118" i="7" l="1"/>
  <c r="EF118" i="7"/>
  <c r="EO119" i="7"/>
  <c r="CK118" i="7"/>
  <c r="DF118" i="7" s="1"/>
  <c r="CB120" i="7"/>
  <c r="CW120" i="7" s="1"/>
  <c r="BN115" i="7"/>
  <c r="F32" i="32"/>
  <c r="G32" i="32" s="1"/>
  <c r="P32" i="32" s="1"/>
  <c r="Q32" i="32" s="1"/>
  <c r="AP43" i="7"/>
  <c r="BG43" i="7" s="1"/>
  <c r="AQ43" i="7"/>
  <c r="BH43" i="7" s="1"/>
  <c r="AR43" i="7"/>
  <c r="BI43" i="7" s="1"/>
  <c r="AK43" i="7"/>
  <c r="AJ43" i="7"/>
  <c r="AL43" i="7"/>
  <c r="BO113" i="7"/>
  <c r="CL116" i="7"/>
  <c r="DG116" i="7" s="1"/>
  <c r="EM115" i="7"/>
  <c r="DX115" i="7"/>
  <c r="DW115" i="7"/>
  <c r="EB115" i="7"/>
  <c r="EC119" i="7"/>
  <c r="DZ115" i="7"/>
  <c r="EA115" i="7"/>
  <c r="BA119" i="7"/>
  <c r="E109" i="32"/>
  <c r="AW119" i="7"/>
  <c r="AY119" i="7"/>
  <c r="AZ119" i="7"/>
  <c r="DV120" i="7"/>
  <c r="BX149" i="7"/>
  <c r="CS149" i="7" s="1"/>
  <c r="BY149" i="7"/>
  <c r="CT149" i="7" s="1"/>
  <c r="BW151" i="7"/>
  <c r="CR151" i="7" s="1"/>
  <c r="AT119" i="7"/>
  <c r="AV119" i="7"/>
  <c r="AU119" i="7"/>
  <c r="BB117" i="7"/>
  <c r="BC117" i="7"/>
  <c r="BS121" i="7"/>
  <c r="CN121" i="7" s="1"/>
  <c r="M120" i="7"/>
  <c r="E110" i="32" s="1"/>
  <c r="AO115" i="7"/>
  <c r="AM120" i="7"/>
  <c r="AN115" i="7"/>
  <c r="CM140" i="7"/>
  <c r="DH140" i="7" s="1"/>
  <c r="DK114" i="7"/>
  <c r="K104" i="32" s="1"/>
  <c r="DL114" i="7"/>
  <c r="BP113" i="7"/>
  <c r="DO114" i="7"/>
  <c r="CC134" i="7"/>
  <c r="CX134" i="7" s="1"/>
  <c r="CF116" i="7"/>
  <c r="DA116" i="7" s="1"/>
  <c r="G112" i="7"/>
  <c r="CG116" i="7"/>
  <c r="DB116" i="7" s="1"/>
  <c r="BV118" i="7"/>
  <c r="CQ118" i="7" s="1"/>
  <c r="BT120" i="7"/>
  <c r="CO120" i="7" s="1"/>
  <c r="CE121" i="7"/>
  <c r="CZ121" i="7" s="1"/>
  <c r="DS118" i="7"/>
  <c r="CI119" i="7"/>
  <c r="DD119" i="7" s="1"/>
  <c r="CH116" i="7"/>
  <c r="DC116" i="7" s="1"/>
  <c r="AI113" i="7"/>
  <c r="AE114" i="7"/>
  <c r="AF114" i="7"/>
  <c r="AH114" i="7"/>
  <c r="AG114" i="7"/>
  <c r="DQ114" i="7"/>
  <c r="M104" i="32" s="1"/>
  <c r="DJ114" i="7"/>
  <c r="DI114" i="7"/>
  <c r="DR114" i="7"/>
  <c r="DM114" i="7"/>
  <c r="DP114" i="7"/>
  <c r="DN114" i="7"/>
  <c r="L104" i="32" s="1"/>
  <c r="BF113" i="7"/>
  <c r="BD113" i="7"/>
  <c r="BE113" i="7"/>
  <c r="BZ119" i="7"/>
  <c r="CU119" i="7" s="1"/>
  <c r="BU128" i="7"/>
  <c r="CP128" i="7" s="1"/>
  <c r="CJ152" i="7"/>
  <c r="DE152" i="7" s="1"/>
  <c r="EF119" i="7" l="1"/>
  <c r="CK119" i="7"/>
  <c r="DF119" i="7" s="1"/>
  <c r="EN119" i="7"/>
  <c r="EO120" i="7"/>
  <c r="CB121" i="7"/>
  <c r="CW121" i="7" s="1"/>
  <c r="BJ43" i="7"/>
  <c r="C43" i="7"/>
  <c r="D43" i="7"/>
  <c r="BK43" i="7"/>
  <c r="BL43" i="7"/>
  <c r="E43" i="7"/>
  <c r="BO114" i="7"/>
  <c r="BQ113" i="7"/>
  <c r="H113" i="7" s="1"/>
  <c r="CL117" i="7"/>
  <c r="DG117" i="7" s="1"/>
  <c r="EM116" i="7"/>
  <c r="DZ116" i="7"/>
  <c r="EA116" i="7"/>
  <c r="EC120" i="7"/>
  <c r="M121" i="7"/>
  <c r="E111" i="32" s="1"/>
  <c r="DV121" i="7"/>
  <c r="BY150" i="7"/>
  <c r="CT150" i="7" s="1"/>
  <c r="BX150" i="7"/>
  <c r="CS150" i="7" s="1"/>
  <c r="BS122" i="7"/>
  <c r="CN122" i="7" s="1"/>
  <c r="BW152" i="7"/>
  <c r="CR152" i="7" s="1"/>
  <c r="BC118" i="7"/>
  <c r="BB118" i="7"/>
  <c r="AU120" i="7"/>
  <c r="AY120" i="7"/>
  <c r="AV120" i="7"/>
  <c r="AZ120" i="7"/>
  <c r="AW120" i="7"/>
  <c r="AX120" i="7"/>
  <c r="AT120" i="7"/>
  <c r="BA120" i="7"/>
  <c r="AM121" i="7"/>
  <c r="AO116" i="7"/>
  <c r="AN116" i="7"/>
  <c r="CM141" i="7"/>
  <c r="DH141" i="7" s="1"/>
  <c r="BP114" i="7"/>
  <c r="CC135" i="7"/>
  <c r="CX135" i="7" s="1"/>
  <c r="CF117" i="7"/>
  <c r="DA117" i="7" s="1"/>
  <c r="DS119" i="7"/>
  <c r="CI120" i="7"/>
  <c r="DD120" i="7" s="1"/>
  <c r="BT121" i="7"/>
  <c r="CO121" i="7" s="1"/>
  <c r="BV119" i="7"/>
  <c r="CQ119" i="7" s="1"/>
  <c r="BN116" i="7"/>
  <c r="CD116" i="7"/>
  <c r="CY116" i="7" s="1"/>
  <c r="BE114" i="7"/>
  <c r="BF114" i="7"/>
  <c r="BD114" i="7"/>
  <c r="AI114" i="7"/>
  <c r="CA116" i="7"/>
  <c r="CV116" i="7" s="1"/>
  <c r="AC115" i="7"/>
  <c r="AB115" i="7"/>
  <c r="P115" i="7" s="1"/>
  <c r="AD115" i="7"/>
  <c r="BU129" i="7"/>
  <c r="CP129" i="7" s="1"/>
  <c r="CE122" i="7"/>
  <c r="CZ122" i="7" s="1"/>
  <c r="CJ153" i="7"/>
  <c r="DE153" i="7" s="1"/>
  <c r="EF120" i="7" l="1"/>
  <c r="CK120" i="7"/>
  <c r="DF120" i="7" s="1"/>
  <c r="CB122" i="7"/>
  <c r="CW122" i="7" s="1"/>
  <c r="F43" i="7"/>
  <c r="BM43" i="7"/>
  <c r="BQ114" i="7"/>
  <c r="H114" i="7" s="1"/>
  <c r="G113" i="7"/>
  <c r="CL118" i="7"/>
  <c r="DG118" i="7" s="1"/>
  <c r="EM117" i="7"/>
  <c r="AX121" i="7"/>
  <c r="BA121" i="7"/>
  <c r="AY121" i="7"/>
  <c r="DW116" i="7"/>
  <c r="EB116" i="7"/>
  <c r="DX116" i="7"/>
  <c r="AT121" i="7"/>
  <c r="EO121" i="7"/>
  <c r="EC121" i="7"/>
  <c r="BS123" i="7"/>
  <c r="CN123" i="7" s="1"/>
  <c r="AZ121" i="7"/>
  <c r="M122" i="7"/>
  <c r="DV122" i="7"/>
  <c r="BX151" i="7"/>
  <c r="CS151" i="7" s="1"/>
  <c r="BY151" i="7"/>
  <c r="CT151" i="7" s="1"/>
  <c r="BW153" i="7"/>
  <c r="CR153" i="7" s="1"/>
  <c r="AU121" i="7"/>
  <c r="AW121" i="7"/>
  <c r="AV121" i="7"/>
  <c r="BC119" i="7"/>
  <c r="BB119" i="7"/>
  <c r="CF118" i="7"/>
  <c r="DA118" i="7" s="1"/>
  <c r="AN117" i="7"/>
  <c r="AM122" i="7"/>
  <c r="CM142" i="7"/>
  <c r="DH142" i="7" s="1"/>
  <c r="DK115" i="7"/>
  <c r="K105" i="32" s="1"/>
  <c r="DL115" i="7"/>
  <c r="DO115" i="7"/>
  <c r="CC136" i="7"/>
  <c r="CX136" i="7" s="1"/>
  <c r="DS120" i="7"/>
  <c r="CI121" i="7"/>
  <c r="DD121" i="7" s="1"/>
  <c r="BV120" i="7"/>
  <c r="CQ120" i="7" s="1"/>
  <c r="BT122" i="7"/>
  <c r="CO122" i="7" s="1"/>
  <c r="CD117" i="7"/>
  <c r="CY117" i="7" s="1"/>
  <c r="CH117" i="7"/>
  <c r="DC117" i="7" s="1"/>
  <c r="CG117" i="7"/>
  <c r="DB117" i="7" s="1"/>
  <c r="AH115" i="7"/>
  <c r="DP115" i="7"/>
  <c r="DJ115" i="7"/>
  <c r="DR115" i="7"/>
  <c r="DN115" i="7"/>
  <c r="L105" i="32" s="1"/>
  <c r="DM115" i="7"/>
  <c r="DQ115" i="7"/>
  <c r="M105" i="32" s="1"/>
  <c r="AE115" i="7"/>
  <c r="AF115" i="7"/>
  <c r="BO115" i="7"/>
  <c r="AG115" i="7"/>
  <c r="BU130" i="7"/>
  <c r="CP130" i="7" s="1"/>
  <c r="CE123" i="7"/>
  <c r="CZ123" i="7" s="1"/>
  <c r="CJ154" i="7"/>
  <c r="DE154" i="7" s="1"/>
  <c r="AO117" i="7" l="1"/>
  <c r="CK121" i="7"/>
  <c r="DF121" i="7" s="1"/>
  <c r="EF121" i="7"/>
  <c r="EO122" i="7"/>
  <c r="CD118" i="7"/>
  <c r="CY118" i="7" s="1"/>
  <c r="CF119" i="7"/>
  <c r="DA119" i="7" s="1"/>
  <c r="G114" i="7"/>
  <c r="CB123" i="7"/>
  <c r="CW123" i="7" s="1"/>
  <c r="B43" i="7"/>
  <c r="P43" i="7"/>
  <c r="CL119" i="7"/>
  <c r="DG119" i="7" s="1"/>
  <c r="EM118" i="7"/>
  <c r="EA117" i="7"/>
  <c r="DZ117" i="7"/>
  <c r="DV123" i="7"/>
  <c r="EC122" i="7"/>
  <c r="M123" i="7"/>
  <c r="AY123" i="7" s="1"/>
  <c r="BA122" i="7"/>
  <c r="E112" i="32"/>
  <c r="AX122" i="7"/>
  <c r="AY122" i="7"/>
  <c r="AZ122" i="7"/>
  <c r="BY152" i="7"/>
  <c r="CT152" i="7" s="1"/>
  <c r="BX152" i="7"/>
  <c r="CS152" i="7" s="1"/>
  <c r="BW154" i="7"/>
  <c r="CR154" i="7" s="1"/>
  <c r="AU122" i="7"/>
  <c r="AW122" i="7"/>
  <c r="AT122" i="7"/>
  <c r="AV122" i="7"/>
  <c r="BC120" i="7"/>
  <c r="BB120" i="7"/>
  <c r="AN119" i="7"/>
  <c r="AM123" i="7"/>
  <c r="AN118" i="7"/>
  <c r="CM143" i="7"/>
  <c r="DH143" i="7" s="1"/>
  <c r="CF120" i="7"/>
  <c r="DA120" i="7" s="1"/>
  <c r="CC137" i="7"/>
  <c r="CX137" i="7" s="1"/>
  <c r="CA117" i="7"/>
  <c r="CV117" i="7" s="1"/>
  <c r="BT123" i="7"/>
  <c r="CO123" i="7" s="1"/>
  <c r="CI122" i="7"/>
  <c r="DD122" i="7" s="1"/>
  <c r="DS121" i="7"/>
  <c r="BV121" i="7"/>
  <c r="CQ121" i="7" s="1"/>
  <c r="AB116" i="7"/>
  <c r="P116" i="7" s="1"/>
  <c r="AC116" i="7"/>
  <c r="AD116" i="7"/>
  <c r="BN117" i="7"/>
  <c r="CH118" i="7"/>
  <c r="DC118" i="7" s="1"/>
  <c r="CD119" i="7"/>
  <c r="CY119" i="7" s="1"/>
  <c r="AI115" i="7"/>
  <c r="DI115" i="7"/>
  <c r="BP115" i="7" s="1"/>
  <c r="BE115" i="7"/>
  <c r="BF115" i="7"/>
  <c r="BD115" i="7"/>
  <c r="BU131" i="7"/>
  <c r="CP131" i="7" s="1"/>
  <c r="CE124" i="7"/>
  <c r="CZ124" i="7" s="1"/>
  <c r="CJ155" i="7"/>
  <c r="DE155" i="7" s="1"/>
  <c r="CK122" i="7" l="1"/>
  <c r="DF122" i="7" s="1"/>
  <c r="EF122" i="7"/>
  <c r="AM124" i="7"/>
  <c r="EO123" i="7"/>
  <c r="CB124" i="7"/>
  <c r="CW124" i="7" s="1"/>
  <c r="N44" i="7"/>
  <c r="D33" i="32"/>
  <c r="CL120" i="7"/>
  <c r="DG120" i="7" s="1"/>
  <c r="EM119" i="7"/>
  <c r="E113" i="32"/>
  <c r="BN118" i="7"/>
  <c r="DZ118" i="7"/>
  <c r="EA118" i="7"/>
  <c r="AX123" i="7"/>
  <c r="BA123" i="7"/>
  <c r="AZ123" i="7"/>
  <c r="EC123" i="7"/>
  <c r="DW117" i="7"/>
  <c r="DX117" i="7"/>
  <c r="EB117" i="7"/>
  <c r="BO116" i="7"/>
  <c r="BX153" i="7"/>
  <c r="CS153" i="7" s="1"/>
  <c r="BY153" i="7"/>
  <c r="CT153" i="7" s="1"/>
  <c r="BW155" i="7"/>
  <c r="CR155" i="7" s="1"/>
  <c r="BC121" i="7"/>
  <c r="BB121" i="7"/>
  <c r="AU123" i="7"/>
  <c r="AW123" i="7"/>
  <c r="AV123" i="7"/>
  <c r="AT123" i="7"/>
  <c r="AN120" i="7"/>
  <c r="CM144" i="7"/>
  <c r="DH144" i="7" s="1"/>
  <c r="CF121" i="7"/>
  <c r="DA121" i="7" s="1"/>
  <c r="DK116" i="7"/>
  <c r="K106" i="32" s="1"/>
  <c r="DL116" i="7"/>
  <c r="DJ116" i="7"/>
  <c r="DO116" i="7"/>
  <c r="CC138" i="7"/>
  <c r="CX138" i="7" s="1"/>
  <c r="BV122" i="7"/>
  <c r="CQ122" i="7" s="1"/>
  <c r="CI123" i="7"/>
  <c r="DD123" i="7" s="1"/>
  <c r="DS122" i="7"/>
  <c r="BT124" i="7"/>
  <c r="CO124" i="7" s="1"/>
  <c r="AE116" i="7"/>
  <c r="DQ116" i="7"/>
  <c r="M106" i="32" s="1"/>
  <c r="DR116" i="7"/>
  <c r="AH116" i="7"/>
  <c r="DP116" i="7"/>
  <c r="AF116" i="7"/>
  <c r="DM116" i="7"/>
  <c r="DN116" i="7"/>
  <c r="L106" i="32" s="1"/>
  <c r="DI116" i="7"/>
  <c r="AG116" i="7"/>
  <c r="CG118" i="7"/>
  <c r="DB118" i="7" s="1"/>
  <c r="CD120" i="7"/>
  <c r="CY120" i="7" s="1"/>
  <c r="BQ115" i="7"/>
  <c r="H115" i="7" s="1"/>
  <c r="CA118" i="7"/>
  <c r="CV118" i="7" s="1"/>
  <c r="AD117" i="7"/>
  <c r="AC117" i="7"/>
  <c r="AB117" i="7"/>
  <c r="P117" i="7" s="1"/>
  <c r="BU132" i="7"/>
  <c r="CP132" i="7" s="1"/>
  <c r="CE125" i="7"/>
  <c r="CZ125" i="7" s="1"/>
  <c r="CJ156" i="7"/>
  <c r="DE156" i="7" s="1"/>
  <c r="EF123" i="7" l="1"/>
  <c r="EO124" i="7"/>
  <c r="CK123" i="7"/>
  <c r="DF123" i="7" s="1"/>
  <c r="CB125" i="7"/>
  <c r="CW125" i="7" s="1"/>
  <c r="AP44" i="7"/>
  <c r="BG44" i="7" s="1"/>
  <c r="AQ44" i="7"/>
  <c r="BH44" i="7" s="1"/>
  <c r="AR44" i="7"/>
  <c r="BI44" i="7" s="1"/>
  <c r="F33" i="32"/>
  <c r="G33" i="32" s="1"/>
  <c r="P33" i="32" s="1"/>
  <c r="Q33" i="32" s="1"/>
  <c r="AL44" i="7"/>
  <c r="AJ44" i="7"/>
  <c r="AK44" i="7"/>
  <c r="CL121" i="7"/>
  <c r="DG121" i="7" s="1"/>
  <c r="EM120" i="7"/>
  <c r="EB118" i="7"/>
  <c r="DX118" i="7"/>
  <c r="DW118" i="7"/>
  <c r="BY154" i="7"/>
  <c r="CT154" i="7" s="1"/>
  <c r="BX154" i="7"/>
  <c r="CS154" i="7" s="1"/>
  <c r="BW156" i="7"/>
  <c r="CR156" i="7" s="1"/>
  <c r="BC122" i="7"/>
  <c r="BB122" i="7"/>
  <c r="AO118" i="7"/>
  <c r="AM125" i="7"/>
  <c r="AN121" i="7"/>
  <c r="CM145" i="7"/>
  <c r="DH145" i="7" s="1"/>
  <c r="CF122" i="7"/>
  <c r="DA122" i="7" s="1"/>
  <c r="BP116" i="7"/>
  <c r="BQ116" i="7" s="1"/>
  <c r="H116" i="7" s="1"/>
  <c r="DK117" i="7"/>
  <c r="K107" i="32" s="1"/>
  <c r="DL117" i="7"/>
  <c r="DO117" i="7"/>
  <c r="CC139" i="7"/>
  <c r="CX139" i="7" s="1"/>
  <c r="G115" i="7"/>
  <c r="CI124" i="7"/>
  <c r="DD124" i="7" s="1"/>
  <c r="DS123" i="7"/>
  <c r="BT125" i="7"/>
  <c r="CO125" i="7" s="1"/>
  <c r="BV123" i="7"/>
  <c r="CQ123" i="7" s="1"/>
  <c r="AI116" i="7"/>
  <c r="BF116" i="7"/>
  <c r="BE116" i="7"/>
  <c r="BD116" i="7"/>
  <c r="CH119" i="7"/>
  <c r="DC119" i="7" s="1"/>
  <c r="CD121" i="7"/>
  <c r="CY121" i="7" s="1"/>
  <c r="AH117" i="7"/>
  <c r="DJ117" i="7"/>
  <c r="DQ117" i="7"/>
  <c r="M107" i="32" s="1"/>
  <c r="DI117" i="7"/>
  <c r="DR117" i="7"/>
  <c r="DM117" i="7"/>
  <c r="DN117" i="7"/>
  <c r="L107" i="32" s="1"/>
  <c r="DP117" i="7"/>
  <c r="AE117" i="7"/>
  <c r="AF117" i="7"/>
  <c r="CA119" i="7"/>
  <c r="CV119" i="7" s="1"/>
  <c r="AG117" i="7"/>
  <c r="BU133" i="7"/>
  <c r="CP133" i="7" s="1"/>
  <c r="CE126" i="7"/>
  <c r="CZ126" i="7" s="1"/>
  <c r="CJ157" i="7"/>
  <c r="DE157" i="7" s="1"/>
  <c r="AM126" i="7" l="1"/>
  <c r="EO125" i="7"/>
  <c r="CK124" i="7"/>
  <c r="DF124" i="7" s="1"/>
  <c r="CB126" i="7"/>
  <c r="CW126" i="7" s="1"/>
  <c r="BK44" i="7"/>
  <c r="D44" i="7"/>
  <c r="C44" i="7"/>
  <c r="BJ44" i="7"/>
  <c r="BL44" i="7"/>
  <c r="E44" i="7"/>
  <c r="BO117" i="7"/>
  <c r="CL122" i="7"/>
  <c r="DG122" i="7" s="1"/>
  <c r="EM121" i="7"/>
  <c r="EB119" i="7"/>
  <c r="DX119" i="7"/>
  <c r="DW119" i="7"/>
  <c r="EA119" i="7"/>
  <c r="DZ119" i="7"/>
  <c r="BZ120" i="7"/>
  <c r="CU120" i="7" s="1"/>
  <c r="BX155" i="7"/>
  <c r="CS155" i="7" s="1"/>
  <c r="BY155" i="7"/>
  <c r="CT155" i="7" s="1"/>
  <c r="BW157" i="7"/>
  <c r="CR157" i="7" s="1"/>
  <c r="BB123" i="7"/>
  <c r="BC123" i="7"/>
  <c r="AN122" i="7"/>
  <c r="CM146" i="7"/>
  <c r="DH146" i="7" s="1"/>
  <c r="CF123" i="7"/>
  <c r="DA123" i="7" s="1"/>
  <c r="BP117" i="7"/>
  <c r="CC140" i="7"/>
  <c r="CX140" i="7" s="1"/>
  <c r="G116" i="7"/>
  <c r="BV124" i="7"/>
  <c r="CQ124" i="7" s="1"/>
  <c r="CI125" i="7"/>
  <c r="DD125" i="7" s="1"/>
  <c r="DS124" i="7"/>
  <c r="BT126" i="7"/>
  <c r="CO126" i="7" s="1"/>
  <c r="BN119" i="7"/>
  <c r="AB118" i="7"/>
  <c r="P118" i="7" s="1"/>
  <c r="AD118" i="7"/>
  <c r="AC118" i="7"/>
  <c r="CG119" i="7"/>
  <c r="DB119" i="7" s="1"/>
  <c r="CH120" i="7"/>
  <c r="DC120" i="7" s="1"/>
  <c r="CD122" i="7"/>
  <c r="CY122" i="7" s="1"/>
  <c r="AD119" i="7"/>
  <c r="AC119" i="7"/>
  <c r="AB119" i="7"/>
  <c r="P119" i="7" s="1"/>
  <c r="AI117" i="7"/>
  <c r="BE117" i="7"/>
  <c r="BF117" i="7"/>
  <c r="BD117" i="7"/>
  <c r="CA120" i="7"/>
  <c r="CV120" i="7" s="1"/>
  <c r="BU134" i="7"/>
  <c r="CP134" i="7" s="1"/>
  <c r="CE127" i="7"/>
  <c r="CZ127" i="7" s="1"/>
  <c r="CJ158" i="7"/>
  <c r="DE158" i="7" s="1"/>
  <c r="AO119" i="7" l="1"/>
  <c r="EO126" i="7"/>
  <c r="CK125" i="7"/>
  <c r="DF125" i="7" s="1"/>
  <c r="CB127" i="7"/>
  <c r="CW127" i="7" s="1"/>
  <c r="F44" i="7"/>
  <c r="BM44" i="7"/>
  <c r="B44" i="7" s="1"/>
  <c r="BQ117" i="7"/>
  <c r="H117" i="7" s="1"/>
  <c r="CL123" i="7"/>
  <c r="DG123" i="7" s="1"/>
  <c r="EM122" i="7"/>
  <c r="EN120" i="7"/>
  <c r="EB120" i="7"/>
  <c r="DX120" i="7"/>
  <c r="DW120" i="7"/>
  <c r="BN120" i="7"/>
  <c r="DZ120" i="7"/>
  <c r="EA120" i="7"/>
  <c r="BY156" i="7"/>
  <c r="CT156" i="7" s="1"/>
  <c r="BX156" i="7"/>
  <c r="CS156" i="7" s="1"/>
  <c r="BW158" i="7"/>
  <c r="CR158" i="7" s="1"/>
  <c r="AN123" i="7"/>
  <c r="AM127" i="7"/>
  <c r="CF124" i="7"/>
  <c r="DA124" i="7" s="1"/>
  <c r="CM147" i="7"/>
  <c r="DH147" i="7" s="1"/>
  <c r="DK118" i="7"/>
  <c r="K108" i="32" s="1"/>
  <c r="DL118" i="7"/>
  <c r="DO118" i="7"/>
  <c r="CC141" i="7"/>
  <c r="CX141" i="7" s="1"/>
  <c r="DS125" i="7"/>
  <c r="CI126" i="7"/>
  <c r="DD126" i="7" s="1"/>
  <c r="BT127" i="7"/>
  <c r="CO127" i="7" s="1"/>
  <c r="BV125" i="7"/>
  <c r="CQ125" i="7" s="1"/>
  <c r="DQ118" i="7"/>
  <c r="M108" i="32" s="1"/>
  <c r="AH118" i="7"/>
  <c r="DI118" i="7"/>
  <c r="DN118" i="7"/>
  <c r="L108" i="32" s="1"/>
  <c r="DM118" i="7"/>
  <c r="AF118" i="7"/>
  <c r="AI118" i="7" s="1"/>
  <c r="DP118" i="7"/>
  <c r="DR118" i="7"/>
  <c r="DJ118" i="7"/>
  <c r="AG118" i="7"/>
  <c r="AE118" i="7"/>
  <c r="BZ121" i="7"/>
  <c r="CU121" i="7" s="1"/>
  <c r="BO118" i="7"/>
  <c r="CG120" i="7"/>
  <c r="DB120" i="7" s="1"/>
  <c r="CD123" i="7"/>
  <c r="CY123" i="7" s="1"/>
  <c r="AH119" i="7"/>
  <c r="AE119" i="7"/>
  <c r="AF119" i="7"/>
  <c r="AG119" i="7"/>
  <c r="CA121" i="7"/>
  <c r="CV121" i="7" s="1"/>
  <c r="BS124" i="7"/>
  <c r="CN124" i="7" s="1"/>
  <c r="BU135" i="7"/>
  <c r="CP135" i="7" s="1"/>
  <c r="CE128" i="7"/>
  <c r="CZ128" i="7" s="1"/>
  <c r="CJ159" i="7"/>
  <c r="DE159" i="7" s="1"/>
  <c r="AO120" i="7" l="1"/>
  <c r="EO127" i="7"/>
  <c r="AN124" i="7"/>
  <c r="CK126" i="7"/>
  <c r="DF126" i="7" s="1"/>
  <c r="G117" i="7"/>
  <c r="CB128" i="7"/>
  <c r="CW128" i="7" s="1"/>
  <c r="P44" i="7"/>
  <c r="N45" i="7" s="1"/>
  <c r="CL124" i="7"/>
  <c r="DG124" i="7" s="1"/>
  <c r="EM123" i="7"/>
  <c r="EN121" i="7"/>
  <c r="EC124" i="7"/>
  <c r="EF124" i="7"/>
  <c r="EB121" i="7"/>
  <c r="DW121" i="7"/>
  <c r="DX121" i="7"/>
  <c r="CF125" i="7"/>
  <c r="DA125" i="7" s="1"/>
  <c r="M124" i="7"/>
  <c r="AY124" i="7" s="1"/>
  <c r="DV124" i="7"/>
  <c r="BX157" i="7"/>
  <c r="CS157" i="7" s="1"/>
  <c r="BY157" i="7"/>
  <c r="CT157" i="7" s="1"/>
  <c r="BW159" i="7"/>
  <c r="CR159" i="7" s="1"/>
  <c r="AM128" i="7"/>
  <c r="CM148" i="7"/>
  <c r="DH148" i="7" s="1"/>
  <c r="DK119" i="7"/>
  <c r="K109" i="32" s="1"/>
  <c r="DL119" i="7"/>
  <c r="BP118" i="7"/>
  <c r="BQ118" i="7" s="1"/>
  <c r="H118" i="7" s="1"/>
  <c r="DO119" i="7"/>
  <c r="CC142" i="7"/>
  <c r="CX142" i="7" s="1"/>
  <c r="DI119" i="7"/>
  <c r="BT128" i="7"/>
  <c r="CO128" i="7" s="1"/>
  <c r="BV126" i="7"/>
  <c r="CQ126" i="7" s="1"/>
  <c r="DS126" i="7"/>
  <c r="CI127" i="7"/>
  <c r="DD127" i="7" s="1"/>
  <c r="DN119" i="7"/>
  <c r="L109" i="32" s="1"/>
  <c r="DJ119" i="7"/>
  <c r="DQ119" i="7"/>
  <c r="M109" i="32" s="1"/>
  <c r="DR119" i="7"/>
  <c r="DM119" i="7"/>
  <c r="BZ122" i="7"/>
  <c r="CU122" i="7" s="1"/>
  <c r="BF118" i="7"/>
  <c r="BE118" i="7"/>
  <c r="BD118" i="7"/>
  <c r="DP119" i="7"/>
  <c r="AC120" i="7"/>
  <c r="AB120" i="7"/>
  <c r="P120" i="7" s="1"/>
  <c r="AD120" i="7"/>
  <c r="CH121" i="7"/>
  <c r="DC121" i="7" s="1"/>
  <c r="CG121" i="7"/>
  <c r="DB121" i="7" s="1"/>
  <c r="BO119" i="7"/>
  <c r="CD124" i="7"/>
  <c r="CY124" i="7" s="1"/>
  <c r="CA122" i="7"/>
  <c r="CV122" i="7" s="1"/>
  <c r="AI119" i="7"/>
  <c r="BF119" i="7"/>
  <c r="BD119" i="7"/>
  <c r="BE119" i="7"/>
  <c r="BS125" i="7"/>
  <c r="CN125" i="7" s="1"/>
  <c r="BU136" i="7"/>
  <c r="CP136" i="7" s="1"/>
  <c r="CE129" i="7"/>
  <c r="CZ129" i="7" s="1"/>
  <c r="CJ160" i="7"/>
  <c r="DE160" i="7" s="1"/>
  <c r="CK127" i="7" l="1"/>
  <c r="DF127" i="7" s="1"/>
  <c r="AO121" i="7"/>
  <c r="AN125" i="7"/>
  <c r="AM129" i="7"/>
  <c r="EO128" i="7"/>
  <c r="CB129" i="7"/>
  <c r="CW129" i="7" s="1"/>
  <c r="D34" i="32"/>
  <c r="AR45" i="7"/>
  <c r="BI45" i="7" s="1"/>
  <c r="AP45" i="7"/>
  <c r="BG45" i="7" s="1"/>
  <c r="AQ45" i="7"/>
  <c r="BH45" i="7" s="1"/>
  <c r="F34" i="32"/>
  <c r="AL45" i="7"/>
  <c r="AK45" i="7"/>
  <c r="AJ45" i="7"/>
  <c r="CL125" i="7"/>
  <c r="DG125" i="7" s="1"/>
  <c r="EM124" i="7"/>
  <c r="EN122" i="7"/>
  <c r="CF126" i="7"/>
  <c r="DA126" i="7" s="1"/>
  <c r="DW122" i="7"/>
  <c r="EB122" i="7"/>
  <c r="DX122" i="7"/>
  <c r="EF125" i="7"/>
  <c r="EC125" i="7"/>
  <c r="DZ121" i="7"/>
  <c r="EA121" i="7"/>
  <c r="AU124" i="7"/>
  <c r="E114" i="32"/>
  <c r="AV124" i="7"/>
  <c r="AT124" i="7"/>
  <c r="BA124" i="7"/>
  <c r="AW124" i="7"/>
  <c r="AX124" i="7"/>
  <c r="BC124" i="7"/>
  <c r="M125" i="7"/>
  <c r="AX125" i="7" s="1"/>
  <c r="DV125" i="7"/>
  <c r="BB124" i="7"/>
  <c r="AZ124" i="7"/>
  <c r="BY158" i="7"/>
  <c r="CT158" i="7" s="1"/>
  <c r="BX158" i="7"/>
  <c r="CS158" i="7" s="1"/>
  <c r="BW160" i="7"/>
  <c r="CR160" i="7" s="1"/>
  <c r="CM149" i="7"/>
  <c r="DH149" i="7" s="1"/>
  <c r="BP119" i="7"/>
  <c r="BQ119" i="7" s="1"/>
  <c r="H119" i="7" s="1"/>
  <c r="DK120" i="7"/>
  <c r="K110" i="32" s="1"/>
  <c r="DL120" i="7"/>
  <c r="DJ120" i="7"/>
  <c r="DO120" i="7"/>
  <c r="CC143" i="7"/>
  <c r="CX143" i="7" s="1"/>
  <c r="G118" i="7"/>
  <c r="CI128" i="7"/>
  <c r="DD128" i="7" s="1"/>
  <c r="DS127" i="7"/>
  <c r="BV127" i="7"/>
  <c r="CQ127" i="7" s="1"/>
  <c r="BT129" i="7"/>
  <c r="CO129" i="7" s="1"/>
  <c r="DQ120" i="7"/>
  <c r="M110" i="32" s="1"/>
  <c r="AH120" i="7"/>
  <c r="DI120" i="7"/>
  <c r="AF120" i="7"/>
  <c r="DM120" i="7"/>
  <c r="AG120" i="7"/>
  <c r="DN120" i="7"/>
  <c r="L110" i="32" s="1"/>
  <c r="DR120" i="7"/>
  <c r="BZ123" i="7"/>
  <c r="CU123" i="7" s="1"/>
  <c r="BN121" i="7"/>
  <c r="AE120" i="7"/>
  <c r="CG122" i="7"/>
  <c r="DB122" i="7" s="1"/>
  <c r="CD125" i="7"/>
  <c r="CY125" i="7" s="1"/>
  <c r="CH122" i="7"/>
  <c r="DC122" i="7" s="1"/>
  <c r="AB121" i="7"/>
  <c r="P121" i="7" s="1"/>
  <c r="AD121" i="7"/>
  <c r="AC121" i="7"/>
  <c r="CA123" i="7"/>
  <c r="CV123" i="7" s="1"/>
  <c r="BS126" i="7"/>
  <c r="CN126" i="7" s="1"/>
  <c r="BU137" i="7"/>
  <c r="CP137" i="7" s="1"/>
  <c r="CE130" i="7"/>
  <c r="CZ130" i="7" s="1"/>
  <c r="CJ161" i="7"/>
  <c r="DE161" i="7" s="1"/>
  <c r="AN126" i="7" l="1"/>
  <c r="AM130" i="7"/>
  <c r="AO122" i="7"/>
  <c r="EO129" i="7"/>
  <c r="CK128" i="7"/>
  <c r="DF128" i="7" s="1"/>
  <c r="G34" i="32"/>
  <c r="P34" i="32" s="1"/>
  <c r="Q34" i="32" s="1"/>
  <c r="CB130" i="7"/>
  <c r="CW130" i="7" s="1"/>
  <c r="C45" i="7"/>
  <c r="BJ45" i="7"/>
  <c r="D45" i="7"/>
  <c r="BK45" i="7"/>
  <c r="E45" i="7"/>
  <c r="BL45" i="7"/>
  <c r="BO120" i="7"/>
  <c r="CL126" i="7"/>
  <c r="DG126" i="7" s="1"/>
  <c r="EM125" i="7"/>
  <c r="CF127" i="7"/>
  <c r="DA127" i="7" s="1"/>
  <c r="EN123" i="7"/>
  <c r="EF126" i="7"/>
  <c r="EC126" i="7"/>
  <c r="DZ122" i="7"/>
  <c r="EA122" i="7"/>
  <c r="DX123" i="7"/>
  <c r="DW123" i="7"/>
  <c r="EB123" i="7"/>
  <c r="AW125" i="7"/>
  <c r="E115" i="32"/>
  <c r="AV125" i="7"/>
  <c r="BC125" i="7"/>
  <c r="AT125" i="7"/>
  <c r="AZ125" i="7"/>
  <c r="AU125" i="7"/>
  <c r="BA125" i="7"/>
  <c r="AY125" i="7"/>
  <c r="BB125" i="7"/>
  <c r="M126" i="7"/>
  <c r="DV126" i="7"/>
  <c r="BX159" i="7"/>
  <c r="CS159" i="7" s="1"/>
  <c r="BY159" i="7"/>
  <c r="CT159" i="7" s="1"/>
  <c r="BW161" i="7"/>
  <c r="CR161" i="7" s="1"/>
  <c r="CM150" i="7"/>
  <c r="DH150" i="7" s="1"/>
  <c r="DK121" i="7"/>
  <c r="K111" i="32" s="1"/>
  <c r="DL121" i="7"/>
  <c r="DO121" i="7"/>
  <c r="CC144" i="7"/>
  <c r="CX144" i="7" s="1"/>
  <c r="G119" i="7"/>
  <c r="BT130" i="7"/>
  <c r="CO130" i="7" s="1"/>
  <c r="BV128" i="7"/>
  <c r="CQ128" i="7" s="1"/>
  <c r="DS128" i="7"/>
  <c r="P128" i="7" s="1"/>
  <c r="CI129" i="7"/>
  <c r="DD129" i="7" s="1"/>
  <c r="AC127" i="7"/>
  <c r="AB127" i="7"/>
  <c r="P127" i="7" s="1"/>
  <c r="AD127" i="7"/>
  <c r="AI120" i="7"/>
  <c r="BF120" i="7"/>
  <c r="BD120" i="7"/>
  <c r="BE120" i="7"/>
  <c r="DP120" i="7"/>
  <c r="CG123" i="7"/>
  <c r="DB123" i="7" s="1"/>
  <c r="AC122" i="7"/>
  <c r="AB122" i="7"/>
  <c r="P122" i="7" s="1"/>
  <c r="AD122" i="7"/>
  <c r="CD126" i="7"/>
  <c r="CY126" i="7" s="1"/>
  <c r="AG121" i="7"/>
  <c r="AH121" i="7"/>
  <c r="CH123" i="7"/>
  <c r="DC123" i="7" s="1"/>
  <c r="BN122" i="7"/>
  <c r="AE121" i="7"/>
  <c r="AF121" i="7"/>
  <c r="DN121" i="7"/>
  <c r="L111" i="32" s="1"/>
  <c r="DQ121" i="7"/>
  <c r="M111" i="32" s="1"/>
  <c r="DJ121" i="7"/>
  <c r="DR121" i="7"/>
  <c r="DM121" i="7"/>
  <c r="BS127" i="7"/>
  <c r="CN127" i="7" s="1"/>
  <c r="BU138" i="7"/>
  <c r="CP138" i="7" s="1"/>
  <c r="CE131" i="7"/>
  <c r="CZ131" i="7" s="1"/>
  <c r="CJ162" i="7"/>
  <c r="DE162" i="7" s="1"/>
  <c r="AO123" i="7" l="1"/>
  <c r="EO130" i="7"/>
  <c r="AM131" i="7"/>
  <c r="AN127" i="7"/>
  <c r="CK129" i="7"/>
  <c r="DF129" i="7" s="1"/>
  <c r="CB131" i="7"/>
  <c r="CW131" i="7" s="1"/>
  <c r="F45" i="7"/>
  <c r="BM45" i="7"/>
  <c r="BO121" i="7"/>
  <c r="CF128" i="7"/>
  <c r="DA128" i="7" s="1"/>
  <c r="CL127" i="7"/>
  <c r="DG127" i="7" s="1"/>
  <c r="EM126" i="7"/>
  <c r="EF127" i="7"/>
  <c r="EC127" i="7"/>
  <c r="BZ124" i="7"/>
  <c r="CU124" i="7" s="1"/>
  <c r="DZ123" i="7"/>
  <c r="EA123" i="7"/>
  <c r="AY126" i="7"/>
  <c r="E116" i="32"/>
  <c r="AU126" i="7"/>
  <c r="AW126" i="7"/>
  <c r="AZ126" i="7"/>
  <c r="BB126" i="7"/>
  <c r="AV126" i="7"/>
  <c r="M127" i="7"/>
  <c r="AV127" i="7" s="1"/>
  <c r="DV127" i="7"/>
  <c r="AT126" i="7"/>
  <c r="BC126" i="7"/>
  <c r="AX126" i="7"/>
  <c r="BA126" i="7"/>
  <c r="BY160" i="7"/>
  <c r="CT160" i="7" s="1"/>
  <c r="BX160" i="7"/>
  <c r="CS160" i="7" s="1"/>
  <c r="BW162" i="7"/>
  <c r="CR162" i="7" s="1"/>
  <c r="CM151" i="7"/>
  <c r="DH151" i="7" s="1"/>
  <c r="DK122" i="7"/>
  <c r="K112" i="32" s="1"/>
  <c r="DL122" i="7"/>
  <c r="BP120" i="7"/>
  <c r="BQ120" i="7" s="1"/>
  <c r="H120" i="7" s="1"/>
  <c r="DM122" i="7"/>
  <c r="DO122" i="7"/>
  <c r="DP121" i="7"/>
  <c r="CC145" i="7"/>
  <c r="CX145" i="7" s="1"/>
  <c r="BV129" i="7"/>
  <c r="CQ129" i="7" s="1"/>
  <c r="DS129" i="7"/>
  <c r="P129" i="7" s="1"/>
  <c r="CI130" i="7"/>
  <c r="DD130" i="7" s="1"/>
  <c r="BT131" i="7"/>
  <c r="CO131" i="7" s="1"/>
  <c r="AE127" i="7"/>
  <c r="CA124" i="7"/>
  <c r="CV124" i="7" s="1"/>
  <c r="AH122" i="7"/>
  <c r="DJ122" i="7"/>
  <c r="AE122" i="7"/>
  <c r="AG122" i="7"/>
  <c r="DN122" i="7"/>
  <c r="L112" i="32" s="1"/>
  <c r="CG124" i="7"/>
  <c r="DB124" i="7" s="1"/>
  <c r="AF122" i="7"/>
  <c r="DR122" i="7"/>
  <c r="AC123" i="7"/>
  <c r="AD123" i="7"/>
  <c r="AB123" i="7"/>
  <c r="P123" i="7" s="1"/>
  <c r="CD127" i="7"/>
  <c r="CY127" i="7" s="1"/>
  <c r="AI121" i="7"/>
  <c r="BN123" i="7"/>
  <c r="CH124" i="7"/>
  <c r="DC124" i="7" s="1"/>
  <c r="BE121" i="7"/>
  <c r="BD121" i="7"/>
  <c r="BF121" i="7"/>
  <c r="DI121" i="7"/>
  <c r="BS128" i="7"/>
  <c r="CN128" i="7" s="1"/>
  <c r="BU139" i="7"/>
  <c r="CP139" i="7" s="1"/>
  <c r="CE132" i="7"/>
  <c r="CZ132" i="7" s="1"/>
  <c r="CJ163" i="7"/>
  <c r="DE163" i="7" s="1"/>
  <c r="AN128" i="7" l="1"/>
  <c r="EO131" i="7"/>
  <c r="AM132" i="7"/>
  <c r="AO124" i="7"/>
  <c r="CK130" i="7"/>
  <c r="DF130" i="7" s="1"/>
  <c r="CB132" i="7"/>
  <c r="CW132" i="7" s="1"/>
  <c r="B45" i="7"/>
  <c r="P45" i="7"/>
  <c r="CF129" i="7"/>
  <c r="DA129" i="7" s="1"/>
  <c r="BO122" i="7"/>
  <c r="CL128" i="7"/>
  <c r="DG128" i="7" s="1"/>
  <c r="EM127" i="7"/>
  <c r="EN124" i="7"/>
  <c r="EF128" i="7"/>
  <c r="EC128" i="7"/>
  <c r="DZ124" i="7"/>
  <c r="EA124" i="7"/>
  <c r="EB124" i="7"/>
  <c r="DX124" i="7"/>
  <c r="DW124" i="7"/>
  <c r="AY127" i="7"/>
  <c r="AX127" i="7"/>
  <c r="AW127" i="7"/>
  <c r="E117" i="32"/>
  <c r="BA127" i="7"/>
  <c r="BC127" i="7"/>
  <c r="AZ127" i="7"/>
  <c r="AT127" i="7"/>
  <c r="AU127" i="7"/>
  <c r="BB127" i="7"/>
  <c r="M128" i="7"/>
  <c r="BB128" i="7" s="1"/>
  <c r="DV128" i="7"/>
  <c r="BX161" i="7"/>
  <c r="CS161" i="7" s="1"/>
  <c r="BY161" i="7"/>
  <c r="CT161" i="7" s="1"/>
  <c r="BW163" i="7"/>
  <c r="CR163" i="7" s="1"/>
  <c r="CM152" i="7"/>
  <c r="DH152" i="7" s="1"/>
  <c r="BP121" i="7"/>
  <c r="BQ121" i="7" s="1"/>
  <c r="H121" i="7" s="1"/>
  <c r="G120" i="7"/>
  <c r="DK123" i="7"/>
  <c r="K113" i="32" s="1"/>
  <c r="DL123" i="7"/>
  <c r="DO123" i="7"/>
  <c r="DP122" i="7"/>
  <c r="CC146" i="7"/>
  <c r="CX146" i="7" s="1"/>
  <c r="BT132" i="7"/>
  <c r="CO132" i="7" s="1"/>
  <c r="BV130" i="7"/>
  <c r="CQ130" i="7" s="1"/>
  <c r="CI131" i="7"/>
  <c r="DD131" i="7" s="1"/>
  <c r="DS130" i="7"/>
  <c r="P130" i="7" s="1"/>
  <c r="BZ125" i="7"/>
  <c r="CU125" i="7" s="1"/>
  <c r="AI122" i="7"/>
  <c r="BE122" i="7"/>
  <c r="CG125" i="7"/>
  <c r="DB125" i="7" s="1"/>
  <c r="DQ122" i="7"/>
  <c r="M112" i="32" s="1"/>
  <c r="BD122" i="7"/>
  <c r="BF122" i="7"/>
  <c r="AH123" i="7"/>
  <c r="AE123" i="7"/>
  <c r="AF123" i="7"/>
  <c r="DJ123" i="7"/>
  <c r="DR123" i="7"/>
  <c r="DM123" i="7"/>
  <c r="DN123" i="7"/>
  <c r="L113" i="32" s="1"/>
  <c r="CD128" i="7"/>
  <c r="CY128" i="7" s="1"/>
  <c r="AG123" i="7"/>
  <c r="DI122" i="7"/>
  <c r="CH125" i="7"/>
  <c r="DC125" i="7" s="1"/>
  <c r="BN124" i="7"/>
  <c r="AG127" i="7"/>
  <c r="AF127" i="7"/>
  <c r="AI127" i="7" s="1"/>
  <c r="AH127" i="7"/>
  <c r="BS129" i="7"/>
  <c r="CN129" i="7" s="1"/>
  <c r="BU140" i="7"/>
  <c r="CP140" i="7" s="1"/>
  <c r="CE133" i="7"/>
  <c r="CZ133" i="7" s="1"/>
  <c r="CJ164" i="7"/>
  <c r="DE164" i="7" s="1"/>
  <c r="AN129" i="7" l="1"/>
  <c r="AO125" i="7"/>
  <c r="AM133" i="7"/>
  <c r="EN125" i="7"/>
  <c r="EO132" i="7"/>
  <c r="CK131" i="7"/>
  <c r="DF131" i="7" s="1"/>
  <c r="CB133" i="7"/>
  <c r="CW133" i="7" s="1"/>
  <c r="N46" i="7"/>
  <c r="D35" i="32"/>
  <c r="CF130" i="7"/>
  <c r="DA130" i="7" s="1"/>
  <c r="BO123" i="7"/>
  <c r="CL129" i="7"/>
  <c r="DG129" i="7" s="1"/>
  <c r="EM128" i="7"/>
  <c r="DZ125" i="7"/>
  <c r="EA125" i="7"/>
  <c r="EF129" i="7"/>
  <c r="EC129" i="7"/>
  <c r="AV128" i="7"/>
  <c r="E118" i="32"/>
  <c r="AX128" i="7"/>
  <c r="AW128" i="7"/>
  <c r="BC128" i="7"/>
  <c r="AT128" i="7"/>
  <c r="AY128" i="7"/>
  <c r="BA128" i="7"/>
  <c r="AZ128" i="7"/>
  <c r="AU128" i="7"/>
  <c r="M129" i="7"/>
  <c r="DV129" i="7"/>
  <c r="BY162" i="7"/>
  <c r="CT162" i="7" s="1"/>
  <c r="BX162" i="7"/>
  <c r="CS162" i="7" s="1"/>
  <c r="BW164" i="7"/>
  <c r="CR164" i="7" s="1"/>
  <c r="CM153" i="7"/>
  <c r="DH153" i="7" s="1"/>
  <c r="BP122" i="7"/>
  <c r="BQ122" i="7" s="1"/>
  <c r="H122" i="7" s="1"/>
  <c r="DP123" i="7"/>
  <c r="CC147" i="7"/>
  <c r="CX147" i="7" s="1"/>
  <c r="G121" i="7"/>
  <c r="BZ126" i="7"/>
  <c r="CU126" i="7" s="1"/>
  <c r="BV131" i="7"/>
  <c r="CQ131" i="7" s="1"/>
  <c r="BT133" i="7"/>
  <c r="CO133" i="7" s="1"/>
  <c r="CI132" i="7"/>
  <c r="DD132" i="7" s="1"/>
  <c r="DS131" i="7"/>
  <c r="P131" i="7" s="1"/>
  <c r="AD124" i="7"/>
  <c r="AC124" i="7"/>
  <c r="AB124" i="7"/>
  <c r="P124" i="7" s="1"/>
  <c r="CA125" i="7"/>
  <c r="CV125" i="7" s="1"/>
  <c r="DQ123" i="7"/>
  <c r="M113" i="32" s="1"/>
  <c r="CG126" i="7"/>
  <c r="DB126" i="7" s="1"/>
  <c r="AC125" i="7"/>
  <c r="AB125" i="7"/>
  <c r="P125" i="7" s="1"/>
  <c r="AD125" i="7"/>
  <c r="AI123" i="7"/>
  <c r="CD129" i="7"/>
  <c r="CY129" i="7" s="1"/>
  <c r="BE123" i="7"/>
  <c r="BF123" i="7"/>
  <c r="BD123" i="7"/>
  <c r="BN125" i="7"/>
  <c r="CH126" i="7"/>
  <c r="DC126" i="7" s="1"/>
  <c r="DI123" i="7"/>
  <c r="BS130" i="7"/>
  <c r="CN130" i="7" s="1"/>
  <c r="AG128" i="7"/>
  <c r="AF128" i="7"/>
  <c r="AI128" i="7" s="1"/>
  <c r="BF127" i="7"/>
  <c r="BD127" i="7"/>
  <c r="BE127" i="7"/>
  <c r="BU141" i="7"/>
  <c r="CP141" i="7" s="1"/>
  <c r="CE134" i="7"/>
  <c r="CZ134" i="7" s="1"/>
  <c r="CJ165" i="7"/>
  <c r="DE165" i="7" s="1"/>
  <c r="AN130" i="7" l="1"/>
  <c r="CK132" i="7"/>
  <c r="DF132" i="7" s="1"/>
  <c r="AO126" i="7"/>
  <c r="EO133" i="7"/>
  <c r="AM134" i="7"/>
  <c r="CF131" i="7"/>
  <c r="DA131" i="7" s="1"/>
  <c r="CB134" i="7"/>
  <c r="CW134" i="7" s="1"/>
  <c r="AR46" i="7"/>
  <c r="BI46" i="7" s="1"/>
  <c r="F35" i="32"/>
  <c r="G35" i="32" s="1"/>
  <c r="P35" i="32" s="1"/>
  <c r="Q35" i="32" s="1"/>
  <c r="AP46" i="7"/>
  <c r="BG46" i="7" s="1"/>
  <c r="AQ46" i="7"/>
  <c r="BH46" i="7" s="1"/>
  <c r="AL46" i="7"/>
  <c r="AJ46" i="7"/>
  <c r="AK46" i="7"/>
  <c r="CL130" i="7"/>
  <c r="DG130" i="7" s="1"/>
  <c r="EM129" i="7"/>
  <c r="AD126" i="7"/>
  <c r="EN126" i="7"/>
  <c r="EF130" i="7"/>
  <c r="EC130" i="7"/>
  <c r="DW125" i="7"/>
  <c r="EB125" i="7"/>
  <c r="DX125" i="7"/>
  <c r="DZ126" i="7"/>
  <c r="EA126" i="7"/>
  <c r="BA129" i="7"/>
  <c r="E119" i="32"/>
  <c r="BB129" i="7"/>
  <c r="AW129" i="7"/>
  <c r="AY129" i="7"/>
  <c r="M130" i="7"/>
  <c r="BA130" i="7" s="1"/>
  <c r="DV130" i="7"/>
  <c r="AV129" i="7"/>
  <c r="AX129" i="7"/>
  <c r="BC129" i="7"/>
  <c r="AT129" i="7"/>
  <c r="AZ129" i="7"/>
  <c r="AU129" i="7"/>
  <c r="BX163" i="7"/>
  <c r="CS163" i="7" s="1"/>
  <c r="BY163" i="7"/>
  <c r="CT163" i="7" s="1"/>
  <c r="BW165" i="7"/>
  <c r="CR165" i="7" s="1"/>
  <c r="AH128" i="7"/>
  <c r="CM154" i="7"/>
  <c r="DH154" i="7" s="1"/>
  <c r="BP123" i="7"/>
  <c r="BQ123" i="7" s="1"/>
  <c r="H123" i="7" s="1"/>
  <c r="DK124" i="7"/>
  <c r="K114" i="32" s="1"/>
  <c r="DL124" i="7"/>
  <c r="DM124" i="7"/>
  <c r="DO124" i="7"/>
  <c r="CC148" i="7"/>
  <c r="CX148" i="7" s="1"/>
  <c r="BZ127" i="7"/>
  <c r="CU127" i="7" s="1"/>
  <c r="G122" i="7"/>
  <c r="AC126" i="7"/>
  <c r="AB126" i="7"/>
  <c r="P126" i="7" s="1"/>
  <c r="DR124" i="7"/>
  <c r="DI124" i="7"/>
  <c r="DS132" i="7"/>
  <c r="P132" i="7" s="1"/>
  <c r="CI133" i="7"/>
  <c r="DD133" i="7" s="1"/>
  <c r="BV132" i="7"/>
  <c r="CQ132" i="7" s="1"/>
  <c r="BT134" i="7"/>
  <c r="CO134" i="7" s="1"/>
  <c r="DJ124" i="7"/>
  <c r="AH124" i="7"/>
  <c r="DN124" i="7"/>
  <c r="L114" i="32" s="1"/>
  <c r="DQ124" i="7"/>
  <c r="M114" i="32" s="1"/>
  <c r="AG124" i="7"/>
  <c r="AE124" i="7"/>
  <c r="AF124" i="7"/>
  <c r="AI124" i="7" s="1"/>
  <c r="BO124" i="7"/>
  <c r="CA126" i="7"/>
  <c r="CV126" i="7" s="1"/>
  <c r="CG127" i="7"/>
  <c r="DB127" i="7" s="1"/>
  <c r="AE125" i="7"/>
  <c r="AF125" i="7"/>
  <c r="AG125" i="7"/>
  <c r="AH125" i="7"/>
  <c r="CD130" i="7"/>
  <c r="CY130" i="7" s="1"/>
  <c r="BN126" i="7"/>
  <c r="CH127" i="7"/>
  <c r="DC127" i="7" s="1"/>
  <c r="BD128" i="7"/>
  <c r="BE128" i="7"/>
  <c r="BF128" i="7"/>
  <c r="AF129" i="7"/>
  <c r="AI129" i="7" s="1"/>
  <c r="BS131" i="7"/>
  <c r="CN131" i="7" s="1"/>
  <c r="BU142" i="7"/>
  <c r="CP142" i="7" s="1"/>
  <c r="CE135" i="7"/>
  <c r="CZ135" i="7" s="1"/>
  <c r="CJ166" i="7"/>
  <c r="DE166" i="7" s="1"/>
  <c r="EO134" i="7" l="1"/>
  <c r="AN131" i="7"/>
  <c r="CK133" i="7"/>
  <c r="DF133" i="7" s="1"/>
  <c r="CF132" i="7"/>
  <c r="AO127" i="7"/>
  <c r="AM135" i="7"/>
  <c r="CB135" i="7"/>
  <c r="CW135" i="7" s="1"/>
  <c r="BK46" i="7"/>
  <c r="D46" i="7"/>
  <c r="BJ46" i="7"/>
  <c r="C46" i="7"/>
  <c r="E46" i="7"/>
  <c r="BL46" i="7"/>
  <c r="CL131" i="7"/>
  <c r="DG131" i="7" s="1"/>
  <c r="EM130" i="7"/>
  <c r="BZ128" i="7"/>
  <c r="CU128" i="7" s="1"/>
  <c r="EN127" i="7"/>
  <c r="AE126" i="7"/>
  <c r="DZ127" i="7"/>
  <c r="EA127" i="7"/>
  <c r="EB126" i="7"/>
  <c r="DX126" i="7"/>
  <c r="DW126" i="7"/>
  <c r="EF131" i="7"/>
  <c r="EC131" i="7"/>
  <c r="AV130" i="7"/>
  <c r="E120" i="32"/>
  <c r="AX130" i="7"/>
  <c r="AW130" i="7"/>
  <c r="BC130" i="7"/>
  <c r="AZ130" i="7"/>
  <c r="AT130" i="7"/>
  <c r="AU130" i="7"/>
  <c r="AY130" i="7"/>
  <c r="M131" i="7"/>
  <c r="AT131" i="7" s="1"/>
  <c r="DV131" i="7"/>
  <c r="BB130" i="7"/>
  <c r="BY164" i="7"/>
  <c r="CT164" i="7" s="1"/>
  <c r="BX164" i="7"/>
  <c r="CS164" i="7" s="1"/>
  <c r="BW166" i="7"/>
  <c r="CR166" i="7" s="1"/>
  <c r="AH129" i="7"/>
  <c r="AG129" i="7"/>
  <c r="CM155" i="7"/>
  <c r="DH155" i="7" s="1"/>
  <c r="DM125" i="7"/>
  <c r="DO125" i="7"/>
  <c r="DL125" i="7"/>
  <c r="DP124" i="7"/>
  <c r="BP124" i="7" s="1"/>
  <c r="BQ124" i="7" s="1"/>
  <c r="H124" i="7" s="1"/>
  <c r="CC149" i="7"/>
  <c r="CX149" i="7" s="1"/>
  <c r="G123" i="7"/>
  <c r="AG126" i="7"/>
  <c r="AH126" i="7"/>
  <c r="DR125" i="7"/>
  <c r="AF126" i="7"/>
  <c r="AI126" i="7" s="1"/>
  <c r="DJ125" i="7"/>
  <c r="BT135" i="7"/>
  <c r="CO135" i="7" s="1"/>
  <c r="DS133" i="7"/>
  <c r="P133" i="7" s="1"/>
  <c r="CI134" i="7"/>
  <c r="DD134" i="7" s="1"/>
  <c r="BV133" i="7"/>
  <c r="CQ133" i="7" s="1"/>
  <c r="DN125" i="7"/>
  <c r="L115" i="32" s="1"/>
  <c r="DQ125" i="7"/>
  <c r="M115" i="32" s="1"/>
  <c r="BD124" i="7"/>
  <c r="DK125" i="7"/>
  <c r="K115" i="32" s="1"/>
  <c r="BE124" i="7"/>
  <c r="BF124" i="7"/>
  <c r="BO125" i="7"/>
  <c r="CA127" i="7"/>
  <c r="CV127" i="7" s="1"/>
  <c r="CG128" i="7"/>
  <c r="DB128" i="7" s="1"/>
  <c r="BF125" i="7"/>
  <c r="BE125" i="7"/>
  <c r="BD125" i="7"/>
  <c r="AI125" i="7"/>
  <c r="CD131" i="7"/>
  <c r="CY131" i="7" s="1"/>
  <c r="CH128" i="7"/>
  <c r="DC128" i="7" s="1"/>
  <c r="BN127" i="7"/>
  <c r="DI125" i="7"/>
  <c r="BS132" i="7"/>
  <c r="CN132" i="7" s="1"/>
  <c r="BU143" i="7"/>
  <c r="CP143" i="7" s="1"/>
  <c r="CE136" i="7"/>
  <c r="CZ136" i="7" s="1"/>
  <c r="CJ167" i="7"/>
  <c r="DE167" i="7" s="1"/>
  <c r="CF133" i="7" l="1"/>
  <c r="DA133" i="7" s="1"/>
  <c r="DA132" i="7"/>
  <c r="AN133" i="7"/>
  <c r="EO135" i="7"/>
  <c r="AM136" i="7"/>
  <c r="AO128" i="7"/>
  <c r="AN132" i="7"/>
  <c r="EN128" i="7"/>
  <c r="CK134" i="7"/>
  <c r="DF134" i="7" s="1"/>
  <c r="CB136" i="7"/>
  <c r="CW136" i="7" s="1"/>
  <c r="F46" i="7"/>
  <c r="BM46" i="7"/>
  <c r="BZ129" i="7"/>
  <c r="CU129" i="7" s="1"/>
  <c r="CL132" i="7"/>
  <c r="DG132" i="7" s="1"/>
  <c r="EM131" i="7"/>
  <c r="DZ128" i="7"/>
  <c r="EA128" i="7"/>
  <c r="EB127" i="7"/>
  <c r="DX127" i="7"/>
  <c r="DW127" i="7"/>
  <c r="EF132" i="7"/>
  <c r="EC132" i="7"/>
  <c r="AW131" i="7"/>
  <c r="E121" i="32"/>
  <c r="AU131" i="7"/>
  <c r="AZ131" i="7"/>
  <c r="BB131" i="7"/>
  <c r="AV131" i="7"/>
  <c r="AX131" i="7"/>
  <c r="BC131" i="7"/>
  <c r="AY131" i="7"/>
  <c r="BA131" i="7"/>
  <c r="M132" i="7"/>
  <c r="AZ132" i="7" s="1"/>
  <c r="DV132" i="7"/>
  <c r="BX165" i="7"/>
  <c r="CS165" i="7" s="1"/>
  <c r="BY165" i="7"/>
  <c r="CT165" i="7" s="1"/>
  <c r="BW167" i="7"/>
  <c r="CR167" i="7" s="1"/>
  <c r="BD129" i="7"/>
  <c r="BF129" i="7"/>
  <c r="AH130" i="7"/>
  <c r="AG130" i="7"/>
  <c r="BE129" i="7"/>
  <c r="AF130" i="7"/>
  <c r="AI130" i="7" s="1"/>
  <c r="CM156" i="7"/>
  <c r="DH156" i="7" s="1"/>
  <c r="DO126" i="7"/>
  <c r="DO127" i="7" s="1"/>
  <c r="DO128" i="7" s="1"/>
  <c r="DO129" i="7" s="1"/>
  <c r="DM126" i="7"/>
  <c r="DM127" i="7" s="1"/>
  <c r="DM128" i="7" s="1"/>
  <c r="DM129" i="7" s="1"/>
  <c r="DL126" i="7"/>
  <c r="DL127" i="7" s="1"/>
  <c r="DL128" i="7" s="1"/>
  <c r="DL129" i="7" s="1"/>
  <c r="DL130" i="7" s="1"/>
  <c r="DP125" i="7"/>
  <c r="DP126" i="7" s="1"/>
  <c r="DP127" i="7" s="1"/>
  <c r="DP128" i="7" s="1"/>
  <c r="DP129" i="7" s="1"/>
  <c r="DP130" i="7" s="1"/>
  <c r="CC150" i="7"/>
  <c r="CX150" i="7" s="1"/>
  <c r="G124" i="7"/>
  <c r="DN126" i="7"/>
  <c r="L116" i="32" s="1"/>
  <c r="DJ126" i="7"/>
  <c r="DJ127" i="7" s="1"/>
  <c r="DJ128" i="7" s="1"/>
  <c r="DJ129" i="7" s="1"/>
  <c r="DJ130" i="7" s="1"/>
  <c r="DR126" i="7"/>
  <c r="DR127" i="7" s="1"/>
  <c r="DR128" i="7" s="1"/>
  <c r="DR129" i="7" s="1"/>
  <c r="BF126" i="7"/>
  <c r="BD126" i="7"/>
  <c r="BE126" i="7"/>
  <c r="DQ126" i="7"/>
  <c r="DK126" i="7"/>
  <c r="K116" i="32" s="1"/>
  <c r="BT136" i="7"/>
  <c r="CO136" i="7" s="1"/>
  <c r="BV134" i="7"/>
  <c r="CQ134" i="7" s="1"/>
  <c r="CI135" i="7"/>
  <c r="DD135" i="7" s="1"/>
  <c r="DS134" i="7"/>
  <c r="P134" i="7" s="1"/>
  <c r="CA128" i="7"/>
  <c r="CV128" i="7" s="1"/>
  <c r="BO126" i="7"/>
  <c r="CG129" i="7"/>
  <c r="DB129" i="7" s="1"/>
  <c r="CD132" i="7"/>
  <c r="CY132" i="7" s="1"/>
  <c r="CF134" i="7"/>
  <c r="DA134" i="7" s="1"/>
  <c r="DI126" i="7"/>
  <c r="BN128" i="7"/>
  <c r="CH129" i="7"/>
  <c r="DC129" i="7" s="1"/>
  <c r="AF131" i="7"/>
  <c r="AI131" i="7" s="1"/>
  <c r="AG131" i="7"/>
  <c r="AH131" i="7"/>
  <c r="BS133" i="7"/>
  <c r="CN133" i="7" s="1"/>
  <c r="BU144" i="7"/>
  <c r="CP144" i="7" s="1"/>
  <c r="CE137" i="7"/>
  <c r="CZ137" i="7" s="1"/>
  <c r="CJ168" i="7"/>
  <c r="DE168" i="7" s="1"/>
  <c r="AO129" i="7" l="1"/>
  <c r="EN129" i="7"/>
  <c r="AN134" i="7"/>
  <c r="EO136" i="7"/>
  <c r="AM137" i="7"/>
  <c r="CK135" i="7"/>
  <c r="DF135" i="7" s="1"/>
  <c r="BZ130" i="7"/>
  <c r="CU130" i="7" s="1"/>
  <c r="CB137" i="7"/>
  <c r="CW137" i="7" s="1"/>
  <c r="B46" i="7"/>
  <c r="P46" i="7"/>
  <c r="CL133" i="7"/>
  <c r="DG133" i="7" s="1"/>
  <c r="EM132" i="7"/>
  <c r="DQ127" i="7"/>
  <c r="M116" i="32"/>
  <c r="EB128" i="7"/>
  <c r="DX128" i="7"/>
  <c r="DW128" i="7"/>
  <c r="EF133" i="7"/>
  <c r="EC133" i="7"/>
  <c r="EA129" i="7"/>
  <c r="DZ129" i="7"/>
  <c r="BC132" i="7"/>
  <c r="AU132" i="7"/>
  <c r="DN127" i="7"/>
  <c r="L117" i="32" s="1"/>
  <c r="DK127" i="7"/>
  <c r="K117" i="32" s="1"/>
  <c r="AY132" i="7"/>
  <c r="E122" i="32"/>
  <c r="BB132" i="7"/>
  <c r="AX132" i="7"/>
  <c r="BA132" i="7"/>
  <c r="AV132" i="7"/>
  <c r="M133" i="7"/>
  <c r="DV133" i="7"/>
  <c r="AT132" i="7"/>
  <c r="AW132" i="7"/>
  <c r="BY166" i="7"/>
  <c r="CT166" i="7" s="1"/>
  <c r="BX166" i="7"/>
  <c r="CS166" i="7" s="1"/>
  <c r="BW168" i="7"/>
  <c r="CR168" i="7" s="1"/>
  <c r="DO130" i="7"/>
  <c r="DO131" i="7" s="1"/>
  <c r="DM130" i="7"/>
  <c r="DM131" i="7" s="1"/>
  <c r="BD130" i="7"/>
  <c r="BF130" i="7"/>
  <c r="DL131" i="7"/>
  <c r="BE130" i="7"/>
  <c r="DR130" i="7"/>
  <c r="DR131" i="7" s="1"/>
  <c r="CM157" i="7"/>
  <c r="DH157" i="7" s="1"/>
  <c r="BP126" i="7"/>
  <c r="BQ126" i="7" s="1"/>
  <c r="H126" i="7" s="1"/>
  <c r="BP125" i="7"/>
  <c r="BQ125" i="7" s="1"/>
  <c r="H125" i="7" s="1"/>
  <c r="CC151" i="7"/>
  <c r="CX151" i="7" s="1"/>
  <c r="BV135" i="7"/>
  <c r="CQ135" i="7" s="1"/>
  <c r="BT137" i="7"/>
  <c r="CO137" i="7" s="1"/>
  <c r="DP131" i="7"/>
  <c r="CI136" i="7"/>
  <c r="DD136" i="7" s="1"/>
  <c r="DS135" i="7"/>
  <c r="P135" i="7" s="1"/>
  <c r="CA129" i="7"/>
  <c r="CV129" i="7" s="1"/>
  <c r="BO127" i="7"/>
  <c r="DJ131" i="7"/>
  <c r="CG130" i="7"/>
  <c r="DB130" i="7" s="1"/>
  <c r="BZ131" i="7"/>
  <c r="CU131" i="7" s="1"/>
  <c r="CD133" i="7"/>
  <c r="CY133" i="7" s="1"/>
  <c r="DI127" i="7"/>
  <c r="CH130" i="7"/>
  <c r="DC130" i="7" s="1"/>
  <c r="BN129" i="7"/>
  <c r="CF135" i="7"/>
  <c r="DA135" i="7" s="1"/>
  <c r="BS134" i="7"/>
  <c r="CN134" i="7" s="1"/>
  <c r="BF131" i="7"/>
  <c r="BD131" i="7"/>
  <c r="BE131" i="7"/>
  <c r="BU145" i="7"/>
  <c r="CP145" i="7" s="1"/>
  <c r="CE138" i="7"/>
  <c r="CZ138" i="7" s="1"/>
  <c r="CJ169" i="7"/>
  <c r="DE169" i="7" s="1"/>
  <c r="AM138" i="7" l="1"/>
  <c r="AO130" i="7"/>
  <c r="CK136" i="7"/>
  <c r="DF136" i="7" s="1"/>
  <c r="AN135" i="7"/>
  <c r="EN131" i="7"/>
  <c r="EO137" i="7"/>
  <c r="EN130" i="7"/>
  <c r="CB138" i="7"/>
  <c r="CW138" i="7" s="1"/>
  <c r="N47" i="7"/>
  <c r="D36" i="32"/>
  <c r="CL134" i="7"/>
  <c r="DG134" i="7" s="1"/>
  <c r="EM133" i="7"/>
  <c r="DQ128" i="7"/>
  <c r="M117" i="32"/>
  <c r="DZ130" i="7"/>
  <c r="EA130" i="7"/>
  <c r="DW129" i="7"/>
  <c r="DX129" i="7"/>
  <c r="EB129" i="7"/>
  <c r="EF134" i="7"/>
  <c r="EC134" i="7"/>
  <c r="BP127" i="7"/>
  <c r="BQ127" i="7" s="1"/>
  <c r="H127" i="7" s="1"/>
  <c r="BA133" i="7"/>
  <c r="E123" i="32"/>
  <c r="DK128" i="7"/>
  <c r="K118" i="32" s="1"/>
  <c r="DN128" i="7"/>
  <c r="L118" i="32" s="1"/>
  <c r="AW133" i="7"/>
  <c r="AY133" i="7"/>
  <c r="BC133" i="7"/>
  <c r="BB133" i="7"/>
  <c r="AT133" i="7"/>
  <c r="AV133" i="7"/>
  <c r="AX133" i="7"/>
  <c r="AZ133" i="7"/>
  <c r="AU133" i="7"/>
  <c r="M134" i="7"/>
  <c r="DV134" i="7"/>
  <c r="BX167" i="7"/>
  <c r="CS167" i="7" s="1"/>
  <c r="BY167" i="7"/>
  <c r="CT167" i="7" s="1"/>
  <c r="BW169" i="7"/>
  <c r="CR169" i="7" s="1"/>
  <c r="G125" i="7"/>
  <c r="AG132" i="7" s="1"/>
  <c r="DJ132" i="7"/>
  <c r="DO132" i="7"/>
  <c r="AF132" i="7"/>
  <c r="AI132" i="7" s="1"/>
  <c r="AH132" i="7"/>
  <c r="CM158" i="7"/>
  <c r="DH158" i="7" s="1"/>
  <c r="DL132" i="7"/>
  <c r="CC152" i="7"/>
  <c r="CX152" i="7" s="1"/>
  <c r="G126" i="7"/>
  <c r="DP132" i="7"/>
  <c r="BT138" i="7"/>
  <c r="CO138" i="7" s="1"/>
  <c r="CI137" i="7"/>
  <c r="DD137" i="7" s="1"/>
  <c r="DS136" i="7"/>
  <c r="P136" i="7" s="1"/>
  <c r="BV136" i="7"/>
  <c r="CQ136" i="7" s="1"/>
  <c r="BO128" i="7"/>
  <c r="CA130" i="7"/>
  <c r="CV130" i="7" s="1"/>
  <c r="DR132" i="7"/>
  <c r="CG131" i="7"/>
  <c r="DB131" i="7" s="1"/>
  <c r="BZ132" i="7"/>
  <c r="CU132" i="7" s="1"/>
  <c r="CD134" i="7"/>
  <c r="CY134" i="7" s="1"/>
  <c r="BN130" i="7"/>
  <c r="CH131" i="7"/>
  <c r="DC131" i="7" s="1"/>
  <c r="CF136" i="7"/>
  <c r="DA136" i="7" s="1"/>
  <c r="DI128" i="7"/>
  <c r="BS135" i="7"/>
  <c r="CN135" i="7" s="1"/>
  <c r="AF133" i="7"/>
  <c r="AI133" i="7" s="1"/>
  <c r="AG133" i="7"/>
  <c r="BD132" i="7"/>
  <c r="BU146" i="7"/>
  <c r="CP146" i="7" s="1"/>
  <c r="CE139" i="7"/>
  <c r="CZ139" i="7" s="1"/>
  <c r="CJ170" i="7"/>
  <c r="DE170" i="7" s="1"/>
  <c r="AN136" i="7" l="1"/>
  <c r="EN132" i="7"/>
  <c r="EO138" i="7"/>
  <c r="AM139" i="7"/>
  <c r="AO131" i="7"/>
  <c r="CK137" i="7"/>
  <c r="DF137" i="7" s="1"/>
  <c r="CB139" i="7"/>
  <c r="CW139" i="7" s="1"/>
  <c r="AQ47" i="7"/>
  <c r="BH47" i="7" s="1"/>
  <c r="AR47" i="7"/>
  <c r="BI47" i="7" s="1"/>
  <c r="F36" i="32"/>
  <c r="G36" i="32" s="1"/>
  <c r="P36" i="32" s="1"/>
  <c r="Q36" i="32" s="1"/>
  <c r="AP47" i="7"/>
  <c r="BG47" i="7" s="1"/>
  <c r="AK47" i="7"/>
  <c r="AL47" i="7"/>
  <c r="AJ47" i="7"/>
  <c r="CL135" i="7"/>
  <c r="DG135" i="7" s="1"/>
  <c r="EM134" i="7"/>
  <c r="DQ129" i="7"/>
  <c r="M118" i="32"/>
  <c r="DZ131" i="7"/>
  <c r="EA131" i="7"/>
  <c r="EF135" i="7"/>
  <c r="EC135" i="7"/>
  <c r="EB130" i="7"/>
  <c r="DX130" i="7"/>
  <c r="DW130" i="7"/>
  <c r="BP128" i="7"/>
  <c r="BQ128" i="7" s="1"/>
  <c r="H128" i="7" s="1"/>
  <c r="AV134" i="7"/>
  <c r="E124" i="32"/>
  <c r="DK129" i="7"/>
  <c r="K119" i="32" s="1"/>
  <c r="AZ134" i="7"/>
  <c r="DN129" i="7"/>
  <c r="L119" i="32" s="1"/>
  <c r="AW134" i="7"/>
  <c r="AX134" i="7"/>
  <c r="AU134" i="7"/>
  <c r="BA134" i="7"/>
  <c r="BC134" i="7"/>
  <c r="AT134" i="7"/>
  <c r="AY134" i="7"/>
  <c r="M135" i="7"/>
  <c r="AW135" i="7" s="1"/>
  <c r="DV135" i="7"/>
  <c r="BB134" i="7"/>
  <c r="BY168" i="7"/>
  <c r="CT168" i="7" s="1"/>
  <c r="BX168" i="7"/>
  <c r="CS168" i="7" s="1"/>
  <c r="BW170" i="7"/>
  <c r="CR170" i="7" s="1"/>
  <c r="BE132" i="7"/>
  <c r="DM132" i="7"/>
  <c r="BF132" i="7"/>
  <c r="DP133" i="7"/>
  <c r="AH133" i="7"/>
  <c r="DL133" i="7"/>
  <c r="DO133" i="7"/>
  <c r="CM159" i="7"/>
  <c r="DH159" i="7" s="1"/>
  <c r="CC153" i="7"/>
  <c r="CX153" i="7" s="1"/>
  <c r="G127" i="7"/>
  <c r="BV137" i="7"/>
  <c r="CQ137" i="7" s="1"/>
  <c r="CI138" i="7"/>
  <c r="DD138" i="7" s="1"/>
  <c r="DS137" i="7"/>
  <c r="P137" i="7" s="1"/>
  <c r="BT139" i="7"/>
  <c r="CO139" i="7" s="1"/>
  <c r="DJ133" i="7"/>
  <c r="BO129" i="7"/>
  <c r="CA131" i="7"/>
  <c r="CV131" i="7" s="1"/>
  <c r="DR133" i="7"/>
  <c r="CG132" i="7"/>
  <c r="DB132" i="7" s="1"/>
  <c r="BZ133" i="7"/>
  <c r="CU133" i="7" s="1"/>
  <c r="CD135" i="7"/>
  <c r="CY135" i="7" s="1"/>
  <c r="CF137" i="7"/>
  <c r="DA137" i="7" s="1"/>
  <c r="DI129" i="7"/>
  <c r="CH132" i="7"/>
  <c r="DC132" i="7" s="1"/>
  <c r="BN131" i="7"/>
  <c r="BS136" i="7"/>
  <c r="CN136" i="7" s="1"/>
  <c r="AF134" i="7"/>
  <c r="AI134" i="7" s="1"/>
  <c r="AH134" i="7"/>
  <c r="BU147" i="7"/>
  <c r="CP147" i="7" s="1"/>
  <c r="CE140" i="7"/>
  <c r="CZ140" i="7" s="1"/>
  <c r="CJ171" i="7"/>
  <c r="DE171" i="7" s="1"/>
  <c r="AM140" i="7" l="1"/>
  <c r="AN137" i="7"/>
  <c r="EN133" i="7"/>
  <c r="EO139" i="7"/>
  <c r="CK138" i="7"/>
  <c r="DF138" i="7" s="1"/>
  <c r="AO132" i="7"/>
  <c r="CB140" i="7"/>
  <c r="CW140" i="7" s="1"/>
  <c r="BJ47" i="7"/>
  <c r="C47" i="7"/>
  <c r="BL47" i="7"/>
  <c r="E47" i="7"/>
  <c r="BK47" i="7"/>
  <c r="D47" i="7"/>
  <c r="CL136" i="7"/>
  <c r="DG136" i="7" s="1"/>
  <c r="EM135" i="7"/>
  <c r="DQ130" i="7"/>
  <c r="M119" i="32"/>
  <c r="EF136" i="7"/>
  <c r="EC136" i="7"/>
  <c r="EA132" i="7"/>
  <c r="DZ132" i="7"/>
  <c r="DX131" i="7"/>
  <c r="DW131" i="7"/>
  <c r="EB131" i="7"/>
  <c r="BP129" i="7"/>
  <c r="BQ129" i="7" s="1"/>
  <c r="H129" i="7" s="1"/>
  <c r="BA135" i="7"/>
  <c r="E125" i="32"/>
  <c r="DK130" i="7"/>
  <c r="K120" i="32" s="1"/>
  <c r="DN130" i="7"/>
  <c r="L120" i="32" s="1"/>
  <c r="AU135" i="7"/>
  <c r="BB135" i="7"/>
  <c r="AX135" i="7"/>
  <c r="AZ135" i="7"/>
  <c r="BC135" i="7"/>
  <c r="AT135" i="7"/>
  <c r="AV135" i="7"/>
  <c r="AY135" i="7"/>
  <c r="M136" i="7"/>
  <c r="DV136" i="7"/>
  <c r="BX169" i="7"/>
  <c r="CS169" i="7" s="1"/>
  <c r="BY169" i="7"/>
  <c r="CT169" i="7" s="1"/>
  <c r="BW171" i="7"/>
  <c r="CR171" i="7" s="1"/>
  <c r="DP134" i="7"/>
  <c r="BE133" i="7"/>
  <c r="BF133" i="7"/>
  <c r="BD133" i="7"/>
  <c r="DM133" i="7"/>
  <c r="DM134" i="7" s="1"/>
  <c r="DO134" i="7"/>
  <c r="DJ134" i="7"/>
  <c r="AG134" i="7"/>
  <c r="CM160" i="7"/>
  <c r="DH160" i="7" s="1"/>
  <c r="DL134" i="7"/>
  <c r="CC154" i="7"/>
  <c r="CX154" i="7" s="1"/>
  <c r="G128" i="7"/>
  <c r="DS138" i="7"/>
  <c r="P138" i="7" s="1"/>
  <c r="CI139" i="7"/>
  <c r="DD139" i="7" s="1"/>
  <c r="BT140" i="7"/>
  <c r="CO140" i="7" s="1"/>
  <c r="BV138" i="7"/>
  <c r="CQ138" i="7" s="1"/>
  <c r="DR134" i="7"/>
  <c r="CA132" i="7"/>
  <c r="CV132" i="7" s="1"/>
  <c r="BO130" i="7"/>
  <c r="CG133" i="7"/>
  <c r="DB133" i="7" s="1"/>
  <c r="BZ134" i="7"/>
  <c r="CU134" i="7" s="1"/>
  <c r="CD136" i="7"/>
  <c r="CY136" i="7" s="1"/>
  <c r="CF138" i="7"/>
  <c r="DA138" i="7" s="1"/>
  <c r="DI130" i="7"/>
  <c r="CH133" i="7"/>
  <c r="DC133" i="7" s="1"/>
  <c r="BN132" i="7"/>
  <c r="BS137" i="7"/>
  <c r="CN137" i="7" s="1"/>
  <c r="AG135" i="7"/>
  <c r="BU148" i="7"/>
  <c r="CP148" i="7" s="1"/>
  <c r="CE141" i="7"/>
  <c r="CZ141" i="7" s="1"/>
  <c r="CJ172" i="7"/>
  <c r="DE172" i="7" s="1"/>
  <c r="AO133" i="7" l="1"/>
  <c r="EO140" i="7"/>
  <c r="AM141" i="7"/>
  <c r="AN138" i="7"/>
  <c r="EN134" i="7"/>
  <c r="CK139" i="7"/>
  <c r="DF139" i="7" s="1"/>
  <c r="CB141" i="7"/>
  <c r="CW141" i="7" s="1"/>
  <c r="F47" i="7"/>
  <c r="BM47" i="7"/>
  <c r="DP135" i="7"/>
  <c r="CL137" i="7"/>
  <c r="DG137" i="7" s="1"/>
  <c r="EM136" i="7"/>
  <c r="M120" i="32"/>
  <c r="DQ131" i="7"/>
  <c r="BP130" i="7"/>
  <c r="BQ130" i="7" s="1"/>
  <c r="H130" i="7" s="1"/>
  <c r="EF137" i="7"/>
  <c r="EC137" i="7"/>
  <c r="DZ133" i="7"/>
  <c r="EA133" i="7"/>
  <c r="EB132" i="7"/>
  <c r="DX132" i="7"/>
  <c r="DW132" i="7"/>
  <c r="DK131" i="7"/>
  <c r="K121" i="32" s="1"/>
  <c r="AV136" i="7"/>
  <c r="E126" i="32"/>
  <c r="DN131" i="7"/>
  <c r="L121" i="32" s="1"/>
  <c r="AX136" i="7"/>
  <c r="AU136" i="7"/>
  <c r="BA136" i="7"/>
  <c r="AY136" i="7"/>
  <c r="AW136" i="7"/>
  <c r="BC136" i="7"/>
  <c r="BB136" i="7"/>
  <c r="AZ136" i="7"/>
  <c r="AT136" i="7"/>
  <c r="M137" i="7"/>
  <c r="DV137" i="7"/>
  <c r="BY170" i="7"/>
  <c r="CT170" i="7" s="1"/>
  <c r="BX170" i="7"/>
  <c r="CS170" i="7" s="1"/>
  <c r="BW172" i="7"/>
  <c r="CR172" i="7" s="1"/>
  <c r="BD134" i="7"/>
  <c r="BE134" i="7"/>
  <c r="BF134" i="7"/>
  <c r="AH135" i="7"/>
  <c r="AF135" i="7"/>
  <c r="AI135" i="7" s="1"/>
  <c r="DL135" i="7"/>
  <c r="CM161" i="7"/>
  <c r="DH161" i="7" s="1"/>
  <c r="DO135" i="7"/>
  <c r="DM135" i="7"/>
  <c r="CC155" i="7"/>
  <c r="CX155" i="7" s="1"/>
  <c r="G129" i="7"/>
  <c r="DS139" i="7"/>
  <c r="P139" i="7" s="1"/>
  <c r="CI140" i="7"/>
  <c r="DD140" i="7" s="1"/>
  <c r="BV139" i="7"/>
  <c r="CQ139" i="7" s="1"/>
  <c r="DJ135" i="7"/>
  <c r="BT141" i="7"/>
  <c r="CO141" i="7" s="1"/>
  <c r="DR135" i="7"/>
  <c r="BO131" i="7"/>
  <c r="CA133" i="7"/>
  <c r="CV133" i="7" s="1"/>
  <c r="CG134" i="7"/>
  <c r="DB134" i="7" s="1"/>
  <c r="BZ135" i="7"/>
  <c r="CU135" i="7" s="1"/>
  <c r="CD137" i="7"/>
  <c r="CY137" i="7" s="1"/>
  <c r="CF139" i="7"/>
  <c r="DA139" i="7" s="1"/>
  <c r="DI131" i="7"/>
  <c r="BN133" i="7"/>
  <c r="CH134" i="7"/>
  <c r="DC134" i="7" s="1"/>
  <c r="AH136" i="7"/>
  <c r="AG136" i="7"/>
  <c r="AF136" i="7"/>
  <c r="AI136" i="7" s="1"/>
  <c r="BD135" i="7"/>
  <c r="BS138" i="7"/>
  <c r="CN138" i="7" s="1"/>
  <c r="BU149" i="7"/>
  <c r="CP149" i="7" s="1"/>
  <c r="CE142" i="7"/>
  <c r="CZ142" i="7" s="1"/>
  <c r="CJ173" i="7"/>
  <c r="DE173" i="7" s="1"/>
  <c r="AM142" i="7" l="1"/>
  <c r="EN135" i="7"/>
  <c r="CK140" i="7"/>
  <c r="DF140" i="7" s="1"/>
  <c r="AO134" i="7"/>
  <c r="EO141" i="7"/>
  <c r="AN139" i="7"/>
  <c r="CB142" i="7"/>
  <c r="CW142" i="7" s="1"/>
  <c r="B47" i="7"/>
  <c r="P47" i="7"/>
  <c r="DP136" i="7"/>
  <c r="BP131" i="7"/>
  <c r="BQ131" i="7" s="1"/>
  <c r="H131" i="7" s="1"/>
  <c r="CL138" i="7"/>
  <c r="DG138" i="7" s="1"/>
  <c r="EM137" i="7"/>
  <c r="M121" i="32"/>
  <c r="DQ132" i="7"/>
  <c r="EF138" i="7"/>
  <c r="EC138" i="7"/>
  <c r="EB133" i="7"/>
  <c r="DW133" i="7"/>
  <c r="DX133" i="7"/>
  <c r="EA134" i="7"/>
  <c r="DZ134" i="7"/>
  <c r="BA137" i="7"/>
  <c r="E127" i="32"/>
  <c r="DN132" i="7"/>
  <c r="L122" i="32" s="1"/>
  <c r="DK132" i="7"/>
  <c r="K122" i="32" s="1"/>
  <c r="BB137" i="7"/>
  <c r="AT137" i="7"/>
  <c r="BC137" i="7"/>
  <c r="AY137" i="7"/>
  <c r="AW137" i="7"/>
  <c r="M138" i="7"/>
  <c r="DV138" i="7"/>
  <c r="AV137" i="7"/>
  <c r="AX137" i="7"/>
  <c r="AZ137" i="7"/>
  <c r="AU137" i="7"/>
  <c r="BX171" i="7"/>
  <c r="CS171" i="7" s="1"/>
  <c r="BY171" i="7"/>
  <c r="CT171" i="7" s="1"/>
  <c r="BW173" i="7"/>
  <c r="CR173" i="7" s="1"/>
  <c r="BE135" i="7"/>
  <c r="BF135" i="7"/>
  <c r="DL136" i="7"/>
  <c r="DM136" i="7"/>
  <c r="DR136" i="7"/>
  <c r="CM162" i="7"/>
  <c r="DH162" i="7" s="1"/>
  <c r="DO136" i="7"/>
  <c r="CC156" i="7"/>
  <c r="CX156" i="7" s="1"/>
  <c r="G130" i="7"/>
  <c r="DJ136" i="7"/>
  <c r="BT142" i="7"/>
  <c r="CO142" i="7" s="1"/>
  <c r="CI141" i="7"/>
  <c r="DD141" i="7" s="1"/>
  <c r="DS140" i="7"/>
  <c r="P140" i="7" s="1"/>
  <c r="BV140" i="7"/>
  <c r="CQ140" i="7" s="1"/>
  <c r="BO132" i="7"/>
  <c r="CA134" i="7"/>
  <c r="CV134" i="7" s="1"/>
  <c r="CG135" i="7"/>
  <c r="DB135" i="7" s="1"/>
  <c r="BZ136" i="7"/>
  <c r="CU136" i="7" s="1"/>
  <c r="CD138" i="7"/>
  <c r="CY138" i="7" s="1"/>
  <c r="DI132" i="7"/>
  <c r="CH135" i="7"/>
  <c r="DC135" i="7" s="1"/>
  <c r="BN134" i="7"/>
  <c r="CF140" i="7"/>
  <c r="DA140" i="7" s="1"/>
  <c r="BS139" i="7"/>
  <c r="CN139" i="7" s="1"/>
  <c r="AF137" i="7"/>
  <c r="AI137" i="7" s="1"/>
  <c r="AG137" i="7"/>
  <c r="BE136" i="7"/>
  <c r="BU150" i="7"/>
  <c r="CP150" i="7" s="1"/>
  <c r="CE143" i="7"/>
  <c r="CZ143" i="7" s="1"/>
  <c r="CJ174" i="7"/>
  <c r="DE174" i="7" s="1"/>
  <c r="EN136" i="7" l="1"/>
  <c r="AO135" i="7"/>
  <c r="AM143" i="7"/>
  <c r="AN140" i="7"/>
  <c r="EO142" i="7"/>
  <c r="CK141" i="7"/>
  <c r="DF141" i="7" s="1"/>
  <c r="CB143" i="7"/>
  <c r="CW143" i="7" s="1"/>
  <c r="N48" i="7"/>
  <c r="D37" i="32"/>
  <c r="DP137" i="7"/>
  <c r="CL139" i="7"/>
  <c r="DG139" i="7" s="1"/>
  <c r="EM138" i="7"/>
  <c r="M122" i="32"/>
  <c r="DQ133" i="7"/>
  <c r="DZ135" i="7"/>
  <c r="EA135" i="7"/>
  <c r="EB134" i="7"/>
  <c r="DX134" i="7"/>
  <c r="DW134" i="7"/>
  <c r="EF139" i="7"/>
  <c r="EC139" i="7"/>
  <c r="BP132" i="7"/>
  <c r="BQ132" i="7" s="1"/>
  <c r="H132" i="7" s="1"/>
  <c r="AY138" i="7"/>
  <c r="E128" i="32"/>
  <c r="DN133" i="7"/>
  <c r="L123" i="32" s="1"/>
  <c r="DK133" i="7"/>
  <c r="K123" i="32" s="1"/>
  <c r="AX138" i="7"/>
  <c r="BA138" i="7"/>
  <c r="AU138" i="7"/>
  <c r="AT138" i="7"/>
  <c r="BC138" i="7"/>
  <c r="AW138" i="7"/>
  <c r="AZ138" i="7"/>
  <c r="BB138" i="7"/>
  <c r="AV138" i="7"/>
  <c r="M139" i="7"/>
  <c r="DV139" i="7"/>
  <c r="BY172" i="7"/>
  <c r="CT172" i="7" s="1"/>
  <c r="BX172" i="7"/>
  <c r="CS172" i="7" s="1"/>
  <c r="BW174" i="7"/>
  <c r="CR174" i="7" s="1"/>
  <c r="BF136" i="7"/>
  <c r="BD136" i="7"/>
  <c r="DL137" i="7"/>
  <c r="DR137" i="7"/>
  <c r="AH137" i="7"/>
  <c r="CM163" i="7"/>
  <c r="DH163" i="7" s="1"/>
  <c r="DO137" i="7"/>
  <c r="DM137" i="7"/>
  <c r="CC157" i="7"/>
  <c r="CX157" i="7" s="1"/>
  <c r="G131" i="7"/>
  <c r="DJ137" i="7"/>
  <c r="CI142" i="7"/>
  <c r="DD142" i="7" s="1"/>
  <c r="DS141" i="7"/>
  <c r="P141" i="7" s="1"/>
  <c r="BV141" i="7"/>
  <c r="CQ141" i="7" s="1"/>
  <c r="BT143" i="7"/>
  <c r="CO143" i="7" s="1"/>
  <c r="CA135" i="7"/>
  <c r="CV135" i="7" s="1"/>
  <c r="BO133" i="7"/>
  <c r="CG136" i="7"/>
  <c r="DB136" i="7" s="1"/>
  <c r="BZ137" i="7"/>
  <c r="CU137" i="7" s="1"/>
  <c r="CD139" i="7"/>
  <c r="CY139" i="7" s="1"/>
  <c r="CH136" i="7"/>
  <c r="DC136" i="7" s="1"/>
  <c r="BN135" i="7"/>
  <c r="CF141" i="7"/>
  <c r="DA141" i="7" s="1"/>
  <c r="DI133" i="7"/>
  <c r="AH138" i="7"/>
  <c r="AF138" i="7"/>
  <c r="AI138" i="7" s="1"/>
  <c r="BS140" i="7"/>
  <c r="CN140" i="7" s="1"/>
  <c r="BU151" i="7"/>
  <c r="CP151" i="7" s="1"/>
  <c r="CE144" i="7"/>
  <c r="CZ144" i="7" s="1"/>
  <c r="CJ175" i="7"/>
  <c r="DE175" i="7" s="1"/>
  <c r="AO136" i="7" l="1"/>
  <c r="AM144" i="7"/>
  <c r="CK142" i="7"/>
  <c r="DF142" i="7" s="1"/>
  <c r="AN141" i="7"/>
  <c r="EN137" i="7"/>
  <c r="EO143" i="7"/>
  <c r="CB144" i="7"/>
  <c r="CW144" i="7" s="1"/>
  <c r="AR48" i="7"/>
  <c r="BI48" i="7" s="1"/>
  <c r="AP48" i="7"/>
  <c r="BG48" i="7" s="1"/>
  <c r="AQ48" i="7"/>
  <c r="BH48" i="7" s="1"/>
  <c r="F37" i="32"/>
  <c r="G37" i="32" s="1"/>
  <c r="P37" i="32" s="1"/>
  <c r="Q37" i="32" s="1"/>
  <c r="AK48" i="7"/>
  <c r="AL48" i="7"/>
  <c r="AJ48" i="7"/>
  <c r="DP138" i="7"/>
  <c r="BP133" i="7"/>
  <c r="BQ133" i="7" s="1"/>
  <c r="H133" i="7" s="1"/>
  <c r="CL140" i="7"/>
  <c r="DG140" i="7" s="1"/>
  <c r="EM139" i="7"/>
  <c r="M123" i="32"/>
  <c r="DQ134" i="7"/>
  <c r="DW135" i="7"/>
  <c r="EB135" i="7"/>
  <c r="DX135" i="7"/>
  <c r="DZ136" i="7"/>
  <c r="EA136" i="7"/>
  <c r="EC140" i="7"/>
  <c r="EF140" i="7"/>
  <c r="BA139" i="7"/>
  <c r="E129" i="32"/>
  <c r="DN134" i="7"/>
  <c r="L124" i="32" s="1"/>
  <c r="DK134" i="7"/>
  <c r="K124" i="32" s="1"/>
  <c r="BB139" i="7"/>
  <c r="AX139" i="7"/>
  <c r="AW139" i="7"/>
  <c r="AV139" i="7"/>
  <c r="AU139" i="7"/>
  <c r="AZ139" i="7"/>
  <c r="AT139" i="7"/>
  <c r="M140" i="7"/>
  <c r="DV140" i="7"/>
  <c r="BC139" i="7"/>
  <c r="AY139" i="7"/>
  <c r="BX173" i="7"/>
  <c r="CS173" i="7" s="1"/>
  <c r="BY173" i="7"/>
  <c r="CT173" i="7" s="1"/>
  <c r="BW175" i="7"/>
  <c r="CR175" i="7" s="1"/>
  <c r="BF137" i="7"/>
  <c r="BD137" i="7"/>
  <c r="BE137" i="7"/>
  <c r="DL138" i="7"/>
  <c r="DR138" i="7"/>
  <c r="AG138" i="7"/>
  <c r="DO138" i="7"/>
  <c r="CM164" i="7"/>
  <c r="DH164" i="7" s="1"/>
  <c r="DM138" i="7"/>
  <c r="CC158" i="7"/>
  <c r="CX158" i="7" s="1"/>
  <c r="G132" i="7"/>
  <c r="DJ138" i="7"/>
  <c r="BT144" i="7"/>
  <c r="CO144" i="7" s="1"/>
  <c r="BV142" i="7"/>
  <c r="CQ142" i="7" s="1"/>
  <c r="DS142" i="7"/>
  <c r="P142" i="7" s="1"/>
  <c r="CI143" i="7"/>
  <c r="DD143" i="7" s="1"/>
  <c r="CA136" i="7"/>
  <c r="CV136" i="7" s="1"/>
  <c r="BO134" i="7"/>
  <c r="CG137" i="7"/>
  <c r="DB137" i="7" s="1"/>
  <c r="BZ138" i="7"/>
  <c r="CU138" i="7" s="1"/>
  <c r="CD140" i="7"/>
  <c r="CY140" i="7" s="1"/>
  <c r="DI134" i="7"/>
  <c r="CF142" i="7"/>
  <c r="DA142" i="7" s="1"/>
  <c r="BN136" i="7"/>
  <c r="CH137" i="7"/>
  <c r="DC137" i="7" s="1"/>
  <c r="BS141" i="7"/>
  <c r="CN141" i="7" s="1"/>
  <c r="BU152" i="7"/>
  <c r="CP152" i="7" s="1"/>
  <c r="CE145" i="7"/>
  <c r="CZ145" i="7" s="1"/>
  <c r="CJ176" i="7"/>
  <c r="DE176" i="7" s="1"/>
  <c r="EO144" i="7" l="1"/>
  <c r="AM145" i="7"/>
  <c r="EN138" i="7"/>
  <c r="AN142" i="7"/>
  <c r="AO137" i="7"/>
  <c r="CK143" i="7"/>
  <c r="DF143" i="7" s="1"/>
  <c r="CB145" i="7"/>
  <c r="CW145" i="7" s="1"/>
  <c r="C48" i="7"/>
  <c r="BJ48" i="7"/>
  <c r="E48" i="7"/>
  <c r="BL48" i="7"/>
  <c r="BK48" i="7"/>
  <c r="D48" i="7"/>
  <c r="CL141" i="7"/>
  <c r="DG141" i="7" s="1"/>
  <c r="EM140" i="7"/>
  <c r="DQ135" i="7"/>
  <c r="M124" i="32"/>
  <c r="EF141" i="7"/>
  <c r="EC141" i="7"/>
  <c r="DZ137" i="7"/>
  <c r="EA137" i="7"/>
  <c r="EB136" i="7"/>
  <c r="DX136" i="7"/>
  <c r="DW136" i="7"/>
  <c r="BP134" i="7"/>
  <c r="BQ134" i="7" s="1"/>
  <c r="H134" i="7" s="1"/>
  <c r="AU140" i="7"/>
  <c r="E130" i="32"/>
  <c r="DN135" i="7"/>
  <c r="L125" i="32" s="1"/>
  <c r="DK135" i="7"/>
  <c r="K125" i="32" s="1"/>
  <c r="AV140" i="7"/>
  <c r="BA140" i="7"/>
  <c r="AX140" i="7"/>
  <c r="BC140" i="7"/>
  <c r="AT140" i="7"/>
  <c r="AW140" i="7"/>
  <c r="AY140" i="7"/>
  <c r="BB140" i="7"/>
  <c r="AZ140" i="7"/>
  <c r="M141" i="7"/>
  <c r="DV141" i="7"/>
  <c r="BY174" i="7"/>
  <c r="CT174" i="7" s="1"/>
  <c r="BX174" i="7"/>
  <c r="CS174" i="7" s="1"/>
  <c r="BW176" i="7"/>
  <c r="CR176" i="7" s="1"/>
  <c r="BD138" i="7"/>
  <c r="BE138" i="7"/>
  <c r="BF138" i="7"/>
  <c r="DJ139" i="7"/>
  <c r="DM139" i="7"/>
  <c r="AH139" i="7"/>
  <c r="DO139" i="7"/>
  <c r="AG139" i="7"/>
  <c r="AF139" i="7"/>
  <c r="AI139" i="7" s="1"/>
  <c r="DP139" i="7"/>
  <c r="DR139" i="7"/>
  <c r="DL139" i="7"/>
  <c r="CM165" i="7"/>
  <c r="DH165" i="7" s="1"/>
  <c r="CC159" i="7"/>
  <c r="CX159" i="7" s="1"/>
  <c r="G133" i="7"/>
  <c r="BV143" i="7"/>
  <c r="CQ143" i="7" s="1"/>
  <c r="CI144" i="7"/>
  <c r="DD144" i="7" s="1"/>
  <c r="DS143" i="7"/>
  <c r="P143" i="7" s="1"/>
  <c r="BT145" i="7"/>
  <c r="CO145" i="7" s="1"/>
  <c r="BO135" i="7"/>
  <c r="CA137" i="7"/>
  <c r="CV137" i="7" s="1"/>
  <c r="CG138" i="7"/>
  <c r="DB138" i="7" s="1"/>
  <c r="BZ139" i="7"/>
  <c r="CU139" i="7" s="1"/>
  <c r="CD141" i="7"/>
  <c r="CY141" i="7" s="1"/>
  <c r="DI135" i="7"/>
  <c r="CH138" i="7"/>
  <c r="DC138" i="7" s="1"/>
  <c r="BN137" i="7"/>
  <c r="CF143" i="7"/>
  <c r="DA143" i="7" s="1"/>
  <c r="BS142" i="7"/>
  <c r="CN142" i="7" s="1"/>
  <c r="BU153" i="7"/>
  <c r="CP153" i="7" s="1"/>
  <c r="CE146" i="7"/>
  <c r="CZ146" i="7" s="1"/>
  <c r="CJ177" i="7"/>
  <c r="DE177" i="7" s="1"/>
  <c r="AN143" i="7" l="1"/>
  <c r="AM146" i="7"/>
  <c r="EN139" i="7"/>
  <c r="EO145" i="7"/>
  <c r="AO138" i="7"/>
  <c r="CK144" i="7"/>
  <c r="DF144" i="7" s="1"/>
  <c r="CB146" i="7"/>
  <c r="CW146" i="7" s="1"/>
  <c r="BM48" i="7"/>
  <c r="B48" i="7" s="1"/>
  <c r="F48" i="7"/>
  <c r="CL142" i="7"/>
  <c r="DG142" i="7" s="1"/>
  <c r="EM141" i="7"/>
  <c r="BP135" i="7"/>
  <c r="BQ135" i="7" s="1"/>
  <c r="H135" i="7" s="1"/>
  <c r="M125" i="32"/>
  <c r="DQ136" i="7"/>
  <c r="DZ138" i="7"/>
  <c r="EA138" i="7"/>
  <c r="EB137" i="7"/>
  <c r="DW137" i="7"/>
  <c r="DX137" i="7"/>
  <c r="EF142" i="7"/>
  <c r="EC142" i="7"/>
  <c r="DN136" i="7"/>
  <c r="L126" i="32" s="1"/>
  <c r="BA141" i="7"/>
  <c r="E131" i="32"/>
  <c r="DK136" i="7"/>
  <c r="K126" i="32" s="1"/>
  <c r="AX141" i="7"/>
  <c r="AW141" i="7"/>
  <c r="AY141" i="7"/>
  <c r="BB141" i="7"/>
  <c r="AV141" i="7"/>
  <c r="BC141" i="7"/>
  <c r="AT141" i="7"/>
  <c r="M142" i="7"/>
  <c r="DV142" i="7"/>
  <c r="AZ141" i="7"/>
  <c r="AU141" i="7"/>
  <c r="BX175" i="7"/>
  <c r="CS175" i="7" s="1"/>
  <c r="BY175" i="7"/>
  <c r="CT175" i="7" s="1"/>
  <c r="BW177" i="7"/>
  <c r="CR177" i="7" s="1"/>
  <c r="BF139" i="7"/>
  <c r="BD139" i="7"/>
  <c r="BE139" i="7"/>
  <c r="DR140" i="7"/>
  <c r="DJ140" i="7"/>
  <c r="DM140" i="7"/>
  <c r="AG140" i="7"/>
  <c r="DP140" i="7"/>
  <c r="DO140" i="7"/>
  <c r="AH140" i="7"/>
  <c r="AF140" i="7"/>
  <c r="AI140" i="7" s="1"/>
  <c r="CM166" i="7"/>
  <c r="DH166" i="7" s="1"/>
  <c r="DL140" i="7"/>
  <c r="CC160" i="7"/>
  <c r="CX160" i="7" s="1"/>
  <c r="G134" i="7"/>
  <c r="BT146" i="7"/>
  <c r="CO146" i="7" s="1"/>
  <c r="CI145" i="7"/>
  <c r="DD145" i="7" s="1"/>
  <c r="DS144" i="7"/>
  <c r="P144" i="7" s="1"/>
  <c r="BV144" i="7"/>
  <c r="CQ144" i="7" s="1"/>
  <c r="BO136" i="7"/>
  <c r="CA138" i="7"/>
  <c r="CV138" i="7" s="1"/>
  <c r="CG139" i="7"/>
  <c r="DB139" i="7" s="1"/>
  <c r="BZ140" i="7"/>
  <c r="CU140" i="7" s="1"/>
  <c r="CD142" i="7"/>
  <c r="CY142" i="7" s="1"/>
  <c r="CF144" i="7"/>
  <c r="DA144" i="7" s="1"/>
  <c r="CH139" i="7"/>
  <c r="DC139" i="7" s="1"/>
  <c r="BN138" i="7"/>
  <c r="DI136" i="7"/>
  <c r="AG141" i="7"/>
  <c r="AH141" i="7"/>
  <c r="BS143" i="7"/>
  <c r="CN143" i="7" s="1"/>
  <c r="BU154" i="7"/>
  <c r="CP154" i="7" s="1"/>
  <c r="CE147" i="7"/>
  <c r="CZ147" i="7" s="1"/>
  <c r="CJ178" i="7"/>
  <c r="DE178" i="7" s="1"/>
  <c r="EN140" i="7" l="1"/>
  <c r="AO139" i="7"/>
  <c r="CK145" i="7"/>
  <c r="DF145" i="7" s="1"/>
  <c r="AM147" i="7"/>
  <c r="AN144" i="7"/>
  <c r="EO146" i="7"/>
  <c r="CB147" i="7"/>
  <c r="CW147" i="7" s="1"/>
  <c r="P48" i="7"/>
  <c r="D38" i="32" s="1"/>
  <c r="CL143" i="7"/>
  <c r="DG143" i="7" s="1"/>
  <c r="EM142" i="7"/>
  <c r="DQ137" i="7"/>
  <c r="M126" i="32"/>
  <c r="BP136" i="7"/>
  <c r="BQ136" i="7" s="1"/>
  <c r="H136" i="7" s="1"/>
  <c r="EF143" i="7"/>
  <c r="EC143" i="7"/>
  <c r="EB138" i="7"/>
  <c r="DX138" i="7"/>
  <c r="DW138" i="7"/>
  <c r="DZ139" i="7"/>
  <c r="EA139" i="7"/>
  <c r="AU142" i="7"/>
  <c r="E132" i="32"/>
  <c r="DK137" i="7"/>
  <c r="K127" i="32" s="1"/>
  <c r="DN137" i="7"/>
  <c r="L127" i="32" s="1"/>
  <c r="BB142" i="7"/>
  <c r="AT142" i="7"/>
  <c r="BC142" i="7"/>
  <c r="AX142" i="7"/>
  <c r="BA142" i="7"/>
  <c r="AY142" i="7"/>
  <c r="AV142" i="7"/>
  <c r="AW142" i="7"/>
  <c r="AZ142" i="7"/>
  <c r="M143" i="7"/>
  <c r="DV143" i="7"/>
  <c r="BY176" i="7"/>
  <c r="CT176" i="7" s="1"/>
  <c r="BX176" i="7"/>
  <c r="CS176" i="7" s="1"/>
  <c r="BW178" i="7"/>
  <c r="CR178" i="7" s="1"/>
  <c r="BF140" i="7"/>
  <c r="DR141" i="7"/>
  <c r="DM141" i="7"/>
  <c r="BE140" i="7"/>
  <c r="BD140" i="7"/>
  <c r="DJ141" i="7"/>
  <c r="AF141" i="7"/>
  <c r="AI141" i="7" s="1"/>
  <c r="DP141" i="7"/>
  <c r="DL141" i="7"/>
  <c r="DO141" i="7"/>
  <c r="CM167" i="7"/>
  <c r="DH167" i="7" s="1"/>
  <c r="CC161" i="7"/>
  <c r="CX161" i="7" s="1"/>
  <c r="G135" i="7"/>
  <c r="BV145" i="7"/>
  <c r="CQ145" i="7" s="1"/>
  <c r="DS145" i="7"/>
  <c r="P145" i="7" s="1"/>
  <c r="CI146" i="7"/>
  <c r="DD146" i="7" s="1"/>
  <c r="BT147" i="7"/>
  <c r="CO147" i="7" s="1"/>
  <c r="BO137" i="7"/>
  <c r="CA139" i="7"/>
  <c r="CV139" i="7" s="1"/>
  <c r="CG140" i="7"/>
  <c r="DB140" i="7" s="1"/>
  <c r="BZ141" i="7"/>
  <c r="CU141" i="7" s="1"/>
  <c r="CD143" i="7"/>
  <c r="CY143" i="7" s="1"/>
  <c r="CH140" i="7"/>
  <c r="DC140" i="7" s="1"/>
  <c r="BN139" i="7"/>
  <c r="DI137" i="7"/>
  <c r="CF145" i="7"/>
  <c r="DA145" i="7" s="1"/>
  <c r="BS144" i="7"/>
  <c r="CN144" i="7" s="1"/>
  <c r="BU155" i="7"/>
  <c r="CP155" i="7" s="1"/>
  <c r="CE148" i="7"/>
  <c r="CZ148" i="7" s="1"/>
  <c r="CJ179" i="7"/>
  <c r="DE179" i="7" s="1"/>
  <c r="AO140" i="7" l="1"/>
  <c r="AN145" i="7"/>
  <c r="AM148" i="7"/>
  <c r="EN141" i="7"/>
  <c r="EO147" i="7"/>
  <c r="CK146" i="7"/>
  <c r="DF146" i="7" s="1"/>
  <c r="CB148" i="7"/>
  <c r="CW148" i="7" s="1"/>
  <c r="N49" i="7"/>
  <c r="AR49" i="7" s="1"/>
  <c r="BI49" i="7" s="1"/>
  <c r="CL144" i="7"/>
  <c r="DG144" i="7" s="1"/>
  <c r="EM143" i="7"/>
  <c r="M127" i="32"/>
  <c r="DQ138" i="7"/>
  <c r="DZ140" i="7"/>
  <c r="EA140" i="7"/>
  <c r="EF144" i="7"/>
  <c r="EC144" i="7"/>
  <c r="EB139" i="7"/>
  <c r="DX139" i="7"/>
  <c r="DW139" i="7"/>
  <c r="BP137" i="7"/>
  <c r="BQ137" i="7" s="1"/>
  <c r="H137" i="7" s="1"/>
  <c r="BA143" i="7"/>
  <c r="E133" i="32"/>
  <c r="DK138" i="7"/>
  <c r="K128" i="32" s="1"/>
  <c r="DN138" i="7"/>
  <c r="L128" i="32" s="1"/>
  <c r="AU143" i="7"/>
  <c r="AT143" i="7"/>
  <c r="AW143" i="7"/>
  <c r="AZ143" i="7"/>
  <c r="BB143" i="7"/>
  <c r="BC143" i="7"/>
  <c r="AX143" i="7"/>
  <c r="M144" i="7"/>
  <c r="DV144" i="7"/>
  <c r="AV143" i="7"/>
  <c r="AY143" i="7"/>
  <c r="BX177" i="7"/>
  <c r="CS177" i="7" s="1"/>
  <c r="BY177" i="7"/>
  <c r="CT177" i="7" s="1"/>
  <c r="BW179" i="7"/>
  <c r="CR179" i="7" s="1"/>
  <c r="BD141" i="7"/>
  <c r="BE141" i="7"/>
  <c r="DM142" i="7"/>
  <c r="AF142" i="7"/>
  <c r="AI142" i="7" s="1"/>
  <c r="AG142" i="7"/>
  <c r="DO142" i="7"/>
  <c r="DR142" i="7"/>
  <c r="DP142" i="7"/>
  <c r="BF141" i="7"/>
  <c r="AH142" i="7"/>
  <c r="CM168" i="7"/>
  <c r="DH168" i="7" s="1"/>
  <c r="DL142" i="7"/>
  <c r="DJ142" i="7"/>
  <c r="CC162" i="7"/>
  <c r="CX162" i="7" s="1"/>
  <c r="G136" i="7"/>
  <c r="BT148" i="7"/>
  <c r="CO148" i="7" s="1"/>
  <c r="CI147" i="7"/>
  <c r="DD147" i="7" s="1"/>
  <c r="DS146" i="7"/>
  <c r="P146" i="7" s="1"/>
  <c r="BV146" i="7"/>
  <c r="CQ146" i="7" s="1"/>
  <c r="BO138" i="7"/>
  <c r="CA140" i="7"/>
  <c r="CV140" i="7" s="1"/>
  <c r="CG141" i="7"/>
  <c r="DB141" i="7" s="1"/>
  <c r="BZ142" i="7"/>
  <c r="CU142" i="7" s="1"/>
  <c r="CD144" i="7"/>
  <c r="CY144" i="7" s="1"/>
  <c r="CF146" i="7"/>
  <c r="DA146" i="7" s="1"/>
  <c r="DI138" i="7"/>
  <c r="CH141" i="7"/>
  <c r="DC141" i="7" s="1"/>
  <c r="BN140" i="7"/>
  <c r="BS145" i="7"/>
  <c r="CN145" i="7" s="1"/>
  <c r="BU156" i="7"/>
  <c r="CP156" i="7" s="1"/>
  <c r="CE149" i="7"/>
  <c r="CZ149" i="7" s="1"/>
  <c r="CJ180" i="7"/>
  <c r="DE180" i="7" s="1"/>
  <c r="EO148" i="7" l="1"/>
  <c r="AM149" i="7"/>
  <c r="EN142" i="7"/>
  <c r="CK147" i="7"/>
  <c r="DF147" i="7" s="1"/>
  <c r="AO141" i="7"/>
  <c r="AN146" i="7"/>
  <c r="CB149" i="7"/>
  <c r="CW149" i="7" s="1"/>
  <c r="AL49" i="7"/>
  <c r="BL49" i="7" s="1"/>
  <c r="F38" i="32"/>
  <c r="G38" i="32" s="1"/>
  <c r="P38" i="32" s="1"/>
  <c r="Q38" i="32" s="1"/>
  <c r="AJ49" i="7"/>
  <c r="C49" i="7" s="1"/>
  <c r="AQ49" i="7"/>
  <c r="BH49" i="7" s="1"/>
  <c r="AP49" i="7"/>
  <c r="BG49" i="7" s="1"/>
  <c r="AK49" i="7"/>
  <c r="BJ49" i="7"/>
  <c r="CL145" i="7"/>
  <c r="DG145" i="7" s="1"/>
  <c r="EM144" i="7"/>
  <c r="M128" i="32"/>
  <c r="DQ139" i="7"/>
  <c r="EF145" i="7"/>
  <c r="EC145" i="7"/>
  <c r="DZ141" i="7"/>
  <c r="EA141" i="7"/>
  <c r="EB140" i="7"/>
  <c r="DX140" i="7"/>
  <c r="DW140" i="7"/>
  <c r="BP138" i="7"/>
  <c r="BQ138" i="7" s="1"/>
  <c r="H138" i="7" s="1"/>
  <c r="AY144" i="7"/>
  <c r="E134" i="32"/>
  <c r="DK139" i="7"/>
  <c r="K129" i="32" s="1"/>
  <c r="DN139" i="7"/>
  <c r="L129" i="32" s="1"/>
  <c r="AW144" i="7"/>
  <c r="BA144" i="7"/>
  <c r="AU144" i="7"/>
  <c r="AX144" i="7"/>
  <c r="BB144" i="7"/>
  <c r="AZ144" i="7"/>
  <c r="AT144" i="7"/>
  <c r="AV144" i="7"/>
  <c r="BC144" i="7"/>
  <c r="M145" i="7"/>
  <c r="DV145" i="7"/>
  <c r="BY178" i="7"/>
  <c r="CT178" i="7" s="1"/>
  <c r="BX178" i="7"/>
  <c r="CS178" i="7" s="1"/>
  <c r="BW180" i="7"/>
  <c r="CR180" i="7" s="1"/>
  <c r="BD142" i="7"/>
  <c r="BF142" i="7"/>
  <c r="DO143" i="7"/>
  <c r="BE142" i="7"/>
  <c r="AG143" i="7"/>
  <c r="DJ143" i="7"/>
  <c r="AF143" i="7"/>
  <c r="AI143" i="7" s="1"/>
  <c r="DL143" i="7"/>
  <c r="DR143" i="7"/>
  <c r="AH143" i="7"/>
  <c r="DM143" i="7"/>
  <c r="DP143" i="7"/>
  <c r="CM169" i="7"/>
  <c r="DH169" i="7" s="1"/>
  <c r="CC163" i="7"/>
  <c r="CX163" i="7" s="1"/>
  <c r="G137" i="7"/>
  <c r="DS147" i="7"/>
  <c r="P147" i="7" s="1"/>
  <c r="CI148" i="7"/>
  <c r="DD148" i="7" s="1"/>
  <c r="BV147" i="7"/>
  <c r="CQ147" i="7" s="1"/>
  <c r="BT149" i="7"/>
  <c r="CO149" i="7" s="1"/>
  <c r="BO139" i="7"/>
  <c r="CA141" i="7"/>
  <c r="CV141" i="7" s="1"/>
  <c r="CG142" i="7"/>
  <c r="DB142" i="7" s="1"/>
  <c r="BZ143" i="7"/>
  <c r="CU143" i="7" s="1"/>
  <c r="CD145" i="7"/>
  <c r="CY145" i="7" s="1"/>
  <c r="CF147" i="7"/>
  <c r="DA147" i="7" s="1"/>
  <c r="DI139" i="7"/>
  <c r="CH142" i="7"/>
  <c r="DC142" i="7" s="1"/>
  <c r="BN141" i="7"/>
  <c r="AG144" i="7"/>
  <c r="BS146" i="7"/>
  <c r="CN146" i="7" s="1"/>
  <c r="BU157" i="7"/>
  <c r="CP157" i="7" s="1"/>
  <c r="CE150" i="7"/>
  <c r="CZ150" i="7" s="1"/>
  <c r="CJ181" i="7"/>
  <c r="DE181" i="7" s="1"/>
  <c r="AM150" i="7" l="1"/>
  <c r="AO142" i="7"/>
  <c r="AN147" i="7"/>
  <c r="CK148" i="7"/>
  <c r="DF148" i="7" s="1"/>
  <c r="EN143" i="7"/>
  <c r="EO149" i="7"/>
  <c r="E49" i="7"/>
  <c r="CB150" i="7"/>
  <c r="CW150" i="7" s="1"/>
  <c r="BK49" i="7"/>
  <c r="BM49" i="7" s="1"/>
  <c r="D49" i="7"/>
  <c r="F49" i="7" s="1"/>
  <c r="CL146" i="7"/>
  <c r="DG146" i="7" s="1"/>
  <c r="EM145" i="7"/>
  <c r="M129" i="32"/>
  <c r="DQ140" i="7"/>
  <c r="EF146" i="7"/>
  <c r="EC146" i="7"/>
  <c r="EB141" i="7"/>
  <c r="DX141" i="7"/>
  <c r="DW141" i="7"/>
  <c r="EA142" i="7"/>
  <c r="DZ142" i="7"/>
  <c r="BP139" i="7"/>
  <c r="BQ139" i="7" s="1"/>
  <c r="H139" i="7" s="1"/>
  <c r="BA145" i="7"/>
  <c r="E135" i="32"/>
  <c r="DK140" i="7"/>
  <c r="K130" i="32" s="1"/>
  <c r="DN140" i="7"/>
  <c r="L130" i="32" s="1"/>
  <c r="AY145" i="7"/>
  <c r="AW145" i="7"/>
  <c r="BC145" i="7"/>
  <c r="AT145" i="7"/>
  <c r="BB145" i="7"/>
  <c r="M146" i="7"/>
  <c r="BB146" i="7" s="1"/>
  <c r="DV146" i="7"/>
  <c r="AV145" i="7"/>
  <c r="AX145" i="7"/>
  <c r="AZ145" i="7"/>
  <c r="AU145" i="7"/>
  <c r="BX179" i="7"/>
  <c r="CS179" i="7" s="1"/>
  <c r="BY179" i="7"/>
  <c r="CT179" i="7" s="1"/>
  <c r="BW181" i="7"/>
  <c r="CR181" i="7" s="1"/>
  <c r="DP144" i="7"/>
  <c r="BE143" i="7"/>
  <c r="BF143" i="7"/>
  <c r="BD143" i="7"/>
  <c r="DL144" i="7"/>
  <c r="DM144" i="7"/>
  <c r="DR144" i="7"/>
  <c r="DJ144" i="7"/>
  <c r="AF144" i="7"/>
  <c r="AI144" i="7" s="1"/>
  <c r="DO144" i="7"/>
  <c r="AH144" i="7"/>
  <c r="CM170" i="7"/>
  <c r="DH170" i="7" s="1"/>
  <c r="CC164" i="7"/>
  <c r="CX164" i="7" s="1"/>
  <c r="G138" i="7"/>
  <c r="BV148" i="7"/>
  <c r="CQ148" i="7" s="1"/>
  <c r="DS148" i="7"/>
  <c r="P148" i="7" s="1"/>
  <c r="CI149" i="7"/>
  <c r="DD149" i="7" s="1"/>
  <c r="BT150" i="7"/>
  <c r="CO150" i="7" s="1"/>
  <c r="BO140" i="7"/>
  <c r="CA142" i="7"/>
  <c r="CV142" i="7" s="1"/>
  <c r="CG143" i="7"/>
  <c r="DB143" i="7" s="1"/>
  <c r="BZ144" i="7"/>
  <c r="CU144" i="7" s="1"/>
  <c r="CD146" i="7"/>
  <c r="CY146" i="7" s="1"/>
  <c r="CF148" i="7"/>
  <c r="DA148" i="7" s="1"/>
  <c r="CH143" i="7"/>
  <c r="DC143" i="7" s="1"/>
  <c r="BN142" i="7"/>
  <c r="DI140" i="7"/>
  <c r="AF145" i="7"/>
  <c r="AI145" i="7" s="1"/>
  <c r="BS147" i="7"/>
  <c r="CN147" i="7" s="1"/>
  <c r="BU158" i="7"/>
  <c r="CP158" i="7" s="1"/>
  <c r="CE151" i="7"/>
  <c r="CZ151" i="7" s="1"/>
  <c r="CJ182" i="7"/>
  <c r="DE182" i="7" s="1"/>
  <c r="AO143" i="7" l="1"/>
  <c r="AN148" i="7"/>
  <c r="EN144" i="7"/>
  <c r="EO150" i="7"/>
  <c r="CK149" i="7"/>
  <c r="DF149" i="7" s="1"/>
  <c r="AM151" i="7"/>
  <c r="CB151" i="7"/>
  <c r="CW151" i="7" s="1"/>
  <c r="B49" i="7"/>
  <c r="P49" i="7"/>
  <c r="CL147" i="7"/>
  <c r="DG147" i="7" s="1"/>
  <c r="EM146" i="7"/>
  <c r="M130" i="32"/>
  <c r="DQ141" i="7"/>
  <c r="EF147" i="7"/>
  <c r="EC147" i="7"/>
  <c r="EB142" i="7"/>
  <c r="DX142" i="7"/>
  <c r="DW142" i="7"/>
  <c r="DZ143" i="7"/>
  <c r="EA143" i="7"/>
  <c r="BP140" i="7"/>
  <c r="BQ140" i="7" s="1"/>
  <c r="H140" i="7" s="1"/>
  <c r="AY146" i="7"/>
  <c r="E136" i="32"/>
  <c r="DK141" i="7"/>
  <c r="K131" i="32" s="1"/>
  <c r="AV146" i="7"/>
  <c r="DN141" i="7"/>
  <c r="L131" i="32" s="1"/>
  <c r="AT146" i="7"/>
  <c r="BC146" i="7"/>
  <c r="AW146" i="7"/>
  <c r="AZ146" i="7"/>
  <c r="AX146" i="7"/>
  <c r="BA146" i="7"/>
  <c r="AU146" i="7"/>
  <c r="M147" i="7"/>
  <c r="DV147" i="7"/>
  <c r="BY180" i="7"/>
  <c r="CT180" i="7" s="1"/>
  <c r="BX180" i="7"/>
  <c r="CS180" i="7" s="1"/>
  <c r="BW182" i="7"/>
  <c r="CR182" i="7" s="1"/>
  <c r="BF144" i="7"/>
  <c r="BD144" i="7"/>
  <c r="BE144" i="7"/>
  <c r="DL145" i="7"/>
  <c r="AH145" i="7"/>
  <c r="DP145" i="7"/>
  <c r="DJ145" i="7"/>
  <c r="DO145" i="7"/>
  <c r="AG145" i="7"/>
  <c r="DR145" i="7"/>
  <c r="DM145" i="7"/>
  <c r="CM171" i="7"/>
  <c r="DH171" i="7" s="1"/>
  <c r="CC165" i="7"/>
  <c r="CX165" i="7" s="1"/>
  <c r="G139" i="7"/>
  <c r="DS149" i="7"/>
  <c r="P149" i="7" s="1"/>
  <c r="CI150" i="7"/>
  <c r="DD150" i="7" s="1"/>
  <c r="BT151" i="7"/>
  <c r="CO151" i="7" s="1"/>
  <c r="BV149" i="7"/>
  <c r="CQ149" i="7" s="1"/>
  <c r="CA143" i="7"/>
  <c r="CV143" i="7" s="1"/>
  <c r="BO141" i="7"/>
  <c r="CG144" i="7"/>
  <c r="DB144" i="7" s="1"/>
  <c r="BZ145" i="7"/>
  <c r="CU145" i="7" s="1"/>
  <c r="CD147" i="7"/>
  <c r="CY147" i="7" s="1"/>
  <c r="CF149" i="7"/>
  <c r="DA149" i="7" s="1"/>
  <c r="DI141" i="7"/>
  <c r="BN143" i="7"/>
  <c r="CH144" i="7"/>
  <c r="DC144" i="7" s="1"/>
  <c r="BS148" i="7"/>
  <c r="CN148" i="7" s="1"/>
  <c r="BF145" i="7"/>
  <c r="AH146" i="7"/>
  <c r="AF146" i="7"/>
  <c r="AI146" i="7" s="1"/>
  <c r="AG146" i="7"/>
  <c r="BU159" i="7"/>
  <c r="CP159" i="7" s="1"/>
  <c r="CE152" i="7"/>
  <c r="CZ152" i="7" s="1"/>
  <c r="CJ183" i="7"/>
  <c r="DE183" i="7" s="1"/>
  <c r="AN149" i="7" l="1"/>
  <c r="AM152" i="7"/>
  <c r="EN145" i="7"/>
  <c r="AO144" i="7"/>
  <c r="EO151" i="7"/>
  <c r="CK150" i="7"/>
  <c r="DF150" i="7" s="1"/>
  <c r="CB152" i="7"/>
  <c r="CW152" i="7" s="1"/>
  <c r="D39" i="32"/>
  <c r="N50" i="7"/>
  <c r="CL148" i="7"/>
  <c r="DG148" i="7" s="1"/>
  <c r="EM147" i="7"/>
  <c r="M131" i="32"/>
  <c r="DQ142" i="7"/>
  <c r="EA144" i="7"/>
  <c r="DZ144" i="7"/>
  <c r="EB143" i="7"/>
  <c r="DX143" i="7"/>
  <c r="DW143" i="7"/>
  <c r="EF148" i="7"/>
  <c r="EC148" i="7"/>
  <c r="DR146" i="7"/>
  <c r="BP141" i="7"/>
  <c r="BQ141" i="7" s="1"/>
  <c r="H141" i="7" s="1"/>
  <c r="DK142" i="7"/>
  <c r="K132" i="32" s="1"/>
  <c r="BA147" i="7"/>
  <c r="E137" i="32"/>
  <c r="DN142" i="7"/>
  <c r="L132" i="32" s="1"/>
  <c r="N59" i="7"/>
  <c r="D48" i="32"/>
  <c r="AW147" i="7"/>
  <c r="AT147" i="7"/>
  <c r="AV147" i="7"/>
  <c r="DP146" i="7"/>
  <c r="AU147" i="7"/>
  <c r="AX147" i="7"/>
  <c r="AZ147" i="7"/>
  <c r="BB147" i="7"/>
  <c r="M148" i="7"/>
  <c r="AV148" i="7" s="1"/>
  <c r="DV148" i="7"/>
  <c r="BC147" i="7"/>
  <c r="AY147" i="7"/>
  <c r="BX181" i="7"/>
  <c r="CS181" i="7" s="1"/>
  <c r="BY181" i="7"/>
  <c r="CT181" i="7" s="1"/>
  <c r="BW183" i="7"/>
  <c r="CR183" i="7" s="1"/>
  <c r="DO146" i="7"/>
  <c r="DM146" i="7"/>
  <c r="BE145" i="7"/>
  <c r="DL146" i="7"/>
  <c r="DJ146" i="7"/>
  <c r="BD145" i="7"/>
  <c r="CM172" i="7"/>
  <c r="DH172" i="7" s="1"/>
  <c r="CC166" i="7"/>
  <c r="CX166" i="7" s="1"/>
  <c r="G140" i="7"/>
  <c r="DS150" i="7"/>
  <c r="P150" i="7" s="1"/>
  <c r="CI151" i="7"/>
  <c r="DD151" i="7" s="1"/>
  <c r="BV150" i="7"/>
  <c r="CQ150" i="7" s="1"/>
  <c r="BT152" i="7"/>
  <c r="CO152" i="7" s="1"/>
  <c r="CA144" i="7"/>
  <c r="CV144" i="7" s="1"/>
  <c r="BO142" i="7"/>
  <c r="CG145" i="7"/>
  <c r="DB145" i="7" s="1"/>
  <c r="BZ146" i="7"/>
  <c r="CU146" i="7" s="1"/>
  <c r="CD148" i="7"/>
  <c r="CY148" i="7" s="1"/>
  <c r="CF150" i="7"/>
  <c r="DA150" i="7" s="1"/>
  <c r="DI142" i="7"/>
  <c r="BN144" i="7"/>
  <c r="CH145" i="7"/>
  <c r="DC145" i="7" s="1"/>
  <c r="BS149" i="7"/>
  <c r="CN149" i="7" s="1"/>
  <c r="AF147" i="7"/>
  <c r="AI147" i="7" s="1"/>
  <c r="AG147" i="7"/>
  <c r="BU160" i="7"/>
  <c r="CP160" i="7" s="1"/>
  <c r="CE153" i="7"/>
  <c r="CZ153" i="7" s="1"/>
  <c r="CJ184" i="7"/>
  <c r="DE184" i="7" s="1"/>
  <c r="CK151" i="7" l="1"/>
  <c r="DF151" i="7" s="1"/>
  <c r="EN146" i="7"/>
  <c r="EO152" i="7"/>
  <c r="AM153" i="7"/>
  <c r="AN150" i="7"/>
  <c r="AO145" i="7"/>
  <c r="CB153" i="7"/>
  <c r="CW153" i="7" s="1"/>
  <c r="AQ50" i="7"/>
  <c r="BH50" i="7" s="1"/>
  <c r="AR50" i="7"/>
  <c r="BI50" i="7" s="1"/>
  <c r="F39" i="32"/>
  <c r="G39" i="32" s="1"/>
  <c r="P39" i="32" s="1"/>
  <c r="Q39" i="32" s="1"/>
  <c r="AP50" i="7"/>
  <c r="BG50" i="7" s="1"/>
  <c r="AK50" i="7"/>
  <c r="AL50" i="7"/>
  <c r="AJ50" i="7"/>
  <c r="F48" i="32"/>
  <c r="G48" i="32" s="1"/>
  <c r="P48" i="32" s="1"/>
  <c r="AP59" i="7"/>
  <c r="BG59" i="7" s="1"/>
  <c r="AQ59" i="7"/>
  <c r="BH59" i="7" s="1"/>
  <c r="AR59" i="7"/>
  <c r="BI59" i="7" s="1"/>
  <c r="CL149" i="7"/>
  <c r="DG149" i="7" s="1"/>
  <c r="EM148" i="7"/>
  <c r="M132" i="32"/>
  <c r="DQ143" i="7"/>
  <c r="BP142" i="7"/>
  <c r="BQ142" i="7" s="1"/>
  <c r="H142" i="7" s="1"/>
  <c r="DZ145" i="7"/>
  <c r="EA145" i="7"/>
  <c r="DW144" i="7"/>
  <c r="EB144" i="7"/>
  <c r="DX144" i="7"/>
  <c r="EF149" i="7"/>
  <c r="EC149" i="7"/>
  <c r="DL147" i="7"/>
  <c r="DP147" i="7"/>
  <c r="BB148" i="7"/>
  <c r="AZ148" i="7"/>
  <c r="DN143" i="7"/>
  <c r="L133" i="32" s="1"/>
  <c r="DK143" i="7"/>
  <c r="K133" i="32" s="1"/>
  <c r="AW148" i="7"/>
  <c r="AU148" i="7"/>
  <c r="AT148" i="7"/>
  <c r="BC148" i="7"/>
  <c r="AX148" i="7"/>
  <c r="AY148" i="7"/>
  <c r="M149" i="7"/>
  <c r="BA149" i="7" s="1"/>
  <c r="DV149" i="7"/>
  <c r="BA148" i="7"/>
  <c r="BY182" i="7"/>
  <c r="CT182" i="7" s="1"/>
  <c r="BX182" i="7"/>
  <c r="CS182" i="7" s="1"/>
  <c r="BW184" i="7"/>
  <c r="CR184" i="7" s="1"/>
  <c r="DJ147" i="7"/>
  <c r="BF146" i="7"/>
  <c r="DM147" i="7"/>
  <c r="BE146" i="7"/>
  <c r="BD146" i="7"/>
  <c r="DR147" i="7"/>
  <c r="AH147" i="7"/>
  <c r="DO147" i="7"/>
  <c r="CM173" i="7"/>
  <c r="DH173" i="7" s="1"/>
  <c r="CC167" i="7"/>
  <c r="CX167" i="7" s="1"/>
  <c r="G141" i="7"/>
  <c r="BT153" i="7"/>
  <c r="CO153" i="7" s="1"/>
  <c r="DS151" i="7"/>
  <c r="P151" i="7" s="1"/>
  <c r="CI152" i="7"/>
  <c r="DD152" i="7" s="1"/>
  <c r="BV151" i="7"/>
  <c r="CQ151" i="7" s="1"/>
  <c r="CA145" i="7"/>
  <c r="CV145" i="7" s="1"/>
  <c r="BO143" i="7"/>
  <c r="CG146" i="7"/>
  <c r="DB146" i="7" s="1"/>
  <c r="BZ147" i="7"/>
  <c r="CU147" i="7" s="1"/>
  <c r="CD149" i="7"/>
  <c r="CY149" i="7" s="1"/>
  <c r="BN145" i="7"/>
  <c r="CH146" i="7"/>
  <c r="DC146" i="7" s="1"/>
  <c r="CF151" i="7"/>
  <c r="DA151" i="7" s="1"/>
  <c r="DI143" i="7"/>
  <c r="AH148" i="7"/>
  <c r="AF148" i="7"/>
  <c r="AI148" i="7" s="1"/>
  <c r="AG148" i="7"/>
  <c r="BS150" i="7"/>
  <c r="CN150" i="7" s="1"/>
  <c r="BU161" i="7"/>
  <c r="CP161" i="7" s="1"/>
  <c r="CE154" i="7"/>
  <c r="CZ154" i="7" s="1"/>
  <c r="CJ185" i="7"/>
  <c r="DE185" i="7" s="1"/>
  <c r="AO146" i="7" l="1"/>
  <c r="EO153" i="7"/>
  <c r="AM154" i="7"/>
  <c r="AN151" i="7"/>
  <c r="EN147" i="7"/>
  <c r="CK152" i="7"/>
  <c r="DF152" i="7" s="1"/>
  <c r="CB154" i="7"/>
  <c r="CW154" i="7" s="1"/>
  <c r="BJ50" i="7"/>
  <c r="C50" i="7"/>
  <c r="E50" i="7"/>
  <c r="BL50" i="7"/>
  <c r="BK50" i="7"/>
  <c r="D50" i="7"/>
  <c r="CL150" i="7"/>
  <c r="DG150" i="7" s="1"/>
  <c r="EM149" i="7"/>
  <c r="DP148" i="7"/>
  <c r="DL148" i="7"/>
  <c r="M133" i="32"/>
  <c r="DQ144" i="7"/>
  <c r="EF150" i="7"/>
  <c r="EC150" i="7"/>
  <c r="DZ146" i="7"/>
  <c r="EA146" i="7"/>
  <c r="DX145" i="7"/>
  <c r="EB145" i="7"/>
  <c r="DW145" i="7"/>
  <c r="BP143" i="7"/>
  <c r="BQ143" i="7" s="1"/>
  <c r="H143" i="7" s="1"/>
  <c r="DJ148" i="7"/>
  <c r="DN144" i="7"/>
  <c r="L134" i="32" s="1"/>
  <c r="DK144" i="7"/>
  <c r="K134" i="32" s="1"/>
  <c r="AW149" i="7"/>
  <c r="DR148" i="7"/>
  <c r="AY149" i="7"/>
  <c r="DM148" i="7"/>
  <c r="BC149" i="7"/>
  <c r="BB149" i="7"/>
  <c r="AX149" i="7"/>
  <c r="AV149" i="7"/>
  <c r="AT149" i="7"/>
  <c r="AZ149" i="7"/>
  <c r="AU149" i="7"/>
  <c r="M150" i="7"/>
  <c r="BC150" i="7" s="1"/>
  <c r="DV150" i="7"/>
  <c r="BX183" i="7"/>
  <c r="CS183" i="7" s="1"/>
  <c r="BY183" i="7"/>
  <c r="CT183" i="7" s="1"/>
  <c r="BW185" i="7"/>
  <c r="CR185" i="7" s="1"/>
  <c r="DO148" i="7"/>
  <c r="BE147" i="7"/>
  <c r="BD147" i="7"/>
  <c r="BF147" i="7"/>
  <c r="CM174" i="7"/>
  <c r="DH174" i="7" s="1"/>
  <c r="CC168" i="7"/>
  <c r="CX168" i="7" s="1"/>
  <c r="G142" i="7"/>
  <c r="BV152" i="7"/>
  <c r="CQ152" i="7" s="1"/>
  <c r="CI153" i="7"/>
  <c r="DD153" i="7" s="1"/>
  <c r="DS152" i="7"/>
  <c r="P152" i="7" s="1"/>
  <c r="BT154" i="7"/>
  <c r="CO154" i="7" s="1"/>
  <c r="BO144" i="7"/>
  <c r="CA146" i="7"/>
  <c r="CV146" i="7" s="1"/>
  <c r="CG147" i="7"/>
  <c r="DB147" i="7" s="1"/>
  <c r="BZ148" i="7"/>
  <c r="CU148" i="7" s="1"/>
  <c r="CD150" i="7"/>
  <c r="CY150" i="7" s="1"/>
  <c r="CF152" i="7"/>
  <c r="DA152" i="7" s="1"/>
  <c r="DI144" i="7"/>
  <c r="BN146" i="7"/>
  <c r="CH147" i="7"/>
  <c r="DC147" i="7" s="1"/>
  <c r="BS151" i="7"/>
  <c r="CN151" i="7" s="1"/>
  <c r="BD148" i="7"/>
  <c r="BE148" i="7"/>
  <c r="BF148" i="7"/>
  <c r="BU162" i="7"/>
  <c r="CP162" i="7" s="1"/>
  <c r="CE155" i="7"/>
  <c r="CZ155" i="7" s="1"/>
  <c r="CJ186" i="7"/>
  <c r="DE186" i="7" s="1"/>
  <c r="EO154" i="7" l="1"/>
  <c r="CK153" i="7"/>
  <c r="DF153" i="7" s="1"/>
  <c r="AM155" i="7"/>
  <c r="AO147" i="7"/>
  <c r="EN148" i="7"/>
  <c r="AN152" i="7"/>
  <c r="CB155" i="7"/>
  <c r="CW155" i="7" s="1"/>
  <c r="F50" i="7"/>
  <c r="BM50" i="7"/>
  <c r="CL151" i="7"/>
  <c r="DG151" i="7" s="1"/>
  <c r="EM150" i="7"/>
  <c r="M134" i="32"/>
  <c r="DQ145" i="7"/>
  <c r="EF151" i="7"/>
  <c r="EC151" i="7"/>
  <c r="EA147" i="7"/>
  <c r="DZ147" i="7"/>
  <c r="EB146" i="7"/>
  <c r="DX146" i="7"/>
  <c r="DW146" i="7"/>
  <c r="BP144" i="7"/>
  <c r="BQ144" i="7" s="1"/>
  <c r="H144" i="7" s="1"/>
  <c r="DK145" i="7"/>
  <c r="K135" i="32" s="1"/>
  <c r="AY150" i="7"/>
  <c r="DN145" i="7"/>
  <c r="L135" i="32" s="1"/>
  <c r="AZ150" i="7"/>
  <c r="AU150" i="7"/>
  <c r="AX150" i="7"/>
  <c r="AW150" i="7"/>
  <c r="BA150" i="7"/>
  <c r="BB150" i="7"/>
  <c r="AV150" i="7"/>
  <c r="AT150" i="7"/>
  <c r="M151" i="7"/>
  <c r="BA151" i="7" s="1"/>
  <c r="DV151" i="7"/>
  <c r="BY184" i="7"/>
  <c r="CT184" i="7" s="1"/>
  <c r="BX184" i="7"/>
  <c r="CS184" i="7" s="1"/>
  <c r="BW186" i="7"/>
  <c r="CR186" i="7" s="1"/>
  <c r="DO149" i="7"/>
  <c r="DP149" i="7"/>
  <c r="DJ149" i="7"/>
  <c r="AG149" i="7"/>
  <c r="DL149" i="7"/>
  <c r="AF149" i="7"/>
  <c r="AI149" i="7" s="1"/>
  <c r="DR149" i="7"/>
  <c r="DR150" i="7" s="1"/>
  <c r="DM149" i="7"/>
  <c r="AH149" i="7"/>
  <c r="CM175" i="7"/>
  <c r="DH175" i="7" s="1"/>
  <c r="CC169" i="7"/>
  <c r="CX169" i="7" s="1"/>
  <c r="G143" i="7"/>
  <c r="CI154" i="7"/>
  <c r="DD154" i="7" s="1"/>
  <c r="DS153" i="7"/>
  <c r="P153" i="7" s="1"/>
  <c r="BT155" i="7"/>
  <c r="CO155" i="7" s="1"/>
  <c r="BV153" i="7"/>
  <c r="CQ153" i="7" s="1"/>
  <c r="BO145" i="7"/>
  <c r="CA147" i="7"/>
  <c r="CV147" i="7" s="1"/>
  <c r="CG148" i="7"/>
  <c r="DB148" i="7" s="1"/>
  <c r="BZ149" i="7"/>
  <c r="CU149" i="7" s="1"/>
  <c r="CD151" i="7"/>
  <c r="CY151" i="7" s="1"/>
  <c r="CF153" i="7"/>
  <c r="DA153" i="7" s="1"/>
  <c r="CH148" i="7"/>
  <c r="DC148" i="7" s="1"/>
  <c r="BN147" i="7"/>
  <c r="DI145" i="7"/>
  <c r="AF150" i="7"/>
  <c r="AI150" i="7" s="1"/>
  <c r="AG150" i="7"/>
  <c r="BS152" i="7"/>
  <c r="CN152" i="7" s="1"/>
  <c r="BU163" i="7"/>
  <c r="CP163" i="7" s="1"/>
  <c r="CE156" i="7"/>
  <c r="CZ156" i="7" s="1"/>
  <c r="CJ187" i="7"/>
  <c r="DE187" i="7" s="1"/>
  <c r="EN149" i="7" l="1"/>
  <c r="AO148" i="7"/>
  <c r="EO155" i="7"/>
  <c r="DJ150" i="7"/>
  <c r="CK154" i="7"/>
  <c r="DF154" i="7" s="1"/>
  <c r="AM156" i="7"/>
  <c r="AN153" i="7"/>
  <c r="CB156" i="7"/>
  <c r="CW156" i="7" s="1"/>
  <c r="B50" i="7"/>
  <c r="P50" i="7"/>
  <c r="CL152" i="7"/>
  <c r="DG152" i="7" s="1"/>
  <c r="EM151" i="7"/>
  <c r="BP145" i="7"/>
  <c r="BQ145" i="7" s="1"/>
  <c r="H145" i="7" s="1"/>
  <c r="DQ146" i="7"/>
  <c r="M135" i="32"/>
  <c r="EF152" i="7"/>
  <c r="EC152" i="7"/>
  <c r="EB147" i="7"/>
  <c r="DX147" i="7"/>
  <c r="DW147" i="7"/>
  <c r="EA148" i="7"/>
  <c r="DZ148" i="7"/>
  <c r="DP150" i="7"/>
  <c r="DP151" i="7" s="1"/>
  <c r="DK146" i="7"/>
  <c r="K136" i="32" s="1"/>
  <c r="DN146" i="7"/>
  <c r="L136" i="32" s="1"/>
  <c r="N60" i="7"/>
  <c r="D49" i="32"/>
  <c r="AT151" i="7"/>
  <c r="BC151" i="7"/>
  <c r="AZ151" i="7"/>
  <c r="AW151" i="7"/>
  <c r="BB151" i="7"/>
  <c r="AU151" i="7"/>
  <c r="AX151" i="7"/>
  <c r="M152" i="7"/>
  <c r="AW152" i="7" s="1"/>
  <c r="DV152" i="7"/>
  <c r="AV151" i="7"/>
  <c r="AY151" i="7"/>
  <c r="BX185" i="7"/>
  <c r="CS185" i="7" s="1"/>
  <c r="BY185" i="7"/>
  <c r="CT185" i="7" s="1"/>
  <c r="BW187" i="7"/>
  <c r="CR187" i="7" s="1"/>
  <c r="DO150" i="7"/>
  <c r="BF149" i="7"/>
  <c r="BE149" i="7"/>
  <c r="BD149" i="7"/>
  <c r="DL150" i="7"/>
  <c r="AH150" i="7"/>
  <c r="DM150" i="7"/>
  <c r="CM176" i="7"/>
  <c r="DH176" i="7" s="1"/>
  <c r="CC170" i="7"/>
  <c r="CX170" i="7" s="1"/>
  <c r="G144" i="7"/>
  <c r="BV154" i="7"/>
  <c r="CQ154" i="7" s="1"/>
  <c r="BT156" i="7"/>
  <c r="CO156" i="7" s="1"/>
  <c r="DS154" i="7"/>
  <c r="P154" i="7" s="1"/>
  <c r="CI155" i="7"/>
  <c r="DD155" i="7" s="1"/>
  <c r="CA148" i="7"/>
  <c r="CV148" i="7" s="1"/>
  <c r="BO146" i="7"/>
  <c r="CG149" i="7"/>
  <c r="DB149" i="7" s="1"/>
  <c r="BZ150" i="7"/>
  <c r="CU150" i="7" s="1"/>
  <c r="CD152" i="7"/>
  <c r="CY152" i="7" s="1"/>
  <c r="DI146" i="7"/>
  <c r="CH149" i="7"/>
  <c r="DC149" i="7" s="1"/>
  <c r="BN148" i="7"/>
  <c r="CF154" i="7"/>
  <c r="DA154" i="7" s="1"/>
  <c r="AG151" i="7"/>
  <c r="BS153" i="7"/>
  <c r="CN153" i="7" s="1"/>
  <c r="BU164" i="7"/>
  <c r="CP164" i="7" s="1"/>
  <c r="CE157" i="7"/>
  <c r="CZ157" i="7" s="1"/>
  <c r="CJ188" i="7"/>
  <c r="DE188" i="7" s="1"/>
  <c r="DJ151" i="7" l="1"/>
  <c r="AO149" i="7"/>
  <c r="CK155" i="7"/>
  <c r="DF155" i="7" s="1"/>
  <c r="EO156" i="7"/>
  <c r="AM157" i="7"/>
  <c r="AN154" i="7"/>
  <c r="EN150" i="7"/>
  <c r="CB157" i="7"/>
  <c r="CW157" i="7" s="1"/>
  <c r="D40" i="32"/>
  <c r="N51" i="7"/>
  <c r="F49" i="32"/>
  <c r="G49" i="32" s="1"/>
  <c r="P49" i="32" s="1"/>
  <c r="AP60" i="7"/>
  <c r="BG60" i="7" s="1"/>
  <c r="AQ60" i="7"/>
  <c r="BH60" i="7" s="1"/>
  <c r="AR60" i="7"/>
  <c r="BI60" i="7" s="1"/>
  <c r="CL153" i="7"/>
  <c r="DG153" i="7" s="1"/>
  <c r="EM152" i="7"/>
  <c r="M136" i="32"/>
  <c r="DQ147" i="7"/>
  <c r="EF153" i="7"/>
  <c r="EC153" i="7"/>
  <c r="DZ149" i="7"/>
  <c r="EA149" i="7"/>
  <c r="EB148" i="7"/>
  <c r="DX148" i="7"/>
  <c r="DW148" i="7"/>
  <c r="BP146" i="7"/>
  <c r="BQ146" i="7" s="1"/>
  <c r="H146" i="7" s="1"/>
  <c r="DN147" i="7"/>
  <c r="L137" i="32" s="1"/>
  <c r="DK147" i="7"/>
  <c r="K137" i="32" s="1"/>
  <c r="DM151" i="7"/>
  <c r="AY152" i="7"/>
  <c r="BA152" i="7"/>
  <c r="AX152" i="7"/>
  <c r="AZ152" i="7"/>
  <c r="AT152" i="7"/>
  <c r="AV152" i="7"/>
  <c r="BB152" i="7"/>
  <c r="AU152" i="7"/>
  <c r="BC152" i="7"/>
  <c r="M153" i="7"/>
  <c r="AT153" i="7" s="1"/>
  <c r="DV153" i="7"/>
  <c r="BY186" i="7"/>
  <c r="CT186" i="7" s="1"/>
  <c r="BX186" i="7"/>
  <c r="CS186" i="7" s="1"/>
  <c r="BW188" i="7"/>
  <c r="CR188" i="7" s="1"/>
  <c r="BE150" i="7"/>
  <c r="BD150" i="7"/>
  <c r="BF150" i="7"/>
  <c r="DL151" i="7"/>
  <c r="DR151" i="7"/>
  <c r="AH151" i="7"/>
  <c r="DO151" i="7"/>
  <c r="AF151" i="7"/>
  <c r="AI151" i="7" s="1"/>
  <c r="CM177" i="7"/>
  <c r="DH177" i="7" s="1"/>
  <c r="CC171" i="7"/>
  <c r="CX171" i="7" s="1"/>
  <c r="G145" i="7"/>
  <c r="BT157" i="7"/>
  <c r="CO157" i="7" s="1"/>
  <c r="CI156" i="7"/>
  <c r="DD156" i="7" s="1"/>
  <c r="DS155" i="7"/>
  <c r="P155" i="7" s="1"/>
  <c r="BV155" i="7"/>
  <c r="CQ155" i="7" s="1"/>
  <c r="BO147" i="7"/>
  <c r="CA149" i="7"/>
  <c r="CV149" i="7" s="1"/>
  <c r="CG150" i="7"/>
  <c r="DB150" i="7" s="1"/>
  <c r="BZ151" i="7"/>
  <c r="CU151" i="7" s="1"/>
  <c r="CD153" i="7"/>
  <c r="CY153" i="7" s="1"/>
  <c r="CF155" i="7"/>
  <c r="DA155" i="7" s="1"/>
  <c r="DI147" i="7"/>
  <c r="BN149" i="7"/>
  <c r="CH150" i="7"/>
  <c r="DC150" i="7" s="1"/>
  <c r="BS154" i="7"/>
  <c r="CN154" i="7" s="1"/>
  <c r="BU165" i="7"/>
  <c r="CP165" i="7" s="1"/>
  <c r="CE158" i="7"/>
  <c r="CZ158" i="7" s="1"/>
  <c r="CJ189" i="7"/>
  <c r="DE189" i="7" s="1"/>
  <c r="EO157" i="7" l="1"/>
  <c r="EN151" i="7"/>
  <c r="AO150" i="7"/>
  <c r="AM158" i="7"/>
  <c r="CK156" i="7"/>
  <c r="DF156" i="7" s="1"/>
  <c r="AN155" i="7"/>
  <c r="CB158" i="7"/>
  <c r="CW158" i="7" s="1"/>
  <c r="F40" i="32"/>
  <c r="G40" i="32" s="1"/>
  <c r="P40" i="32" s="1"/>
  <c r="Q40" i="32" s="1"/>
  <c r="AP51" i="7"/>
  <c r="BG51" i="7" s="1"/>
  <c r="AQ51" i="7"/>
  <c r="BH51" i="7" s="1"/>
  <c r="AR51" i="7"/>
  <c r="BI51" i="7" s="1"/>
  <c r="AL51" i="7"/>
  <c r="AK51" i="7"/>
  <c r="AJ51" i="7"/>
  <c r="CL154" i="7"/>
  <c r="DG154" i="7" s="1"/>
  <c r="EM153" i="7"/>
  <c r="M137" i="32"/>
  <c r="DQ148" i="7"/>
  <c r="DQ149" i="7" s="1"/>
  <c r="DQ150" i="7" s="1"/>
  <c r="DQ151" i="7" s="1"/>
  <c r="DQ152" i="7" s="1"/>
  <c r="BP147" i="7"/>
  <c r="BQ147" i="7" s="1"/>
  <c r="H147" i="7" s="1"/>
  <c r="DZ150" i="7"/>
  <c r="EA150" i="7"/>
  <c r="EF154" i="7"/>
  <c r="EC154" i="7"/>
  <c r="DX149" i="7"/>
  <c r="EB149" i="7"/>
  <c r="DW149" i="7"/>
  <c r="AW153" i="7"/>
  <c r="BC153" i="7"/>
  <c r="DK148" i="7"/>
  <c r="DK149" i="7" s="1"/>
  <c r="DK150" i="7" s="1"/>
  <c r="DK151" i="7" s="1"/>
  <c r="DK152" i="7" s="1"/>
  <c r="DN148" i="7"/>
  <c r="DN149" i="7" s="1"/>
  <c r="DN150" i="7" s="1"/>
  <c r="DN151" i="7" s="1"/>
  <c r="DN152" i="7" s="1"/>
  <c r="BB153" i="7"/>
  <c r="AZ153" i="7"/>
  <c r="AX153" i="7"/>
  <c r="BA153" i="7"/>
  <c r="AU153" i="7"/>
  <c r="AV153" i="7"/>
  <c r="AY153" i="7"/>
  <c r="DO152" i="7"/>
  <c r="M154" i="7"/>
  <c r="AZ154" i="7" s="1"/>
  <c r="DV154" i="7"/>
  <c r="BX187" i="7"/>
  <c r="CS187" i="7" s="1"/>
  <c r="BY187" i="7"/>
  <c r="CT187" i="7" s="1"/>
  <c r="BW189" i="7"/>
  <c r="CR189" i="7" s="1"/>
  <c r="BF151" i="7"/>
  <c r="BE151" i="7"/>
  <c r="BD151" i="7"/>
  <c r="DL152" i="7"/>
  <c r="DJ152" i="7"/>
  <c r="AH152" i="7"/>
  <c r="AG152" i="7"/>
  <c r="DP152" i="7"/>
  <c r="DM152" i="7"/>
  <c r="AF152" i="7"/>
  <c r="AI152" i="7" s="1"/>
  <c r="DR152" i="7"/>
  <c r="CM178" i="7"/>
  <c r="DH178" i="7" s="1"/>
  <c r="CC172" i="7"/>
  <c r="CX172" i="7" s="1"/>
  <c r="G146" i="7"/>
  <c r="BV156" i="7"/>
  <c r="CQ156" i="7" s="1"/>
  <c r="CI157" i="7"/>
  <c r="DD157" i="7" s="1"/>
  <c r="DS156" i="7"/>
  <c r="P156" i="7" s="1"/>
  <c r="BT158" i="7"/>
  <c r="CO158" i="7" s="1"/>
  <c r="CA150" i="7"/>
  <c r="CV150" i="7" s="1"/>
  <c r="BO148" i="7"/>
  <c r="CG151" i="7"/>
  <c r="DB151" i="7" s="1"/>
  <c r="BZ152" i="7"/>
  <c r="CU152" i="7" s="1"/>
  <c r="CD154" i="7"/>
  <c r="CY154" i="7" s="1"/>
  <c r="CH151" i="7"/>
  <c r="DC151" i="7" s="1"/>
  <c r="BN150" i="7"/>
  <c r="DI148" i="7"/>
  <c r="CF156" i="7"/>
  <c r="DA156" i="7" s="1"/>
  <c r="BS155" i="7"/>
  <c r="CN155" i="7" s="1"/>
  <c r="BU166" i="7"/>
  <c r="CP166" i="7" s="1"/>
  <c r="CE159" i="7"/>
  <c r="CZ159" i="7" s="1"/>
  <c r="CJ190" i="7"/>
  <c r="DE190" i="7" s="1"/>
  <c r="AM159" i="7" l="1"/>
  <c r="EN152" i="7"/>
  <c r="EO158" i="7"/>
  <c r="AO151" i="7"/>
  <c r="AN156" i="7"/>
  <c r="CK157" i="7"/>
  <c r="DF157" i="7" s="1"/>
  <c r="CB159" i="7"/>
  <c r="CW159" i="7" s="1"/>
  <c r="BL51" i="7"/>
  <c r="E51" i="7"/>
  <c r="BJ51" i="7"/>
  <c r="C51" i="7"/>
  <c r="D51" i="7"/>
  <c r="BK51" i="7"/>
  <c r="CL155" i="7"/>
  <c r="DG155" i="7" s="1"/>
  <c r="EM154" i="7"/>
  <c r="BP148" i="7"/>
  <c r="BQ148" i="7" s="1"/>
  <c r="H148" i="7" s="1"/>
  <c r="EB150" i="7"/>
  <c r="DX150" i="7"/>
  <c r="DW150" i="7"/>
  <c r="EF155" i="7"/>
  <c r="EC155" i="7"/>
  <c r="EA151" i="7"/>
  <c r="DZ151" i="7"/>
  <c r="DO153" i="7"/>
  <c r="AV154" i="7"/>
  <c r="AW154" i="7"/>
  <c r="AU154" i="7"/>
  <c r="AT154" i="7"/>
  <c r="AX154" i="7"/>
  <c r="BB154" i="7"/>
  <c r="BA154" i="7"/>
  <c r="M155" i="7"/>
  <c r="AX155" i="7" s="1"/>
  <c r="DV155" i="7"/>
  <c r="BC154" i="7"/>
  <c r="AY154" i="7"/>
  <c r="BY188" i="7"/>
  <c r="CT188" i="7" s="1"/>
  <c r="BX188" i="7"/>
  <c r="CS188" i="7" s="1"/>
  <c r="BW190" i="7"/>
  <c r="CR190" i="7" s="1"/>
  <c r="BD152" i="7"/>
  <c r="BF152" i="7"/>
  <c r="BE152" i="7"/>
  <c r="AH153" i="7"/>
  <c r="DQ153" i="7"/>
  <c r="AF153" i="7"/>
  <c r="AI153" i="7" s="1"/>
  <c r="DM153" i="7"/>
  <c r="DN153" i="7"/>
  <c r="DL153" i="7"/>
  <c r="DR153" i="7"/>
  <c r="DJ153" i="7"/>
  <c r="DK153" i="7"/>
  <c r="DP153" i="7"/>
  <c r="AG153" i="7"/>
  <c r="CM179" i="7"/>
  <c r="DH179" i="7" s="1"/>
  <c r="CC173" i="7"/>
  <c r="CX173" i="7" s="1"/>
  <c r="G147" i="7"/>
  <c r="CI158" i="7"/>
  <c r="DD158" i="7" s="1"/>
  <c r="DS157" i="7"/>
  <c r="P157" i="7" s="1"/>
  <c r="BT159" i="7"/>
  <c r="CO159" i="7" s="1"/>
  <c r="BV157" i="7"/>
  <c r="CQ157" i="7" s="1"/>
  <c r="BO149" i="7"/>
  <c r="CA151" i="7"/>
  <c r="CV151" i="7" s="1"/>
  <c r="CG152" i="7"/>
  <c r="DB152" i="7" s="1"/>
  <c r="BZ153" i="7"/>
  <c r="CU153" i="7" s="1"/>
  <c r="CD155" i="7"/>
  <c r="CY155" i="7" s="1"/>
  <c r="CF157" i="7"/>
  <c r="DA157" i="7" s="1"/>
  <c r="DI149" i="7"/>
  <c r="BP149" i="7" s="1"/>
  <c r="CH152" i="7"/>
  <c r="DC152" i="7" s="1"/>
  <c r="BN151" i="7"/>
  <c r="BS156" i="7"/>
  <c r="CN156" i="7" s="1"/>
  <c r="AG154" i="7"/>
  <c r="AF154" i="7"/>
  <c r="AI154" i="7" s="1"/>
  <c r="BU167" i="7"/>
  <c r="CP167" i="7" s="1"/>
  <c r="CE160" i="7"/>
  <c r="CZ160" i="7" s="1"/>
  <c r="CJ191" i="7"/>
  <c r="DE191" i="7" s="1"/>
  <c r="AM160" i="7" l="1"/>
  <c r="CK158" i="7"/>
  <c r="DF158" i="7" s="1"/>
  <c r="DR154" i="7"/>
  <c r="AO152" i="7"/>
  <c r="EO159" i="7"/>
  <c r="AN157" i="7"/>
  <c r="EN153" i="7"/>
  <c r="CB160" i="7"/>
  <c r="CW160" i="7" s="1"/>
  <c r="F51" i="7"/>
  <c r="BM51" i="7"/>
  <c r="CL156" i="7"/>
  <c r="DG156" i="7" s="1"/>
  <c r="EM155" i="7"/>
  <c r="DZ152" i="7"/>
  <c r="EA152" i="7"/>
  <c r="EB151" i="7"/>
  <c r="DX151" i="7"/>
  <c r="DW151" i="7"/>
  <c r="EC156" i="7"/>
  <c r="EF156" i="7"/>
  <c r="N61" i="7"/>
  <c r="D50" i="32"/>
  <c r="AV155" i="7"/>
  <c r="AY155" i="7"/>
  <c r="AZ155" i="7"/>
  <c r="AU155" i="7"/>
  <c r="AW155" i="7"/>
  <c r="BB155" i="7"/>
  <c r="AT155" i="7"/>
  <c r="DP154" i="7"/>
  <c r="BA155" i="7"/>
  <c r="BC155" i="7"/>
  <c r="DR155" i="7" s="1"/>
  <c r="M156" i="7"/>
  <c r="AZ156" i="7" s="1"/>
  <c r="DV156" i="7"/>
  <c r="BX189" i="7"/>
  <c r="CS189" i="7" s="1"/>
  <c r="BY189" i="7"/>
  <c r="CT189" i="7" s="1"/>
  <c r="BW191" i="7"/>
  <c r="CR191" i="7" s="1"/>
  <c r="BF153" i="7"/>
  <c r="BE153" i="7"/>
  <c r="BD153" i="7"/>
  <c r="DQ154" i="7"/>
  <c r="AH154" i="7"/>
  <c r="DJ154" i="7"/>
  <c r="DN154" i="7"/>
  <c r="DL154" i="7"/>
  <c r="DK154" i="7"/>
  <c r="DO154" i="7"/>
  <c r="DM154" i="7"/>
  <c r="CM180" i="7"/>
  <c r="DH180" i="7" s="1"/>
  <c r="CC174" i="7"/>
  <c r="CX174" i="7" s="1"/>
  <c r="G148" i="7"/>
  <c r="BV158" i="7"/>
  <c r="CQ158" i="7" s="1"/>
  <c r="BT160" i="7"/>
  <c r="CO160" i="7" s="1"/>
  <c r="DS158" i="7"/>
  <c r="P158" i="7" s="1"/>
  <c r="CI159" i="7"/>
  <c r="DD159" i="7" s="1"/>
  <c r="BO150" i="7"/>
  <c r="CA152" i="7"/>
  <c r="CV152" i="7" s="1"/>
  <c r="CG153" i="7"/>
  <c r="DB153" i="7" s="1"/>
  <c r="BZ154" i="7"/>
  <c r="CU154" i="7" s="1"/>
  <c r="CD156" i="7"/>
  <c r="CY156" i="7" s="1"/>
  <c r="DI150" i="7"/>
  <c r="BP150" i="7" s="1"/>
  <c r="BQ149" i="7"/>
  <c r="H149" i="7" s="1"/>
  <c r="CH153" i="7"/>
  <c r="DC153" i="7" s="1"/>
  <c r="BN152" i="7"/>
  <c r="CF158" i="7"/>
  <c r="DA158" i="7" s="1"/>
  <c r="AH155" i="7"/>
  <c r="AF155" i="7"/>
  <c r="AI155" i="7" s="1"/>
  <c r="AG155" i="7"/>
  <c r="BS157" i="7"/>
  <c r="CN157" i="7" s="1"/>
  <c r="BU168" i="7"/>
  <c r="CP168" i="7" s="1"/>
  <c r="CE161" i="7"/>
  <c r="CZ161" i="7" s="1"/>
  <c r="CJ192" i="7"/>
  <c r="DE192" i="7" s="1"/>
  <c r="EN154" i="7" l="1"/>
  <c r="AO153" i="7"/>
  <c r="CK159" i="7"/>
  <c r="DF159" i="7" s="1"/>
  <c r="AN158" i="7"/>
  <c r="EO160" i="7"/>
  <c r="AM161" i="7"/>
  <c r="CB161" i="7"/>
  <c r="CW161" i="7" s="1"/>
  <c r="B51" i="7"/>
  <c r="P51" i="7"/>
  <c r="F50" i="32"/>
  <c r="G50" i="32" s="1"/>
  <c r="P50" i="32" s="1"/>
  <c r="AQ61" i="7"/>
  <c r="BH61" i="7" s="1"/>
  <c r="AR61" i="7"/>
  <c r="BI61" i="7" s="1"/>
  <c r="AP61" i="7"/>
  <c r="BG61" i="7" s="1"/>
  <c r="CL157" i="7"/>
  <c r="DG157" i="7" s="1"/>
  <c r="EM156" i="7"/>
  <c r="EF157" i="7"/>
  <c r="EC157" i="7"/>
  <c r="DZ153" i="7"/>
  <c r="EA153" i="7"/>
  <c r="EB152" i="7"/>
  <c r="DX152" i="7"/>
  <c r="DW152" i="7"/>
  <c r="AX156" i="7"/>
  <c r="BA156" i="7"/>
  <c r="DJ155" i="7"/>
  <c r="DP155" i="7"/>
  <c r="BC156" i="7"/>
  <c r="DR156" i="7" s="1"/>
  <c r="AW156" i="7"/>
  <c r="AU156" i="7"/>
  <c r="AV156" i="7"/>
  <c r="AT156" i="7"/>
  <c r="M157" i="7"/>
  <c r="AU157" i="7" s="1"/>
  <c r="DV157" i="7"/>
  <c r="AY156" i="7"/>
  <c r="BB156" i="7"/>
  <c r="BY190" i="7"/>
  <c r="CT190" i="7" s="1"/>
  <c r="BX190" i="7"/>
  <c r="CS190" i="7" s="1"/>
  <c r="BW192" i="7"/>
  <c r="CR192" i="7" s="1"/>
  <c r="BE154" i="7"/>
  <c r="BD154" i="7"/>
  <c r="BF154" i="7"/>
  <c r="DM155" i="7"/>
  <c r="DO155" i="7"/>
  <c r="DO156" i="7" s="1"/>
  <c r="DQ155" i="7"/>
  <c r="DL155" i="7"/>
  <c r="DN155" i="7"/>
  <c r="DK155" i="7"/>
  <c r="CM181" i="7"/>
  <c r="DH181" i="7" s="1"/>
  <c r="CC175" i="7"/>
  <c r="CX175" i="7" s="1"/>
  <c r="G149" i="7"/>
  <c r="CI160" i="7"/>
  <c r="DD160" i="7" s="1"/>
  <c r="DS159" i="7"/>
  <c r="P159" i="7" s="1"/>
  <c r="BT161" i="7"/>
  <c r="CO161" i="7" s="1"/>
  <c r="BV159" i="7"/>
  <c r="CQ159" i="7" s="1"/>
  <c r="CA153" i="7"/>
  <c r="CV153" i="7" s="1"/>
  <c r="BO151" i="7"/>
  <c r="CG154" i="7"/>
  <c r="DB154" i="7" s="1"/>
  <c r="BZ155" i="7"/>
  <c r="CU155" i="7" s="1"/>
  <c r="CD157" i="7"/>
  <c r="CY157" i="7" s="1"/>
  <c r="BN153" i="7"/>
  <c r="CH154" i="7"/>
  <c r="DC154" i="7" s="1"/>
  <c r="DI151" i="7"/>
  <c r="BP151" i="7" s="1"/>
  <c r="BQ150" i="7"/>
  <c r="H150" i="7" s="1"/>
  <c r="CF159" i="7"/>
  <c r="DA159" i="7" s="1"/>
  <c r="AH156" i="7"/>
  <c r="AG156" i="7"/>
  <c r="AF156" i="7"/>
  <c r="AI156" i="7" s="1"/>
  <c r="BS158" i="7"/>
  <c r="CN158" i="7" s="1"/>
  <c r="BU169" i="7"/>
  <c r="CP169" i="7" s="1"/>
  <c r="CE162" i="7"/>
  <c r="CZ162" i="7" s="1"/>
  <c r="CJ193" i="7"/>
  <c r="DE193" i="7" s="1"/>
  <c r="AM162" i="7" l="1"/>
  <c r="AO154" i="7"/>
  <c r="EO161" i="7"/>
  <c r="AN159" i="7"/>
  <c r="EN155" i="7"/>
  <c r="CK160" i="7"/>
  <c r="DF160" i="7" s="1"/>
  <c r="CB162" i="7"/>
  <c r="CW162" i="7" s="1"/>
  <c r="D41" i="32"/>
  <c r="N52" i="7"/>
  <c r="DJ156" i="7"/>
  <c r="DJ157" i="7" s="1"/>
  <c r="CL158" i="7"/>
  <c r="DG158" i="7" s="1"/>
  <c r="EM157" i="7"/>
  <c r="EF158" i="7"/>
  <c r="EC158" i="7"/>
  <c r="DZ154" i="7"/>
  <c r="EA154" i="7"/>
  <c r="EB153" i="7"/>
  <c r="DX153" i="7"/>
  <c r="DW153" i="7"/>
  <c r="DP156" i="7"/>
  <c r="AW157" i="7"/>
  <c r="AZ157" i="7"/>
  <c r="AT157" i="7"/>
  <c r="BC157" i="7"/>
  <c r="DR157" i="7" s="1"/>
  <c r="AY157" i="7"/>
  <c r="AV157" i="7"/>
  <c r="BB157" i="7"/>
  <c r="AX157" i="7"/>
  <c r="M158" i="7"/>
  <c r="AZ158" i="7" s="1"/>
  <c r="DV158" i="7"/>
  <c r="BA157" i="7"/>
  <c r="BX191" i="7"/>
  <c r="CS191" i="7" s="1"/>
  <c r="BY191" i="7"/>
  <c r="CT191" i="7" s="1"/>
  <c r="BW193" i="7"/>
  <c r="CR193" i="7" s="1"/>
  <c r="DM156" i="7"/>
  <c r="DQ156" i="7"/>
  <c r="BD155" i="7"/>
  <c r="DN156" i="7"/>
  <c r="BF155" i="7"/>
  <c r="DK156" i="7"/>
  <c r="BE155" i="7"/>
  <c r="DL156" i="7"/>
  <c r="CM182" i="7"/>
  <c r="DH182" i="7" s="1"/>
  <c r="CC176" i="7"/>
  <c r="CX176" i="7" s="1"/>
  <c r="G150" i="7"/>
  <c r="BT162" i="7"/>
  <c r="CO162" i="7" s="1"/>
  <c r="BV160" i="7"/>
  <c r="CQ160" i="7" s="1"/>
  <c r="CI161" i="7"/>
  <c r="DD161" i="7" s="1"/>
  <c r="DS160" i="7"/>
  <c r="P160" i="7" s="1"/>
  <c r="BO152" i="7"/>
  <c r="CA154" i="7"/>
  <c r="CV154" i="7" s="1"/>
  <c r="CG155" i="7"/>
  <c r="DB155" i="7" s="1"/>
  <c r="BZ156" i="7"/>
  <c r="CU156" i="7" s="1"/>
  <c r="CD158" i="7"/>
  <c r="CY158" i="7" s="1"/>
  <c r="BQ151" i="7"/>
  <c r="H151" i="7" s="1"/>
  <c r="DI152" i="7"/>
  <c r="BP152" i="7" s="1"/>
  <c r="CH155" i="7"/>
  <c r="DC155" i="7" s="1"/>
  <c r="BN154" i="7"/>
  <c r="CF160" i="7"/>
  <c r="DA160" i="7" s="1"/>
  <c r="BS159" i="7"/>
  <c r="CN159" i="7" s="1"/>
  <c r="BD156" i="7"/>
  <c r="BE156" i="7"/>
  <c r="BF156" i="7"/>
  <c r="AG157" i="7"/>
  <c r="AH157" i="7"/>
  <c r="AF157" i="7"/>
  <c r="AI157" i="7" s="1"/>
  <c r="BU170" i="7"/>
  <c r="CP170" i="7" s="1"/>
  <c r="CE163" i="7"/>
  <c r="CZ163" i="7" s="1"/>
  <c r="CJ194" i="7"/>
  <c r="DE194" i="7" s="1"/>
  <c r="EO162" i="7" l="1"/>
  <c r="EN156" i="7"/>
  <c r="AO155" i="7"/>
  <c r="CK161" i="7"/>
  <c r="DF161" i="7" s="1"/>
  <c r="AM163" i="7"/>
  <c r="AN160" i="7"/>
  <c r="CB163" i="7"/>
  <c r="CW163" i="7" s="1"/>
  <c r="AP52" i="7"/>
  <c r="BG52" i="7" s="1"/>
  <c r="AQ52" i="7"/>
  <c r="BH52" i="7" s="1"/>
  <c r="AR52" i="7"/>
  <c r="BI52" i="7" s="1"/>
  <c r="F41" i="32"/>
  <c r="G41" i="32" s="1"/>
  <c r="P41" i="32" s="1"/>
  <c r="Q41" i="32" s="1"/>
  <c r="AK52" i="7"/>
  <c r="AL52" i="7"/>
  <c r="AJ52" i="7"/>
  <c r="CL159" i="7"/>
  <c r="DG159" i="7" s="1"/>
  <c r="EM158" i="7"/>
  <c r="DQ157" i="7"/>
  <c r="AV158" i="7"/>
  <c r="DP157" i="7"/>
  <c r="DZ155" i="7"/>
  <c r="EA155" i="7"/>
  <c r="EF159" i="7"/>
  <c r="EC159" i="7"/>
  <c r="EB154" i="7"/>
  <c r="DX154" i="7"/>
  <c r="DW154" i="7"/>
  <c r="BC158" i="7"/>
  <c r="BB158" i="7"/>
  <c r="AX158" i="7"/>
  <c r="DM157" i="7"/>
  <c r="BA158" i="7"/>
  <c r="AT158" i="7"/>
  <c r="AW158" i="7"/>
  <c r="AU158" i="7"/>
  <c r="DJ158" i="7" s="1"/>
  <c r="AY158" i="7"/>
  <c r="M159" i="7"/>
  <c r="AX159" i="7" s="1"/>
  <c r="DV159" i="7"/>
  <c r="BY192" i="7"/>
  <c r="CT192" i="7" s="1"/>
  <c r="BX192" i="7"/>
  <c r="CS192" i="7" s="1"/>
  <c r="BW194" i="7"/>
  <c r="CR194" i="7" s="1"/>
  <c r="DN157" i="7"/>
  <c r="DL157" i="7"/>
  <c r="DK157" i="7"/>
  <c r="DO157" i="7"/>
  <c r="CM183" i="7"/>
  <c r="DH183" i="7" s="1"/>
  <c r="CC177" i="7"/>
  <c r="CX177" i="7" s="1"/>
  <c r="G151" i="7"/>
  <c r="BV161" i="7"/>
  <c r="CQ161" i="7" s="1"/>
  <c r="CI162" i="7"/>
  <c r="DD162" i="7" s="1"/>
  <c r="DS161" i="7"/>
  <c r="P161" i="7" s="1"/>
  <c r="BT163" i="7"/>
  <c r="CO163" i="7" s="1"/>
  <c r="BO153" i="7"/>
  <c r="CA155" i="7"/>
  <c r="CV155" i="7" s="1"/>
  <c r="CG156" i="7"/>
  <c r="DB156" i="7" s="1"/>
  <c r="BZ157" i="7"/>
  <c r="CU157" i="7" s="1"/>
  <c r="CD159" i="7"/>
  <c r="CY159" i="7" s="1"/>
  <c r="CF161" i="7"/>
  <c r="DA161" i="7" s="1"/>
  <c r="BQ152" i="7"/>
  <c r="H152" i="7" s="1"/>
  <c r="DI153" i="7"/>
  <c r="BP153" i="7" s="1"/>
  <c r="BN155" i="7"/>
  <c r="CH156" i="7"/>
  <c r="DC156" i="7" s="1"/>
  <c r="BS160" i="7"/>
  <c r="CN160" i="7" s="1"/>
  <c r="AF158" i="7"/>
  <c r="AI158" i="7" s="1"/>
  <c r="AG158" i="7"/>
  <c r="BU171" i="7"/>
  <c r="CP171" i="7" s="1"/>
  <c r="CE164" i="7"/>
  <c r="CZ164" i="7" s="1"/>
  <c r="CJ195" i="7"/>
  <c r="DE195" i="7" s="1"/>
  <c r="AO156" i="7" l="1"/>
  <c r="AN161" i="7"/>
  <c r="CK162" i="7"/>
  <c r="DF162" i="7" s="1"/>
  <c r="AM164" i="7"/>
  <c r="EN157" i="7"/>
  <c r="EO163" i="7"/>
  <c r="CB164" i="7"/>
  <c r="CW164" i="7" s="1"/>
  <c r="C52" i="7"/>
  <c r="BJ52" i="7"/>
  <c r="E52" i="7"/>
  <c r="BL52" i="7"/>
  <c r="D52" i="7"/>
  <c r="BK52" i="7"/>
  <c r="CL160" i="7"/>
  <c r="DG160" i="7" s="1"/>
  <c r="EM159" i="7"/>
  <c r="EF160" i="7"/>
  <c r="EC160" i="7"/>
  <c r="DZ156" i="7"/>
  <c r="EA156" i="7"/>
  <c r="DX155" i="7"/>
  <c r="DW155" i="7"/>
  <c r="EB155" i="7"/>
  <c r="N62" i="7"/>
  <c r="D51" i="32"/>
  <c r="DM158" i="7"/>
  <c r="BB159" i="7"/>
  <c r="AT159" i="7"/>
  <c r="AZ159" i="7"/>
  <c r="AU159" i="7"/>
  <c r="DJ159" i="7" s="1"/>
  <c r="AW159" i="7"/>
  <c r="AV159" i="7"/>
  <c r="AY159" i="7"/>
  <c r="BA159" i="7"/>
  <c r="BC159" i="7"/>
  <c r="M160" i="7"/>
  <c r="AZ160" i="7" s="1"/>
  <c r="DV160" i="7"/>
  <c r="DK158" i="7"/>
  <c r="BX193" i="7"/>
  <c r="CS193" i="7" s="1"/>
  <c r="BY193" i="7"/>
  <c r="CT193" i="7" s="1"/>
  <c r="BW195" i="7"/>
  <c r="CR195" i="7" s="1"/>
  <c r="BF157" i="7"/>
  <c r="BE157" i="7"/>
  <c r="DO158" i="7"/>
  <c r="DR158" i="7"/>
  <c r="DQ158" i="7"/>
  <c r="AH158" i="7"/>
  <c r="DP158" i="7"/>
  <c r="DN158" i="7"/>
  <c r="BD157" i="7"/>
  <c r="DL158" i="7"/>
  <c r="CM184" i="7"/>
  <c r="DH184" i="7" s="1"/>
  <c r="CC178" i="7"/>
  <c r="CX178" i="7" s="1"/>
  <c r="G152" i="7"/>
  <c r="BT164" i="7"/>
  <c r="CO164" i="7" s="1"/>
  <c r="DS162" i="7"/>
  <c r="P162" i="7" s="1"/>
  <c r="CI163" i="7"/>
  <c r="DD163" i="7" s="1"/>
  <c r="BV162" i="7"/>
  <c r="CQ162" i="7" s="1"/>
  <c r="CA156" i="7"/>
  <c r="CV156" i="7" s="1"/>
  <c r="BO154" i="7"/>
  <c r="CG157" i="7"/>
  <c r="DB157" i="7" s="1"/>
  <c r="BZ158" i="7"/>
  <c r="CU158" i="7" s="1"/>
  <c r="CD160" i="7"/>
  <c r="CY160" i="7" s="1"/>
  <c r="CH157" i="7"/>
  <c r="DC157" i="7" s="1"/>
  <c r="BN156" i="7"/>
  <c r="DI154" i="7"/>
  <c r="BP154" i="7" s="1"/>
  <c r="BQ153" i="7"/>
  <c r="H153" i="7" s="1"/>
  <c r="CF162" i="7"/>
  <c r="DA162" i="7" s="1"/>
  <c r="BS161" i="7"/>
  <c r="CN161" i="7" s="1"/>
  <c r="BU172" i="7"/>
  <c r="CP172" i="7" s="1"/>
  <c r="CE165" i="7"/>
  <c r="CZ165" i="7" s="1"/>
  <c r="CJ196" i="7"/>
  <c r="DE196" i="7" s="1"/>
  <c r="AM165" i="7" l="1"/>
  <c r="EO164" i="7"/>
  <c r="AO157" i="7"/>
  <c r="EN158" i="7"/>
  <c r="AN162" i="7"/>
  <c r="CK163" i="7"/>
  <c r="DF163" i="7" s="1"/>
  <c r="CB165" i="7"/>
  <c r="CW165" i="7" s="1"/>
  <c r="BM52" i="7"/>
  <c r="F52" i="7"/>
  <c r="F51" i="32"/>
  <c r="G51" i="32" s="1"/>
  <c r="P51" i="32" s="1"/>
  <c r="AR62" i="7"/>
  <c r="BI62" i="7" s="1"/>
  <c r="AP62" i="7"/>
  <c r="BG62" i="7" s="1"/>
  <c r="AQ62" i="7"/>
  <c r="BH62" i="7" s="1"/>
  <c r="CL161" i="7"/>
  <c r="DG161" i="7" s="1"/>
  <c r="EM160" i="7"/>
  <c r="AV160" i="7"/>
  <c r="EF161" i="7"/>
  <c r="EC161" i="7"/>
  <c r="EB156" i="7"/>
  <c r="DX156" i="7"/>
  <c r="DW156" i="7"/>
  <c r="DZ157" i="7"/>
  <c r="EA157" i="7"/>
  <c r="DO159" i="7"/>
  <c r="BC160" i="7"/>
  <c r="AU160" i="7"/>
  <c r="DJ160" i="7" s="1"/>
  <c r="BA160" i="7"/>
  <c r="AX160" i="7"/>
  <c r="AW160" i="7"/>
  <c r="AY160" i="7"/>
  <c r="AT160" i="7"/>
  <c r="M161" i="7"/>
  <c r="AU161" i="7" s="1"/>
  <c r="DV161" i="7"/>
  <c r="BB160" i="7"/>
  <c r="DK159" i="7"/>
  <c r="BY194" i="7"/>
  <c r="CT194" i="7" s="1"/>
  <c r="BX194" i="7"/>
  <c r="CS194" i="7" s="1"/>
  <c r="BW196" i="7"/>
  <c r="CR196" i="7" s="1"/>
  <c r="BF158" i="7"/>
  <c r="BD158" i="7"/>
  <c r="DR159" i="7"/>
  <c r="BE158" i="7"/>
  <c r="DP159" i="7"/>
  <c r="AF159" i="7"/>
  <c r="AI159" i="7" s="1"/>
  <c r="AH159" i="7"/>
  <c r="DQ159" i="7"/>
  <c r="DL159" i="7"/>
  <c r="AG159" i="7"/>
  <c r="DM159" i="7"/>
  <c r="DN159" i="7"/>
  <c r="CM185" i="7"/>
  <c r="DH185" i="7" s="1"/>
  <c r="CC179" i="7"/>
  <c r="CX179" i="7" s="1"/>
  <c r="G153" i="7"/>
  <c r="BV163" i="7"/>
  <c r="CQ163" i="7" s="1"/>
  <c r="BT165" i="7"/>
  <c r="CO165" i="7" s="1"/>
  <c r="CI164" i="7"/>
  <c r="DD164" i="7" s="1"/>
  <c r="DS163" i="7"/>
  <c r="P163" i="7" s="1"/>
  <c r="BO155" i="7"/>
  <c r="CA157" i="7"/>
  <c r="CV157" i="7" s="1"/>
  <c r="CG158" i="7"/>
  <c r="DB158" i="7" s="1"/>
  <c r="BZ159" i="7"/>
  <c r="CU159" i="7" s="1"/>
  <c r="CD161" i="7"/>
  <c r="CY161" i="7" s="1"/>
  <c r="BQ154" i="7"/>
  <c r="H154" i="7" s="1"/>
  <c r="DI155" i="7"/>
  <c r="BP155" i="7" s="1"/>
  <c r="CH158" i="7"/>
  <c r="DC158" i="7" s="1"/>
  <c r="BN157" i="7"/>
  <c r="CF163" i="7"/>
  <c r="DA163" i="7" s="1"/>
  <c r="AH160" i="7"/>
  <c r="BS162" i="7"/>
  <c r="CN162" i="7" s="1"/>
  <c r="BU173" i="7"/>
  <c r="CP173" i="7" s="1"/>
  <c r="CE166" i="7"/>
  <c r="CZ166" i="7" s="1"/>
  <c r="CJ197" i="7"/>
  <c r="DE197" i="7" s="1"/>
  <c r="EN159" i="7" l="1"/>
  <c r="CK164" i="7"/>
  <c r="DF164" i="7" s="1"/>
  <c r="AO158" i="7"/>
  <c r="AM166" i="7"/>
  <c r="AN163" i="7"/>
  <c r="EO165" i="7"/>
  <c r="CB166" i="7"/>
  <c r="CW166" i="7" s="1"/>
  <c r="B52" i="7"/>
  <c r="P52" i="7"/>
  <c r="CL162" i="7"/>
  <c r="DG162" i="7" s="1"/>
  <c r="EM161" i="7"/>
  <c r="DO160" i="7"/>
  <c r="EB157" i="7"/>
  <c r="DX157" i="7"/>
  <c r="DW157" i="7"/>
  <c r="EF162" i="7"/>
  <c r="EC162" i="7"/>
  <c r="DZ158" i="7"/>
  <c r="EA158" i="7"/>
  <c r="DR160" i="7"/>
  <c r="DP160" i="7"/>
  <c r="BC161" i="7"/>
  <c r="AW161" i="7"/>
  <c r="AY161" i="7"/>
  <c r="AV161" i="7"/>
  <c r="BB161" i="7"/>
  <c r="AZ161" i="7"/>
  <c r="AT161" i="7"/>
  <c r="AX161" i="7"/>
  <c r="BA161" i="7"/>
  <c r="M162" i="7"/>
  <c r="AZ162" i="7" s="1"/>
  <c r="DV162" i="7"/>
  <c r="BX195" i="7"/>
  <c r="CS195" i="7" s="1"/>
  <c r="BY195" i="7"/>
  <c r="CT195" i="7" s="1"/>
  <c r="BW197" i="7"/>
  <c r="CR197" i="7" s="1"/>
  <c r="BF159" i="7"/>
  <c r="DN160" i="7"/>
  <c r="BE159" i="7"/>
  <c r="DM160" i="7"/>
  <c r="BD159" i="7"/>
  <c r="AG160" i="7"/>
  <c r="DL160" i="7"/>
  <c r="AF160" i="7"/>
  <c r="AI160" i="7" s="1"/>
  <c r="DQ160" i="7"/>
  <c r="DK160" i="7"/>
  <c r="CM186" i="7"/>
  <c r="DH186" i="7" s="1"/>
  <c r="CC180" i="7"/>
  <c r="CX180" i="7" s="1"/>
  <c r="G154" i="7"/>
  <c r="BT166" i="7"/>
  <c r="CO166" i="7" s="1"/>
  <c r="DS164" i="7"/>
  <c r="P164" i="7" s="1"/>
  <c r="CI165" i="7"/>
  <c r="DD165" i="7" s="1"/>
  <c r="BV164" i="7"/>
  <c r="CQ164" i="7" s="1"/>
  <c r="CA158" i="7"/>
  <c r="CV158" i="7" s="1"/>
  <c r="BO156" i="7"/>
  <c r="CG159" i="7"/>
  <c r="DB159" i="7" s="1"/>
  <c r="BZ160" i="7"/>
  <c r="CU160" i="7" s="1"/>
  <c r="CD162" i="7"/>
  <c r="CY162" i="7" s="1"/>
  <c r="CH159" i="7"/>
  <c r="DC159" i="7" s="1"/>
  <c r="BN158" i="7"/>
  <c r="CF164" i="7"/>
  <c r="DA164" i="7" s="1"/>
  <c r="BQ155" i="7"/>
  <c r="H155" i="7" s="1"/>
  <c r="DI156" i="7"/>
  <c r="BP156" i="7" s="1"/>
  <c r="BS163" i="7"/>
  <c r="CN163" i="7" s="1"/>
  <c r="AG161" i="7"/>
  <c r="AH161" i="7"/>
  <c r="DJ161" i="7"/>
  <c r="AF161" i="7"/>
  <c r="AI161" i="7" s="1"/>
  <c r="BU174" i="7"/>
  <c r="CP174" i="7" s="1"/>
  <c r="CE167" i="7"/>
  <c r="CZ167" i="7" s="1"/>
  <c r="CJ198" i="7"/>
  <c r="DE198" i="7" s="1"/>
  <c r="EO166" i="7" l="1"/>
  <c r="CK165" i="7"/>
  <c r="DF165" i="7" s="1"/>
  <c r="AN164" i="7"/>
  <c r="EN160" i="7"/>
  <c r="AM167" i="7"/>
  <c r="AO159" i="7"/>
  <c r="CB167" i="7"/>
  <c r="CW167" i="7" s="1"/>
  <c r="N53" i="7"/>
  <c r="D42" i="32"/>
  <c r="DP161" i="7"/>
  <c r="CL163" i="7"/>
  <c r="DG163" i="7" s="1"/>
  <c r="EM162" i="7"/>
  <c r="DR161" i="7"/>
  <c r="EB158" i="7"/>
  <c r="DX158" i="7"/>
  <c r="DW158" i="7"/>
  <c r="EA159" i="7"/>
  <c r="DZ159" i="7"/>
  <c r="EF163" i="7"/>
  <c r="EC163" i="7"/>
  <c r="DN161" i="7"/>
  <c r="AU162" i="7"/>
  <c r="BA162" i="7"/>
  <c r="BB162" i="7"/>
  <c r="AW162" i="7"/>
  <c r="AT162" i="7"/>
  <c r="AV162" i="7"/>
  <c r="AX162" i="7"/>
  <c r="M163" i="7"/>
  <c r="AU163" i="7" s="1"/>
  <c r="DV163" i="7"/>
  <c r="BC162" i="7"/>
  <c r="AY162" i="7"/>
  <c r="BY196" i="7"/>
  <c r="CT196" i="7" s="1"/>
  <c r="BX196" i="7"/>
  <c r="CS196" i="7" s="1"/>
  <c r="BW198" i="7"/>
  <c r="CR198" i="7" s="1"/>
  <c r="DM161" i="7"/>
  <c r="DQ161" i="7"/>
  <c r="DL161" i="7"/>
  <c r="BE160" i="7"/>
  <c r="BF160" i="7"/>
  <c r="BD160" i="7"/>
  <c r="DK161" i="7"/>
  <c r="DO161" i="7"/>
  <c r="CM187" i="7"/>
  <c r="DH187" i="7" s="1"/>
  <c r="CC181" i="7"/>
  <c r="CX181" i="7" s="1"/>
  <c r="G155" i="7"/>
  <c r="BV165" i="7"/>
  <c r="CQ165" i="7" s="1"/>
  <c r="CI166" i="7"/>
  <c r="DD166" i="7" s="1"/>
  <c r="DS165" i="7"/>
  <c r="P165" i="7" s="1"/>
  <c r="BT167" i="7"/>
  <c r="CO167" i="7" s="1"/>
  <c r="CA159" i="7"/>
  <c r="CV159" i="7" s="1"/>
  <c r="BO157" i="7"/>
  <c r="CG160" i="7"/>
  <c r="DB160" i="7" s="1"/>
  <c r="BZ161" i="7"/>
  <c r="CU161" i="7" s="1"/>
  <c r="CD163" i="7"/>
  <c r="CY163" i="7" s="1"/>
  <c r="DI157" i="7"/>
  <c r="BP157" i="7" s="1"/>
  <c r="BQ156" i="7"/>
  <c r="H156" i="7" s="1"/>
  <c r="CF165" i="7"/>
  <c r="DA165" i="7" s="1"/>
  <c r="CH160" i="7"/>
  <c r="DC160" i="7" s="1"/>
  <c r="BN159" i="7"/>
  <c r="AG162" i="7"/>
  <c r="AH162" i="7"/>
  <c r="BS164" i="7"/>
  <c r="CN164" i="7" s="1"/>
  <c r="BU175" i="7"/>
  <c r="CP175" i="7" s="1"/>
  <c r="CE168" i="7"/>
  <c r="CZ168" i="7" s="1"/>
  <c r="CJ199" i="7"/>
  <c r="DE199" i="7" s="1"/>
  <c r="AN165" i="7" l="1"/>
  <c r="EO167" i="7"/>
  <c r="AO160" i="7"/>
  <c r="CK166" i="7"/>
  <c r="DF166" i="7" s="1"/>
  <c r="EN161" i="7"/>
  <c r="AM168" i="7"/>
  <c r="CB168" i="7"/>
  <c r="CW168" i="7" s="1"/>
  <c r="AQ53" i="7"/>
  <c r="BH53" i="7" s="1"/>
  <c r="AR53" i="7"/>
  <c r="BI53" i="7" s="1"/>
  <c r="F42" i="32"/>
  <c r="G42" i="32" s="1"/>
  <c r="P42" i="32" s="1"/>
  <c r="Q42" i="32" s="1"/>
  <c r="AP53" i="7"/>
  <c r="BG53" i="7" s="1"/>
  <c r="AK53" i="7"/>
  <c r="AL53" i="7"/>
  <c r="AJ53" i="7"/>
  <c r="DR162" i="7"/>
  <c r="CL164" i="7"/>
  <c r="DG164" i="7" s="1"/>
  <c r="EM163" i="7"/>
  <c r="DN162" i="7"/>
  <c r="EF164" i="7"/>
  <c r="EC164" i="7"/>
  <c r="DZ160" i="7"/>
  <c r="EA160" i="7"/>
  <c r="DW159" i="7"/>
  <c r="EB159" i="7"/>
  <c r="DX159" i="7"/>
  <c r="DM162" i="7"/>
  <c r="DK162" i="7"/>
  <c r="N63" i="7"/>
  <c r="D52" i="32"/>
  <c r="BA163" i="7"/>
  <c r="AY163" i="7"/>
  <c r="AZ163" i="7"/>
  <c r="BB163" i="7"/>
  <c r="AV163" i="7"/>
  <c r="AX163" i="7"/>
  <c r="BC163" i="7"/>
  <c r="AT163" i="7"/>
  <c r="M164" i="7"/>
  <c r="AZ164" i="7" s="1"/>
  <c r="DV164" i="7"/>
  <c r="AW163" i="7"/>
  <c r="BX197" i="7"/>
  <c r="CS197" i="7" s="1"/>
  <c r="BY197" i="7"/>
  <c r="CT197" i="7" s="1"/>
  <c r="BW199" i="7"/>
  <c r="CR199" i="7" s="1"/>
  <c r="BD161" i="7"/>
  <c r="BF161" i="7"/>
  <c r="BE161" i="7"/>
  <c r="DO162" i="7"/>
  <c r="DP162" i="7"/>
  <c r="DJ162" i="7"/>
  <c r="AF162" i="7"/>
  <c r="AI162" i="7" s="1"/>
  <c r="DQ162" i="7"/>
  <c r="DL162" i="7"/>
  <c r="CM188" i="7"/>
  <c r="DH188" i="7" s="1"/>
  <c r="CC182" i="7"/>
  <c r="CX182" i="7" s="1"/>
  <c r="G156" i="7"/>
  <c r="CI167" i="7"/>
  <c r="DD167" i="7" s="1"/>
  <c r="DS166" i="7"/>
  <c r="P166" i="7" s="1"/>
  <c r="BT168" i="7"/>
  <c r="CO168" i="7" s="1"/>
  <c r="BV166" i="7"/>
  <c r="CQ166" i="7" s="1"/>
  <c r="CA160" i="7"/>
  <c r="CV160" i="7" s="1"/>
  <c r="BO158" i="7"/>
  <c r="CG161" i="7"/>
  <c r="DB161" i="7" s="1"/>
  <c r="BZ162" i="7"/>
  <c r="CU162" i="7" s="1"/>
  <c r="CD164" i="7"/>
  <c r="CY164" i="7" s="1"/>
  <c r="BN160" i="7"/>
  <c r="CH161" i="7"/>
  <c r="DC161" i="7" s="1"/>
  <c r="CF166" i="7"/>
  <c r="DA166" i="7" s="1"/>
  <c r="BQ157" i="7"/>
  <c r="H157" i="7" s="1"/>
  <c r="DI158" i="7"/>
  <c r="BP158" i="7" s="1"/>
  <c r="BS165" i="7"/>
  <c r="CN165" i="7" s="1"/>
  <c r="AF163" i="7"/>
  <c r="AI163" i="7" s="1"/>
  <c r="BU176" i="7"/>
  <c r="CP176" i="7" s="1"/>
  <c r="CE169" i="7"/>
  <c r="CZ169" i="7" s="1"/>
  <c r="CJ200" i="7"/>
  <c r="DE200" i="7" s="1"/>
  <c r="EO168" i="7" l="1"/>
  <c r="AO161" i="7"/>
  <c r="AM169" i="7"/>
  <c r="CK167" i="7"/>
  <c r="DF167" i="7" s="1"/>
  <c r="AN166" i="7"/>
  <c r="EN162" i="7"/>
  <c r="CB169" i="7"/>
  <c r="CW169" i="7" s="1"/>
  <c r="E53" i="7"/>
  <c r="BL53" i="7"/>
  <c r="BJ53" i="7"/>
  <c r="C53" i="7"/>
  <c r="D53" i="7"/>
  <c r="BK53" i="7"/>
  <c r="F52" i="32"/>
  <c r="G52" i="32" s="1"/>
  <c r="P52" i="32" s="1"/>
  <c r="AP63" i="7"/>
  <c r="BG63" i="7" s="1"/>
  <c r="AQ63" i="7"/>
  <c r="BH63" i="7" s="1"/>
  <c r="AR63" i="7"/>
  <c r="BI63" i="7" s="1"/>
  <c r="CL165" i="7"/>
  <c r="DG165" i="7" s="1"/>
  <c r="EM164" i="7"/>
  <c r="EB160" i="7"/>
  <c r="DX160" i="7"/>
  <c r="DW160" i="7"/>
  <c r="DZ161" i="7"/>
  <c r="EA161" i="7"/>
  <c r="EF165" i="7"/>
  <c r="EC165" i="7"/>
  <c r="AV164" i="7"/>
  <c r="DK163" i="7"/>
  <c r="AX164" i="7"/>
  <c r="AU164" i="7"/>
  <c r="AT164" i="7"/>
  <c r="BA164" i="7"/>
  <c r="BC164" i="7"/>
  <c r="AW164" i="7"/>
  <c r="M165" i="7"/>
  <c r="AU165" i="7" s="1"/>
  <c r="DV165" i="7"/>
  <c r="AY164" i="7"/>
  <c r="BB164" i="7"/>
  <c r="BY198" i="7"/>
  <c r="CT198" i="7" s="1"/>
  <c r="BX198" i="7"/>
  <c r="CS198" i="7" s="1"/>
  <c r="BW200" i="7"/>
  <c r="CR200" i="7" s="1"/>
  <c r="BD162" i="7"/>
  <c r="BF162" i="7"/>
  <c r="BE162" i="7"/>
  <c r="DP163" i="7"/>
  <c r="DQ163" i="7"/>
  <c r="DO163" i="7"/>
  <c r="DN163" i="7"/>
  <c r="AG163" i="7"/>
  <c r="DL163" i="7"/>
  <c r="AH163" i="7"/>
  <c r="DM163" i="7"/>
  <c r="DR163" i="7"/>
  <c r="DJ163" i="7"/>
  <c r="CM189" i="7"/>
  <c r="DH189" i="7" s="1"/>
  <c r="CC183" i="7"/>
  <c r="CX183" i="7" s="1"/>
  <c r="G157" i="7"/>
  <c r="BV167" i="7"/>
  <c r="CQ167" i="7" s="1"/>
  <c r="CI168" i="7"/>
  <c r="DD168" i="7" s="1"/>
  <c r="DS167" i="7"/>
  <c r="P167" i="7" s="1"/>
  <c r="BT169" i="7"/>
  <c r="CO169" i="7" s="1"/>
  <c r="CA161" i="7"/>
  <c r="CV161" i="7" s="1"/>
  <c r="BO159" i="7"/>
  <c r="CG162" i="7"/>
  <c r="DB162" i="7" s="1"/>
  <c r="BZ163" i="7"/>
  <c r="CU163" i="7" s="1"/>
  <c r="CD165" i="7"/>
  <c r="CY165" i="7" s="1"/>
  <c r="BN161" i="7"/>
  <c r="CH162" i="7"/>
  <c r="DC162" i="7" s="1"/>
  <c r="DI159" i="7"/>
  <c r="BP159" i="7" s="1"/>
  <c r="BQ158" i="7"/>
  <c r="H158" i="7" s="1"/>
  <c r="CF167" i="7"/>
  <c r="DA167" i="7" s="1"/>
  <c r="AF164" i="7"/>
  <c r="AI164" i="7" s="1"/>
  <c r="BS166" i="7"/>
  <c r="CN166" i="7" s="1"/>
  <c r="BU177" i="7"/>
  <c r="CP177" i="7" s="1"/>
  <c r="CE170" i="7"/>
  <c r="CZ170" i="7" s="1"/>
  <c r="CJ201" i="7"/>
  <c r="DE201" i="7" s="1"/>
  <c r="EO169" i="7" l="1"/>
  <c r="CK168" i="7"/>
  <c r="DF168" i="7" s="1"/>
  <c r="AO162" i="7"/>
  <c r="EN163" i="7"/>
  <c r="AM170" i="7"/>
  <c r="AN167" i="7"/>
  <c r="CB170" i="7"/>
  <c r="CW170" i="7" s="1"/>
  <c r="F53" i="7"/>
  <c r="BM53" i="7"/>
  <c r="B53" i="7" s="1"/>
  <c r="CL166" i="7"/>
  <c r="DG166" i="7" s="1"/>
  <c r="EM165" i="7"/>
  <c r="EB161" i="7"/>
  <c r="DX161" i="7"/>
  <c r="DW161" i="7"/>
  <c r="EF166" i="7"/>
  <c r="EC166" i="7"/>
  <c r="DZ162" i="7"/>
  <c r="EA162" i="7"/>
  <c r="AW165" i="7"/>
  <c r="BC165" i="7"/>
  <c r="AY165" i="7"/>
  <c r="AT165" i="7"/>
  <c r="AV165" i="7"/>
  <c r="BB165" i="7"/>
  <c r="AZ165" i="7"/>
  <c r="AX165" i="7"/>
  <c r="M166" i="7"/>
  <c r="AZ166" i="7" s="1"/>
  <c r="DV166" i="7"/>
  <c r="BA165" i="7"/>
  <c r="BX199" i="7"/>
  <c r="CS199" i="7" s="1"/>
  <c r="BY199" i="7"/>
  <c r="CT199" i="7" s="1"/>
  <c r="BW201" i="7"/>
  <c r="CR201" i="7" s="1"/>
  <c r="DO164" i="7"/>
  <c r="BD163" i="7"/>
  <c r="DP164" i="7"/>
  <c r="BF163" i="7"/>
  <c r="BE163" i="7"/>
  <c r="DL164" i="7"/>
  <c r="DM164" i="7"/>
  <c r="DN164" i="7"/>
  <c r="DK164" i="7"/>
  <c r="AH164" i="7"/>
  <c r="DQ164" i="7"/>
  <c r="DR164" i="7"/>
  <c r="DJ164" i="7"/>
  <c r="AG164" i="7"/>
  <c r="CM190" i="7"/>
  <c r="DH190" i="7" s="1"/>
  <c r="CC184" i="7"/>
  <c r="CX184" i="7" s="1"/>
  <c r="G158" i="7"/>
  <c r="BT170" i="7"/>
  <c r="CO170" i="7" s="1"/>
  <c r="DS168" i="7"/>
  <c r="P168" i="7" s="1"/>
  <c r="CI169" i="7"/>
  <c r="DD169" i="7" s="1"/>
  <c r="BV168" i="7"/>
  <c r="CQ168" i="7" s="1"/>
  <c r="BO160" i="7"/>
  <c r="CA162" i="7"/>
  <c r="CV162" i="7" s="1"/>
  <c r="CG163" i="7"/>
  <c r="DB163" i="7" s="1"/>
  <c r="BZ164" i="7"/>
  <c r="CU164" i="7" s="1"/>
  <c r="CD166" i="7"/>
  <c r="CY166" i="7" s="1"/>
  <c r="BN162" i="7"/>
  <c r="CH163" i="7"/>
  <c r="DC163" i="7" s="1"/>
  <c r="CF168" i="7"/>
  <c r="DA168" i="7" s="1"/>
  <c r="BQ159" i="7"/>
  <c r="H159" i="7" s="1"/>
  <c r="DI160" i="7"/>
  <c r="BP160" i="7" s="1"/>
  <c r="BS167" i="7"/>
  <c r="CN167" i="7" s="1"/>
  <c r="AH165" i="7"/>
  <c r="BU178" i="7"/>
  <c r="CP178" i="7" s="1"/>
  <c r="CE171" i="7"/>
  <c r="CZ171" i="7" s="1"/>
  <c r="CJ202" i="7"/>
  <c r="DE202" i="7" s="1"/>
  <c r="AN168" i="7" l="1"/>
  <c r="EN164" i="7"/>
  <c r="CK169" i="7"/>
  <c r="DF169" i="7" s="1"/>
  <c r="AO163" i="7"/>
  <c r="EO170" i="7"/>
  <c r="AM171" i="7"/>
  <c r="P53" i="7"/>
  <c r="N54" i="7" s="1"/>
  <c r="CB171" i="7"/>
  <c r="CW171" i="7" s="1"/>
  <c r="CL167" i="7"/>
  <c r="DG167" i="7" s="1"/>
  <c r="EM166" i="7"/>
  <c r="AV166" i="7"/>
  <c r="DR165" i="7"/>
  <c r="DQ165" i="7"/>
  <c r="DZ163" i="7"/>
  <c r="EA163" i="7"/>
  <c r="DW162" i="7"/>
  <c r="EB162" i="7"/>
  <c r="DX162" i="7"/>
  <c r="EF167" i="7"/>
  <c r="EC167" i="7"/>
  <c r="DP165" i="7"/>
  <c r="AT166" i="7"/>
  <c r="BB166" i="7"/>
  <c r="AX166" i="7"/>
  <c r="DM165" i="7"/>
  <c r="BA166" i="7"/>
  <c r="BC166" i="7"/>
  <c r="AW166" i="7"/>
  <c r="M167" i="7"/>
  <c r="AU167" i="7" s="1"/>
  <c r="DV167" i="7"/>
  <c r="AU166" i="7"/>
  <c r="AY166" i="7"/>
  <c r="BY200" i="7"/>
  <c r="CT200" i="7" s="1"/>
  <c r="BX200" i="7"/>
  <c r="CS200" i="7" s="1"/>
  <c r="BW202" i="7"/>
  <c r="CR202" i="7" s="1"/>
  <c r="BD164" i="7"/>
  <c r="BF164" i="7"/>
  <c r="DJ165" i="7"/>
  <c r="BE164" i="7"/>
  <c r="DL165" i="7"/>
  <c r="DK165" i="7"/>
  <c r="DO165" i="7"/>
  <c r="AG165" i="7"/>
  <c r="AF165" i="7"/>
  <c r="AI165" i="7" s="1"/>
  <c r="DN165" i="7"/>
  <c r="CM191" i="7"/>
  <c r="DH191" i="7" s="1"/>
  <c r="CC185" i="7"/>
  <c r="CX185" i="7" s="1"/>
  <c r="G159" i="7"/>
  <c r="DS169" i="7"/>
  <c r="P169" i="7" s="1"/>
  <c r="CI170" i="7"/>
  <c r="DD170" i="7" s="1"/>
  <c r="BV169" i="7"/>
  <c r="CQ169" i="7" s="1"/>
  <c r="BT171" i="7"/>
  <c r="CO171" i="7" s="1"/>
  <c r="BO161" i="7"/>
  <c r="CA163" i="7"/>
  <c r="CV163" i="7" s="1"/>
  <c r="CG164" i="7"/>
  <c r="DB164" i="7" s="1"/>
  <c r="BZ165" i="7"/>
  <c r="CU165" i="7" s="1"/>
  <c r="CD167" i="7"/>
  <c r="CY167" i="7" s="1"/>
  <c r="BN163" i="7"/>
  <c r="CH164" i="7"/>
  <c r="DC164" i="7" s="1"/>
  <c r="BQ160" i="7"/>
  <c r="H160" i="7" s="1"/>
  <c r="DI161" i="7"/>
  <c r="BP161" i="7" s="1"/>
  <c r="CF169" i="7"/>
  <c r="DA169" i="7" s="1"/>
  <c r="AF166" i="7"/>
  <c r="AI166" i="7" s="1"/>
  <c r="BS168" i="7"/>
  <c r="CN168" i="7" s="1"/>
  <c r="BU179" i="7"/>
  <c r="CP179" i="7" s="1"/>
  <c r="CE172" i="7"/>
  <c r="CZ172" i="7" s="1"/>
  <c r="CJ203" i="7"/>
  <c r="DE203" i="7" s="1"/>
  <c r="EN165" i="7" l="1"/>
  <c r="EO171" i="7"/>
  <c r="AM172" i="7"/>
  <c r="AN169" i="7"/>
  <c r="AO164" i="7"/>
  <c r="CK170" i="7"/>
  <c r="DF170" i="7" s="1"/>
  <c r="D43" i="32"/>
  <c r="CB172" i="7"/>
  <c r="CW172" i="7" s="1"/>
  <c r="F43" i="32"/>
  <c r="AP54" i="7"/>
  <c r="BG54" i="7" s="1"/>
  <c r="AR54" i="7"/>
  <c r="BI54" i="7" s="1"/>
  <c r="AQ54" i="7"/>
  <c r="BH54" i="7" s="1"/>
  <c r="AK54" i="7"/>
  <c r="AL54" i="7"/>
  <c r="AJ54" i="7"/>
  <c r="CL168" i="7"/>
  <c r="DG168" i="7" s="1"/>
  <c r="EM167" i="7"/>
  <c r="DQ166" i="7"/>
  <c r="DR166" i="7"/>
  <c r="DP166" i="7"/>
  <c r="DZ164" i="7"/>
  <c r="EA164" i="7"/>
  <c r="EB163" i="7"/>
  <c r="DX163" i="7"/>
  <c r="DW163" i="7"/>
  <c r="EF168" i="7"/>
  <c r="EC168" i="7"/>
  <c r="DM166" i="7"/>
  <c r="N64" i="7"/>
  <c r="D53" i="32"/>
  <c r="AZ167" i="7"/>
  <c r="AV167" i="7"/>
  <c r="AX167" i="7"/>
  <c r="BC167" i="7"/>
  <c r="BA167" i="7"/>
  <c r="AY167" i="7"/>
  <c r="BB167" i="7"/>
  <c r="DL166" i="7"/>
  <c r="M168" i="7"/>
  <c r="BA168" i="7" s="1"/>
  <c r="DV168" i="7"/>
  <c r="AT167" i="7"/>
  <c r="AW167" i="7"/>
  <c r="BX201" i="7"/>
  <c r="CS201" i="7" s="1"/>
  <c r="BY201" i="7"/>
  <c r="CT201" i="7" s="1"/>
  <c r="BW203" i="7"/>
  <c r="CR203" i="7" s="1"/>
  <c r="DJ166" i="7"/>
  <c r="BE165" i="7"/>
  <c r="BD165" i="7"/>
  <c r="BF165" i="7"/>
  <c r="DK166" i="7"/>
  <c r="DO166" i="7"/>
  <c r="AH166" i="7"/>
  <c r="DN166" i="7"/>
  <c r="AG166" i="7"/>
  <c r="CM192" i="7"/>
  <c r="DH192" i="7" s="1"/>
  <c r="CC186" i="7"/>
  <c r="CX186" i="7" s="1"/>
  <c r="G160" i="7"/>
  <c r="BT172" i="7"/>
  <c r="CO172" i="7" s="1"/>
  <c r="CI171" i="7"/>
  <c r="DD171" i="7" s="1"/>
  <c r="DS170" i="7"/>
  <c r="P170" i="7" s="1"/>
  <c r="BV170" i="7"/>
  <c r="CQ170" i="7" s="1"/>
  <c r="CA164" i="7"/>
  <c r="CV164" i="7" s="1"/>
  <c r="BO162" i="7"/>
  <c r="CG165" i="7"/>
  <c r="DB165" i="7" s="1"/>
  <c r="BZ166" i="7"/>
  <c r="CU166" i="7" s="1"/>
  <c r="CD168" i="7"/>
  <c r="CY168" i="7" s="1"/>
  <c r="BQ161" i="7"/>
  <c r="H161" i="7" s="1"/>
  <c r="DI162" i="7"/>
  <c r="BP162" i="7" s="1"/>
  <c r="CF170" i="7"/>
  <c r="DA170" i="7" s="1"/>
  <c r="BN164" i="7"/>
  <c r="CH165" i="7"/>
  <c r="DC165" i="7" s="1"/>
  <c r="AG167" i="7"/>
  <c r="BS169" i="7"/>
  <c r="CN169" i="7" s="1"/>
  <c r="BU180" i="7"/>
  <c r="CP180" i="7" s="1"/>
  <c r="CE173" i="7"/>
  <c r="CZ173" i="7" s="1"/>
  <c r="CJ204" i="7"/>
  <c r="DE204" i="7" s="1"/>
  <c r="EO172" i="7" l="1"/>
  <c r="CK171" i="7"/>
  <c r="DF171" i="7" s="1"/>
  <c r="AO165" i="7"/>
  <c r="AN170" i="7"/>
  <c r="EN166" i="7"/>
  <c r="AM173" i="7"/>
  <c r="G43" i="32"/>
  <c r="P43" i="32" s="1"/>
  <c r="Q43" i="32" s="1"/>
  <c r="CB173" i="7"/>
  <c r="CW173" i="7" s="1"/>
  <c r="BJ54" i="7"/>
  <c r="C54" i="7"/>
  <c r="D54" i="7"/>
  <c r="BK54" i="7"/>
  <c r="E54" i="7"/>
  <c r="BL54" i="7"/>
  <c r="F53" i="32"/>
  <c r="G53" i="32" s="1"/>
  <c r="P53" i="32" s="1"/>
  <c r="AP64" i="7"/>
  <c r="BG64" i="7" s="1"/>
  <c r="AQ64" i="7"/>
  <c r="BH64" i="7" s="1"/>
  <c r="AR64" i="7"/>
  <c r="BI64" i="7" s="1"/>
  <c r="CL169" i="7"/>
  <c r="DG169" i="7" s="1"/>
  <c r="EM168" i="7"/>
  <c r="DR167" i="7"/>
  <c r="EF169" i="7"/>
  <c r="EC169" i="7"/>
  <c r="EA165" i="7"/>
  <c r="DZ165" i="7"/>
  <c r="EB164" i="7"/>
  <c r="DX164" i="7"/>
  <c r="DW164" i="7"/>
  <c r="DO167" i="7"/>
  <c r="AY168" i="7"/>
  <c r="AX168" i="7"/>
  <c r="BB168" i="7"/>
  <c r="AW168" i="7"/>
  <c r="AT168" i="7"/>
  <c r="AU168" i="7"/>
  <c r="AZ168" i="7"/>
  <c r="AV168" i="7"/>
  <c r="BC168" i="7"/>
  <c r="M169" i="7"/>
  <c r="AU169" i="7" s="1"/>
  <c r="DV169" i="7"/>
  <c r="BY202" i="7"/>
  <c r="CT202" i="7" s="1"/>
  <c r="BX202" i="7"/>
  <c r="CS202" i="7" s="1"/>
  <c r="BW204" i="7"/>
  <c r="CR204" i="7" s="1"/>
  <c r="BD166" i="7"/>
  <c r="BF166" i="7"/>
  <c r="BE166" i="7"/>
  <c r="DP167" i="7"/>
  <c r="DQ167" i="7"/>
  <c r="DL167" i="7"/>
  <c r="AH167" i="7"/>
  <c r="DM167" i="7"/>
  <c r="DN167" i="7"/>
  <c r="DK167" i="7"/>
  <c r="AF167" i="7"/>
  <c r="AI167" i="7" s="1"/>
  <c r="DJ167" i="7"/>
  <c r="CM193" i="7"/>
  <c r="DH193" i="7" s="1"/>
  <c r="CC187" i="7"/>
  <c r="CX187" i="7" s="1"/>
  <c r="G161" i="7"/>
  <c r="CI172" i="7"/>
  <c r="DD172" i="7" s="1"/>
  <c r="DS171" i="7"/>
  <c r="P171" i="7" s="1"/>
  <c r="BV171" i="7"/>
  <c r="CQ171" i="7" s="1"/>
  <c r="BT173" i="7"/>
  <c r="CO173" i="7" s="1"/>
  <c r="CA165" i="7"/>
  <c r="CV165" i="7" s="1"/>
  <c r="BO163" i="7"/>
  <c r="CG166" i="7"/>
  <c r="DB166" i="7" s="1"/>
  <c r="BZ167" i="7"/>
  <c r="CU167" i="7" s="1"/>
  <c r="CD169" i="7"/>
  <c r="CY169" i="7" s="1"/>
  <c r="CH166" i="7"/>
  <c r="DC166" i="7" s="1"/>
  <c r="BN165" i="7"/>
  <c r="CF171" i="7"/>
  <c r="DA171" i="7" s="1"/>
  <c r="DI163" i="7"/>
  <c r="BP163" i="7" s="1"/>
  <c r="BQ162" i="7"/>
  <c r="H162" i="7" s="1"/>
  <c r="AH168" i="7"/>
  <c r="BS170" i="7"/>
  <c r="CN170" i="7" s="1"/>
  <c r="BU181" i="7"/>
  <c r="CP181" i="7" s="1"/>
  <c r="CE174" i="7"/>
  <c r="CZ174" i="7" s="1"/>
  <c r="CJ205" i="7"/>
  <c r="DE205" i="7" s="1"/>
  <c r="AN171" i="7" l="1"/>
  <c r="AM174" i="7"/>
  <c r="EN167" i="7"/>
  <c r="EO173" i="7"/>
  <c r="AO166" i="7"/>
  <c r="CK172" i="7"/>
  <c r="DF172" i="7" s="1"/>
  <c r="CB174" i="7"/>
  <c r="CW174" i="7" s="1"/>
  <c r="BM54" i="7"/>
  <c r="B54" i="7" s="1"/>
  <c r="F54" i="7"/>
  <c r="CL170" i="7"/>
  <c r="DG170" i="7" s="1"/>
  <c r="EM169" i="7"/>
  <c r="DR168" i="7"/>
  <c r="EF170" i="7"/>
  <c r="EC170" i="7"/>
  <c r="DZ166" i="7"/>
  <c r="EA166" i="7"/>
  <c r="EB165" i="7"/>
  <c r="DX165" i="7"/>
  <c r="DW165" i="7"/>
  <c r="BC169" i="7"/>
  <c r="DR169" i="7" s="1"/>
  <c r="AX169" i="7"/>
  <c r="AW169" i="7"/>
  <c r="AT169" i="7"/>
  <c r="AV169" i="7"/>
  <c r="AZ169" i="7"/>
  <c r="AY169" i="7"/>
  <c r="BB169" i="7"/>
  <c r="M170" i="7"/>
  <c r="AZ170" i="7" s="1"/>
  <c r="DV170" i="7"/>
  <c r="BA169" i="7"/>
  <c r="BX203" i="7"/>
  <c r="CS203" i="7" s="1"/>
  <c r="BY203" i="7"/>
  <c r="CT203" i="7" s="1"/>
  <c r="BW205" i="7"/>
  <c r="CR205" i="7" s="1"/>
  <c r="DN168" i="7"/>
  <c r="BE167" i="7"/>
  <c r="BF167" i="7"/>
  <c r="DP168" i="7"/>
  <c r="BD167" i="7"/>
  <c r="DK168" i="7"/>
  <c r="AF168" i="7"/>
  <c r="AI168" i="7" s="1"/>
  <c r="DJ168" i="7"/>
  <c r="AG168" i="7"/>
  <c r="DO168" i="7"/>
  <c r="DQ168" i="7"/>
  <c r="DL168" i="7"/>
  <c r="DM168" i="7"/>
  <c r="CM194" i="7"/>
  <c r="DH194" i="7" s="1"/>
  <c r="CC188" i="7"/>
  <c r="CX188" i="7" s="1"/>
  <c r="G162" i="7"/>
  <c r="BV172" i="7"/>
  <c r="CQ172" i="7" s="1"/>
  <c r="BT174" i="7"/>
  <c r="CO174" i="7" s="1"/>
  <c r="CI173" i="7"/>
  <c r="DD173" i="7" s="1"/>
  <c r="DS172" i="7"/>
  <c r="P172" i="7" s="1"/>
  <c r="BO164" i="7"/>
  <c r="CA166" i="7"/>
  <c r="CV166" i="7" s="1"/>
  <c r="CG167" i="7"/>
  <c r="DB167" i="7" s="1"/>
  <c r="BZ168" i="7"/>
  <c r="CU168" i="7" s="1"/>
  <c r="CD170" i="7"/>
  <c r="CY170" i="7" s="1"/>
  <c r="CH167" i="7"/>
  <c r="DC167" i="7" s="1"/>
  <c r="BN166" i="7"/>
  <c r="CF172" i="7"/>
  <c r="DA172" i="7" s="1"/>
  <c r="DI164" i="7"/>
  <c r="BP164" i="7" s="1"/>
  <c r="BQ163" i="7"/>
  <c r="H163" i="7" s="1"/>
  <c r="BS171" i="7"/>
  <c r="CN171" i="7" s="1"/>
  <c r="AF169" i="7"/>
  <c r="AI169" i="7" s="1"/>
  <c r="BU182" i="7"/>
  <c r="CP182" i="7" s="1"/>
  <c r="CE175" i="7"/>
  <c r="CZ175" i="7" s="1"/>
  <c r="CJ206" i="7"/>
  <c r="DE206" i="7" s="1"/>
  <c r="AN172" i="7" l="1"/>
  <c r="EN168" i="7"/>
  <c r="CK173" i="7"/>
  <c r="DF173" i="7" s="1"/>
  <c r="AO167" i="7"/>
  <c r="AM175" i="7"/>
  <c r="EO174" i="7"/>
  <c r="CB175" i="7"/>
  <c r="CW175" i="7" s="1"/>
  <c r="P54" i="7"/>
  <c r="D44" i="32" s="1"/>
  <c r="CL171" i="7"/>
  <c r="DG171" i="7" s="1"/>
  <c r="EM170" i="7"/>
  <c r="DZ167" i="7"/>
  <c r="EA167" i="7"/>
  <c r="EF171" i="7"/>
  <c r="EC171" i="7"/>
  <c r="DW166" i="7"/>
  <c r="EB166" i="7"/>
  <c r="DX166" i="7"/>
  <c r="AV170" i="7"/>
  <c r="AU170" i="7"/>
  <c r="AX170" i="7"/>
  <c r="BB170" i="7"/>
  <c r="BA170" i="7"/>
  <c r="AT170" i="7"/>
  <c r="AW170" i="7"/>
  <c r="BC170" i="7"/>
  <c r="AY170" i="7"/>
  <c r="M171" i="7"/>
  <c r="BB171" i="7" s="1"/>
  <c r="DV171" i="7"/>
  <c r="BY204" i="7"/>
  <c r="CT204" i="7" s="1"/>
  <c r="BX204" i="7"/>
  <c r="CS204" i="7" s="1"/>
  <c r="BW206" i="7"/>
  <c r="CR206" i="7" s="1"/>
  <c r="BF168" i="7"/>
  <c r="DJ169" i="7"/>
  <c r="BD168" i="7"/>
  <c r="DO169" i="7"/>
  <c r="BE168" i="7"/>
  <c r="DP169" i="7"/>
  <c r="AH169" i="7"/>
  <c r="DL169" i="7"/>
  <c r="AG169" i="7"/>
  <c r="DQ169" i="7"/>
  <c r="DK169" i="7"/>
  <c r="DM169" i="7"/>
  <c r="DN169" i="7"/>
  <c r="CM195" i="7"/>
  <c r="DH195" i="7" s="1"/>
  <c r="CC189" i="7"/>
  <c r="CX189" i="7" s="1"/>
  <c r="G163" i="7"/>
  <c r="BT175" i="7"/>
  <c r="CO175" i="7" s="1"/>
  <c r="BV173" i="7"/>
  <c r="CQ173" i="7" s="1"/>
  <c r="DS173" i="7"/>
  <c r="P173" i="7" s="1"/>
  <c r="CI174" i="7"/>
  <c r="DD174" i="7" s="1"/>
  <c r="CA167" i="7"/>
  <c r="CV167" i="7" s="1"/>
  <c r="BO165" i="7"/>
  <c r="CG168" i="7"/>
  <c r="DB168" i="7" s="1"/>
  <c r="BZ169" i="7"/>
  <c r="CU169" i="7" s="1"/>
  <c r="CD171" i="7"/>
  <c r="CY171" i="7" s="1"/>
  <c r="DI165" i="7"/>
  <c r="BP165" i="7" s="1"/>
  <c r="BQ164" i="7"/>
  <c r="H164" i="7" s="1"/>
  <c r="CF173" i="7"/>
  <c r="DA173" i="7" s="1"/>
  <c r="BN167" i="7"/>
  <c r="CH168" i="7"/>
  <c r="DC168" i="7" s="1"/>
  <c r="BS172" i="7"/>
  <c r="CN172" i="7" s="1"/>
  <c r="BU183" i="7"/>
  <c r="CP183" i="7" s="1"/>
  <c r="CE176" i="7"/>
  <c r="CZ176" i="7" s="1"/>
  <c r="CJ207" i="7"/>
  <c r="DE207" i="7" s="1"/>
  <c r="AO168" i="7" l="1"/>
  <c r="AM176" i="7"/>
  <c r="EO175" i="7"/>
  <c r="AN173" i="7"/>
  <c r="EN169" i="7"/>
  <c r="CK174" i="7"/>
  <c r="DF174" i="7" s="1"/>
  <c r="CB176" i="7"/>
  <c r="CW176" i="7" s="1"/>
  <c r="N55" i="7"/>
  <c r="AQ55" i="7" s="1"/>
  <c r="BH55" i="7" s="1"/>
  <c r="CL172" i="7"/>
  <c r="DG172" i="7" s="1"/>
  <c r="EM171" i="7"/>
  <c r="DL170" i="7"/>
  <c r="EA168" i="7"/>
  <c r="DZ168" i="7"/>
  <c r="EC172" i="7"/>
  <c r="EF172" i="7"/>
  <c r="EB167" i="7"/>
  <c r="DX167" i="7"/>
  <c r="DW167" i="7"/>
  <c r="N65" i="7"/>
  <c r="D54" i="32"/>
  <c r="BA171" i="7"/>
  <c r="AX171" i="7"/>
  <c r="AZ171" i="7"/>
  <c r="AT171" i="7"/>
  <c r="AV171" i="7"/>
  <c r="AY171" i="7"/>
  <c r="BC171" i="7"/>
  <c r="AW171" i="7"/>
  <c r="AU171" i="7"/>
  <c r="M172" i="7"/>
  <c r="AZ172" i="7" s="1"/>
  <c r="DV172" i="7"/>
  <c r="BX205" i="7"/>
  <c r="CS205" i="7" s="1"/>
  <c r="BY205" i="7"/>
  <c r="CT205" i="7" s="1"/>
  <c r="BW207" i="7"/>
  <c r="CR207" i="7" s="1"/>
  <c r="BE169" i="7"/>
  <c r="BD169" i="7"/>
  <c r="BF169" i="7"/>
  <c r="DJ170" i="7"/>
  <c r="DK170" i="7"/>
  <c r="DO170" i="7"/>
  <c r="AH170" i="7"/>
  <c r="DR170" i="7"/>
  <c r="DQ170" i="7"/>
  <c r="DP170" i="7"/>
  <c r="DN170" i="7"/>
  <c r="AG170" i="7"/>
  <c r="DM170" i="7"/>
  <c r="AF170" i="7"/>
  <c r="AI170" i="7" s="1"/>
  <c r="CM196" i="7"/>
  <c r="DH196" i="7" s="1"/>
  <c r="CC190" i="7"/>
  <c r="CX190" i="7" s="1"/>
  <c r="G164" i="7"/>
  <c r="BV174" i="7"/>
  <c r="CQ174" i="7" s="1"/>
  <c r="DS174" i="7"/>
  <c r="P174" i="7" s="1"/>
  <c r="CI175" i="7"/>
  <c r="DD175" i="7" s="1"/>
  <c r="BT176" i="7"/>
  <c r="CO176" i="7" s="1"/>
  <c r="BO166" i="7"/>
  <c r="CA168" i="7"/>
  <c r="CV168" i="7" s="1"/>
  <c r="CG169" i="7"/>
  <c r="DB169" i="7" s="1"/>
  <c r="BZ170" i="7"/>
  <c r="CU170" i="7" s="1"/>
  <c r="CD172" i="7"/>
  <c r="CY172" i="7" s="1"/>
  <c r="BN168" i="7"/>
  <c r="CH169" i="7"/>
  <c r="DC169" i="7" s="1"/>
  <c r="BQ165" i="7"/>
  <c r="H165" i="7" s="1"/>
  <c r="DI166" i="7"/>
  <c r="BP166" i="7" s="1"/>
  <c r="CF174" i="7"/>
  <c r="DA174" i="7" s="1"/>
  <c r="BS173" i="7"/>
  <c r="CN173" i="7" s="1"/>
  <c r="BU184" i="7"/>
  <c r="CP184" i="7" s="1"/>
  <c r="CE177" i="7"/>
  <c r="CZ177" i="7" s="1"/>
  <c r="CJ208" i="7"/>
  <c r="DE208" i="7" s="1"/>
  <c r="AO169" i="7" l="1"/>
  <c r="AN174" i="7"/>
  <c r="CK175" i="7"/>
  <c r="DF175" i="7" s="1"/>
  <c r="AM177" i="7"/>
  <c r="EN170" i="7"/>
  <c r="EO176" i="7"/>
  <c r="AP55" i="7"/>
  <c r="BG55" i="7" s="1"/>
  <c r="AR55" i="7"/>
  <c r="BI55" i="7" s="1"/>
  <c r="AL55" i="7"/>
  <c r="BL55" i="7" s="1"/>
  <c r="AJ55" i="7"/>
  <c r="BJ55" i="7" s="1"/>
  <c r="F44" i="32"/>
  <c r="G44" i="32" s="1"/>
  <c r="P44" i="32" s="1"/>
  <c r="Q44" i="32" s="1"/>
  <c r="AK55" i="7"/>
  <c r="D55" i="7" s="1"/>
  <c r="CB177" i="7"/>
  <c r="CW177" i="7" s="1"/>
  <c r="F54" i="32"/>
  <c r="G54" i="32" s="1"/>
  <c r="P54" i="32" s="1"/>
  <c r="AQ65" i="7"/>
  <c r="BH65" i="7" s="1"/>
  <c r="AR65" i="7"/>
  <c r="BI65" i="7" s="1"/>
  <c r="AP65" i="7"/>
  <c r="BG65" i="7" s="1"/>
  <c r="CL173" i="7"/>
  <c r="DG173" i="7" s="1"/>
  <c r="EM172" i="7"/>
  <c r="EB168" i="7"/>
  <c r="DX168" i="7"/>
  <c r="DW168" i="7"/>
  <c r="EF173" i="7"/>
  <c r="EC173" i="7"/>
  <c r="DZ169" i="7"/>
  <c r="EA169" i="7"/>
  <c r="AY172" i="7"/>
  <c r="BB172" i="7"/>
  <c r="AV172" i="7"/>
  <c r="AU172" i="7"/>
  <c r="AW172" i="7"/>
  <c r="AX172" i="7"/>
  <c r="AT172" i="7"/>
  <c r="BC172" i="7"/>
  <c r="BA172" i="7"/>
  <c r="M173" i="7"/>
  <c r="AU173" i="7" s="1"/>
  <c r="DV173" i="7"/>
  <c r="BY206" i="7"/>
  <c r="CT206" i="7" s="1"/>
  <c r="BX206" i="7"/>
  <c r="CS206" i="7" s="1"/>
  <c r="BW208" i="7"/>
  <c r="CR208" i="7" s="1"/>
  <c r="DO171" i="7"/>
  <c r="BE170" i="7"/>
  <c r="BD170" i="7"/>
  <c r="BF170" i="7"/>
  <c r="DP171" i="7"/>
  <c r="AG171" i="7"/>
  <c r="DJ171" i="7"/>
  <c r="DM171" i="7"/>
  <c r="DL171" i="7"/>
  <c r="AF171" i="7"/>
  <c r="AI171" i="7" s="1"/>
  <c r="DQ171" i="7"/>
  <c r="AH171" i="7"/>
  <c r="DK171" i="7"/>
  <c r="DR171" i="7"/>
  <c r="DN171" i="7"/>
  <c r="CM197" i="7"/>
  <c r="DH197" i="7" s="1"/>
  <c r="CC191" i="7"/>
  <c r="CX191" i="7" s="1"/>
  <c r="G165" i="7"/>
  <c r="BT177" i="7"/>
  <c r="CO177" i="7" s="1"/>
  <c r="DS175" i="7"/>
  <c r="P175" i="7" s="1"/>
  <c r="CI176" i="7"/>
  <c r="DD176" i="7" s="1"/>
  <c r="BV175" i="7"/>
  <c r="CQ175" i="7" s="1"/>
  <c r="BO167" i="7"/>
  <c r="CA169" i="7"/>
  <c r="CV169" i="7" s="1"/>
  <c r="CG170" i="7"/>
  <c r="DB170" i="7" s="1"/>
  <c r="BZ171" i="7"/>
  <c r="CU171" i="7" s="1"/>
  <c r="CD173" i="7"/>
  <c r="CY173" i="7" s="1"/>
  <c r="BQ166" i="7"/>
  <c r="H166" i="7" s="1"/>
  <c r="DI167" i="7"/>
  <c r="BP167" i="7" s="1"/>
  <c r="CF175" i="7"/>
  <c r="DA175" i="7" s="1"/>
  <c r="CH170" i="7"/>
  <c r="DC170" i="7" s="1"/>
  <c r="BN169" i="7"/>
  <c r="BS174" i="7"/>
  <c r="CN174" i="7" s="1"/>
  <c r="BU185" i="7"/>
  <c r="CP185" i="7" s="1"/>
  <c r="CE178" i="7"/>
  <c r="CZ178" i="7" s="1"/>
  <c r="CJ209" i="7"/>
  <c r="DE209" i="7" s="1"/>
  <c r="AO170" i="7" l="1"/>
  <c r="AN175" i="7"/>
  <c r="EN171" i="7"/>
  <c r="AM178" i="7"/>
  <c r="EO177" i="7"/>
  <c r="CK176" i="7"/>
  <c r="DF176" i="7" s="1"/>
  <c r="BK55" i="7"/>
  <c r="E55" i="7"/>
  <c r="C55" i="7"/>
  <c r="F55" i="7" s="1"/>
  <c r="CB178" i="7"/>
  <c r="CW178" i="7" s="1"/>
  <c r="BM55" i="7"/>
  <c r="CL174" i="7"/>
  <c r="DG174" i="7" s="1"/>
  <c r="EM173" i="7"/>
  <c r="DO172" i="7"/>
  <c r="EF174" i="7"/>
  <c r="EC174" i="7"/>
  <c r="DZ170" i="7"/>
  <c r="EA170" i="7"/>
  <c r="EB169" i="7"/>
  <c r="DW169" i="7"/>
  <c r="DX169" i="7"/>
  <c r="AZ173" i="7"/>
  <c r="BB173" i="7"/>
  <c r="AV173" i="7"/>
  <c r="AX173" i="7"/>
  <c r="AW173" i="7"/>
  <c r="AY173" i="7"/>
  <c r="BC173" i="7"/>
  <c r="AT173" i="7"/>
  <c r="BA173" i="7"/>
  <c r="M174" i="7"/>
  <c r="AZ174" i="7" s="1"/>
  <c r="DV174" i="7"/>
  <c r="BX207" i="7"/>
  <c r="CS207" i="7" s="1"/>
  <c r="BY207" i="7"/>
  <c r="CT207" i="7" s="1"/>
  <c r="BW209" i="7"/>
  <c r="CR209" i="7" s="1"/>
  <c r="BE171" i="7"/>
  <c r="BD171" i="7"/>
  <c r="BF171" i="7"/>
  <c r="DM172" i="7"/>
  <c r="DQ172" i="7"/>
  <c r="AF172" i="7"/>
  <c r="AI172" i="7" s="1"/>
  <c r="DJ172" i="7"/>
  <c r="DN172" i="7"/>
  <c r="DR172" i="7"/>
  <c r="AH172" i="7"/>
  <c r="DK172" i="7"/>
  <c r="DL172" i="7"/>
  <c r="DP172" i="7"/>
  <c r="AG172" i="7"/>
  <c r="CM198" i="7"/>
  <c r="DH198" i="7" s="1"/>
  <c r="CC192" i="7"/>
  <c r="CX192" i="7" s="1"/>
  <c r="G166" i="7"/>
  <c r="CI177" i="7"/>
  <c r="DD177" i="7" s="1"/>
  <c r="DS176" i="7"/>
  <c r="P176" i="7" s="1"/>
  <c r="BV176" i="7"/>
  <c r="CQ176" i="7" s="1"/>
  <c r="BT178" i="7"/>
  <c r="CO178" i="7" s="1"/>
  <c r="CA170" i="7"/>
  <c r="CV170" i="7" s="1"/>
  <c r="BO168" i="7"/>
  <c r="CG171" i="7"/>
  <c r="DB171" i="7" s="1"/>
  <c r="BZ172" i="7"/>
  <c r="CU172" i="7" s="1"/>
  <c r="CD174" i="7"/>
  <c r="CY174" i="7" s="1"/>
  <c r="CF176" i="7"/>
  <c r="DA176" i="7" s="1"/>
  <c r="CH171" i="7"/>
  <c r="DC171" i="7" s="1"/>
  <c r="BN170" i="7"/>
  <c r="BQ167" i="7"/>
  <c r="H167" i="7" s="1"/>
  <c r="DI168" i="7"/>
  <c r="BP168" i="7" s="1"/>
  <c r="BS175" i="7"/>
  <c r="CN175" i="7" s="1"/>
  <c r="BU186" i="7"/>
  <c r="CP186" i="7" s="1"/>
  <c r="CE179" i="7"/>
  <c r="CZ179" i="7" s="1"/>
  <c r="CJ210" i="7"/>
  <c r="DE210" i="7" s="1"/>
  <c r="AM179" i="7" l="1"/>
  <c r="CK177" i="7"/>
  <c r="DF177" i="7" s="1"/>
  <c r="EN172" i="7"/>
  <c r="EO178" i="7"/>
  <c r="AN176" i="7"/>
  <c r="AO171" i="7"/>
  <c r="CB179" i="7"/>
  <c r="CW179" i="7" s="1"/>
  <c r="B55" i="7"/>
  <c r="P55" i="7"/>
  <c r="CL175" i="7"/>
  <c r="DG175" i="7" s="1"/>
  <c r="EM174" i="7"/>
  <c r="EB170" i="7"/>
  <c r="DX170" i="7"/>
  <c r="DW170" i="7"/>
  <c r="EF175" i="7"/>
  <c r="EC175" i="7"/>
  <c r="DZ171" i="7"/>
  <c r="EA171" i="7"/>
  <c r="AW174" i="7"/>
  <c r="BB174" i="7"/>
  <c r="AV174" i="7"/>
  <c r="BC174" i="7"/>
  <c r="AT174" i="7"/>
  <c r="BA174" i="7"/>
  <c r="AU174" i="7"/>
  <c r="AX174" i="7"/>
  <c r="AY174" i="7"/>
  <c r="M175" i="7"/>
  <c r="AU175" i="7" s="1"/>
  <c r="DV175" i="7"/>
  <c r="BY208" i="7"/>
  <c r="CT208" i="7" s="1"/>
  <c r="BX208" i="7"/>
  <c r="CS208" i="7" s="1"/>
  <c r="BW210" i="7"/>
  <c r="CR210" i="7" s="1"/>
  <c r="BF172" i="7"/>
  <c r="BE172" i="7"/>
  <c r="BD172" i="7"/>
  <c r="DL173" i="7"/>
  <c r="AG173" i="7"/>
  <c r="DQ173" i="7"/>
  <c r="DK173" i="7"/>
  <c r="DR173" i="7"/>
  <c r="DM173" i="7"/>
  <c r="DN173" i="7"/>
  <c r="DO173" i="7"/>
  <c r="DJ173" i="7"/>
  <c r="AF173" i="7"/>
  <c r="AI173" i="7" s="1"/>
  <c r="DP173" i="7"/>
  <c r="AH173" i="7"/>
  <c r="CM199" i="7"/>
  <c r="DH199" i="7" s="1"/>
  <c r="CC193" i="7"/>
  <c r="CX193" i="7" s="1"/>
  <c r="G167" i="7"/>
  <c r="BT179" i="7"/>
  <c r="CO179" i="7" s="1"/>
  <c r="DS177" i="7"/>
  <c r="P177" i="7" s="1"/>
  <c r="CI178" i="7"/>
  <c r="DD178" i="7" s="1"/>
  <c r="BV177" i="7"/>
  <c r="CQ177" i="7" s="1"/>
  <c r="CA171" i="7"/>
  <c r="CV171" i="7" s="1"/>
  <c r="BO169" i="7"/>
  <c r="CG172" i="7"/>
  <c r="DB172" i="7" s="1"/>
  <c r="BZ173" i="7"/>
  <c r="CU173" i="7" s="1"/>
  <c r="CD175" i="7"/>
  <c r="CY175" i="7" s="1"/>
  <c r="BQ168" i="7"/>
  <c r="H168" i="7" s="1"/>
  <c r="DI169" i="7"/>
  <c r="BP169" i="7" s="1"/>
  <c r="CH172" i="7"/>
  <c r="DC172" i="7" s="1"/>
  <c r="BN171" i="7"/>
  <c r="CF177" i="7"/>
  <c r="DA177" i="7" s="1"/>
  <c r="AH174" i="7"/>
  <c r="BS176" i="7"/>
  <c r="CN176" i="7" s="1"/>
  <c r="BU187" i="7"/>
  <c r="CP187" i="7" s="1"/>
  <c r="CE180" i="7"/>
  <c r="CZ180" i="7" s="1"/>
  <c r="CJ211" i="7"/>
  <c r="DE211" i="7" s="1"/>
  <c r="EN173" i="7" l="1"/>
  <c r="AO172" i="7"/>
  <c r="AM180" i="7"/>
  <c r="CK178" i="7"/>
  <c r="DF178" i="7" s="1"/>
  <c r="AN177" i="7"/>
  <c r="EO179" i="7"/>
  <c r="CB180" i="7"/>
  <c r="CW180" i="7" s="1"/>
  <c r="N56" i="7"/>
  <c r="D45" i="32"/>
  <c r="CL176" i="7"/>
  <c r="DG176" i="7" s="1"/>
  <c r="EM175" i="7"/>
  <c r="EA172" i="7"/>
  <c r="DZ172" i="7"/>
  <c r="EF176" i="7"/>
  <c r="EC176" i="7"/>
  <c r="DX171" i="7"/>
  <c r="EB171" i="7"/>
  <c r="DW171" i="7"/>
  <c r="BA175" i="7"/>
  <c r="AY175" i="7"/>
  <c r="N66" i="7"/>
  <c r="D55" i="32"/>
  <c r="AX175" i="7"/>
  <c r="AV175" i="7"/>
  <c r="AZ175" i="7"/>
  <c r="AT175" i="7"/>
  <c r="BC175" i="7"/>
  <c r="BB175" i="7"/>
  <c r="M176" i="7"/>
  <c r="AZ176" i="7" s="1"/>
  <c r="DV176" i="7"/>
  <c r="AW175" i="7"/>
  <c r="BX209" i="7"/>
  <c r="CS209" i="7" s="1"/>
  <c r="BY209" i="7"/>
  <c r="CT209" i="7" s="1"/>
  <c r="BW211" i="7"/>
  <c r="CR211" i="7" s="1"/>
  <c r="BE173" i="7"/>
  <c r="DR174" i="7"/>
  <c r="BD173" i="7"/>
  <c r="BF173" i="7"/>
  <c r="DN174" i="7"/>
  <c r="DL174" i="7"/>
  <c r="AF174" i="7"/>
  <c r="AI174" i="7" s="1"/>
  <c r="DK174" i="7"/>
  <c r="AG174" i="7"/>
  <c r="DP174" i="7"/>
  <c r="DM174" i="7"/>
  <c r="DQ174" i="7"/>
  <c r="DO174" i="7"/>
  <c r="DJ174" i="7"/>
  <c r="CM200" i="7"/>
  <c r="DH200" i="7" s="1"/>
  <c r="CC194" i="7"/>
  <c r="CX194" i="7" s="1"/>
  <c r="G168" i="7"/>
  <c r="BV178" i="7"/>
  <c r="CQ178" i="7" s="1"/>
  <c r="BT180" i="7"/>
  <c r="CO180" i="7" s="1"/>
  <c r="CI179" i="7"/>
  <c r="DD179" i="7" s="1"/>
  <c r="DS178" i="7"/>
  <c r="P178" i="7" s="1"/>
  <c r="CA172" i="7"/>
  <c r="CV172" i="7" s="1"/>
  <c r="BO170" i="7"/>
  <c r="CG173" i="7"/>
  <c r="DB173" i="7" s="1"/>
  <c r="BZ174" i="7"/>
  <c r="CU174" i="7" s="1"/>
  <c r="CD176" i="7"/>
  <c r="CY176" i="7" s="1"/>
  <c r="BQ169" i="7"/>
  <c r="H169" i="7" s="1"/>
  <c r="DI170" i="7"/>
  <c r="BP170" i="7" s="1"/>
  <c r="CF178" i="7"/>
  <c r="DA178" i="7" s="1"/>
  <c r="BN172" i="7"/>
  <c r="CH173" i="7"/>
  <c r="DC173" i="7" s="1"/>
  <c r="BS177" i="7"/>
  <c r="CN177" i="7" s="1"/>
  <c r="BU188" i="7"/>
  <c r="CP188" i="7" s="1"/>
  <c r="CE181" i="7"/>
  <c r="CZ181" i="7" s="1"/>
  <c r="CJ212" i="7"/>
  <c r="DE212" i="7" s="1"/>
  <c r="AO173" i="7" l="1"/>
  <c r="EO180" i="7"/>
  <c r="CK179" i="7"/>
  <c r="DF179" i="7" s="1"/>
  <c r="AM181" i="7"/>
  <c r="AN178" i="7"/>
  <c r="EN174" i="7"/>
  <c r="CB181" i="7"/>
  <c r="CW181" i="7" s="1"/>
  <c r="F45" i="32"/>
  <c r="G45" i="32" s="1"/>
  <c r="P45" i="32" s="1"/>
  <c r="Q45" i="32" s="1"/>
  <c r="AP56" i="7"/>
  <c r="BG56" i="7" s="1"/>
  <c r="AQ56" i="7"/>
  <c r="BH56" i="7" s="1"/>
  <c r="AR56" i="7"/>
  <c r="BI56" i="7" s="1"/>
  <c r="AJ56" i="7"/>
  <c r="AK56" i="7"/>
  <c r="AL56" i="7"/>
  <c r="F55" i="32"/>
  <c r="G55" i="32" s="1"/>
  <c r="P55" i="32" s="1"/>
  <c r="AR66" i="7"/>
  <c r="BI66" i="7" s="1"/>
  <c r="AP66" i="7"/>
  <c r="BG66" i="7" s="1"/>
  <c r="AQ66" i="7"/>
  <c r="BH66" i="7" s="1"/>
  <c r="CL177" i="7"/>
  <c r="DG177" i="7" s="1"/>
  <c r="EM176" i="7"/>
  <c r="AV176" i="7"/>
  <c r="DW172" i="7"/>
  <c r="EB172" i="7"/>
  <c r="DX172" i="7"/>
  <c r="EF177" i="7"/>
  <c r="EC177" i="7"/>
  <c r="DZ173" i="7"/>
  <c r="EA173" i="7"/>
  <c r="AX176" i="7"/>
  <c r="AU176" i="7"/>
  <c r="AT176" i="7"/>
  <c r="BA176" i="7"/>
  <c r="BC176" i="7"/>
  <c r="AW176" i="7"/>
  <c r="AY176" i="7"/>
  <c r="BB176" i="7"/>
  <c r="M177" i="7"/>
  <c r="AX177" i="7" s="1"/>
  <c r="DV177" i="7"/>
  <c r="BY210" i="7"/>
  <c r="CT210" i="7" s="1"/>
  <c r="BX210" i="7"/>
  <c r="CS210" i="7" s="1"/>
  <c r="BW212" i="7"/>
  <c r="CR212" i="7" s="1"/>
  <c r="BE174" i="7"/>
  <c r="BD174" i="7"/>
  <c r="DL175" i="7"/>
  <c r="BF174" i="7"/>
  <c r="DK175" i="7"/>
  <c r="AG175" i="7"/>
  <c r="DQ175" i="7"/>
  <c r="AF175" i="7"/>
  <c r="AI175" i="7" s="1"/>
  <c r="AH175" i="7"/>
  <c r="DN175" i="7"/>
  <c r="DO175" i="7"/>
  <c r="DR175" i="7"/>
  <c r="DM175" i="7"/>
  <c r="DP175" i="7"/>
  <c r="DJ175" i="7"/>
  <c r="CM201" i="7"/>
  <c r="DH201" i="7" s="1"/>
  <c r="CC195" i="7"/>
  <c r="CX195" i="7" s="1"/>
  <c r="G169" i="7"/>
  <c r="BT181" i="7"/>
  <c r="CO181" i="7" s="1"/>
  <c r="BV179" i="7"/>
  <c r="CQ179" i="7" s="1"/>
  <c r="CI180" i="7"/>
  <c r="DD180" i="7" s="1"/>
  <c r="DS179" i="7"/>
  <c r="P179" i="7" s="1"/>
  <c r="BO171" i="7"/>
  <c r="CA173" i="7"/>
  <c r="CV173" i="7" s="1"/>
  <c r="CG174" i="7"/>
  <c r="DB174" i="7" s="1"/>
  <c r="BZ175" i="7"/>
  <c r="CU175" i="7" s="1"/>
  <c r="CD177" i="7"/>
  <c r="CY177" i="7" s="1"/>
  <c r="CH174" i="7"/>
  <c r="DC174" i="7" s="1"/>
  <c r="BN173" i="7"/>
  <c r="CF179" i="7"/>
  <c r="DA179" i="7" s="1"/>
  <c r="BQ170" i="7"/>
  <c r="H170" i="7" s="1"/>
  <c r="DI171" i="7"/>
  <c r="BP171" i="7" s="1"/>
  <c r="AH176" i="7"/>
  <c r="AF176" i="7"/>
  <c r="AI176" i="7" s="1"/>
  <c r="AG176" i="7"/>
  <c r="BS178" i="7"/>
  <c r="CN178" i="7" s="1"/>
  <c r="BE175" i="7"/>
  <c r="BU189" i="7"/>
  <c r="CP189" i="7" s="1"/>
  <c r="CE182" i="7"/>
  <c r="CZ182" i="7" s="1"/>
  <c r="CJ213" i="7"/>
  <c r="DE213" i="7" s="1"/>
  <c r="AO174" i="7" l="1"/>
  <c r="EO181" i="7"/>
  <c r="AM182" i="7"/>
  <c r="AN179" i="7"/>
  <c r="EN175" i="7"/>
  <c r="CK180" i="7"/>
  <c r="DF180" i="7" s="1"/>
  <c r="CB182" i="7"/>
  <c r="CW182" i="7" s="1"/>
  <c r="BJ56" i="7"/>
  <c r="C56" i="7"/>
  <c r="BL56" i="7"/>
  <c r="E56" i="7"/>
  <c r="D56" i="7"/>
  <c r="BK56" i="7"/>
  <c r="CL178" i="7"/>
  <c r="DG178" i="7" s="1"/>
  <c r="EM177" i="7"/>
  <c r="AU177" i="7"/>
  <c r="EF178" i="7"/>
  <c r="EC178" i="7"/>
  <c r="DZ174" i="7"/>
  <c r="EA174" i="7"/>
  <c r="DW173" i="7"/>
  <c r="EB173" i="7"/>
  <c r="DX173" i="7"/>
  <c r="BB177" i="7"/>
  <c r="AV177" i="7"/>
  <c r="BA177" i="7"/>
  <c r="AT177" i="7"/>
  <c r="AZ177" i="7"/>
  <c r="AW177" i="7"/>
  <c r="AY177" i="7"/>
  <c r="M178" i="7"/>
  <c r="AZ178" i="7" s="1"/>
  <c r="DV178" i="7"/>
  <c r="BC177" i="7"/>
  <c r="BX211" i="7"/>
  <c r="CS211" i="7" s="1"/>
  <c r="BY211" i="7"/>
  <c r="CT211" i="7" s="1"/>
  <c r="BW213" i="7"/>
  <c r="CR213" i="7" s="1"/>
  <c r="BF175" i="7"/>
  <c r="DO176" i="7"/>
  <c r="DL176" i="7"/>
  <c r="DR176" i="7"/>
  <c r="DJ176" i="7"/>
  <c r="DK176" i="7"/>
  <c r="DM176" i="7"/>
  <c r="BD175" i="7"/>
  <c r="DQ176" i="7"/>
  <c r="DP176" i="7"/>
  <c r="DN176" i="7"/>
  <c r="CM202" i="7"/>
  <c r="DH202" i="7" s="1"/>
  <c r="CC196" i="7"/>
  <c r="CX196" i="7" s="1"/>
  <c r="G170" i="7"/>
  <c r="BV180" i="7"/>
  <c r="CQ180" i="7" s="1"/>
  <c r="CI181" i="7"/>
  <c r="DD181" i="7" s="1"/>
  <c r="DS180" i="7"/>
  <c r="P180" i="7" s="1"/>
  <c r="BT182" i="7"/>
  <c r="CO182" i="7" s="1"/>
  <c r="BO172" i="7"/>
  <c r="CA174" i="7"/>
  <c r="CV174" i="7" s="1"/>
  <c r="CG175" i="7"/>
  <c r="DB175" i="7" s="1"/>
  <c r="BZ176" i="7"/>
  <c r="CU176" i="7" s="1"/>
  <c r="CD178" i="7"/>
  <c r="CY178" i="7" s="1"/>
  <c r="BQ171" i="7"/>
  <c r="H171" i="7" s="1"/>
  <c r="DI172" i="7"/>
  <c r="BP172" i="7" s="1"/>
  <c r="CF180" i="7"/>
  <c r="DA180" i="7" s="1"/>
  <c r="BN174" i="7"/>
  <c r="CH175" i="7"/>
  <c r="DC175" i="7" s="1"/>
  <c r="AH177" i="7"/>
  <c r="AF177" i="7"/>
  <c r="AI177" i="7" s="1"/>
  <c r="AG177" i="7"/>
  <c r="BS179" i="7"/>
  <c r="CN179" i="7" s="1"/>
  <c r="BU190" i="7"/>
  <c r="CP190" i="7" s="1"/>
  <c r="CE183" i="7"/>
  <c r="CZ183" i="7" s="1"/>
  <c r="CJ214" i="7"/>
  <c r="DE214" i="7" s="1"/>
  <c r="AM183" i="7" l="1"/>
  <c r="AN180" i="7"/>
  <c r="EO182" i="7"/>
  <c r="EN176" i="7"/>
  <c r="AO175" i="7"/>
  <c r="CK181" i="7"/>
  <c r="DF181" i="7" s="1"/>
  <c r="F56" i="7"/>
  <c r="CB183" i="7"/>
  <c r="CW183" i="7" s="1"/>
  <c r="BM56" i="7"/>
  <c r="B56" i="7" s="1"/>
  <c r="DL177" i="7"/>
  <c r="DK177" i="7"/>
  <c r="CL179" i="7"/>
  <c r="DG179" i="7" s="1"/>
  <c r="EM178" i="7"/>
  <c r="DJ177" i="7"/>
  <c r="EF179" i="7"/>
  <c r="EC179" i="7"/>
  <c r="EA175" i="7"/>
  <c r="DZ175" i="7"/>
  <c r="EB174" i="7"/>
  <c r="DX174" i="7"/>
  <c r="DW174" i="7"/>
  <c r="DN177" i="7"/>
  <c r="AU178" i="7"/>
  <c r="BA178" i="7"/>
  <c r="BB178" i="7"/>
  <c r="AX178" i="7"/>
  <c r="AV178" i="7"/>
  <c r="AT178" i="7"/>
  <c r="AW178" i="7"/>
  <c r="BC178" i="7"/>
  <c r="AY178" i="7"/>
  <c r="M179" i="7"/>
  <c r="AX179" i="7" s="1"/>
  <c r="DV179" i="7"/>
  <c r="BY212" i="7"/>
  <c r="CT212" i="7" s="1"/>
  <c r="BX212" i="7"/>
  <c r="CS212" i="7" s="1"/>
  <c r="BW214" i="7"/>
  <c r="CR214" i="7" s="1"/>
  <c r="DO177" i="7"/>
  <c r="BE176" i="7"/>
  <c r="DR177" i="7"/>
  <c r="DM177" i="7"/>
  <c r="BD176" i="7"/>
  <c r="BF176" i="7"/>
  <c r="DP177" i="7"/>
  <c r="DQ177" i="7"/>
  <c r="CM203" i="7"/>
  <c r="DH203" i="7" s="1"/>
  <c r="CC197" i="7"/>
  <c r="CX197" i="7" s="1"/>
  <c r="G171" i="7"/>
  <c r="CI182" i="7"/>
  <c r="DD182" i="7" s="1"/>
  <c r="DS181" i="7"/>
  <c r="P181" i="7" s="1"/>
  <c r="BT183" i="7"/>
  <c r="CO183" i="7" s="1"/>
  <c r="BV181" i="7"/>
  <c r="CQ181" i="7" s="1"/>
  <c r="CA175" i="7"/>
  <c r="CV175" i="7" s="1"/>
  <c r="BO173" i="7"/>
  <c r="CG176" i="7"/>
  <c r="DB176" i="7" s="1"/>
  <c r="BZ177" i="7"/>
  <c r="CU177" i="7" s="1"/>
  <c r="CD179" i="7"/>
  <c r="CY179" i="7" s="1"/>
  <c r="BQ172" i="7"/>
  <c r="H172" i="7" s="1"/>
  <c r="DI173" i="7"/>
  <c r="BP173" i="7" s="1"/>
  <c r="CH176" i="7"/>
  <c r="DC176" i="7" s="1"/>
  <c r="BN175" i="7"/>
  <c r="CF181" i="7"/>
  <c r="DA181" i="7" s="1"/>
  <c r="BS180" i="7"/>
  <c r="CN180" i="7" s="1"/>
  <c r="BU191" i="7"/>
  <c r="CP191" i="7" s="1"/>
  <c r="CE184" i="7"/>
  <c r="CZ184" i="7" s="1"/>
  <c r="CJ215" i="7"/>
  <c r="DE215" i="7" s="1"/>
  <c r="EO183" i="7" l="1"/>
  <c r="AN181" i="7"/>
  <c r="CK182" i="7"/>
  <c r="DF182" i="7" s="1"/>
  <c r="AO176" i="7"/>
  <c r="AM184" i="7"/>
  <c r="EN177" i="7"/>
  <c r="P56" i="7"/>
  <c r="N57" i="7" s="1"/>
  <c r="CB184" i="7"/>
  <c r="CW184" i="7" s="1"/>
  <c r="DJ178" i="7"/>
  <c r="DK178" i="7"/>
  <c r="CL180" i="7"/>
  <c r="DG180" i="7" s="1"/>
  <c r="EM179" i="7"/>
  <c r="DP178" i="7"/>
  <c r="DR178" i="7"/>
  <c r="EA176" i="7"/>
  <c r="DZ176" i="7"/>
  <c r="EF180" i="7"/>
  <c r="EC180" i="7"/>
  <c r="DX175" i="7"/>
  <c r="DW175" i="7"/>
  <c r="EB175" i="7"/>
  <c r="AV179" i="7"/>
  <c r="BB179" i="7"/>
  <c r="N67" i="7"/>
  <c r="D56" i="32"/>
  <c r="AT179" i="7"/>
  <c r="AZ179" i="7"/>
  <c r="AW179" i="7"/>
  <c r="BA179" i="7"/>
  <c r="DP179" i="7" s="1"/>
  <c r="AY179" i="7"/>
  <c r="AU179" i="7"/>
  <c r="M180" i="7"/>
  <c r="AZ180" i="7" s="1"/>
  <c r="DV180" i="7"/>
  <c r="BC179" i="7"/>
  <c r="DR179" i="7" s="1"/>
  <c r="BX213" i="7"/>
  <c r="CS213" i="7" s="1"/>
  <c r="BY213" i="7"/>
  <c r="CT213" i="7" s="1"/>
  <c r="BW215" i="7"/>
  <c r="CR215" i="7" s="1"/>
  <c r="BD177" i="7"/>
  <c r="BF177" i="7"/>
  <c r="BE177" i="7"/>
  <c r="DO178" i="7"/>
  <c r="DN178" i="7"/>
  <c r="AF178" i="7"/>
  <c r="AI178" i="7" s="1"/>
  <c r="DM178" i="7"/>
  <c r="AH178" i="7"/>
  <c r="DL178" i="7"/>
  <c r="DQ178" i="7"/>
  <c r="AG178" i="7"/>
  <c r="CM204" i="7"/>
  <c r="DH204" i="7" s="1"/>
  <c r="CC198" i="7"/>
  <c r="CX198" i="7" s="1"/>
  <c r="G172" i="7"/>
  <c r="BT184" i="7"/>
  <c r="CO184" i="7" s="1"/>
  <c r="BV182" i="7"/>
  <c r="CQ182" i="7" s="1"/>
  <c r="CI183" i="7"/>
  <c r="DD183" i="7" s="1"/>
  <c r="DS182" i="7"/>
  <c r="P182" i="7" s="1"/>
  <c r="BO174" i="7"/>
  <c r="CA176" i="7"/>
  <c r="CV176" i="7" s="1"/>
  <c r="CG177" i="7"/>
  <c r="DB177" i="7" s="1"/>
  <c r="BZ178" i="7"/>
  <c r="CU178" i="7" s="1"/>
  <c r="CD180" i="7"/>
  <c r="CY180" i="7" s="1"/>
  <c r="CF182" i="7"/>
  <c r="DA182" i="7" s="1"/>
  <c r="BN176" i="7"/>
  <c r="CH177" i="7"/>
  <c r="DC177" i="7" s="1"/>
  <c r="DI174" i="7"/>
  <c r="BP174" i="7" s="1"/>
  <c r="BQ173" i="7"/>
  <c r="H173" i="7" s="1"/>
  <c r="BS181" i="7"/>
  <c r="CN181" i="7" s="1"/>
  <c r="AF179" i="7"/>
  <c r="AI179" i="7" s="1"/>
  <c r="AH179" i="7"/>
  <c r="AG179" i="7"/>
  <c r="BE178" i="7"/>
  <c r="BU192" i="7"/>
  <c r="CP192" i="7" s="1"/>
  <c r="CE185" i="7"/>
  <c r="CZ185" i="7" s="1"/>
  <c r="CJ216" i="7"/>
  <c r="DE216" i="7" s="1"/>
  <c r="DL179" i="7" l="1"/>
  <c r="AO177" i="7"/>
  <c r="AN182" i="7"/>
  <c r="AM185" i="7"/>
  <c r="EO184" i="7"/>
  <c r="EN178" i="7"/>
  <c r="CK183" i="7"/>
  <c r="DF183" i="7" s="1"/>
  <c r="D46" i="32"/>
  <c r="CB185" i="7"/>
  <c r="CW185" i="7" s="1"/>
  <c r="AR57" i="7"/>
  <c r="BI57" i="7" s="1"/>
  <c r="AP57" i="7"/>
  <c r="BG57" i="7" s="1"/>
  <c r="F46" i="32"/>
  <c r="AQ57" i="7"/>
  <c r="BH57" i="7" s="1"/>
  <c r="AJ57" i="7"/>
  <c r="AK57" i="7"/>
  <c r="AL57" i="7"/>
  <c r="DJ179" i="7"/>
  <c r="F56" i="32"/>
  <c r="G56" i="32" s="1"/>
  <c r="P56" i="32" s="1"/>
  <c r="AP67" i="7"/>
  <c r="BG67" i="7" s="1"/>
  <c r="AQ67" i="7"/>
  <c r="BH67" i="7" s="1"/>
  <c r="AR67" i="7"/>
  <c r="BI67" i="7" s="1"/>
  <c r="CL181" i="7"/>
  <c r="DG181" i="7" s="1"/>
  <c r="EM180" i="7"/>
  <c r="DQ179" i="7"/>
  <c r="EF181" i="7"/>
  <c r="EC181" i="7"/>
  <c r="EA177" i="7"/>
  <c r="DZ177" i="7"/>
  <c r="DW176" i="7"/>
  <c r="EB176" i="7"/>
  <c r="DX176" i="7"/>
  <c r="DN179" i="7"/>
  <c r="AX180" i="7"/>
  <c r="AT180" i="7"/>
  <c r="AV180" i="7"/>
  <c r="BC180" i="7"/>
  <c r="BA180" i="7"/>
  <c r="AU180" i="7"/>
  <c r="AW180" i="7"/>
  <c r="AY180" i="7"/>
  <c r="BB180" i="7"/>
  <c r="M181" i="7"/>
  <c r="AT181" i="7" s="1"/>
  <c r="DV181" i="7"/>
  <c r="BY214" i="7"/>
  <c r="CT214" i="7" s="1"/>
  <c r="BX214" i="7"/>
  <c r="CS214" i="7" s="1"/>
  <c r="BW216" i="7"/>
  <c r="CR216" i="7" s="1"/>
  <c r="DO179" i="7"/>
  <c r="DM179" i="7"/>
  <c r="BD178" i="7"/>
  <c r="BF178" i="7"/>
  <c r="DK179" i="7"/>
  <c r="CM205" i="7"/>
  <c r="DH205" i="7" s="1"/>
  <c r="CC199" i="7"/>
  <c r="CX199" i="7" s="1"/>
  <c r="G173" i="7"/>
  <c r="BT185" i="7"/>
  <c r="CO185" i="7" s="1"/>
  <c r="BV183" i="7"/>
  <c r="CQ183" i="7" s="1"/>
  <c r="DS183" i="7"/>
  <c r="P183" i="7" s="1"/>
  <c r="CI184" i="7"/>
  <c r="DD184" i="7" s="1"/>
  <c r="CA177" i="7"/>
  <c r="CV177" i="7" s="1"/>
  <c r="BO175" i="7"/>
  <c r="CG178" i="7"/>
  <c r="DB178" i="7" s="1"/>
  <c r="BZ179" i="7"/>
  <c r="CU179" i="7" s="1"/>
  <c r="CD181" i="7"/>
  <c r="CY181" i="7" s="1"/>
  <c r="BN177" i="7"/>
  <c r="CH178" i="7"/>
  <c r="DC178" i="7" s="1"/>
  <c r="BQ174" i="7"/>
  <c r="H174" i="7" s="1"/>
  <c r="DI175" i="7"/>
  <c r="BP175" i="7" s="1"/>
  <c r="CF183" i="7"/>
  <c r="DA183" i="7" s="1"/>
  <c r="BS182" i="7"/>
  <c r="CN182" i="7" s="1"/>
  <c r="BU193" i="7"/>
  <c r="CP193" i="7" s="1"/>
  <c r="CE186" i="7"/>
  <c r="CZ186" i="7" s="1"/>
  <c r="CJ217" i="7"/>
  <c r="DE217" i="7" s="1"/>
  <c r="EO185" i="7" l="1"/>
  <c r="EN179" i="7"/>
  <c r="CK184" i="7"/>
  <c r="DF184" i="7" s="1"/>
  <c r="AO178" i="7"/>
  <c r="AM186" i="7"/>
  <c r="AN183" i="7"/>
  <c r="G46" i="32"/>
  <c r="P46" i="32" s="1"/>
  <c r="Q46" i="32" s="1"/>
  <c r="CB186" i="7"/>
  <c r="CW186" i="7" s="1"/>
  <c r="E57" i="7"/>
  <c r="BL57" i="7"/>
  <c r="D57" i="7"/>
  <c r="BK57" i="7"/>
  <c r="BJ57" i="7"/>
  <c r="C57" i="7"/>
  <c r="CL182" i="7"/>
  <c r="DG182" i="7" s="1"/>
  <c r="EM181" i="7"/>
  <c r="DW177" i="7"/>
  <c r="DX177" i="7"/>
  <c r="EB177" i="7"/>
  <c r="EF182" i="7"/>
  <c r="EC182" i="7"/>
  <c r="DZ178" i="7"/>
  <c r="EA178" i="7"/>
  <c r="AW181" i="7"/>
  <c r="DL180" i="7"/>
  <c r="BC181" i="7"/>
  <c r="BB181" i="7"/>
  <c r="AZ181" i="7"/>
  <c r="AV181" i="7"/>
  <c r="AX181" i="7"/>
  <c r="BA181" i="7"/>
  <c r="AU181" i="7"/>
  <c r="AY181" i="7"/>
  <c r="M182" i="7"/>
  <c r="BA182" i="7" s="1"/>
  <c r="DV182" i="7"/>
  <c r="BX215" i="7"/>
  <c r="CS215" i="7" s="1"/>
  <c r="BY215" i="7"/>
  <c r="CT215" i="7" s="1"/>
  <c r="BW217" i="7"/>
  <c r="CR217" i="7" s="1"/>
  <c r="BE179" i="7"/>
  <c r="BD179" i="7"/>
  <c r="BF179" i="7"/>
  <c r="DP180" i="7"/>
  <c r="AH180" i="7"/>
  <c r="DN180" i="7"/>
  <c r="DK180" i="7"/>
  <c r="DR180" i="7"/>
  <c r="DM180" i="7"/>
  <c r="AF180" i="7"/>
  <c r="AI180" i="7" s="1"/>
  <c r="DO180" i="7"/>
  <c r="DJ180" i="7"/>
  <c r="AG180" i="7"/>
  <c r="DQ180" i="7"/>
  <c r="CM206" i="7"/>
  <c r="DH206" i="7" s="1"/>
  <c r="CC200" i="7"/>
  <c r="CX200" i="7" s="1"/>
  <c r="G174" i="7"/>
  <c r="BV184" i="7"/>
  <c r="CQ184" i="7" s="1"/>
  <c r="CI185" i="7"/>
  <c r="DD185" i="7" s="1"/>
  <c r="DS184" i="7"/>
  <c r="P184" i="7" s="1"/>
  <c r="BT186" i="7"/>
  <c r="CO186" i="7" s="1"/>
  <c r="CA178" i="7"/>
  <c r="CV178" i="7" s="1"/>
  <c r="BO176" i="7"/>
  <c r="CG179" i="7"/>
  <c r="DB179" i="7" s="1"/>
  <c r="BZ180" i="7"/>
  <c r="CU180" i="7" s="1"/>
  <c r="CD182" i="7"/>
  <c r="CY182" i="7" s="1"/>
  <c r="CF184" i="7"/>
  <c r="DA184" i="7" s="1"/>
  <c r="BN178" i="7"/>
  <c r="CH179" i="7"/>
  <c r="DC179" i="7" s="1"/>
  <c r="BQ175" i="7"/>
  <c r="H175" i="7" s="1"/>
  <c r="DI176" i="7"/>
  <c r="BP176" i="7" s="1"/>
  <c r="BS183" i="7"/>
  <c r="CN183" i="7" s="1"/>
  <c r="BU194" i="7"/>
  <c r="CP194" i="7" s="1"/>
  <c r="CE187" i="7"/>
  <c r="CZ187" i="7" s="1"/>
  <c r="CJ218" i="7"/>
  <c r="DE218" i="7" s="1"/>
  <c r="DJ181" i="7" l="1"/>
  <c r="AO179" i="7"/>
  <c r="AN184" i="7"/>
  <c r="AM187" i="7"/>
  <c r="EN180" i="7"/>
  <c r="EO186" i="7"/>
  <c r="CK185" i="7"/>
  <c r="DF185" i="7" s="1"/>
  <c r="F57" i="7"/>
  <c r="CB187" i="7"/>
  <c r="CW187" i="7" s="1"/>
  <c r="BM57" i="7"/>
  <c r="B57" i="7" s="1"/>
  <c r="P57" i="7"/>
  <c r="CL183" i="7"/>
  <c r="DG183" i="7" s="1"/>
  <c r="EM182" i="7"/>
  <c r="EF183" i="7"/>
  <c r="EC183" i="7"/>
  <c r="EA179" i="7"/>
  <c r="DZ179" i="7"/>
  <c r="EB178" i="7"/>
  <c r="DX178" i="7"/>
  <c r="DW178" i="7"/>
  <c r="DQ181" i="7"/>
  <c r="DM181" i="7"/>
  <c r="AV182" i="7"/>
  <c r="AU182" i="7"/>
  <c r="AZ182" i="7"/>
  <c r="BB182" i="7"/>
  <c r="AX182" i="7"/>
  <c r="AY182" i="7"/>
  <c r="AT182" i="7"/>
  <c r="AW182" i="7"/>
  <c r="BC182" i="7"/>
  <c r="M183" i="7"/>
  <c r="BB183" i="7" s="1"/>
  <c r="DV183" i="7"/>
  <c r="BY216" i="7"/>
  <c r="CT216" i="7" s="1"/>
  <c r="BX216" i="7"/>
  <c r="CS216" i="7" s="1"/>
  <c r="BW218" i="7"/>
  <c r="CR218" i="7" s="1"/>
  <c r="BF180" i="7"/>
  <c r="BE180" i="7"/>
  <c r="BD180" i="7"/>
  <c r="DN181" i="7"/>
  <c r="DO181" i="7"/>
  <c r="DR181" i="7"/>
  <c r="DP181" i="7"/>
  <c r="DL181" i="7"/>
  <c r="AF181" i="7"/>
  <c r="AI181" i="7" s="1"/>
  <c r="AH181" i="7"/>
  <c r="DK181" i="7"/>
  <c r="AG181" i="7"/>
  <c r="CM207" i="7"/>
  <c r="DH207" i="7" s="1"/>
  <c r="CC201" i="7"/>
  <c r="CX201" i="7" s="1"/>
  <c r="G175" i="7"/>
  <c r="DS185" i="7"/>
  <c r="P185" i="7" s="1"/>
  <c r="CI186" i="7"/>
  <c r="DD186" i="7" s="1"/>
  <c r="BT187" i="7"/>
  <c r="CO187" i="7" s="1"/>
  <c r="BV185" i="7"/>
  <c r="CQ185" i="7" s="1"/>
  <c r="CA179" i="7"/>
  <c r="CV179" i="7" s="1"/>
  <c r="BO177" i="7"/>
  <c r="CG180" i="7"/>
  <c r="DB180" i="7" s="1"/>
  <c r="BZ181" i="7"/>
  <c r="CU181" i="7" s="1"/>
  <c r="CD183" i="7"/>
  <c r="CY183" i="7" s="1"/>
  <c r="DI177" i="7"/>
  <c r="BP177" i="7" s="1"/>
  <c r="BQ176" i="7"/>
  <c r="H176" i="7" s="1"/>
  <c r="CH180" i="7"/>
  <c r="DC180" i="7" s="1"/>
  <c r="BN179" i="7"/>
  <c r="CF185" i="7"/>
  <c r="DA185" i="7" s="1"/>
  <c r="BD181" i="7"/>
  <c r="AF182" i="7"/>
  <c r="AI182" i="7" s="1"/>
  <c r="AH182" i="7"/>
  <c r="AG182" i="7"/>
  <c r="BS184" i="7"/>
  <c r="CN184" i="7" s="1"/>
  <c r="BU195" i="7"/>
  <c r="CP195" i="7" s="1"/>
  <c r="CE188" i="7"/>
  <c r="CZ188" i="7" s="1"/>
  <c r="CJ219" i="7"/>
  <c r="DE219" i="7" s="1"/>
  <c r="AO180" i="7" l="1"/>
  <c r="EO187" i="7"/>
  <c r="CK186" i="7"/>
  <c r="DF186" i="7" s="1"/>
  <c r="AN185" i="7"/>
  <c r="EN181" i="7"/>
  <c r="AM188" i="7"/>
  <c r="CB188" i="7"/>
  <c r="CW188" i="7" s="1"/>
  <c r="D47" i="32"/>
  <c r="N58" i="7"/>
  <c r="CL184" i="7"/>
  <c r="DG184" i="7" s="1"/>
  <c r="EM183" i="7"/>
  <c r="DM182" i="7"/>
  <c r="EA180" i="7"/>
  <c r="DZ180" i="7"/>
  <c r="EF184" i="7"/>
  <c r="EC184" i="7"/>
  <c r="EB179" i="7"/>
  <c r="DX179" i="7"/>
  <c r="DW179" i="7"/>
  <c r="N68" i="7"/>
  <c r="D57" i="32"/>
  <c r="BA183" i="7"/>
  <c r="BC183" i="7"/>
  <c r="AX183" i="7"/>
  <c r="DM183" i="7" s="1"/>
  <c r="AZ183" i="7"/>
  <c r="AY183" i="7"/>
  <c r="AT183" i="7"/>
  <c r="DR182" i="7"/>
  <c r="AW183" i="7"/>
  <c r="AU183" i="7"/>
  <c r="AV183" i="7"/>
  <c r="M184" i="7"/>
  <c r="AW184" i="7" s="1"/>
  <c r="DV184" i="7"/>
  <c r="BX217" i="7"/>
  <c r="CS217" i="7" s="1"/>
  <c r="BY217" i="7"/>
  <c r="CT217" i="7" s="1"/>
  <c r="BW219" i="7"/>
  <c r="CR219" i="7" s="1"/>
  <c r="BE181" i="7"/>
  <c r="DN182" i="7"/>
  <c r="DO182" i="7"/>
  <c r="DJ182" i="7"/>
  <c r="DP182" i="7"/>
  <c r="DQ182" i="7"/>
  <c r="BF181" i="7"/>
  <c r="DL182" i="7"/>
  <c r="DK182" i="7"/>
  <c r="CM208" i="7"/>
  <c r="DH208" i="7" s="1"/>
  <c r="CC202" i="7"/>
  <c r="CX202" i="7" s="1"/>
  <c r="G176" i="7"/>
  <c r="BV186" i="7"/>
  <c r="CQ186" i="7" s="1"/>
  <c r="DS186" i="7"/>
  <c r="P186" i="7" s="1"/>
  <c r="CI187" i="7"/>
  <c r="DD187" i="7" s="1"/>
  <c r="BT188" i="7"/>
  <c r="CO188" i="7" s="1"/>
  <c r="BO178" i="7"/>
  <c r="CA180" i="7"/>
  <c r="CV180" i="7" s="1"/>
  <c r="CG181" i="7"/>
  <c r="DB181" i="7" s="1"/>
  <c r="BZ182" i="7"/>
  <c r="CU182" i="7" s="1"/>
  <c r="CD184" i="7"/>
  <c r="CY184" i="7" s="1"/>
  <c r="BQ177" i="7"/>
  <c r="H177" i="7" s="1"/>
  <c r="DI178" i="7"/>
  <c r="BP178" i="7" s="1"/>
  <c r="CF186" i="7"/>
  <c r="DA186" i="7" s="1"/>
  <c r="CH181" i="7"/>
  <c r="DC181" i="7" s="1"/>
  <c r="BN180" i="7"/>
  <c r="BS185" i="7"/>
  <c r="CN185" i="7" s="1"/>
  <c r="AG183" i="7"/>
  <c r="BF182" i="7"/>
  <c r="BU196" i="7"/>
  <c r="CP196" i="7" s="1"/>
  <c r="CE189" i="7"/>
  <c r="CZ189" i="7" s="1"/>
  <c r="CJ220" i="7"/>
  <c r="DE220" i="7" s="1"/>
  <c r="AN186" i="7" l="1"/>
  <c r="EN182" i="7"/>
  <c r="EO188" i="7"/>
  <c r="AM189" i="7"/>
  <c r="AO181" i="7"/>
  <c r="CK187" i="7"/>
  <c r="DF187" i="7" s="1"/>
  <c r="CB189" i="7"/>
  <c r="CW189" i="7" s="1"/>
  <c r="AR58" i="7"/>
  <c r="BI58" i="7" s="1"/>
  <c r="AP58" i="7"/>
  <c r="BG58" i="7" s="1"/>
  <c r="F47" i="32"/>
  <c r="G47" i="32" s="1"/>
  <c r="P47" i="32" s="1"/>
  <c r="Q47" i="32" s="1"/>
  <c r="Q48" i="32" s="1"/>
  <c r="Q49" i="32" s="1"/>
  <c r="Q50" i="32" s="1"/>
  <c r="Q51" i="32" s="1"/>
  <c r="Q52" i="32" s="1"/>
  <c r="Q53" i="32" s="1"/>
  <c r="Q54" i="32" s="1"/>
  <c r="Q55" i="32" s="1"/>
  <c r="Q56" i="32" s="1"/>
  <c r="AQ58" i="7"/>
  <c r="BH58" i="7" s="1"/>
  <c r="AJ58" i="7"/>
  <c r="AK58" i="7"/>
  <c r="AL58" i="7"/>
  <c r="F57" i="32"/>
  <c r="G57" i="32" s="1"/>
  <c r="P57" i="32" s="1"/>
  <c r="AP68" i="7"/>
  <c r="BG68" i="7" s="1"/>
  <c r="AQ68" i="7"/>
  <c r="BH68" i="7" s="1"/>
  <c r="AR68" i="7"/>
  <c r="BI68" i="7" s="1"/>
  <c r="CL185" i="7"/>
  <c r="DG185" i="7" s="1"/>
  <c r="EM184" i="7"/>
  <c r="DZ181" i="7"/>
  <c r="EA181" i="7"/>
  <c r="DW180" i="7"/>
  <c r="EB180" i="7"/>
  <c r="DX180" i="7"/>
  <c r="EF185" i="7"/>
  <c r="EC185" i="7"/>
  <c r="BC184" i="7"/>
  <c r="AZ184" i="7"/>
  <c r="BB184" i="7"/>
  <c r="AV184" i="7"/>
  <c r="AY184" i="7"/>
  <c r="AT184" i="7"/>
  <c r="AX184" i="7"/>
  <c r="BA184" i="7"/>
  <c r="AU184" i="7"/>
  <c r="M185" i="7"/>
  <c r="BB185" i="7" s="1"/>
  <c r="DV185" i="7"/>
  <c r="BY218" i="7"/>
  <c r="CT218" i="7" s="1"/>
  <c r="BX218" i="7"/>
  <c r="CS218" i="7" s="1"/>
  <c r="BW220" i="7"/>
  <c r="CR220" i="7" s="1"/>
  <c r="DK183" i="7"/>
  <c r="BD182" i="7"/>
  <c r="BE182" i="7"/>
  <c r="DP183" i="7"/>
  <c r="AH183" i="7"/>
  <c r="DQ183" i="7"/>
  <c r="DO183" i="7"/>
  <c r="DN183" i="7"/>
  <c r="DR183" i="7"/>
  <c r="DJ183" i="7"/>
  <c r="DL183" i="7"/>
  <c r="AF183" i="7"/>
  <c r="AI183" i="7" s="1"/>
  <c r="CM209" i="7"/>
  <c r="DH209" i="7" s="1"/>
  <c r="CC203" i="7"/>
  <c r="CX203" i="7" s="1"/>
  <c r="G177" i="7"/>
  <c r="CI188" i="7"/>
  <c r="DD188" i="7" s="1"/>
  <c r="DS187" i="7"/>
  <c r="P187" i="7" s="1"/>
  <c r="BT189" i="7"/>
  <c r="CO189" i="7" s="1"/>
  <c r="BV187" i="7"/>
  <c r="CQ187" i="7" s="1"/>
  <c r="CA181" i="7"/>
  <c r="CV181" i="7" s="1"/>
  <c r="BO179" i="7"/>
  <c r="CG182" i="7"/>
  <c r="DB182" i="7" s="1"/>
  <c r="BZ183" i="7"/>
  <c r="CU183" i="7" s="1"/>
  <c r="CD185" i="7"/>
  <c r="CY185" i="7" s="1"/>
  <c r="CH182" i="7"/>
  <c r="DC182" i="7" s="1"/>
  <c r="BN181" i="7"/>
  <c r="CF187" i="7"/>
  <c r="DA187" i="7" s="1"/>
  <c r="DI179" i="7"/>
  <c r="BP179" i="7" s="1"/>
  <c r="BQ178" i="7"/>
  <c r="H178" i="7" s="1"/>
  <c r="AG184" i="7"/>
  <c r="BS186" i="7"/>
  <c r="CN186" i="7" s="1"/>
  <c r="BU197" i="7"/>
  <c r="CP197" i="7" s="1"/>
  <c r="CE190" i="7"/>
  <c r="CZ190" i="7" s="1"/>
  <c r="CJ221" i="7"/>
  <c r="DE221" i="7" s="1"/>
  <c r="AM190" i="7" l="1"/>
  <c r="CK188" i="7"/>
  <c r="DF188" i="7" s="1"/>
  <c r="AN187" i="7"/>
  <c r="EN183" i="7"/>
  <c r="AO182" i="7"/>
  <c r="EO189" i="7"/>
  <c r="Q57" i="32"/>
  <c r="AJ59" i="7"/>
  <c r="BJ59" i="7" s="1"/>
  <c r="BM59" i="7" s="1"/>
  <c r="B59" i="7" s="1"/>
  <c r="AK59" i="7"/>
  <c r="AK60" i="7" s="1"/>
  <c r="CB190" i="7"/>
  <c r="CW190" i="7" s="1"/>
  <c r="AL59" i="7"/>
  <c r="BL59" i="7" s="1"/>
  <c r="BK58" i="7"/>
  <c r="D58" i="7"/>
  <c r="E58" i="7"/>
  <c r="BL58" i="7"/>
  <c r="C58" i="7"/>
  <c r="BJ58" i="7"/>
  <c r="CL186" i="7"/>
  <c r="DG186" i="7" s="1"/>
  <c r="EM185" i="7"/>
  <c r="EF186" i="7"/>
  <c r="EC186" i="7"/>
  <c r="DZ182" i="7"/>
  <c r="EA182" i="7"/>
  <c r="EB181" i="7"/>
  <c r="DX181" i="7"/>
  <c r="DW181" i="7"/>
  <c r="AV185" i="7"/>
  <c r="AY185" i="7"/>
  <c r="AT185" i="7"/>
  <c r="AW185" i="7"/>
  <c r="BC185" i="7"/>
  <c r="AX185" i="7"/>
  <c r="BA185" i="7"/>
  <c r="AU185" i="7"/>
  <c r="AZ185" i="7"/>
  <c r="M186" i="7"/>
  <c r="AV186" i="7" s="1"/>
  <c r="DV186" i="7"/>
  <c r="BX219" i="7"/>
  <c r="CS219" i="7" s="1"/>
  <c r="BY219" i="7"/>
  <c r="CT219" i="7" s="1"/>
  <c r="BW221" i="7"/>
  <c r="CR221" i="7" s="1"/>
  <c r="DK184" i="7"/>
  <c r="BF183" i="7"/>
  <c r="BE183" i="7"/>
  <c r="BD183" i="7"/>
  <c r="DJ184" i="7"/>
  <c r="AF184" i="7"/>
  <c r="AI184" i="7" s="1"/>
  <c r="DQ184" i="7"/>
  <c r="DQ185" i="7" s="1"/>
  <c r="AH184" i="7"/>
  <c r="DO184" i="7"/>
  <c r="DR184" i="7"/>
  <c r="DN184" i="7"/>
  <c r="DP184" i="7"/>
  <c r="DM184" i="7"/>
  <c r="DL184" i="7"/>
  <c r="CM210" i="7"/>
  <c r="DH210" i="7" s="1"/>
  <c r="CC204" i="7"/>
  <c r="CX204" i="7" s="1"/>
  <c r="G178" i="7"/>
  <c r="BV188" i="7"/>
  <c r="CQ188" i="7" s="1"/>
  <c r="BT190" i="7"/>
  <c r="CO190" i="7" s="1"/>
  <c r="DS188" i="7"/>
  <c r="P188" i="7" s="1"/>
  <c r="CI189" i="7"/>
  <c r="DD189" i="7" s="1"/>
  <c r="BO180" i="7"/>
  <c r="CA182" i="7"/>
  <c r="CV182" i="7" s="1"/>
  <c r="CG183" i="7"/>
  <c r="DB183" i="7" s="1"/>
  <c r="BZ184" i="7"/>
  <c r="CU184" i="7" s="1"/>
  <c r="CD186" i="7"/>
  <c r="CY186" i="7" s="1"/>
  <c r="BQ179" i="7"/>
  <c r="H179" i="7" s="1"/>
  <c r="DI180" i="7"/>
  <c r="BP180" i="7" s="1"/>
  <c r="CF188" i="7"/>
  <c r="DA188" i="7" s="1"/>
  <c r="BN182" i="7"/>
  <c r="CH183" i="7"/>
  <c r="DC183" i="7" s="1"/>
  <c r="AF185" i="7"/>
  <c r="AI185" i="7" s="1"/>
  <c r="AG185" i="7"/>
  <c r="AH185" i="7"/>
  <c r="BS187" i="7"/>
  <c r="CN187" i="7" s="1"/>
  <c r="BU198" i="7"/>
  <c r="CP198" i="7" s="1"/>
  <c r="CE191" i="7"/>
  <c r="CZ191" i="7" s="1"/>
  <c r="CJ222" i="7"/>
  <c r="DE222" i="7" s="1"/>
  <c r="AN188" i="7" l="1"/>
  <c r="EN184" i="7"/>
  <c r="CK189" i="7"/>
  <c r="DF189" i="7" s="1"/>
  <c r="AM191" i="7"/>
  <c r="AO183" i="7"/>
  <c r="EO190" i="7"/>
  <c r="BK59" i="7"/>
  <c r="C59" i="7"/>
  <c r="F59" i="7" s="1"/>
  <c r="D59" i="7"/>
  <c r="AJ60" i="7"/>
  <c r="C60" i="7" s="1"/>
  <c r="F60" i="7" s="1"/>
  <c r="E59" i="7"/>
  <c r="AL60" i="7"/>
  <c r="E60" i="7" s="1"/>
  <c r="F58" i="7"/>
  <c r="BM58" i="7"/>
  <c r="B58" i="7" s="1"/>
  <c r="CB191" i="7"/>
  <c r="CW191" i="7" s="1"/>
  <c r="D60" i="7"/>
  <c r="AK61" i="7"/>
  <c r="BK60" i="7"/>
  <c r="CL187" i="7"/>
  <c r="DG187" i="7" s="1"/>
  <c r="EM186" i="7"/>
  <c r="DN185" i="7"/>
  <c r="AZ186" i="7"/>
  <c r="DW182" i="7"/>
  <c r="EB182" i="7"/>
  <c r="DX182" i="7"/>
  <c r="EF187" i="7"/>
  <c r="EC187" i="7"/>
  <c r="EA183" i="7"/>
  <c r="DZ183" i="7"/>
  <c r="AY186" i="7"/>
  <c r="BC186" i="7"/>
  <c r="BB186" i="7"/>
  <c r="AT186" i="7"/>
  <c r="AU186" i="7"/>
  <c r="BA186" i="7"/>
  <c r="AW186" i="7"/>
  <c r="AX186" i="7"/>
  <c r="M187" i="7"/>
  <c r="AU187" i="7" s="1"/>
  <c r="DV187" i="7"/>
  <c r="BY220" i="7"/>
  <c r="CT220" i="7" s="1"/>
  <c r="BX220" i="7"/>
  <c r="CS220" i="7" s="1"/>
  <c r="BW222" i="7"/>
  <c r="CR222" i="7" s="1"/>
  <c r="DO185" i="7"/>
  <c r="BE184" i="7"/>
  <c r="DR185" i="7"/>
  <c r="DJ185" i="7"/>
  <c r="BF184" i="7"/>
  <c r="DM185" i="7"/>
  <c r="BD184" i="7"/>
  <c r="DP185" i="7"/>
  <c r="DL185" i="7"/>
  <c r="DK185" i="7"/>
  <c r="CM211" i="7"/>
  <c r="DH211" i="7" s="1"/>
  <c r="CC205" i="7"/>
  <c r="CX205" i="7" s="1"/>
  <c r="G179" i="7"/>
  <c r="BT191" i="7"/>
  <c r="CO191" i="7" s="1"/>
  <c r="DS189" i="7"/>
  <c r="P189" i="7" s="1"/>
  <c r="CI190" i="7"/>
  <c r="DD190" i="7" s="1"/>
  <c r="BV189" i="7"/>
  <c r="CQ189" i="7" s="1"/>
  <c r="BO181" i="7"/>
  <c r="CA183" i="7"/>
  <c r="CV183" i="7" s="1"/>
  <c r="CG184" i="7"/>
  <c r="DB184" i="7" s="1"/>
  <c r="BZ185" i="7"/>
  <c r="CU185" i="7" s="1"/>
  <c r="CD187" i="7"/>
  <c r="CY187" i="7" s="1"/>
  <c r="BN183" i="7"/>
  <c r="CH184" i="7"/>
  <c r="DC184" i="7" s="1"/>
  <c r="BQ180" i="7"/>
  <c r="H180" i="7" s="1"/>
  <c r="DI181" i="7"/>
  <c r="BP181" i="7" s="1"/>
  <c r="CF189" i="7"/>
  <c r="DA189" i="7" s="1"/>
  <c r="BS188" i="7"/>
  <c r="CN188" i="7" s="1"/>
  <c r="BF185" i="7"/>
  <c r="BU199" i="7"/>
  <c r="CP199" i="7" s="1"/>
  <c r="CE192" i="7"/>
  <c r="CZ192" i="7" s="1"/>
  <c r="CJ223" i="7"/>
  <c r="DE223" i="7" s="1"/>
  <c r="AO184" i="7" l="1"/>
  <c r="AM192" i="7"/>
  <c r="AN189" i="7"/>
  <c r="EO191" i="7"/>
  <c r="EN185" i="7"/>
  <c r="CK190" i="7"/>
  <c r="DF190" i="7" s="1"/>
  <c r="AJ61" i="7"/>
  <c r="C61" i="7" s="1"/>
  <c r="F61" i="7" s="1"/>
  <c r="BJ60" i="7"/>
  <c r="BM60" i="7" s="1"/>
  <c r="B60" i="7" s="1"/>
  <c r="AL61" i="7"/>
  <c r="AL62" i="7" s="1"/>
  <c r="BL60" i="7"/>
  <c r="CB192" i="7"/>
  <c r="CW192" i="7" s="1"/>
  <c r="D61" i="7"/>
  <c r="BK61" i="7"/>
  <c r="AK62" i="7"/>
  <c r="CL188" i="7"/>
  <c r="DG188" i="7" s="1"/>
  <c r="EM187" i="7"/>
  <c r="EA184" i="7"/>
  <c r="DZ184" i="7"/>
  <c r="EB183" i="7"/>
  <c r="DX183" i="7"/>
  <c r="DW183" i="7"/>
  <c r="EC188" i="7"/>
  <c r="EF188" i="7"/>
  <c r="N69" i="7"/>
  <c r="D58" i="32"/>
  <c r="AX187" i="7"/>
  <c r="BC187" i="7"/>
  <c r="BA187" i="7"/>
  <c r="AV187" i="7"/>
  <c r="AZ187" i="7"/>
  <c r="AT187" i="7"/>
  <c r="AY187" i="7"/>
  <c r="BB187" i="7"/>
  <c r="M188" i="7"/>
  <c r="AZ188" i="7" s="1"/>
  <c r="DV188" i="7"/>
  <c r="AW187" i="7"/>
  <c r="BX221" i="7"/>
  <c r="CS221" i="7" s="1"/>
  <c r="BY221" i="7"/>
  <c r="CT221" i="7" s="1"/>
  <c r="BW223" i="7"/>
  <c r="CR223" i="7" s="1"/>
  <c r="DK186" i="7"/>
  <c r="BE185" i="7"/>
  <c r="BD185" i="7"/>
  <c r="DO186" i="7"/>
  <c r="DP186" i="7"/>
  <c r="DN186" i="7"/>
  <c r="AF186" i="7"/>
  <c r="AI186" i="7" s="1"/>
  <c r="DM186" i="7"/>
  <c r="AG186" i="7"/>
  <c r="DR186" i="7"/>
  <c r="DQ186" i="7"/>
  <c r="AH186" i="7"/>
  <c r="DJ186" i="7"/>
  <c r="DL186" i="7"/>
  <c r="CM212" i="7"/>
  <c r="DH212" i="7" s="1"/>
  <c r="CC206" i="7"/>
  <c r="CX206" i="7" s="1"/>
  <c r="G180" i="7"/>
  <c r="DS190" i="7"/>
  <c r="P190" i="7" s="1"/>
  <c r="CI191" i="7"/>
  <c r="DD191" i="7" s="1"/>
  <c r="BV190" i="7"/>
  <c r="CQ190" i="7" s="1"/>
  <c r="BT192" i="7"/>
  <c r="CO192" i="7" s="1"/>
  <c r="BO182" i="7"/>
  <c r="CA184" i="7"/>
  <c r="CV184" i="7" s="1"/>
  <c r="CG185" i="7"/>
  <c r="DB185" i="7" s="1"/>
  <c r="BZ186" i="7"/>
  <c r="CU186" i="7" s="1"/>
  <c r="CD188" i="7"/>
  <c r="CY188" i="7" s="1"/>
  <c r="BN184" i="7"/>
  <c r="CH185" i="7"/>
  <c r="DC185" i="7" s="1"/>
  <c r="DI182" i="7"/>
  <c r="BP182" i="7" s="1"/>
  <c r="BQ181" i="7"/>
  <c r="H181" i="7" s="1"/>
  <c r="CF190" i="7"/>
  <c r="DA190" i="7" s="1"/>
  <c r="BS189" i="7"/>
  <c r="CN189" i="7" s="1"/>
  <c r="BU200" i="7"/>
  <c r="CP200" i="7" s="1"/>
  <c r="CE193" i="7"/>
  <c r="CZ193" i="7" s="1"/>
  <c r="CJ224" i="7"/>
  <c r="DE224" i="7" s="1"/>
  <c r="AN190" i="7" l="1"/>
  <c r="CK191" i="7"/>
  <c r="DF191" i="7" s="1"/>
  <c r="EN186" i="7"/>
  <c r="EO192" i="7"/>
  <c r="AM193" i="7"/>
  <c r="AO185" i="7"/>
  <c r="BL61" i="7"/>
  <c r="BJ61" i="7"/>
  <c r="BM61" i="7" s="1"/>
  <c r="B61" i="7" s="1"/>
  <c r="AJ62" i="7"/>
  <c r="C62" i="7" s="1"/>
  <c r="F62" i="7" s="1"/>
  <c r="E61" i="7"/>
  <c r="CB193" i="7"/>
  <c r="CW193" i="7" s="1"/>
  <c r="E62" i="7"/>
  <c r="BL62" i="7"/>
  <c r="AL63" i="7"/>
  <c r="BK62" i="7"/>
  <c r="AK63" i="7"/>
  <c r="D62" i="7"/>
  <c r="F58" i="32"/>
  <c r="G58" i="32" s="1"/>
  <c r="P58" i="32" s="1"/>
  <c r="Q58" i="32" s="1"/>
  <c r="AQ69" i="7"/>
  <c r="BH69" i="7" s="1"/>
  <c r="AR69" i="7"/>
  <c r="BI69" i="7" s="1"/>
  <c r="AP69" i="7"/>
  <c r="BG69" i="7" s="1"/>
  <c r="AV188" i="7"/>
  <c r="CL189" i="7"/>
  <c r="DG189" i="7" s="1"/>
  <c r="EM188" i="7"/>
  <c r="EF189" i="7"/>
  <c r="EC189" i="7"/>
  <c r="DZ185" i="7"/>
  <c r="EA185" i="7"/>
  <c r="DW184" i="7"/>
  <c r="EB184" i="7"/>
  <c r="DX184" i="7"/>
  <c r="AX188" i="7"/>
  <c r="BC188" i="7"/>
  <c r="BA188" i="7"/>
  <c r="AW188" i="7"/>
  <c r="AU188" i="7"/>
  <c r="AT188" i="7"/>
  <c r="M189" i="7"/>
  <c r="AU189" i="7" s="1"/>
  <c r="DV189" i="7"/>
  <c r="AY188" i="7"/>
  <c r="BB188" i="7"/>
  <c r="BY222" i="7"/>
  <c r="CT222" i="7" s="1"/>
  <c r="BX222" i="7"/>
  <c r="CS222" i="7" s="1"/>
  <c r="BW224" i="7"/>
  <c r="CR224" i="7" s="1"/>
  <c r="DO187" i="7"/>
  <c r="DO188" i="7" s="1"/>
  <c r="BE186" i="7"/>
  <c r="BD186" i="7"/>
  <c r="BF186" i="7"/>
  <c r="DR187" i="7"/>
  <c r="AG187" i="7"/>
  <c r="DP187" i="7"/>
  <c r="DJ187" i="7"/>
  <c r="DL187" i="7"/>
  <c r="DN187" i="7"/>
  <c r="AF187" i="7"/>
  <c r="AI187" i="7" s="1"/>
  <c r="DM187" i="7"/>
  <c r="DK187" i="7"/>
  <c r="AH187" i="7"/>
  <c r="DQ187" i="7"/>
  <c r="CM213" i="7"/>
  <c r="DH213" i="7" s="1"/>
  <c r="CC207" i="7"/>
  <c r="CX207" i="7" s="1"/>
  <c r="G181" i="7"/>
  <c r="BV191" i="7"/>
  <c r="CQ191" i="7" s="1"/>
  <c r="BT193" i="7"/>
  <c r="CO193" i="7" s="1"/>
  <c r="CI192" i="7"/>
  <c r="DD192" i="7" s="1"/>
  <c r="DS191" i="7"/>
  <c r="P191" i="7" s="1"/>
  <c r="CA185" i="7"/>
  <c r="CV185" i="7" s="1"/>
  <c r="BO183" i="7"/>
  <c r="CG186" i="7"/>
  <c r="DB186" i="7" s="1"/>
  <c r="BZ187" i="7"/>
  <c r="CU187" i="7" s="1"/>
  <c r="CD189" i="7"/>
  <c r="CY189" i="7" s="1"/>
  <c r="BN185" i="7"/>
  <c r="CH186" i="7"/>
  <c r="DC186" i="7" s="1"/>
  <c r="CF191" i="7"/>
  <c r="DA191" i="7" s="1"/>
  <c r="DI183" i="7"/>
  <c r="BP183" i="7" s="1"/>
  <c r="BQ182" i="7"/>
  <c r="H182" i="7" s="1"/>
  <c r="AG188" i="7"/>
  <c r="AF188" i="7"/>
  <c r="AI188" i="7" s="1"/>
  <c r="AH188" i="7"/>
  <c r="BS190" i="7"/>
  <c r="CN190" i="7" s="1"/>
  <c r="BU201" i="7"/>
  <c r="CP201" i="7" s="1"/>
  <c r="CE194" i="7"/>
  <c r="CZ194" i="7" s="1"/>
  <c r="CJ225" i="7"/>
  <c r="DE225" i="7" s="1"/>
  <c r="AN191" i="7" l="1"/>
  <c r="EN187" i="7"/>
  <c r="CK192" i="7"/>
  <c r="DF192" i="7" s="1"/>
  <c r="AO186" i="7"/>
  <c r="EO193" i="7"/>
  <c r="AM194" i="7"/>
  <c r="AJ63" i="7"/>
  <c r="AJ64" i="7" s="1"/>
  <c r="BJ62" i="7"/>
  <c r="BM62" i="7" s="1"/>
  <c r="B62" i="7" s="1"/>
  <c r="CB194" i="7"/>
  <c r="CW194" i="7" s="1"/>
  <c r="E63" i="7"/>
  <c r="BL63" i="7"/>
  <c r="AL64" i="7"/>
  <c r="D63" i="7"/>
  <c r="BK63" i="7"/>
  <c r="AK64" i="7"/>
  <c r="CL190" i="7"/>
  <c r="DG190" i="7" s="1"/>
  <c r="EM189" i="7"/>
  <c r="DZ186" i="7"/>
  <c r="EA186" i="7"/>
  <c r="EB185" i="7"/>
  <c r="DX185" i="7"/>
  <c r="DW185" i="7"/>
  <c r="EF190" i="7"/>
  <c r="EC190" i="7"/>
  <c r="DM188" i="7"/>
  <c r="AY189" i="7"/>
  <c r="AV189" i="7"/>
  <c r="BC189" i="7"/>
  <c r="AT189" i="7"/>
  <c r="AW189" i="7"/>
  <c r="BB189" i="7"/>
  <c r="AZ189" i="7"/>
  <c r="AX189" i="7"/>
  <c r="M190" i="7"/>
  <c r="AZ190" i="7" s="1"/>
  <c r="DV190" i="7"/>
  <c r="BA189" i="7"/>
  <c r="BX223" i="7"/>
  <c r="CS223" i="7" s="1"/>
  <c r="BY223" i="7"/>
  <c r="CT223" i="7" s="1"/>
  <c r="BW225" i="7"/>
  <c r="CR225" i="7" s="1"/>
  <c r="BD187" i="7"/>
  <c r="DR188" i="7"/>
  <c r="DL188" i="7"/>
  <c r="DQ188" i="7"/>
  <c r="DP188" i="7"/>
  <c r="BF187" i="7"/>
  <c r="BE187" i="7"/>
  <c r="DK188" i="7"/>
  <c r="DJ188" i="7"/>
  <c r="DN188" i="7"/>
  <c r="CM214" i="7"/>
  <c r="DH214" i="7" s="1"/>
  <c r="CC208" i="7"/>
  <c r="CX208" i="7" s="1"/>
  <c r="G182" i="7"/>
  <c r="BT194" i="7"/>
  <c r="CO194" i="7" s="1"/>
  <c r="BV192" i="7"/>
  <c r="CQ192" i="7" s="1"/>
  <c r="CI193" i="7"/>
  <c r="DD193" i="7" s="1"/>
  <c r="DS192" i="7"/>
  <c r="P192" i="7" s="1"/>
  <c r="BO184" i="7"/>
  <c r="CA186" i="7"/>
  <c r="CV186" i="7" s="1"/>
  <c r="CG187" i="7"/>
  <c r="DB187" i="7" s="1"/>
  <c r="BZ188" i="7"/>
  <c r="CU188" i="7" s="1"/>
  <c r="CD190" i="7"/>
  <c r="CY190" i="7" s="1"/>
  <c r="BQ183" i="7"/>
  <c r="H183" i="7" s="1"/>
  <c r="DI184" i="7"/>
  <c r="BP184" i="7" s="1"/>
  <c r="CF192" i="7"/>
  <c r="DA192" i="7" s="1"/>
  <c r="CH187" i="7"/>
  <c r="DC187" i="7" s="1"/>
  <c r="BN186" i="7"/>
  <c r="BS191" i="7"/>
  <c r="CN191" i="7" s="1"/>
  <c r="AG189" i="7"/>
  <c r="AH189" i="7"/>
  <c r="AF189" i="7"/>
  <c r="AI189" i="7" s="1"/>
  <c r="BU202" i="7"/>
  <c r="CP202" i="7" s="1"/>
  <c r="CE195" i="7"/>
  <c r="CZ195" i="7" s="1"/>
  <c r="CJ226" i="7"/>
  <c r="DE226" i="7" s="1"/>
  <c r="EO194" i="7" l="1"/>
  <c r="AM195" i="7"/>
  <c r="AN192" i="7"/>
  <c r="EN188" i="7"/>
  <c r="AO187" i="7"/>
  <c r="CK193" i="7"/>
  <c r="DF193" i="7" s="1"/>
  <c r="BJ63" i="7"/>
  <c r="BM63" i="7" s="1"/>
  <c r="B63" i="7" s="1"/>
  <c r="C63" i="7"/>
  <c r="F63" i="7" s="1"/>
  <c r="CB195" i="7"/>
  <c r="CW195" i="7" s="1"/>
  <c r="AL65" i="7"/>
  <c r="E64" i="7"/>
  <c r="BL64" i="7"/>
  <c r="AJ65" i="7"/>
  <c r="C64" i="7"/>
  <c r="F64" i="7" s="1"/>
  <c r="BJ64" i="7"/>
  <c r="BM64" i="7" s="1"/>
  <c r="B64" i="7" s="1"/>
  <c r="D64" i="7"/>
  <c r="BK64" i="7"/>
  <c r="AK65" i="7"/>
  <c r="CL191" i="7"/>
  <c r="DG191" i="7" s="1"/>
  <c r="EM190" i="7"/>
  <c r="AV190" i="7"/>
  <c r="DM189" i="7"/>
  <c r="DN189" i="7"/>
  <c r="EF191" i="7"/>
  <c r="EC191" i="7"/>
  <c r="DZ187" i="7"/>
  <c r="EA187" i="7"/>
  <c r="EB186" i="7"/>
  <c r="DX186" i="7"/>
  <c r="DW186" i="7"/>
  <c r="BC190" i="7"/>
  <c r="BB190" i="7"/>
  <c r="AX190" i="7"/>
  <c r="BA190" i="7"/>
  <c r="AT190" i="7"/>
  <c r="AW190" i="7"/>
  <c r="AU190" i="7"/>
  <c r="AY190" i="7"/>
  <c r="M191" i="7"/>
  <c r="AX191" i="7" s="1"/>
  <c r="DV191" i="7"/>
  <c r="BY224" i="7"/>
  <c r="CT224" i="7" s="1"/>
  <c r="BX224" i="7"/>
  <c r="CS224" i="7" s="1"/>
  <c r="BW226" i="7"/>
  <c r="CR226" i="7" s="1"/>
  <c r="DK189" i="7"/>
  <c r="BF188" i="7"/>
  <c r="BE188" i="7"/>
  <c r="BD188" i="7"/>
  <c r="DP189" i="7"/>
  <c r="DQ189" i="7"/>
  <c r="DO189" i="7"/>
  <c r="DL189" i="7"/>
  <c r="DR189" i="7"/>
  <c r="DJ189" i="7"/>
  <c r="CM215" i="7"/>
  <c r="DH215" i="7" s="1"/>
  <c r="CC209" i="7"/>
  <c r="CX209" i="7" s="1"/>
  <c r="G183" i="7"/>
  <c r="BV193" i="7"/>
  <c r="CQ193" i="7" s="1"/>
  <c r="BT195" i="7"/>
  <c r="CO195" i="7" s="1"/>
  <c r="CI194" i="7"/>
  <c r="DD194" i="7" s="1"/>
  <c r="DS193" i="7"/>
  <c r="P193" i="7" s="1"/>
  <c r="CA187" i="7"/>
  <c r="CV187" i="7" s="1"/>
  <c r="BO185" i="7"/>
  <c r="CG188" i="7"/>
  <c r="DB188" i="7" s="1"/>
  <c r="BZ189" i="7"/>
  <c r="CU189" i="7" s="1"/>
  <c r="CD191" i="7"/>
  <c r="CY191" i="7" s="1"/>
  <c r="CF193" i="7"/>
  <c r="DA193" i="7" s="1"/>
  <c r="DI185" i="7"/>
  <c r="BP185" i="7" s="1"/>
  <c r="BQ184" i="7"/>
  <c r="H184" i="7" s="1"/>
  <c r="CH188" i="7"/>
  <c r="DC188" i="7" s="1"/>
  <c r="BN187" i="7"/>
  <c r="AF190" i="7"/>
  <c r="AI190" i="7" s="1"/>
  <c r="AH190" i="7"/>
  <c r="AG190" i="7"/>
  <c r="BS192" i="7"/>
  <c r="CN192" i="7" s="1"/>
  <c r="BU203" i="7"/>
  <c r="CP203" i="7" s="1"/>
  <c r="CE196" i="7"/>
  <c r="CZ196" i="7" s="1"/>
  <c r="CJ227" i="7"/>
  <c r="DE227" i="7" s="1"/>
  <c r="EO195" i="7" l="1"/>
  <c r="CK194" i="7"/>
  <c r="DF194" i="7" s="1"/>
  <c r="AN193" i="7"/>
  <c r="AM196" i="7"/>
  <c r="EN189" i="7"/>
  <c r="AO188" i="7"/>
  <c r="CB196" i="7"/>
  <c r="CW196" i="7" s="1"/>
  <c r="C65" i="7"/>
  <c r="F65" i="7" s="1"/>
  <c r="BJ65" i="7"/>
  <c r="BM65" i="7" s="1"/>
  <c r="B65" i="7" s="1"/>
  <c r="AJ66" i="7"/>
  <c r="D65" i="7"/>
  <c r="BK65" i="7"/>
  <c r="AK66" i="7"/>
  <c r="E65" i="7"/>
  <c r="BL65" i="7"/>
  <c r="AL66" i="7"/>
  <c r="CL192" i="7"/>
  <c r="DG192" i="7" s="1"/>
  <c r="EM191" i="7"/>
  <c r="DN190" i="7"/>
  <c r="DX187" i="7"/>
  <c r="DW187" i="7"/>
  <c r="EB187" i="7"/>
  <c r="EF192" i="7"/>
  <c r="EC192" i="7"/>
  <c r="EA188" i="7"/>
  <c r="DZ188" i="7"/>
  <c r="N70" i="7"/>
  <c r="D59" i="32"/>
  <c r="AT191" i="7"/>
  <c r="BB191" i="7"/>
  <c r="AZ191" i="7"/>
  <c r="AU191" i="7"/>
  <c r="AW191" i="7"/>
  <c r="AV191" i="7"/>
  <c r="AY191" i="7"/>
  <c r="DN191" i="7" s="1"/>
  <c r="M192" i="7"/>
  <c r="AW192" i="7" s="1"/>
  <c r="DV192" i="7"/>
  <c r="BA191" i="7"/>
  <c r="BC191" i="7"/>
  <c r="BX225" i="7"/>
  <c r="CS225" i="7" s="1"/>
  <c r="BY225" i="7"/>
  <c r="CT225" i="7" s="1"/>
  <c r="BW227" i="7"/>
  <c r="CR227" i="7" s="1"/>
  <c r="DK190" i="7"/>
  <c r="DQ190" i="7"/>
  <c r="BD189" i="7"/>
  <c r="DR190" i="7"/>
  <c r="DP190" i="7"/>
  <c r="BF189" i="7"/>
  <c r="BE189" i="7"/>
  <c r="DO190" i="7"/>
  <c r="DM190" i="7"/>
  <c r="DL190" i="7"/>
  <c r="DJ190" i="7"/>
  <c r="CM216" i="7"/>
  <c r="DH216" i="7" s="1"/>
  <c r="CC210" i="7"/>
  <c r="CX210" i="7" s="1"/>
  <c r="G184" i="7"/>
  <c r="BT196" i="7"/>
  <c r="CO196" i="7" s="1"/>
  <c r="DS194" i="7"/>
  <c r="P194" i="7" s="1"/>
  <c r="CI195" i="7"/>
  <c r="DD195" i="7" s="1"/>
  <c r="BV194" i="7"/>
  <c r="CQ194" i="7" s="1"/>
  <c r="BO186" i="7"/>
  <c r="CA188" i="7"/>
  <c r="CV188" i="7" s="1"/>
  <c r="CG189" i="7"/>
  <c r="DB189" i="7" s="1"/>
  <c r="BZ190" i="7"/>
  <c r="CU190" i="7" s="1"/>
  <c r="CD192" i="7"/>
  <c r="CY192" i="7" s="1"/>
  <c r="BN188" i="7"/>
  <c r="CH189" i="7"/>
  <c r="DC189" i="7" s="1"/>
  <c r="CF194" i="7"/>
  <c r="DA194" i="7" s="1"/>
  <c r="DI186" i="7"/>
  <c r="BP186" i="7" s="1"/>
  <c r="BQ185" i="7"/>
  <c r="H185" i="7" s="1"/>
  <c r="BS193" i="7"/>
  <c r="CN193" i="7" s="1"/>
  <c r="BU204" i="7"/>
  <c r="CP204" i="7" s="1"/>
  <c r="CE197" i="7"/>
  <c r="CZ197" i="7" s="1"/>
  <c r="CJ228" i="7"/>
  <c r="DE228" i="7" s="1"/>
  <c r="AM197" i="7" l="1"/>
  <c r="EO196" i="7"/>
  <c r="CK195" i="7"/>
  <c r="DF195" i="7" s="1"/>
  <c r="AN194" i="7"/>
  <c r="EN190" i="7"/>
  <c r="AO189" i="7"/>
  <c r="CB197" i="7"/>
  <c r="CW197" i="7" s="1"/>
  <c r="BJ66" i="7"/>
  <c r="BM66" i="7" s="1"/>
  <c r="B66" i="7" s="1"/>
  <c r="AJ67" i="7"/>
  <c r="C66" i="7"/>
  <c r="F66" i="7" s="1"/>
  <c r="AK67" i="7"/>
  <c r="D66" i="7"/>
  <c r="BK66" i="7"/>
  <c r="AL67" i="7"/>
  <c r="E66" i="7"/>
  <c r="BL66" i="7"/>
  <c r="F59" i="32"/>
  <c r="G59" i="32" s="1"/>
  <c r="P59" i="32" s="1"/>
  <c r="Q59" i="32" s="1"/>
  <c r="AR70" i="7"/>
  <c r="BI70" i="7" s="1"/>
  <c r="AP70" i="7"/>
  <c r="BG70" i="7" s="1"/>
  <c r="AQ70" i="7"/>
  <c r="BH70" i="7" s="1"/>
  <c r="CL193" i="7"/>
  <c r="DG193" i="7" s="1"/>
  <c r="EM192" i="7"/>
  <c r="EF193" i="7"/>
  <c r="EC193" i="7"/>
  <c r="DZ189" i="7"/>
  <c r="EA189" i="7"/>
  <c r="DX188" i="7"/>
  <c r="EB188" i="7"/>
  <c r="DW188" i="7"/>
  <c r="DO191" i="7"/>
  <c r="BC192" i="7"/>
  <c r="AX192" i="7"/>
  <c r="BA192" i="7"/>
  <c r="AY192" i="7"/>
  <c r="AZ192" i="7"/>
  <c r="BB192" i="7"/>
  <c r="AV192" i="7"/>
  <c r="AT192" i="7"/>
  <c r="M193" i="7"/>
  <c r="AT193" i="7" s="1"/>
  <c r="DV193" i="7"/>
  <c r="AU192" i="7"/>
  <c r="BY226" i="7"/>
  <c r="CT226" i="7" s="1"/>
  <c r="BX226" i="7"/>
  <c r="CS226" i="7" s="1"/>
  <c r="BW228" i="7"/>
  <c r="CR228" i="7" s="1"/>
  <c r="DM191" i="7"/>
  <c r="BD190" i="7"/>
  <c r="BE190" i="7"/>
  <c r="BF190" i="7"/>
  <c r="DJ191" i="7"/>
  <c r="DL191" i="7"/>
  <c r="DR191" i="7"/>
  <c r="AH191" i="7"/>
  <c r="AF191" i="7"/>
  <c r="AI191" i="7" s="1"/>
  <c r="DK191" i="7"/>
  <c r="DP191" i="7"/>
  <c r="AG191" i="7"/>
  <c r="DQ191" i="7"/>
  <c r="CM217" i="7"/>
  <c r="DH217" i="7" s="1"/>
  <c r="CC211" i="7"/>
  <c r="CX211" i="7" s="1"/>
  <c r="G185" i="7"/>
  <c r="CI196" i="7"/>
  <c r="DD196" i="7" s="1"/>
  <c r="DS195" i="7"/>
  <c r="P195" i="7" s="1"/>
  <c r="BV195" i="7"/>
  <c r="CQ195" i="7" s="1"/>
  <c r="BT197" i="7"/>
  <c r="CO197" i="7" s="1"/>
  <c r="CA189" i="7"/>
  <c r="CV189" i="7" s="1"/>
  <c r="BO187" i="7"/>
  <c r="CG190" i="7"/>
  <c r="DB190" i="7" s="1"/>
  <c r="BZ191" i="7"/>
  <c r="CU191" i="7" s="1"/>
  <c r="CD193" i="7"/>
  <c r="CY193" i="7" s="1"/>
  <c r="CF195" i="7"/>
  <c r="DA195" i="7" s="1"/>
  <c r="CH190" i="7"/>
  <c r="DC190" i="7" s="1"/>
  <c r="BN189" i="7"/>
  <c r="BQ186" i="7"/>
  <c r="H186" i="7" s="1"/>
  <c r="DI187" i="7"/>
  <c r="BP187" i="7" s="1"/>
  <c r="BS194" i="7"/>
  <c r="CN194" i="7" s="1"/>
  <c r="BU205" i="7"/>
  <c r="CP205" i="7" s="1"/>
  <c r="CE198" i="7"/>
  <c r="CZ198" i="7" s="1"/>
  <c r="CJ229" i="7"/>
  <c r="DE229" i="7" s="1"/>
  <c r="AM198" i="7" l="1"/>
  <c r="EN191" i="7"/>
  <c r="EO197" i="7"/>
  <c r="AN195" i="7"/>
  <c r="AO190" i="7"/>
  <c r="CK196" i="7"/>
  <c r="DF196" i="7" s="1"/>
  <c r="CB198" i="7"/>
  <c r="CW198" i="7" s="1"/>
  <c r="D67" i="7"/>
  <c r="AK68" i="7"/>
  <c r="BK67" i="7"/>
  <c r="BL67" i="7"/>
  <c r="AL68" i="7"/>
  <c r="E67" i="7"/>
  <c r="AJ68" i="7"/>
  <c r="C67" i="7"/>
  <c r="F67" i="7" s="1"/>
  <c r="BJ67" i="7"/>
  <c r="BM67" i="7" s="1"/>
  <c r="B67" i="7" s="1"/>
  <c r="CL194" i="7"/>
  <c r="DG194" i="7" s="1"/>
  <c r="EM193" i="7"/>
  <c r="EF194" i="7"/>
  <c r="EC194" i="7"/>
  <c r="EB189" i="7"/>
  <c r="DX189" i="7"/>
  <c r="DW189" i="7"/>
  <c r="EA190" i="7"/>
  <c r="DZ190" i="7"/>
  <c r="BB193" i="7"/>
  <c r="BA193" i="7"/>
  <c r="AZ193" i="7"/>
  <c r="AU193" i="7"/>
  <c r="AW193" i="7"/>
  <c r="BC193" i="7"/>
  <c r="AX193" i="7"/>
  <c r="M194" i="7"/>
  <c r="BA194" i="7" s="1"/>
  <c r="DV194" i="7"/>
  <c r="AV193" i="7"/>
  <c r="AY193" i="7"/>
  <c r="BX227" i="7"/>
  <c r="CS227" i="7" s="1"/>
  <c r="BY227" i="7"/>
  <c r="CT227" i="7" s="1"/>
  <c r="BW229" i="7"/>
  <c r="CR229" i="7" s="1"/>
  <c r="DK192" i="7"/>
  <c r="BF191" i="7"/>
  <c r="BD191" i="7"/>
  <c r="BE191" i="7"/>
  <c r="AH192" i="7"/>
  <c r="DP192" i="7"/>
  <c r="AF192" i="7"/>
  <c r="AI192" i="7" s="1"/>
  <c r="DJ192" i="7"/>
  <c r="AG192" i="7"/>
  <c r="DO192" i="7"/>
  <c r="DL192" i="7"/>
  <c r="DR192" i="7"/>
  <c r="DQ192" i="7"/>
  <c r="DM192" i="7"/>
  <c r="DN192" i="7"/>
  <c r="CM218" i="7"/>
  <c r="DH218" i="7" s="1"/>
  <c r="CC212" i="7"/>
  <c r="CX212" i="7" s="1"/>
  <c r="G186" i="7"/>
  <c r="BT198" i="7"/>
  <c r="CO198" i="7" s="1"/>
  <c r="CI197" i="7"/>
  <c r="DD197" i="7" s="1"/>
  <c r="DS196" i="7"/>
  <c r="P196" i="7" s="1"/>
  <c r="BV196" i="7"/>
  <c r="CQ196" i="7" s="1"/>
  <c r="BO188" i="7"/>
  <c r="CA190" i="7"/>
  <c r="CV190" i="7" s="1"/>
  <c r="CG191" i="7"/>
  <c r="DB191" i="7" s="1"/>
  <c r="BZ192" i="7"/>
  <c r="CU192" i="7" s="1"/>
  <c r="CD194" i="7"/>
  <c r="CY194" i="7" s="1"/>
  <c r="CF196" i="7"/>
  <c r="DA196" i="7" s="1"/>
  <c r="CH191" i="7"/>
  <c r="DC191" i="7" s="1"/>
  <c r="BN190" i="7"/>
  <c r="BQ187" i="7"/>
  <c r="H187" i="7" s="1"/>
  <c r="DI188" i="7"/>
  <c r="BP188" i="7" s="1"/>
  <c r="BS195" i="7"/>
  <c r="CN195" i="7" s="1"/>
  <c r="AF193" i="7"/>
  <c r="AI193" i="7" s="1"/>
  <c r="AG193" i="7"/>
  <c r="AH193" i="7"/>
  <c r="BF192" i="7"/>
  <c r="BU206" i="7"/>
  <c r="CP206" i="7" s="1"/>
  <c r="CE199" i="7"/>
  <c r="CZ199" i="7" s="1"/>
  <c r="CJ230" i="7"/>
  <c r="DE230" i="7" s="1"/>
  <c r="EN192" i="7" l="1"/>
  <c r="CK197" i="7"/>
  <c r="DF197" i="7" s="1"/>
  <c r="AO191" i="7"/>
  <c r="AM199" i="7"/>
  <c r="EO198" i="7"/>
  <c r="AN196" i="7"/>
  <c r="CB199" i="7"/>
  <c r="CW199" i="7" s="1"/>
  <c r="BJ68" i="7"/>
  <c r="BM68" i="7" s="1"/>
  <c r="B68" i="7" s="1"/>
  <c r="AJ69" i="7"/>
  <c r="C68" i="7"/>
  <c r="F68" i="7" s="1"/>
  <c r="BK68" i="7"/>
  <c r="AK69" i="7"/>
  <c r="D68" i="7"/>
  <c r="BL68" i="7"/>
  <c r="E68" i="7"/>
  <c r="AL69" i="7"/>
  <c r="CL195" i="7"/>
  <c r="DG195" i="7" s="1"/>
  <c r="EM194" i="7"/>
  <c r="EB190" i="7"/>
  <c r="DX190" i="7"/>
  <c r="DW190" i="7"/>
  <c r="EF195" i="7"/>
  <c r="EC195" i="7"/>
  <c r="DZ191" i="7"/>
  <c r="EA191" i="7"/>
  <c r="AW194" i="7"/>
  <c r="DR193" i="7"/>
  <c r="DP193" i="7"/>
  <c r="DP194" i="7" s="1"/>
  <c r="DL193" i="7"/>
  <c r="AT194" i="7"/>
  <c r="BC194" i="7"/>
  <c r="AY194" i="7"/>
  <c r="AZ194" i="7"/>
  <c r="DN193" i="7"/>
  <c r="BB194" i="7"/>
  <c r="AX194" i="7"/>
  <c r="AV194" i="7"/>
  <c r="M195" i="7"/>
  <c r="AU195" i="7" s="1"/>
  <c r="DV195" i="7"/>
  <c r="AU194" i="7"/>
  <c r="BY228" i="7"/>
  <c r="CT228" i="7" s="1"/>
  <c r="BX228" i="7"/>
  <c r="CS228" i="7" s="1"/>
  <c r="BW230" i="7"/>
  <c r="CR230" i="7" s="1"/>
  <c r="DO193" i="7"/>
  <c r="DJ193" i="7"/>
  <c r="BE192" i="7"/>
  <c r="BD192" i="7"/>
  <c r="DQ193" i="7"/>
  <c r="DM193" i="7"/>
  <c r="DK193" i="7"/>
  <c r="CM219" i="7"/>
  <c r="DH219" i="7" s="1"/>
  <c r="CC213" i="7"/>
  <c r="CX213" i="7" s="1"/>
  <c r="G187" i="7"/>
  <c r="BV197" i="7"/>
  <c r="CQ197" i="7" s="1"/>
  <c r="DS197" i="7"/>
  <c r="P197" i="7" s="1"/>
  <c r="CI198" i="7"/>
  <c r="DD198" i="7" s="1"/>
  <c r="BT199" i="7"/>
  <c r="CO199" i="7" s="1"/>
  <c r="CA191" i="7"/>
  <c r="CV191" i="7" s="1"/>
  <c r="BO189" i="7"/>
  <c r="CG192" i="7"/>
  <c r="DB192" i="7" s="1"/>
  <c r="BZ193" i="7"/>
  <c r="CU193" i="7" s="1"/>
  <c r="CD195" i="7"/>
  <c r="CY195" i="7" s="1"/>
  <c r="DI189" i="7"/>
  <c r="BP189" i="7" s="1"/>
  <c r="BQ188" i="7"/>
  <c r="H188" i="7" s="1"/>
  <c r="CH192" i="7"/>
  <c r="DC192" i="7" s="1"/>
  <c r="BN191" i="7"/>
  <c r="CF197" i="7"/>
  <c r="DA197" i="7" s="1"/>
  <c r="AG194" i="7"/>
  <c r="BS196" i="7"/>
  <c r="CN196" i="7" s="1"/>
  <c r="BU207" i="7"/>
  <c r="CP207" i="7" s="1"/>
  <c r="CE200" i="7"/>
  <c r="CZ200" i="7" s="1"/>
  <c r="CJ231" i="7"/>
  <c r="DE231" i="7" s="1"/>
  <c r="EN193" i="7" l="1"/>
  <c r="EO199" i="7"/>
  <c r="CK198" i="7"/>
  <c r="DF198" i="7" s="1"/>
  <c r="AO192" i="7"/>
  <c r="AM200" i="7"/>
  <c r="AN197" i="7"/>
  <c r="DR194" i="7"/>
  <c r="CB200" i="7"/>
  <c r="CW200" i="7" s="1"/>
  <c r="C69" i="7"/>
  <c r="F69" i="7" s="1"/>
  <c r="AJ70" i="7"/>
  <c r="BJ69" i="7"/>
  <c r="BM69" i="7" s="1"/>
  <c r="B69" i="7" s="1"/>
  <c r="AL70" i="7"/>
  <c r="E69" i="7"/>
  <c r="BL69" i="7"/>
  <c r="D69" i="7"/>
  <c r="BK69" i="7"/>
  <c r="AK70" i="7"/>
  <c r="CL196" i="7"/>
  <c r="DG196" i="7" s="1"/>
  <c r="EM195" i="7"/>
  <c r="DZ192" i="7"/>
  <c r="EA192" i="7"/>
  <c r="EB191" i="7"/>
  <c r="DX191" i="7"/>
  <c r="DW191" i="7"/>
  <c r="EF196" i="7"/>
  <c r="EC196" i="7"/>
  <c r="N71" i="7"/>
  <c r="D60" i="32"/>
  <c r="DL194" i="7"/>
  <c r="AV195" i="7"/>
  <c r="BB195" i="7"/>
  <c r="BA195" i="7"/>
  <c r="BC195" i="7"/>
  <c r="AX195" i="7"/>
  <c r="M196" i="7"/>
  <c r="AZ196" i="7" s="1"/>
  <c r="DV196" i="7"/>
  <c r="AZ195" i="7"/>
  <c r="AY195" i="7"/>
  <c r="AT195" i="7"/>
  <c r="AW195" i="7"/>
  <c r="BX229" i="7"/>
  <c r="CS229" i="7" s="1"/>
  <c r="BY229" i="7"/>
  <c r="CT229" i="7" s="1"/>
  <c r="BW231" i="7"/>
  <c r="CR231" i="7" s="1"/>
  <c r="BF193" i="7"/>
  <c r="BD193" i="7"/>
  <c r="DM194" i="7"/>
  <c r="DN194" i="7"/>
  <c r="BE193" i="7"/>
  <c r="DK194" i="7"/>
  <c r="DJ194" i="7"/>
  <c r="AH194" i="7"/>
  <c r="DO194" i="7"/>
  <c r="AF194" i="7"/>
  <c r="AI194" i="7" s="1"/>
  <c r="DQ194" i="7"/>
  <c r="CM220" i="7"/>
  <c r="DH220" i="7" s="1"/>
  <c r="CC214" i="7"/>
  <c r="CX214" i="7" s="1"/>
  <c r="G188" i="7"/>
  <c r="BT200" i="7"/>
  <c r="CO200" i="7" s="1"/>
  <c r="BV198" i="7"/>
  <c r="CQ198" i="7" s="1"/>
  <c r="DS198" i="7"/>
  <c r="P198" i="7" s="1"/>
  <c r="CI199" i="7"/>
  <c r="DD199" i="7" s="1"/>
  <c r="BO190" i="7"/>
  <c r="CA192" i="7"/>
  <c r="CV192" i="7" s="1"/>
  <c r="CG193" i="7"/>
  <c r="DB193" i="7" s="1"/>
  <c r="BZ194" i="7"/>
  <c r="CU194" i="7" s="1"/>
  <c r="CD196" i="7"/>
  <c r="CY196" i="7" s="1"/>
  <c r="CF198" i="7"/>
  <c r="DA198" i="7" s="1"/>
  <c r="DI190" i="7"/>
  <c r="BP190" i="7" s="1"/>
  <c r="BQ189" i="7"/>
  <c r="H189" i="7" s="1"/>
  <c r="CH193" i="7"/>
  <c r="DC193" i="7" s="1"/>
  <c r="BN192" i="7"/>
  <c r="BS197" i="7"/>
  <c r="CN197" i="7" s="1"/>
  <c r="BU208" i="7"/>
  <c r="CP208" i="7" s="1"/>
  <c r="CE201" i="7"/>
  <c r="CZ201" i="7" s="1"/>
  <c r="CJ232" i="7"/>
  <c r="DE232" i="7" s="1"/>
  <c r="EN194" i="7" l="1"/>
  <c r="EO200" i="7"/>
  <c r="AO193" i="7"/>
  <c r="AM201" i="7"/>
  <c r="AN198" i="7"/>
  <c r="CK199" i="7"/>
  <c r="DF199" i="7" s="1"/>
  <c r="CB201" i="7"/>
  <c r="CW201" i="7" s="1"/>
  <c r="E70" i="7"/>
  <c r="BL70" i="7"/>
  <c r="C70" i="7"/>
  <c r="F70" i="7" s="1"/>
  <c r="BJ70" i="7"/>
  <c r="BM70" i="7" s="1"/>
  <c r="B70" i="7" s="1"/>
  <c r="D70" i="7"/>
  <c r="BK70" i="7"/>
  <c r="F60" i="32"/>
  <c r="G60" i="32" s="1"/>
  <c r="P60" i="32" s="1"/>
  <c r="Q60" i="32" s="1"/>
  <c r="AP71" i="7"/>
  <c r="BG71" i="7" s="1"/>
  <c r="AQ71" i="7"/>
  <c r="BH71" i="7" s="1"/>
  <c r="AR71" i="7"/>
  <c r="BI71" i="7" s="1"/>
  <c r="CL197" i="7"/>
  <c r="DG197" i="7" s="1"/>
  <c r="EM196" i="7"/>
  <c r="EF197" i="7"/>
  <c r="EC197" i="7"/>
  <c r="DZ193" i="7"/>
  <c r="EA193" i="7"/>
  <c r="DW192" i="7"/>
  <c r="EB192" i="7"/>
  <c r="DX192" i="7"/>
  <c r="AT196" i="7"/>
  <c r="AK71" i="7"/>
  <c r="D71" i="7" s="1"/>
  <c r="AV196" i="7"/>
  <c r="AX196" i="7"/>
  <c r="AJ71" i="7"/>
  <c r="C71" i="7" s="1"/>
  <c r="AL71" i="7"/>
  <c r="E71" i="7" s="1"/>
  <c r="BC196" i="7"/>
  <c r="BA196" i="7"/>
  <c r="M197" i="7"/>
  <c r="AU197" i="7" s="1"/>
  <c r="DV197" i="7"/>
  <c r="AU196" i="7"/>
  <c r="AW196" i="7"/>
  <c r="AY196" i="7"/>
  <c r="BB196" i="7"/>
  <c r="BY230" i="7"/>
  <c r="CT230" i="7" s="1"/>
  <c r="BX230" i="7"/>
  <c r="CS230" i="7" s="1"/>
  <c r="BW232" i="7"/>
  <c r="CR232" i="7" s="1"/>
  <c r="DO195" i="7"/>
  <c r="BE194" i="7"/>
  <c r="BD194" i="7"/>
  <c r="BF194" i="7"/>
  <c r="DL195" i="7"/>
  <c r="AF195" i="7"/>
  <c r="AI195" i="7" s="1"/>
  <c r="DR195" i="7"/>
  <c r="AG195" i="7"/>
  <c r="DK195" i="7"/>
  <c r="DM195" i="7"/>
  <c r="DN195" i="7"/>
  <c r="AH195" i="7"/>
  <c r="DJ195" i="7"/>
  <c r="DP195" i="7"/>
  <c r="DQ195" i="7"/>
  <c r="CM221" i="7"/>
  <c r="DH221" i="7" s="1"/>
  <c r="CC215" i="7"/>
  <c r="CX215" i="7" s="1"/>
  <c r="G189" i="7"/>
  <c r="DS199" i="7"/>
  <c r="P199" i="7" s="1"/>
  <c r="CI200" i="7"/>
  <c r="DD200" i="7" s="1"/>
  <c r="BV199" i="7"/>
  <c r="CQ199" i="7" s="1"/>
  <c r="BT201" i="7"/>
  <c r="CO201" i="7" s="1"/>
  <c r="BO191" i="7"/>
  <c r="CA193" i="7"/>
  <c r="CV193" i="7" s="1"/>
  <c r="CG194" i="7"/>
  <c r="DB194" i="7" s="1"/>
  <c r="BZ195" i="7"/>
  <c r="CU195" i="7" s="1"/>
  <c r="CD197" i="7"/>
  <c r="CY197" i="7" s="1"/>
  <c r="CH194" i="7"/>
  <c r="DC194" i="7" s="1"/>
  <c r="BN193" i="7"/>
  <c r="BQ190" i="7"/>
  <c r="H190" i="7" s="1"/>
  <c r="DI191" i="7"/>
  <c r="BP191" i="7" s="1"/>
  <c r="CF199" i="7"/>
  <c r="DA199" i="7" s="1"/>
  <c r="BS198" i="7"/>
  <c r="CN198" i="7" s="1"/>
  <c r="AF196" i="7"/>
  <c r="AI196" i="7" s="1"/>
  <c r="AH196" i="7"/>
  <c r="BU209" i="7"/>
  <c r="CP209" i="7" s="1"/>
  <c r="CE202" i="7"/>
  <c r="CZ202" i="7" s="1"/>
  <c r="CJ233" i="7"/>
  <c r="DE233" i="7" s="1"/>
  <c r="EN195" i="7" l="1"/>
  <c r="EO201" i="7"/>
  <c r="CK200" i="7"/>
  <c r="DF200" i="7" s="1"/>
  <c r="AM202" i="7"/>
  <c r="AO194" i="7"/>
  <c r="AN199" i="7"/>
  <c r="CB202" i="7"/>
  <c r="CW202" i="7" s="1"/>
  <c r="CL198" i="7"/>
  <c r="DG198" i="7" s="1"/>
  <c r="EM197" i="7"/>
  <c r="DO196" i="7"/>
  <c r="DZ194" i="7"/>
  <c r="EA194" i="7"/>
  <c r="EB193" i="7"/>
  <c r="DX193" i="7"/>
  <c r="DW193" i="7"/>
  <c r="EF198" i="7"/>
  <c r="EC198" i="7"/>
  <c r="AV197" i="7"/>
  <c r="DM196" i="7"/>
  <c r="AZ197" i="7"/>
  <c r="BB197" i="7"/>
  <c r="AX197" i="7"/>
  <c r="BC197" i="7"/>
  <c r="AT197" i="7"/>
  <c r="AW197" i="7"/>
  <c r="AY197" i="7"/>
  <c r="BA197" i="7"/>
  <c r="DQ196" i="7"/>
  <c r="M198" i="7"/>
  <c r="AZ198" i="7" s="1"/>
  <c r="DV198" i="7"/>
  <c r="BX231" i="7"/>
  <c r="CS231" i="7" s="1"/>
  <c r="BY231" i="7"/>
  <c r="CT231" i="7" s="1"/>
  <c r="BW233" i="7"/>
  <c r="CR233" i="7" s="1"/>
  <c r="BE195" i="7"/>
  <c r="BD195" i="7"/>
  <c r="BF195" i="7"/>
  <c r="DL196" i="7"/>
  <c r="DR196" i="7"/>
  <c r="DJ196" i="7"/>
  <c r="DN196" i="7"/>
  <c r="DK196" i="7"/>
  <c r="DP196" i="7"/>
  <c r="AG196" i="7"/>
  <c r="CM222" i="7"/>
  <c r="DH222" i="7" s="1"/>
  <c r="CC216" i="7"/>
  <c r="CX216" i="7" s="1"/>
  <c r="G190" i="7"/>
  <c r="BK71" i="7"/>
  <c r="F71" i="7"/>
  <c r="BJ71" i="7"/>
  <c r="BL71" i="7"/>
  <c r="BT202" i="7"/>
  <c r="CO202" i="7" s="1"/>
  <c r="DS200" i="7"/>
  <c r="P200" i="7" s="1"/>
  <c r="CI201" i="7"/>
  <c r="DD201" i="7" s="1"/>
  <c r="BV200" i="7"/>
  <c r="CQ200" i="7" s="1"/>
  <c r="CA194" i="7"/>
  <c r="CV194" i="7" s="1"/>
  <c r="BO192" i="7"/>
  <c r="CG195" i="7"/>
  <c r="DB195" i="7" s="1"/>
  <c r="BZ196" i="7"/>
  <c r="CU196" i="7" s="1"/>
  <c r="CD198" i="7"/>
  <c r="CY198" i="7" s="1"/>
  <c r="BQ191" i="7"/>
  <c r="H191" i="7" s="1"/>
  <c r="DI192" i="7"/>
  <c r="BP192" i="7" s="1"/>
  <c r="BN194" i="7"/>
  <c r="CH195" i="7"/>
  <c r="DC195" i="7" s="1"/>
  <c r="CF200" i="7"/>
  <c r="DA200" i="7" s="1"/>
  <c r="AG197" i="7"/>
  <c r="BS199" i="7"/>
  <c r="CN199" i="7" s="1"/>
  <c r="BU210" i="7"/>
  <c r="CP210" i="7" s="1"/>
  <c r="CE203" i="7"/>
  <c r="CZ203" i="7" s="1"/>
  <c r="CJ234" i="7"/>
  <c r="DE234" i="7" s="1"/>
  <c r="AO195" i="7" l="1"/>
  <c r="AM203" i="7"/>
  <c r="AN200" i="7"/>
  <c r="EN196" i="7"/>
  <c r="EO202" i="7"/>
  <c r="CK201" i="7"/>
  <c r="DF201" i="7" s="1"/>
  <c r="CB203" i="7"/>
  <c r="CW203" i="7" s="1"/>
  <c r="CL199" i="7"/>
  <c r="DG199" i="7" s="1"/>
  <c r="EM198" i="7"/>
  <c r="DO197" i="7"/>
  <c r="DM197" i="7"/>
  <c r="EF199" i="7"/>
  <c r="EC199" i="7"/>
  <c r="EB194" i="7"/>
  <c r="DX194" i="7"/>
  <c r="DW194" i="7"/>
  <c r="DZ195" i="7"/>
  <c r="EA195" i="7"/>
  <c r="BC198" i="7"/>
  <c r="DN197" i="7"/>
  <c r="BA198" i="7"/>
  <c r="AT198" i="7"/>
  <c r="AW198" i="7"/>
  <c r="AX198" i="7"/>
  <c r="BB198" i="7"/>
  <c r="AV198" i="7"/>
  <c r="AU198" i="7"/>
  <c r="AY198" i="7"/>
  <c r="M199" i="7"/>
  <c r="AU199" i="7" s="1"/>
  <c r="DV199" i="7"/>
  <c r="BY232" i="7"/>
  <c r="CT232" i="7" s="1"/>
  <c r="BX232" i="7"/>
  <c r="CS232" i="7" s="1"/>
  <c r="BW234" i="7"/>
  <c r="CR234" i="7" s="1"/>
  <c r="DR197" i="7"/>
  <c r="BE196" i="7"/>
  <c r="DJ197" i="7"/>
  <c r="BF196" i="7"/>
  <c r="BD196" i="7"/>
  <c r="DL197" i="7"/>
  <c r="DP197" i="7"/>
  <c r="AH197" i="7"/>
  <c r="DK197" i="7"/>
  <c r="AF197" i="7"/>
  <c r="AI197" i="7" s="1"/>
  <c r="DQ197" i="7"/>
  <c r="CM223" i="7"/>
  <c r="DH223" i="7" s="1"/>
  <c r="CC217" i="7"/>
  <c r="CX217" i="7" s="1"/>
  <c r="G191" i="7"/>
  <c r="BM71" i="7"/>
  <c r="BV201" i="7"/>
  <c r="CQ201" i="7" s="1"/>
  <c r="BT203" i="7"/>
  <c r="CO203" i="7" s="1"/>
  <c r="CI202" i="7"/>
  <c r="DD202" i="7" s="1"/>
  <c r="DS201" i="7"/>
  <c r="P201" i="7" s="1"/>
  <c r="CA195" i="7"/>
  <c r="CV195" i="7" s="1"/>
  <c r="BO193" i="7"/>
  <c r="CG196" i="7"/>
  <c r="DB196" i="7" s="1"/>
  <c r="BZ197" i="7"/>
  <c r="CU197" i="7" s="1"/>
  <c r="CD199" i="7"/>
  <c r="CY199" i="7" s="1"/>
  <c r="CF201" i="7"/>
  <c r="DA201" i="7" s="1"/>
  <c r="DI193" i="7"/>
  <c r="BP193" i="7" s="1"/>
  <c r="BQ192" i="7"/>
  <c r="H192" i="7" s="1"/>
  <c r="CH196" i="7"/>
  <c r="DC196" i="7" s="1"/>
  <c r="BN195" i="7"/>
  <c r="BS200" i="7"/>
  <c r="CN200" i="7" s="1"/>
  <c r="BU211" i="7"/>
  <c r="CP211" i="7" s="1"/>
  <c r="CE204" i="7"/>
  <c r="CZ204" i="7" s="1"/>
  <c r="CJ235" i="7"/>
  <c r="DE235" i="7" s="1"/>
  <c r="AN201" i="7" l="1"/>
  <c r="EO203" i="7"/>
  <c r="CK202" i="7"/>
  <c r="DF202" i="7" s="1"/>
  <c r="AM204" i="7"/>
  <c r="EN197" i="7"/>
  <c r="AO196" i="7"/>
  <c r="CB204" i="7"/>
  <c r="CW204" i="7" s="1"/>
  <c r="CL200" i="7"/>
  <c r="DG200" i="7" s="1"/>
  <c r="EM199" i="7"/>
  <c r="DO198" i="7"/>
  <c r="EF200" i="7"/>
  <c r="EC200" i="7"/>
  <c r="EA196" i="7"/>
  <c r="DZ196" i="7"/>
  <c r="DX195" i="7"/>
  <c r="DW195" i="7"/>
  <c r="EB195" i="7"/>
  <c r="N72" i="7"/>
  <c r="D61" i="32"/>
  <c r="BC199" i="7"/>
  <c r="BB199" i="7"/>
  <c r="AV199" i="7"/>
  <c r="BA199" i="7"/>
  <c r="AX199" i="7"/>
  <c r="AZ199" i="7"/>
  <c r="AY199" i="7"/>
  <c r="AT199" i="7"/>
  <c r="AW199" i="7"/>
  <c r="M200" i="7"/>
  <c r="AZ200" i="7" s="1"/>
  <c r="DV200" i="7"/>
  <c r="BX233" i="7"/>
  <c r="CS233" i="7" s="1"/>
  <c r="BY233" i="7"/>
  <c r="CT233" i="7" s="1"/>
  <c r="BW235" i="7"/>
  <c r="CR235" i="7" s="1"/>
  <c r="BE197" i="7"/>
  <c r="BD197" i="7"/>
  <c r="BF197" i="7"/>
  <c r="DP198" i="7"/>
  <c r="AG198" i="7"/>
  <c r="DM198" i="7"/>
  <c r="DQ198" i="7"/>
  <c r="DL198" i="7"/>
  <c r="AF198" i="7"/>
  <c r="AI198" i="7" s="1"/>
  <c r="DJ198" i="7"/>
  <c r="DN198" i="7"/>
  <c r="DK198" i="7"/>
  <c r="DR198" i="7"/>
  <c r="AH198" i="7"/>
  <c r="CM224" i="7"/>
  <c r="DH224" i="7" s="1"/>
  <c r="CC218" i="7"/>
  <c r="CX218" i="7" s="1"/>
  <c r="G192" i="7"/>
  <c r="B71" i="7"/>
  <c r="BT204" i="7"/>
  <c r="CO204" i="7" s="1"/>
  <c r="DS202" i="7"/>
  <c r="P202" i="7" s="1"/>
  <c r="CI203" i="7"/>
  <c r="DD203" i="7" s="1"/>
  <c r="BV202" i="7"/>
  <c r="CQ202" i="7" s="1"/>
  <c r="CA196" i="7"/>
  <c r="CV196" i="7" s="1"/>
  <c r="BO194" i="7"/>
  <c r="CG197" i="7"/>
  <c r="DB197" i="7" s="1"/>
  <c r="BZ198" i="7"/>
  <c r="CU198" i="7" s="1"/>
  <c r="CD200" i="7"/>
  <c r="CY200" i="7" s="1"/>
  <c r="DI194" i="7"/>
  <c r="BP194" i="7" s="1"/>
  <c r="BQ193" i="7"/>
  <c r="H193" i="7" s="1"/>
  <c r="BN196" i="7"/>
  <c r="CH197" i="7"/>
  <c r="DC197" i="7" s="1"/>
  <c r="CF202" i="7"/>
  <c r="DA202" i="7" s="1"/>
  <c r="BS201" i="7"/>
  <c r="CN201" i="7" s="1"/>
  <c r="BU212" i="7"/>
  <c r="CP212" i="7" s="1"/>
  <c r="CE205" i="7"/>
  <c r="CZ205" i="7" s="1"/>
  <c r="CJ236" i="7"/>
  <c r="DE236" i="7" s="1"/>
  <c r="AN202" i="7" l="1"/>
  <c r="EO204" i="7"/>
  <c r="AO197" i="7"/>
  <c r="AM205" i="7"/>
  <c r="EN198" i="7"/>
  <c r="CK203" i="7"/>
  <c r="DF203" i="7" s="1"/>
  <c r="CB205" i="7"/>
  <c r="CW205" i="7" s="1"/>
  <c r="F61" i="32"/>
  <c r="G61" i="32" s="1"/>
  <c r="P61" i="32" s="1"/>
  <c r="Q61" i="32" s="1"/>
  <c r="AP72" i="7"/>
  <c r="BG72" i="7" s="1"/>
  <c r="AQ72" i="7"/>
  <c r="BH72" i="7" s="1"/>
  <c r="AR72" i="7"/>
  <c r="BI72" i="7" s="1"/>
  <c r="CL201" i="7"/>
  <c r="DG201" i="7" s="1"/>
  <c r="EM200" i="7"/>
  <c r="DO199" i="7"/>
  <c r="EF201" i="7"/>
  <c r="EC201" i="7"/>
  <c r="EB196" i="7"/>
  <c r="DX196" i="7"/>
  <c r="DW196" i="7"/>
  <c r="DZ197" i="7"/>
  <c r="EA197" i="7"/>
  <c r="BA200" i="7"/>
  <c r="AW200" i="7"/>
  <c r="AX200" i="7"/>
  <c r="AJ72" i="7"/>
  <c r="C72" i="7" s="1"/>
  <c r="AL72" i="7"/>
  <c r="E72" i="7" s="1"/>
  <c r="AK72" i="7"/>
  <c r="D72" i="7" s="1"/>
  <c r="BC200" i="7"/>
  <c r="AV200" i="7"/>
  <c r="DM199" i="7"/>
  <c r="AU200" i="7"/>
  <c r="AT200" i="7"/>
  <c r="M201" i="7"/>
  <c r="AU201" i="7" s="1"/>
  <c r="DV201" i="7"/>
  <c r="AY200" i="7"/>
  <c r="BB200" i="7"/>
  <c r="BY234" i="7"/>
  <c r="CT234" i="7" s="1"/>
  <c r="BX234" i="7"/>
  <c r="CS234" i="7" s="1"/>
  <c r="BW236" i="7"/>
  <c r="CR236" i="7" s="1"/>
  <c r="BF198" i="7"/>
  <c r="BE198" i="7"/>
  <c r="BD198" i="7"/>
  <c r="DQ199" i="7"/>
  <c r="AG199" i="7"/>
  <c r="DP199" i="7"/>
  <c r="AF199" i="7"/>
  <c r="AI199" i="7" s="1"/>
  <c r="DL199" i="7"/>
  <c r="DR199" i="7"/>
  <c r="DJ199" i="7"/>
  <c r="AH199" i="7"/>
  <c r="DN199" i="7"/>
  <c r="DK199" i="7"/>
  <c r="CM225" i="7"/>
  <c r="DH225" i="7" s="1"/>
  <c r="CC219" i="7"/>
  <c r="CX219" i="7" s="1"/>
  <c r="G193" i="7"/>
  <c r="DS203" i="7"/>
  <c r="P203" i="7" s="1"/>
  <c r="CI204" i="7"/>
  <c r="DD204" i="7" s="1"/>
  <c r="BV203" i="7"/>
  <c r="CQ203" i="7" s="1"/>
  <c r="BT205" i="7"/>
  <c r="CO205" i="7" s="1"/>
  <c r="BO195" i="7"/>
  <c r="CA197" i="7"/>
  <c r="CV197" i="7" s="1"/>
  <c r="CG198" i="7"/>
  <c r="DB198" i="7" s="1"/>
  <c r="BZ199" i="7"/>
  <c r="CU199" i="7" s="1"/>
  <c r="CD201" i="7"/>
  <c r="CY201" i="7" s="1"/>
  <c r="DI195" i="7"/>
  <c r="BP195" i="7" s="1"/>
  <c r="BQ194" i="7"/>
  <c r="H194" i="7" s="1"/>
  <c r="BN197" i="7"/>
  <c r="CH198" i="7"/>
  <c r="DC198" i="7" s="1"/>
  <c r="CF203" i="7"/>
  <c r="DA203" i="7" s="1"/>
  <c r="BS202" i="7"/>
  <c r="CN202" i="7" s="1"/>
  <c r="AF200" i="7"/>
  <c r="AI200" i="7" s="1"/>
  <c r="BU213" i="7"/>
  <c r="CP213" i="7" s="1"/>
  <c r="CE206" i="7"/>
  <c r="CZ206" i="7" s="1"/>
  <c r="CJ237" i="7"/>
  <c r="DE237" i="7" s="1"/>
  <c r="AM206" i="7" l="1"/>
  <c r="AN203" i="7"/>
  <c r="CK204" i="7"/>
  <c r="DF204" i="7" s="1"/>
  <c r="AO198" i="7"/>
  <c r="EN199" i="7"/>
  <c r="EO205" i="7"/>
  <c r="CB206" i="7"/>
  <c r="CW206" i="7" s="1"/>
  <c r="DO200" i="7"/>
  <c r="DL200" i="7"/>
  <c r="CL202" i="7"/>
  <c r="DG202" i="7" s="1"/>
  <c r="EM201" i="7"/>
  <c r="DM200" i="7"/>
  <c r="DQ200" i="7"/>
  <c r="EF202" i="7"/>
  <c r="EC202" i="7"/>
  <c r="EA198" i="7"/>
  <c r="DZ198" i="7"/>
  <c r="EB197" i="7"/>
  <c r="DX197" i="7"/>
  <c r="DW197" i="7"/>
  <c r="AV201" i="7"/>
  <c r="BC201" i="7"/>
  <c r="AT201" i="7"/>
  <c r="AY201" i="7"/>
  <c r="AW201" i="7"/>
  <c r="BB201" i="7"/>
  <c r="AZ201" i="7"/>
  <c r="AX201" i="7"/>
  <c r="M202" i="7"/>
  <c r="AZ202" i="7" s="1"/>
  <c r="DV202" i="7"/>
  <c r="BA201" i="7"/>
  <c r="BX235" i="7"/>
  <c r="CS235" i="7" s="1"/>
  <c r="BY235" i="7"/>
  <c r="CT235" i="7" s="1"/>
  <c r="BW237" i="7"/>
  <c r="CR237" i="7" s="1"/>
  <c r="BE199" i="7"/>
  <c r="DN200" i="7"/>
  <c r="DR200" i="7"/>
  <c r="DJ200" i="7"/>
  <c r="AG200" i="7"/>
  <c r="BF199" i="7"/>
  <c r="DK200" i="7"/>
  <c r="BD199" i="7"/>
  <c r="DP200" i="7"/>
  <c r="AH200" i="7"/>
  <c r="CM226" i="7"/>
  <c r="DH226" i="7" s="1"/>
  <c r="CC220" i="7"/>
  <c r="CX220" i="7" s="1"/>
  <c r="G194" i="7"/>
  <c r="BL72" i="7"/>
  <c r="F72" i="7"/>
  <c r="BJ72" i="7"/>
  <c r="BK72" i="7"/>
  <c r="CI205" i="7"/>
  <c r="DD205" i="7" s="1"/>
  <c r="DS204" i="7"/>
  <c r="P204" i="7" s="1"/>
  <c r="BT206" i="7"/>
  <c r="CO206" i="7" s="1"/>
  <c r="BV204" i="7"/>
  <c r="CQ204" i="7" s="1"/>
  <c r="BO196" i="7"/>
  <c r="CA198" i="7"/>
  <c r="CV198" i="7" s="1"/>
  <c r="CG199" i="7"/>
  <c r="DB199" i="7" s="1"/>
  <c r="BZ200" i="7"/>
  <c r="CU200" i="7" s="1"/>
  <c r="CD202" i="7"/>
  <c r="CY202" i="7" s="1"/>
  <c r="CH199" i="7"/>
  <c r="DC199" i="7" s="1"/>
  <c r="BN198" i="7"/>
  <c r="CF204" i="7"/>
  <c r="DA204" i="7" s="1"/>
  <c r="DI196" i="7"/>
  <c r="BP196" i="7" s="1"/>
  <c r="BQ195" i="7"/>
  <c r="H195" i="7" s="1"/>
  <c r="BS203" i="7"/>
  <c r="CN203" i="7" s="1"/>
  <c r="AH201" i="7"/>
  <c r="BU214" i="7"/>
  <c r="CP214" i="7" s="1"/>
  <c r="CE207" i="7"/>
  <c r="CZ207" i="7" s="1"/>
  <c r="CJ238" i="7"/>
  <c r="DE238" i="7" s="1"/>
  <c r="AO199" i="7" l="1"/>
  <c r="AM207" i="7"/>
  <c r="EO206" i="7"/>
  <c r="AN204" i="7"/>
  <c r="EN200" i="7"/>
  <c r="CK205" i="7"/>
  <c r="DF205" i="7" s="1"/>
  <c r="CB207" i="7"/>
  <c r="CW207" i="7" s="1"/>
  <c r="CL203" i="7"/>
  <c r="DG203" i="7" s="1"/>
  <c r="EM202" i="7"/>
  <c r="AV202" i="7"/>
  <c r="EB198" i="7"/>
  <c r="DX198" i="7"/>
  <c r="DW198" i="7"/>
  <c r="EF203" i="7"/>
  <c r="EC203" i="7"/>
  <c r="EA199" i="7"/>
  <c r="DZ199" i="7"/>
  <c r="DO201" i="7"/>
  <c r="AU202" i="7"/>
  <c r="AX202" i="7"/>
  <c r="BA202" i="7"/>
  <c r="AT202" i="7"/>
  <c r="BB202" i="7"/>
  <c r="AW202" i="7"/>
  <c r="BC202" i="7"/>
  <c r="AY202" i="7"/>
  <c r="M203" i="7"/>
  <c r="AX203" i="7" s="1"/>
  <c r="DV203" i="7"/>
  <c r="BY236" i="7"/>
  <c r="CT236" i="7" s="1"/>
  <c r="BX236" i="7"/>
  <c r="CS236" i="7" s="1"/>
  <c r="BW238" i="7"/>
  <c r="CR238" i="7" s="1"/>
  <c r="BE200" i="7"/>
  <c r="DP201" i="7"/>
  <c r="DQ201" i="7"/>
  <c r="BF200" i="7"/>
  <c r="DK201" i="7"/>
  <c r="DM201" i="7"/>
  <c r="AG201" i="7"/>
  <c r="BD200" i="7"/>
  <c r="DR201" i="7"/>
  <c r="DJ201" i="7"/>
  <c r="DL201" i="7"/>
  <c r="AF201" i="7"/>
  <c r="AI201" i="7" s="1"/>
  <c r="DN201" i="7"/>
  <c r="CM227" i="7"/>
  <c r="DH227" i="7" s="1"/>
  <c r="CC221" i="7"/>
  <c r="CX221" i="7" s="1"/>
  <c r="G195" i="7"/>
  <c r="BM72" i="7"/>
  <c r="BV205" i="7"/>
  <c r="CQ205" i="7" s="1"/>
  <c r="BT207" i="7"/>
  <c r="CO207" i="7" s="1"/>
  <c r="DS205" i="7"/>
  <c r="P205" i="7" s="1"/>
  <c r="CI206" i="7"/>
  <c r="DD206" i="7" s="1"/>
  <c r="BO197" i="7"/>
  <c r="CA199" i="7"/>
  <c r="CV199" i="7" s="1"/>
  <c r="CG200" i="7"/>
  <c r="DB200" i="7" s="1"/>
  <c r="BZ201" i="7"/>
  <c r="CU201" i="7" s="1"/>
  <c r="CD203" i="7"/>
  <c r="CY203" i="7" s="1"/>
  <c r="CF205" i="7"/>
  <c r="DA205" i="7" s="1"/>
  <c r="DI197" i="7"/>
  <c r="BP197" i="7" s="1"/>
  <c r="BQ196" i="7"/>
  <c r="H196" i="7" s="1"/>
  <c r="CH200" i="7"/>
  <c r="DC200" i="7" s="1"/>
  <c r="BN199" i="7"/>
  <c r="BS204" i="7"/>
  <c r="CN204" i="7" s="1"/>
  <c r="AH202" i="7"/>
  <c r="AF202" i="7"/>
  <c r="AI202" i="7" s="1"/>
  <c r="BU215" i="7"/>
  <c r="CP215" i="7" s="1"/>
  <c r="CE208" i="7"/>
  <c r="CZ208" i="7" s="1"/>
  <c r="CJ239" i="7"/>
  <c r="DE239" i="7" s="1"/>
  <c r="DJ202" i="7" l="1"/>
  <c r="CK206" i="7"/>
  <c r="DF206" i="7" s="1"/>
  <c r="AN205" i="7"/>
  <c r="EO207" i="7"/>
  <c r="EN201" i="7"/>
  <c r="AM208" i="7"/>
  <c r="AO200" i="7"/>
  <c r="CB208" i="7"/>
  <c r="CW208" i="7" s="1"/>
  <c r="CL204" i="7"/>
  <c r="DG204" i="7" s="1"/>
  <c r="EM203" i="7"/>
  <c r="DQ202" i="7"/>
  <c r="DO202" i="7"/>
  <c r="DZ200" i="7"/>
  <c r="EA200" i="7"/>
  <c r="EC204" i="7"/>
  <c r="EF204" i="7"/>
  <c r="EB199" i="7"/>
  <c r="DX199" i="7"/>
  <c r="DW199" i="7"/>
  <c r="DM202" i="7"/>
  <c r="DP202" i="7"/>
  <c r="DR202" i="7"/>
  <c r="AZ203" i="7"/>
  <c r="N73" i="7"/>
  <c r="D62" i="32"/>
  <c r="AU203" i="7"/>
  <c r="BB203" i="7"/>
  <c r="AW203" i="7"/>
  <c r="AT203" i="7"/>
  <c r="AV203" i="7"/>
  <c r="AY203" i="7"/>
  <c r="BA203" i="7"/>
  <c r="BC203" i="7"/>
  <c r="M204" i="7"/>
  <c r="BA204" i="7" s="1"/>
  <c r="DV204" i="7"/>
  <c r="BX237" i="7"/>
  <c r="CS237" i="7" s="1"/>
  <c r="BY237" i="7"/>
  <c r="CT237" i="7" s="1"/>
  <c r="BW239" i="7"/>
  <c r="CR239" i="7" s="1"/>
  <c r="DN202" i="7"/>
  <c r="BE201" i="7"/>
  <c r="BD201" i="7"/>
  <c r="BF201" i="7"/>
  <c r="DL202" i="7"/>
  <c r="AG202" i="7"/>
  <c r="DK202" i="7"/>
  <c r="CM228" i="7"/>
  <c r="DH228" i="7" s="1"/>
  <c r="CC222" i="7"/>
  <c r="CX222" i="7" s="1"/>
  <c r="G196" i="7"/>
  <c r="B72" i="7"/>
  <c r="BT208" i="7"/>
  <c r="CO208" i="7" s="1"/>
  <c r="DS206" i="7"/>
  <c r="P206" i="7" s="1"/>
  <c r="CI207" i="7"/>
  <c r="DD207" i="7" s="1"/>
  <c r="BV206" i="7"/>
  <c r="CQ206" i="7" s="1"/>
  <c r="CA200" i="7"/>
  <c r="CV200" i="7" s="1"/>
  <c r="BO198" i="7"/>
  <c r="CG201" i="7"/>
  <c r="DB201" i="7" s="1"/>
  <c r="BZ202" i="7"/>
  <c r="CU202" i="7" s="1"/>
  <c r="CD204" i="7"/>
  <c r="CY204" i="7" s="1"/>
  <c r="DI198" i="7"/>
  <c r="BP198" i="7" s="1"/>
  <c r="BQ197" i="7"/>
  <c r="H197" i="7" s="1"/>
  <c r="BN200" i="7"/>
  <c r="CH201" i="7"/>
  <c r="DC201" i="7" s="1"/>
  <c r="CF206" i="7"/>
  <c r="DA206" i="7" s="1"/>
  <c r="BS205" i="7"/>
  <c r="CN205" i="7" s="1"/>
  <c r="BU216" i="7"/>
  <c r="CP216" i="7" s="1"/>
  <c r="CE209" i="7"/>
  <c r="CZ209" i="7" s="1"/>
  <c r="CJ240" i="7"/>
  <c r="DE240" i="7" s="1"/>
  <c r="EO208" i="7" l="1"/>
  <c r="AN206" i="7"/>
  <c r="AM209" i="7"/>
  <c r="EN202" i="7"/>
  <c r="AO201" i="7"/>
  <c r="CK207" i="7"/>
  <c r="DF207" i="7" s="1"/>
  <c r="CB209" i="7"/>
  <c r="CW209" i="7" s="1"/>
  <c r="F62" i="32"/>
  <c r="G62" i="32" s="1"/>
  <c r="P62" i="32" s="1"/>
  <c r="Q62" i="32" s="1"/>
  <c r="AQ73" i="7"/>
  <c r="BH73" i="7" s="1"/>
  <c r="AR73" i="7"/>
  <c r="BI73" i="7" s="1"/>
  <c r="AP73" i="7"/>
  <c r="BG73" i="7" s="1"/>
  <c r="CL205" i="7"/>
  <c r="DG205" i="7" s="1"/>
  <c r="EM204" i="7"/>
  <c r="EB200" i="7"/>
  <c r="DX200" i="7"/>
  <c r="DW200" i="7"/>
  <c r="EF205" i="7"/>
  <c r="EC205" i="7"/>
  <c r="DZ201" i="7"/>
  <c r="EA201" i="7"/>
  <c r="AK73" i="7"/>
  <c r="D73" i="7" s="1"/>
  <c r="AJ73" i="7"/>
  <c r="C73" i="7" s="1"/>
  <c r="AL73" i="7"/>
  <c r="E73" i="7" s="1"/>
  <c r="AZ204" i="7"/>
  <c r="AW204" i="7"/>
  <c r="AV204" i="7"/>
  <c r="AX204" i="7"/>
  <c r="AU204" i="7"/>
  <c r="BB204" i="7"/>
  <c r="AY204" i="7"/>
  <c r="AT204" i="7"/>
  <c r="M205" i="7"/>
  <c r="AT205" i="7" s="1"/>
  <c r="DV205" i="7"/>
  <c r="BC204" i="7"/>
  <c r="BY238" i="7"/>
  <c r="CT238" i="7" s="1"/>
  <c r="BX238" i="7"/>
  <c r="CS238" i="7" s="1"/>
  <c r="BW240" i="7"/>
  <c r="CR240" i="7" s="1"/>
  <c r="BD202" i="7"/>
  <c r="BE202" i="7"/>
  <c r="BF202" i="7"/>
  <c r="DK203" i="7"/>
  <c r="DO203" i="7"/>
  <c r="DP203" i="7"/>
  <c r="AG203" i="7"/>
  <c r="AH203" i="7"/>
  <c r="DQ203" i="7"/>
  <c r="DM203" i="7"/>
  <c r="DN203" i="7"/>
  <c r="DL203" i="7"/>
  <c r="AF203" i="7"/>
  <c r="AI203" i="7" s="1"/>
  <c r="DR203" i="7"/>
  <c r="DJ203" i="7"/>
  <c r="CM229" i="7"/>
  <c r="DH229" i="7" s="1"/>
  <c r="CC223" i="7"/>
  <c r="CX223" i="7" s="1"/>
  <c r="G197" i="7"/>
  <c r="BV207" i="7"/>
  <c r="CQ207" i="7" s="1"/>
  <c r="DS207" i="7"/>
  <c r="P207" i="7" s="1"/>
  <c r="CI208" i="7"/>
  <c r="DD208" i="7" s="1"/>
  <c r="BT209" i="7"/>
  <c r="CO209" i="7" s="1"/>
  <c r="CA201" i="7"/>
  <c r="CV201" i="7" s="1"/>
  <c r="BO199" i="7"/>
  <c r="CG202" i="7"/>
  <c r="DB202" i="7" s="1"/>
  <c r="BZ203" i="7"/>
  <c r="CU203" i="7" s="1"/>
  <c r="CD205" i="7"/>
  <c r="CY205" i="7" s="1"/>
  <c r="BN201" i="7"/>
  <c r="CH202" i="7"/>
  <c r="DC202" i="7" s="1"/>
  <c r="CF207" i="7"/>
  <c r="DA207" i="7" s="1"/>
  <c r="DI199" i="7"/>
  <c r="BP199" i="7" s="1"/>
  <c r="BQ198" i="7"/>
  <c r="H198" i="7" s="1"/>
  <c r="BS206" i="7"/>
  <c r="CN206" i="7" s="1"/>
  <c r="BU217" i="7"/>
  <c r="CP217" i="7" s="1"/>
  <c r="CE210" i="7"/>
  <c r="CZ210" i="7" s="1"/>
  <c r="CJ241" i="7"/>
  <c r="DE241" i="7" s="1"/>
  <c r="CK208" i="7" l="1"/>
  <c r="DF208" i="7" s="1"/>
  <c r="AM210" i="7"/>
  <c r="AO202" i="7"/>
  <c r="AN207" i="7"/>
  <c r="EN203" i="7"/>
  <c r="EO209" i="7"/>
  <c r="CB210" i="7"/>
  <c r="CW210" i="7" s="1"/>
  <c r="CL206" i="7"/>
  <c r="DG206" i="7" s="1"/>
  <c r="EM205" i="7"/>
  <c r="DO204" i="7"/>
  <c r="EF206" i="7"/>
  <c r="EC206" i="7"/>
  <c r="DZ202" i="7"/>
  <c r="EA202" i="7"/>
  <c r="EB201" i="7"/>
  <c r="DW201" i="7"/>
  <c r="DX201" i="7"/>
  <c r="BB205" i="7"/>
  <c r="BA205" i="7"/>
  <c r="AZ205" i="7"/>
  <c r="AU205" i="7"/>
  <c r="AW205" i="7"/>
  <c r="BC205" i="7"/>
  <c r="AX205" i="7"/>
  <c r="M206" i="7"/>
  <c r="BA206" i="7" s="1"/>
  <c r="DV206" i="7"/>
  <c r="AV205" i="7"/>
  <c r="AY205" i="7"/>
  <c r="BX239" i="7"/>
  <c r="CS239" i="7" s="1"/>
  <c r="BY239" i="7"/>
  <c r="CT239" i="7" s="1"/>
  <c r="BW241" i="7"/>
  <c r="CR241" i="7" s="1"/>
  <c r="BF203" i="7"/>
  <c r="BE203" i="7"/>
  <c r="BD203" i="7"/>
  <c r="AG204" i="7"/>
  <c r="AF204" i="7"/>
  <c r="AI204" i="7" s="1"/>
  <c r="AH204" i="7"/>
  <c r="DL204" i="7"/>
  <c r="DK204" i="7"/>
  <c r="DP204" i="7"/>
  <c r="DM204" i="7"/>
  <c r="DQ204" i="7"/>
  <c r="DR204" i="7"/>
  <c r="DJ204" i="7"/>
  <c r="DN204" i="7"/>
  <c r="CM230" i="7"/>
  <c r="DH230" i="7" s="1"/>
  <c r="CC224" i="7"/>
  <c r="CX224" i="7" s="1"/>
  <c r="G198" i="7"/>
  <c r="BL73" i="7"/>
  <c r="F73" i="7"/>
  <c r="BJ73" i="7"/>
  <c r="BK73" i="7"/>
  <c r="BT210" i="7"/>
  <c r="CO210" i="7" s="1"/>
  <c r="DS208" i="7"/>
  <c r="P208" i="7" s="1"/>
  <c r="CI209" i="7"/>
  <c r="DD209" i="7" s="1"/>
  <c r="BV208" i="7"/>
  <c r="CQ208" i="7" s="1"/>
  <c r="CA202" i="7"/>
  <c r="CV202" i="7" s="1"/>
  <c r="BO200" i="7"/>
  <c r="CG203" i="7"/>
  <c r="DB203" i="7" s="1"/>
  <c r="BZ204" i="7"/>
  <c r="CU204" i="7" s="1"/>
  <c r="CD206" i="7"/>
  <c r="CY206" i="7" s="1"/>
  <c r="BQ199" i="7"/>
  <c r="H199" i="7" s="1"/>
  <c r="DI200" i="7"/>
  <c r="BP200" i="7" s="1"/>
  <c r="CF208" i="7"/>
  <c r="DA208" i="7" s="1"/>
  <c r="BN202" i="7"/>
  <c r="CH203" i="7"/>
  <c r="DC203" i="7" s="1"/>
  <c r="BS207" i="7"/>
  <c r="CN207" i="7" s="1"/>
  <c r="AG205" i="7"/>
  <c r="AH205" i="7"/>
  <c r="AF205" i="7"/>
  <c r="AI205" i="7" s="1"/>
  <c r="BU218" i="7"/>
  <c r="CP218" i="7" s="1"/>
  <c r="CE211" i="7"/>
  <c r="CZ211" i="7" s="1"/>
  <c r="CJ242" i="7"/>
  <c r="DE242" i="7" s="1"/>
  <c r="EO210" i="7" l="1"/>
  <c r="AM211" i="7"/>
  <c r="AN208" i="7"/>
  <c r="EN204" i="7"/>
  <c r="AO203" i="7"/>
  <c r="CK209" i="7"/>
  <c r="DF209" i="7" s="1"/>
  <c r="CB211" i="7"/>
  <c r="CW211" i="7" s="1"/>
  <c r="CL207" i="7"/>
  <c r="DG207" i="7" s="1"/>
  <c r="EM206" i="7"/>
  <c r="DQ205" i="7"/>
  <c r="DO205" i="7"/>
  <c r="DZ203" i="7"/>
  <c r="EA203" i="7"/>
  <c r="EB202" i="7"/>
  <c r="DX202" i="7"/>
  <c r="DW202" i="7"/>
  <c r="EF207" i="7"/>
  <c r="EC207" i="7"/>
  <c r="AW206" i="7"/>
  <c r="BB206" i="7"/>
  <c r="AU206" i="7"/>
  <c r="AY206" i="7"/>
  <c r="AZ206" i="7"/>
  <c r="M207" i="7"/>
  <c r="AX207" i="7" s="1"/>
  <c r="DV207" i="7"/>
  <c r="BC206" i="7"/>
  <c r="AX206" i="7"/>
  <c r="AV206" i="7"/>
  <c r="AT206" i="7"/>
  <c r="BY240" i="7"/>
  <c r="CT240" i="7" s="1"/>
  <c r="BX240" i="7"/>
  <c r="CS240" i="7" s="1"/>
  <c r="BW242" i="7"/>
  <c r="CR242" i="7" s="1"/>
  <c r="BF204" i="7"/>
  <c r="BE204" i="7"/>
  <c r="BD204" i="7"/>
  <c r="DP205" i="7"/>
  <c r="DL205" i="7"/>
  <c r="DN205" i="7"/>
  <c r="DM205" i="7"/>
  <c r="DK205" i="7"/>
  <c r="DR205" i="7"/>
  <c r="DJ205" i="7"/>
  <c r="CM231" i="7"/>
  <c r="DH231" i="7" s="1"/>
  <c r="CC225" i="7"/>
  <c r="CX225" i="7" s="1"/>
  <c r="G199" i="7"/>
  <c r="BM73" i="7"/>
  <c r="BV209" i="7"/>
  <c r="CQ209" i="7" s="1"/>
  <c r="DS209" i="7"/>
  <c r="P209" i="7" s="1"/>
  <c r="CI210" i="7"/>
  <c r="DD210" i="7" s="1"/>
  <c r="BT211" i="7"/>
  <c r="CO211" i="7" s="1"/>
  <c r="BO201" i="7"/>
  <c r="CA203" i="7"/>
  <c r="CV203" i="7" s="1"/>
  <c r="CG204" i="7"/>
  <c r="DB204" i="7" s="1"/>
  <c r="BZ205" i="7"/>
  <c r="CU205" i="7" s="1"/>
  <c r="CD207" i="7"/>
  <c r="CY207" i="7" s="1"/>
  <c r="BN203" i="7"/>
  <c r="CH204" i="7"/>
  <c r="DC204" i="7" s="1"/>
  <c r="BQ200" i="7"/>
  <c r="H200" i="7" s="1"/>
  <c r="DI201" i="7"/>
  <c r="BP201" i="7" s="1"/>
  <c r="CF209" i="7"/>
  <c r="DA209" i="7" s="1"/>
  <c r="BS208" i="7"/>
  <c r="CN208" i="7" s="1"/>
  <c r="AH206" i="7"/>
  <c r="AG206" i="7"/>
  <c r="AF206" i="7"/>
  <c r="AI206" i="7" s="1"/>
  <c r="BU219" i="7"/>
  <c r="CP219" i="7" s="1"/>
  <c r="CE212" i="7"/>
  <c r="CZ212" i="7" s="1"/>
  <c r="CJ243" i="7"/>
  <c r="DE243" i="7" s="1"/>
  <c r="DQ206" i="7" l="1"/>
  <c r="EO211" i="7"/>
  <c r="AO204" i="7"/>
  <c r="CK210" i="7"/>
  <c r="DF210" i="7" s="1"/>
  <c r="EN205" i="7"/>
  <c r="AN209" i="7"/>
  <c r="AM212" i="7"/>
  <c r="CB212" i="7"/>
  <c r="CW212" i="7" s="1"/>
  <c r="CL208" i="7"/>
  <c r="DG208" i="7" s="1"/>
  <c r="EM207" i="7"/>
  <c r="DJ206" i="7"/>
  <c r="EA204" i="7"/>
  <c r="DZ204" i="7"/>
  <c r="EF208" i="7"/>
  <c r="EC208" i="7"/>
  <c r="DX203" i="7"/>
  <c r="DW203" i="7"/>
  <c r="EB203" i="7"/>
  <c r="DN206" i="7"/>
  <c r="AY207" i="7"/>
  <c r="AZ207" i="7"/>
  <c r="AT207" i="7"/>
  <c r="N74" i="7"/>
  <c r="D63" i="32"/>
  <c r="DM206" i="7"/>
  <c r="DM207" i="7" s="1"/>
  <c r="AW207" i="7"/>
  <c r="AU207" i="7"/>
  <c r="DJ207" i="7" s="1"/>
  <c r="AV207" i="7"/>
  <c r="BB207" i="7"/>
  <c r="M208" i="7"/>
  <c r="AV208" i="7" s="1"/>
  <c r="DV208" i="7"/>
  <c r="BA207" i="7"/>
  <c r="BC207" i="7"/>
  <c r="BX241" i="7"/>
  <c r="CS241" i="7" s="1"/>
  <c r="BY241" i="7"/>
  <c r="CT241" i="7" s="1"/>
  <c r="BW243" i="7"/>
  <c r="CR243" i="7" s="1"/>
  <c r="DK206" i="7"/>
  <c r="DR206" i="7"/>
  <c r="BE205" i="7"/>
  <c r="BD205" i="7"/>
  <c r="DP206" i="7"/>
  <c r="BF205" i="7"/>
  <c r="DO206" i="7"/>
  <c r="DL206" i="7"/>
  <c r="CM232" i="7"/>
  <c r="DH232" i="7" s="1"/>
  <c r="CC226" i="7"/>
  <c r="CX226" i="7" s="1"/>
  <c r="G200" i="7"/>
  <c r="B73" i="7"/>
  <c r="BT212" i="7"/>
  <c r="CO212" i="7" s="1"/>
  <c r="BV210" i="7"/>
  <c r="CQ210" i="7" s="1"/>
  <c r="CI211" i="7"/>
  <c r="DD211" i="7" s="1"/>
  <c r="DS210" i="7"/>
  <c r="P210" i="7" s="1"/>
  <c r="BO202" i="7"/>
  <c r="CA204" i="7"/>
  <c r="CV204" i="7" s="1"/>
  <c r="CG205" i="7"/>
  <c r="DB205" i="7" s="1"/>
  <c r="BZ206" i="7"/>
  <c r="CU206" i="7" s="1"/>
  <c r="CD208" i="7"/>
  <c r="CY208" i="7" s="1"/>
  <c r="BQ201" i="7"/>
  <c r="H201" i="7" s="1"/>
  <c r="DI202" i="7"/>
  <c r="BP202" i="7" s="1"/>
  <c r="CF210" i="7"/>
  <c r="DA210" i="7" s="1"/>
  <c r="BN204" i="7"/>
  <c r="CH205" i="7"/>
  <c r="DC205" i="7" s="1"/>
  <c r="BE206" i="7"/>
  <c r="BF206" i="7"/>
  <c r="BD206" i="7"/>
  <c r="AG207" i="7"/>
  <c r="AF207" i="7"/>
  <c r="AI207" i="7" s="1"/>
  <c r="AH207" i="7"/>
  <c r="BS209" i="7"/>
  <c r="CN209" i="7" s="1"/>
  <c r="BU220" i="7"/>
  <c r="CP220" i="7" s="1"/>
  <c r="CE213" i="7"/>
  <c r="CZ213" i="7" s="1"/>
  <c r="CJ244" i="7"/>
  <c r="DE244" i="7" s="1"/>
  <c r="AM213" i="7" l="1"/>
  <c r="AO205" i="7"/>
  <c r="AN210" i="7"/>
  <c r="EN206" i="7"/>
  <c r="EO212" i="7"/>
  <c r="CK211" i="7"/>
  <c r="DF211" i="7" s="1"/>
  <c r="CB213" i="7"/>
  <c r="CW213" i="7" s="1"/>
  <c r="F63" i="32"/>
  <c r="G63" i="32" s="1"/>
  <c r="P63" i="32" s="1"/>
  <c r="Q63" i="32" s="1"/>
  <c r="AR74" i="7"/>
  <c r="BI74" i="7" s="1"/>
  <c r="AP74" i="7"/>
  <c r="BG74" i="7" s="1"/>
  <c r="AQ74" i="7"/>
  <c r="BH74" i="7" s="1"/>
  <c r="CL209" i="7"/>
  <c r="DG209" i="7" s="1"/>
  <c r="EM208" i="7"/>
  <c r="DN207" i="7"/>
  <c r="DW204" i="7"/>
  <c r="DX204" i="7"/>
  <c r="EB204" i="7"/>
  <c r="EF209" i="7"/>
  <c r="EC209" i="7"/>
  <c r="DZ205" i="7"/>
  <c r="EA205" i="7"/>
  <c r="AK74" i="7"/>
  <c r="D74" i="7" s="1"/>
  <c r="DR207" i="7"/>
  <c r="AJ74" i="7"/>
  <c r="C74" i="7" s="1"/>
  <c r="AL74" i="7"/>
  <c r="E74" i="7" s="1"/>
  <c r="BC208" i="7"/>
  <c r="AU208" i="7"/>
  <c r="BB208" i="7"/>
  <c r="AY208" i="7"/>
  <c r="BA208" i="7"/>
  <c r="AW208" i="7"/>
  <c r="AZ208" i="7"/>
  <c r="AX208" i="7"/>
  <c r="AT208" i="7"/>
  <c r="M209" i="7"/>
  <c r="AX209" i="7" s="1"/>
  <c r="DV209" i="7"/>
  <c r="BY242" i="7"/>
  <c r="CT242" i="7" s="1"/>
  <c r="BX242" i="7"/>
  <c r="CS242" i="7" s="1"/>
  <c r="BW244" i="7"/>
  <c r="CR244" i="7" s="1"/>
  <c r="DP207" i="7"/>
  <c r="DL207" i="7"/>
  <c r="DK207" i="7"/>
  <c r="DO207" i="7"/>
  <c r="DQ207" i="7"/>
  <c r="CM233" i="7"/>
  <c r="DH233" i="7" s="1"/>
  <c r="CC227" i="7"/>
  <c r="CX227" i="7" s="1"/>
  <c r="G201" i="7"/>
  <c r="BV211" i="7"/>
  <c r="CQ211" i="7" s="1"/>
  <c r="CI212" i="7"/>
  <c r="DD212" i="7" s="1"/>
  <c r="DS211" i="7"/>
  <c r="P211" i="7" s="1"/>
  <c r="BT213" i="7"/>
  <c r="CO213" i="7" s="1"/>
  <c r="BO203" i="7"/>
  <c r="CA205" i="7"/>
  <c r="CV205" i="7" s="1"/>
  <c r="CG206" i="7"/>
  <c r="DB206" i="7" s="1"/>
  <c r="BZ207" i="7"/>
  <c r="CU207" i="7" s="1"/>
  <c r="CD209" i="7"/>
  <c r="CY209" i="7" s="1"/>
  <c r="CF211" i="7"/>
  <c r="DA211" i="7" s="1"/>
  <c r="BQ202" i="7"/>
  <c r="H202" i="7" s="1"/>
  <c r="DI203" i="7"/>
  <c r="BP203" i="7" s="1"/>
  <c r="BN205" i="7"/>
  <c r="CH206" i="7"/>
  <c r="DC206" i="7" s="1"/>
  <c r="AF208" i="7"/>
  <c r="AI208" i="7" s="1"/>
  <c r="AG208" i="7"/>
  <c r="BS210" i="7"/>
  <c r="CN210" i="7" s="1"/>
  <c r="BU221" i="7"/>
  <c r="CP221" i="7" s="1"/>
  <c r="CE214" i="7"/>
  <c r="CZ214" i="7" s="1"/>
  <c r="CJ245" i="7"/>
  <c r="DE245" i="7" s="1"/>
  <c r="AN211" i="7" l="1"/>
  <c r="CK212" i="7"/>
  <c r="DF212" i="7" s="1"/>
  <c r="AM214" i="7"/>
  <c r="AO206" i="7"/>
  <c r="EN207" i="7"/>
  <c r="EO213" i="7"/>
  <c r="CB214" i="7"/>
  <c r="CW214" i="7" s="1"/>
  <c r="DR208" i="7"/>
  <c r="CL210" i="7"/>
  <c r="DG210" i="7" s="1"/>
  <c r="EM209" i="7"/>
  <c r="DP208" i="7"/>
  <c r="EF210" i="7"/>
  <c r="EC210" i="7"/>
  <c r="DZ206" i="7"/>
  <c r="EA206" i="7"/>
  <c r="DW205" i="7"/>
  <c r="EB205" i="7"/>
  <c r="DX205" i="7"/>
  <c r="BB209" i="7"/>
  <c r="AT209" i="7"/>
  <c r="AV209" i="7"/>
  <c r="AU209" i="7"/>
  <c r="BA209" i="7"/>
  <c r="AZ209" i="7"/>
  <c r="AY209" i="7"/>
  <c r="AW209" i="7"/>
  <c r="BC209" i="7"/>
  <c r="M210" i="7"/>
  <c r="BA210" i="7" s="1"/>
  <c r="DV210" i="7"/>
  <c r="BX243" i="7"/>
  <c r="CS243" i="7" s="1"/>
  <c r="BY243" i="7"/>
  <c r="CT243" i="7" s="1"/>
  <c r="BW245" i="7"/>
  <c r="CR245" i="7" s="1"/>
  <c r="DO208" i="7"/>
  <c r="BD207" i="7"/>
  <c r="BF207" i="7"/>
  <c r="BE207" i="7"/>
  <c r="DM208" i="7"/>
  <c r="DQ208" i="7"/>
  <c r="DL208" i="7"/>
  <c r="DJ208" i="7"/>
  <c r="DN208" i="7"/>
  <c r="DK208" i="7"/>
  <c r="AH208" i="7"/>
  <c r="CM234" i="7"/>
  <c r="DH234" i="7" s="1"/>
  <c r="CC228" i="7"/>
  <c r="CX228" i="7" s="1"/>
  <c r="G202" i="7"/>
  <c r="F74" i="7"/>
  <c r="BJ74" i="7"/>
  <c r="BL74" i="7"/>
  <c r="BK74" i="7"/>
  <c r="DS212" i="7"/>
  <c r="P212" i="7" s="1"/>
  <c r="CI213" i="7"/>
  <c r="DD213" i="7" s="1"/>
  <c r="BT214" i="7"/>
  <c r="CO214" i="7" s="1"/>
  <c r="BV212" i="7"/>
  <c r="CQ212" i="7" s="1"/>
  <c r="CA206" i="7"/>
  <c r="CV206" i="7" s="1"/>
  <c r="BO204" i="7"/>
  <c r="CG207" i="7"/>
  <c r="DB207" i="7" s="1"/>
  <c r="BZ208" i="7"/>
  <c r="CU208" i="7" s="1"/>
  <c r="CD210" i="7"/>
  <c r="CY210" i="7" s="1"/>
  <c r="BQ203" i="7"/>
  <c r="H203" i="7" s="1"/>
  <c r="DI204" i="7"/>
  <c r="BP204" i="7" s="1"/>
  <c r="CF212" i="7"/>
  <c r="DA212" i="7" s="1"/>
  <c r="CH207" i="7"/>
  <c r="DC207" i="7" s="1"/>
  <c r="BN206" i="7"/>
  <c r="BS211" i="7"/>
  <c r="CN211" i="7" s="1"/>
  <c r="AF209" i="7"/>
  <c r="AI209" i="7" s="1"/>
  <c r="AH209" i="7"/>
  <c r="BU222" i="7"/>
  <c r="CP222" i="7" s="1"/>
  <c r="CE215" i="7"/>
  <c r="CZ215" i="7" s="1"/>
  <c r="CJ246" i="7"/>
  <c r="DE246" i="7" s="1"/>
  <c r="EN208" i="7" l="1"/>
  <c r="AM215" i="7"/>
  <c r="AO207" i="7"/>
  <c r="EO214" i="7"/>
  <c r="CK213" i="7"/>
  <c r="DF213" i="7" s="1"/>
  <c r="AN212" i="7"/>
  <c r="CB215" i="7"/>
  <c r="CW215" i="7" s="1"/>
  <c r="DR209" i="7"/>
  <c r="CL211" i="7"/>
  <c r="DG211" i="7" s="1"/>
  <c r="EM210" i="7"/>
  <c r="DN209" i="7"/>
  <c r="DO209" i="7"/>
  <c r="EA207" i="7"/>
  <c r="DZ207" i="7"/>
  <c r="EB206" i="7"/>
  <c r="DX206" i="7"/>
  <c r="DW206" i="7"/>
  <c r="EC211" i="7"/>
  <c r="EF211" i="7"/>
  <c r="AT210" i="7"/>
  <c r="AZ210" i="7"/>
  <c r="AY210" i="7"/>
  <c r="AV210" i="7"/>
  <c r="BC210" i="7"/>
  <c r="AX210" i="7"/>
  <c r="BB210" i="7"/>
  <c r="AW210" i="7"/>
  <c r="M211" i="7"/>
  <c r="AX211" i="7" s="1"/>
  <c r="DV211" i="7"/>
  <c r="AU210" i="7"/>
  <c r="BY244" i="7"/>
  <c r="CT244" i="7" s="1"/>
  <c r="BX244" i="7"/>
  <c r="CS244" i="7" s="1"/>
  <c r="BW246" i="7"/>
  <c r="CR246" i="7" s="1"/>
  <c r="BD208" i="7"/>
  <c r="DM209" i="7"/>
  <c r="DJ209" i="7"/>
  <c r="BF208" i="7"/>
  <c r="BE208" i="7"/>
  <c r="DL209" i="7"/>
  <c r="DK209" i="7"/>
  <c r="AG209" i="7"/>
  <c r="DP209" i="7"/>
  <c r="DQ209" i="7"/>
  <c r="CM235" i="7"/>
  <c r="DH235" i="7" s="1"/>
  <c r="CC229" i="7"/>
  <c r="CX229" i="7" s="1"/>
  <c r="G203" i="7"/>
  <c r="BM74" i="7"/>
  <c r="BT215" i="7"/>
  <c r="CO215" i="7" s="1"/>
  <c r="BV213" i="7"/>
  <c r="CQ213" i="7" s="1"/>
  <c r="DS213" i="7"/>
  <c r="P213" i="7" s="1"/>
  <c r="CI214" i="7"/>
  <c r="DD214" i="7" s="1"/>
  <c r="BO205" i="7"/>
  <c r="CA207" i="7"/>
  <c r="CV207" i="7" s="1"/>
  <c r="CG208" i="7"/>
  <c r="DB208" i="7" s="1"/>
  <c r="BZ209" i="7"/>
  <c r="CU209" i="7" s="1"/>
  <c r="CD211" i="7"/>
  <c r="CY211" i="7" s="1"/>
  <c r="CF213" i="7"/>
  <c r="DA213" i="7" s="1"/>
  <c r="CH208" i="7"/>
  <c r="DC208" i="7" s="1"/>
  <c r="BN207" i="7"/>
  <c r="DI205" i="7"/>
  <c r="BP205" i="7" s="1"/>
  <c r="BQ204" i="7"/>
  <c r="H204" i="7" s="1"/>
  <c r="BS212" i="7"/>
  <c r="CN212" i="7" s="1"/>
  <c r="AF210" i="7"/>
  <c r="AI210" i="7" s="1"/>
  <c r="BU223" i="7"/>
  <c r="CP223" i="7" s="1"/>
  <c r="CE216" i="7"/>
  <c r="CZ216" i="7" s="1"/>
  <c r="CJ247" i="7"/>
  <c r="DE247" i="7" s="1"/>
  <c r="AM216" i="7" l="1"/>
  <c r="AN213" i="7"/>
  <c r="AO208" i="7"/>
  <c r="EO215" i="7"/>
  <c r="EN209" i="7"/>
  <c r="CK214" i="7"/>
  <c r="DF214" i="7" s="1"/>
  <c r="CB216" i="7"/>
  <c r="CW216" i="7" s="1"/>
  <c r="CL212" i="7"/>
  <c r="DG212" i="7" s="1"/>
  <c r="EM211" i="7"/>
  <c r="DN210" i="7"/>
  <c r="AT211" i="7"/>
  <c r="EA208" i="7"/>
  <c r="DZ208" i="7"/>
  <c r="EB207" i="7"/>
  <c r="DX207" i="7"/>
  <c r="DW207" i="7"/>
  <c r="EC212" i="7"/>
  <c r="EF212" i="7"/>
  <c r="N75" i="7"/>
  <c r="D64" i="32"/>
  <c r="AZ211" i="7"/>
  <c r="AU211" i="7"/>
  <c r="BB211" i="7"/>
  <c r="AW211" i="7"/>
  <c r="AV211" i="7"/>
  <c r="DM210" i="7"/>
  <c r="DM211" i="7" s="1"/>
  <c r="AY211" i="7"/>
  <c r="BA211" i="7"/>
  <c r="BC211" i="7"/>
  <c r="DJ210" i="7"/>
  <c r="M212" i="7"/>
  <c r="AZ212" i="7" s="1"/>
  <c r="DV212" i="7"/>
  <c r="BX245" i="7"/>
  <c r="CS245" i="7" s="1"/>
  <c r="BY245" i="7"/>
  <c r="CT245" i="7" s="1"/>
  <c r="BW247" i="7"/>
  <c r="CR247" i="7" s="1"/>
  <c r="DL210" i="7"/>
  <c r="BD209" i="7"/>
  <c r="BF209" i="7"/>
  <c r="BE209" i="7"/>
  <c r="DR210" i="7"/>
  <c r="DK210" i="7"/>
  <c r="AH210" i="7"/>
  <c r="AG210" i="7"/>
  <c r="DP210" i="7"/>
  <c r="DQ210" i="7"/>
  <c r="DO210" i="7"/>
  <c r="CM236" i="7"/>
  <c r="DH236" i="7" s="1"/>
  <c r="CC230" i="7"/>
  <c r="CX230" i="7" s="1"/>
  <c r="G204" i="7"/>
  <c r="B74" i="7"/>
  <c r="BV214" i="7"/>
  <c r="CQ214" i="7" s="1"/>
  <c r="DS214" i="7"/>
  <c r="P214" i="7" s="1"/>
  <c r="CI215" i="7"/>
  <c r="DD215" i="7" s="1"/>
  <c r="BT216" i="7"/>
  <c r="CO216" i="7" s="1"/>
  <c r="CA208" i="7"/>
  <c r="CV208" i="7" s="1"/>
  <c r="BO206" i="7"/>
  <c r="CG209" i="7"/>
  <c r="DB209" i="7" s="1"/>
  <c r="BZ210" i="7"/>
  <c r="CU210" i="7" s="1"/>
  <c r="CD212" i="7"/>
  <c r="CY212" i="7" s="1"/>
  <c r="BN208" i="7"/>
  <c r="CH209" i="7"/>
  <c r="DC209" i="7" s="1"/>
  <c r="CF214" i="7"/>
  <c r="DA214" i="7" s="1"/>
  <c r="DI206" i="7"/>
  <c r="BP206" i="7" s="1"/>
  <c r="BQ205" i="7"/>
  <c r="H205" i="7" s="1"/>
  <c r="BS213" i="7"/>
  <c r="CN213" i="7" s="1"/>
  <c r="AF211" i="7"/>
  <c r="AI211" i="7" s="1"/>
  <c r="AH211" i="7"/>
  <c r="BU224" i="7"/>
  <c r="CP224" i="7" s="1"/>
  <c r="CE217" i="7"/>
  <c r="CZ217" i="7" s="1"/>
  <c r="CJ248" i="7"/>
  <c r="DE248" i="7" s="1"/>
  <c r="AN214" i="7" l="1"/>
  <c r="AO209" i="7"/>
  <c r="CK215" i="7"/>
  <c r="DF215" i="7" s="1"/>
  <c r="EO216" i="7"/>
  <c r="AM217" i="7"/>
  <c r="EN210" i="7"/>
  <c r="CB217" i="7"/>
  <c r="CW217" i="7" s="1"/>
  <c r="F64" i="32"/>
  <c r="G64" i="32" s="1"/>
  <c r="P64" i="32" s="1"/>
  <c r="Q64" i="32" s="1"/>
  <c r="AP75" i="7"/>
  <c r="BG75" i="7" s="1"/>
  <c r="AQ75" i="7"/>
  <c r="BH75" i="7" s="1"/>
  <c r="AR75" i="7"/>
  <c r="BI75" i="7" s="1"/>
  <c r="CL213" i="7"/>
  <c r="DG213" i="7" s="1"/>
  <c r="EM212" i="7"/>
  <c r="DN211" i="7"/>
  <c r="EA209" i="7"/>
  <c r="DZ209" i="7"/>
  <c r="EF213" i="7"/>
  <c r="EC213" i="7"/>
  <c r="DW208" i="7"/>
  <c r="EB208" i="7"/>
  <c r="DX208" i="7"/>
  <c r="AJ75" i="7"/>
  <c r="C75" i="7" s="1"/>
  <c r="AL75" i="7"/>
  <c r="E75" i="7" s="1"/>
  <c r="AK75" i="7"/>
  <c r="D75" i="7" s="1"/>
  <c r="AX212" i="7"/>
  <c r="AT212" i="7"/>
  <c r="AV212" i="7"/>
  <c r="BC212" i="7"/>
  <c r="BA212" i="7"/>
  <c r="M213" i="7"/>
  <c r="AX213" i="7" s="1"/>
  <c r="DV213" i="7"/>
  <c r="AU212" i="7"/>
  <c r="AW212" i="7"/>
  <c r="AY212" i="7"/>
  <c r="BB212" i="7"/>
  <c r="BY246" i="7"/>
  <c r="CT246" i="7" s="1"/>
  <c r="BX246" i="7"/>
  <c r="CS246" i="7" s="1"/>
  <c r="BW248" i="7"/>
  <c r="CR248" i="7" s="1"/>
  <c r="DO211" i="7"/>
  <c r="BD210" i="7"/>
  <c r="DP211" i="7"/>
  <c r="BF210" i="7"/>
  <c r="BE210" i="7"/>
  <c r="DL211" i="7"/>
  <c r="AG211" i="7"/>
  <c r="DJ211" i="7"/>
  <c r="BF211" i="7"/>
  <c r="DK211" i="7"/>
  <c r="DR211" i="7"/>
  <c r="DQ211" i="7"/>
  <c r="CM237" i="7"/>
  <c r="DH237" i="7" s="1"/>
  <c r="CC231" i="7"/>
  <c r="CX231" i="7" s="1"/>
  <c r="G205" i="7"/>
  <c r="BT217" i="7"/>
  <c r="CO217" i="7" s="1"/>
  <c r="DS215" i="7"/>
  <c r="P215" i="7" s="1"/>
  <c r="CI216" i="7"/>
  <c r="DD216" i="7" s="1"/>
  <c r="BV215" i="7"/>
  <c r="CQ215" i="7" s="1"/>
  <c r="CA209" i="7"/>
  <c r="CV209" i="7" s="1"/>
  <c r="BO207" i="7"/>
  <c r="CG210" i="7"/>
  <c r="DB210" i="7" s="1"/>
  <c r="BZ211" i="7"/>
  <c r="CU211" i="7" s="1"/>
  <c r="CD213" i="7"/>
  <c r="CY213" i="7" s="1"/>
  <c r="DI207" i="7"/>
  <c r="BP207" i="7" s="1"/>
  <c r="BQ206" i="7"/>
  <c r="H206" i="7" s="1"/>
  <c r="CH210" i="7"/>
  <c r="DC210" i="7" s="1"/>
  <c r="BN209" i="7"/>
  <c r="CF215" i="7"/>
  <c r="DA215" i="7" s="1"/>
  <c r="AG212" i="7"/>
  <c r="BS214" i="7"/>
  <c r="CN214" i="7" s="1"/>
  <c r="BU225" i="7"/>
  <c r="CP225" i="7" s="1"/>
  <c r="CE218" i="7"/>
  <c r="CZ218" i="7" s="1"/>
  <c r="CJ249" i="7"/>
  <c r="DE249" i="7" s="1"/>
  <c r="EN211" i="7" l="1"/>
  <c r="EO217" i="7"/>
  <c r="AO210" i="7"/>
  <c r="AM218" i="7"/>
  <c r="AN215" i="7"/>
  <c r="CK216" i="7"/>
  <c r="DF216" i="7" s="1"/>
  <c r="CB218" i="7"/>
  <c r="CW218" i="7" s="1"/>
  <c r="DJ212" i="7"/>
  <c r="CL214" i="7"/>
  <c r="DG214" i="7" s="1"/>
  <c r="EM213" i="7"/>
  <c r="EF214" i="7"/>
  <c r="EC214" i="7"/>
  <c r="DZ210" i="7"/>
  <c r="EA210" i="7"/>
  <c r="DW209" i="7"/>
  <c r="DX209" i="7"/>
  <c r="EB209" i="7"/>
  <c r="AT213" i="7"/>
  <c r="AV213" i="7"/>
  <c r="AY213" i="7"/>
  <c r="BA213" i="7"/>
  <c r="AU213" i="7"/>
  <c r="AZ213" i="7"/>
  <c r="BB213" i="7"/>
  <c r="AW213" i="7"/>
  <c r="BC213" i="7"/>
  <c r="M214" i="7"/>
  <c r="AV214" i="7" s="1"/>
  <c r="DV214" i="7"/>
  <c r="BX247" i="7"/>
  <c r="CS247" i="7" s="1"/>
  <c r="BY247" i="7"/>
  <c r="CT247" i="7" s="1"/>
  <c r="BW249" i="7"/>
  <c r="CR249" i="7" s="1"/>
  <c r="DO212" i="7"/>
  <c r="BD211" i="7"/>
  <c r="BE211" i="7"/>
  <c r="DR212" i="7"/>
  <c r="DQ212" i="7"/>
  <c r="DL212" i="7"/>
  <c r="DP212" i="7"/>
  <c r="DN212" i="7"/>
  <c r="DK212" i="7"/>
  <c r="AF212" i="7"/>
  <c r="AI212" i="7" s="1"/>
  <c r="DM212" i="7"/>
  <c r="AH212" i="7"/>
  <c r="CM238" i="7"/>
  <c r="DH238" i="7" s="1"/>
  <c r="CC232" i="7"/>
  <c r="CX232" i="7" s="1"/>
  <c r="G206" i="7"/>
  <c r="BK75" i="7"/>
  <c r="F75" i="7"/>
  <c r="BJ75" i="7"/>
  <c r="BL75" i="7"/>
  <c r="BV216" i="7"/>
  <c r="CQ216" i="7" s="1"/>
  <c r="CI217" i="7"/>
  <c r="DD217" i="7" s="1"/>
  <c r="DS216" i="7"/>
  <c r="P216" i="7" s="1"/>
  <c r="BT218" i="7"/>
  <c r="CO218" i="7" s="1"/>
  <c r="BO208" i="7"/>
  <c r="CA210" i="7"/>
  <c r="CV210" i="7" s="1"/>
  <c r="CG211" i="7"/>
  <c r="DB211" i="7" s="1"/>
  <c r="BZ212" i="7"/>
  <c r="CU212" i="7" s="1"/>
  <c r="CD214" i="7"/>
  <c r="CY214" i="7" s="1"/>
  <c r="BN210" i="7"/>
  <c r="CH211" i="7"/>
  <c r="DC211" i="7" s="1"/>
  <c r="CF216" i="7"/>
  <c r="DA216" i="7" s="1"/>
  <c r="DI208" i="7"/>
  <c r="BP208" i="7" s="1"/>
  <c r="BQ207" i="7"/>
  <c r="H207" i="7" s="1"/>
  <c r="BS215" i="7"/>
  <c r="CN215" i="7" s="1"/>
  <c r="BU226" i="7"/>
  <c r="CP226" i="7" s="1"/>
  <c r="CE219" i="7"/>
  <c r="CZ219" i="7" s="1"/>
  <c r="CJ250" i="7"/>
  <c r="DE250" i="7" s="1"/>
  <c r="EN212" i="7" l="1"/>
  <c r="AO211" i="7"/>
  <c r="CK217" i="7"/>
  <c r="DF217" i="7" s="1"/>
  <c r="AN216" i="7"/>
  <c r="EO218" i="7"/>
  <c r="AM219" i="7"/>
  <c r="CB219" i="7"/>
  <c r="CW219" i="7" s="1"/>
  <c r="DJ213" i="7"/>
  <c r="CL215" i="7"/>
  <c r="DG215" i="7" s="1"/>
  <c r="EM214" i="7"/>
  <c r="AZ214" i="7"/>
  <c r="DL213" i="7"/>
  <c r="EF215" i="7"/>
  <c r="EC215" i="7"/>
  <c r="EB210" i="7"/>
  <c r="DX210" i="7"/>
  <c r="DW210" i="7"/>
  <c r="DZ211" i="7"/>
  <c r="EA211" i="7"/>
  <c r="AY214" i="7"/>
  <c r="AT214" i="7"/>
  <c r="BB214" i="7"/>
  <c r="AU214" i="7"/>
  <c r="BA214" i="7"/>
  <c r="AW214" i="7"/>
  <c r="M215" i="7"/>
  <c r="AU215" i="7" s="1"/>
  <c r="DV215" i="7"/>
  <c r="BC214" i="7"/>
  <c r="AX214" i="7"/>
  <c r="BY248" i="7"/>
  <c r="CT248" i="7" s="1"/>
  <c r="BX248" i="7"/>
  <c r="CS248" i="7" s="1"/>
  <c r="BW250" i="7"/>
  <c r="CR250" i="7" s="1"/>
  <c r="BE212" i="7"/>
  <c r="BD212" i="7"/>
  <c r="BF212" i="7"/>
  <c r="DP213" i="7"/>
  <c r="DQ213" i="7"/>
  <c r="AF213" i="7"/>
  <c r="AI213" i="7" s="1"/>
  <c r="DK213" i="7"/>
  <c r="DM213" i="7"/>
  <c r="DN213" i="7"/>
  <c r="DO213" i="7"/>
  <c r="DR213" i="7"/>
  <c r="AG213" i="7"/>
  <c r="AH213" i="7"/>
  <c r="CM239" i="7"/>
  <c r="DH239" i="7" s="1"/>
  <c r="CC233" i="7"/>
  <c r="CX233" i="7" s="1"/>
  <c r="G207" i="7"/>
  <c r="BM75" i="7"/>
  <c r="CI218" i="7"/>
  <c r="DD218" i="7" s="1"/>
  <c r="DS217" i="7"/>
  <c r="P217" i="7" s="1"/>
  <c r="BT219" i="7"/>
  <c r="CO219" i="7" s="1"/>
  <c r="BV217" i="7"/>
  <c r="CQ217" i="7" s="1"/>
  <c r="BO209" i="7"/>
  <c r="CA211" i="7"/>
  <c r="CV211" i="7" s="1"/>
  <c r="CG212" i="7"/>
  <c r="DB212" i="7" s="1"/>
  <c r="BZ213" i="7"/>
  <c r="CU213" i="7" s="1"/>
  <c r="CD215" i="7"/>
  <c r="CY215" i="7" s="1"/>
  <c r="CF217" i="7"/>
  <c r="DA217" i="7" s="1"/>
  <c r="DI209" i="7"/>
  <c r="BP209" i="7" s="1"/>
  <c r="BQ208" i="7"/>
  <c r="H208" i="7" s="1"/>
  <c r="BN211" i="7"/>
  <c r="CH212" i="7"/>
  <c r="DC212" i="7" s="1"/>
  <c r="BS216" i="7"/>
  <c r="CN216" i="7" s="1"/>
  <c r="AH214" i="7"/>
  <c r="AG214" i="7"/>
  <c r="AF214" i="7"/>
  <c r="AI214" i="7" s="1"/>
  <c r="BU227" i="7"/>
  <c r="CP227" i="7" s="1"/>
  <c r="CE220" i="7"/>
  <c r="CZ220" i="7" s="1"/>
  <c r="CJ251" i="7"/>
  <c r="DE251" i="7" s="1"/>
  <c r="AM220" i="7" l="1"/>
  <c r="EN213" i="7"/>
  <c r="AO212" i="7"/>
  <c r="EO219" i="7"/>
  <c r="AN217" i="7"/>
  <c r="CK218" i="7"/>
  <c r="DF218" i="7" s="1"/>
  <c r="CB220" i="7"/>
  <c r="CW220" i="7" s="1"/>
  <c r="DJ214" i="7"/>
  <c r="DL214" i="7"/>
  <c r="CL216" i="7"/>
  <c r="DG216" i="7" s="1"/>
  <c r="EM215" i="7"/>
  <c r="DN214" i="7"/>
  <c r="EF216" i="7"/>
  <c r="EC216" i="7"/>
  <c r="EA212" i="7"/>
  <c r="DZ212" i="7"/>
  <c r="EB211" i="7"/>
  <c r="DX211" i="7"/>
  <c r="DW211" i="7"/>
  <c r="N76" i="7"/>
  <c r="D65" i="32"/>
  <c r="AV215" i="7"/>
  <c r="BC215" i="7"/>
  <c r="BB215" i="7"/>
  <c r="BA215" i="7"/>
  <c r="AX215" i="7"/>
  <c r="AZ215" i="7"/>
  <c r="AY215" i="7"/>
  <c r="AT215" i="7"/>
  <c r="M216" i="7"/>
  <c r="AV216" i="7" s="1"/>
  <c r="DV216" i="7"/>
  <c r="AW215" i="7"/>
  <c r="BX249" i="7"/>
  <c r="CS249" i="7" s="1"/>
  <c r="BY249" i="7"/>
  <c r="CT249" i="7" s="1"/>
  <c r="BW251" i="7"/>
  <c r="CR251" i="7" s="1"/>
  <c r="DP214" i="7"/>
  <c r="DM214" i="7"/>
  <c r="DO214" i="7"/>
  <c r="DK214" i="7"/>
  <c r="BE213" i="7"/>
  <c r="DQ214" i="7"/>
  <c r="BF213" i="7"/>
  <c r="BD213" i="7"/>
  <c r="DR214" i="7"/>
  <c r="CM240" i="7"/>
  <c r="DH240" i="7" s="1"/>
  <c r="CC234" i="7"/>
  <c r="CX234" i="7" s="1"/>
  <c r="G208" i="7"/>
  <c r="B75" i="7"/>
  <c r="BT220" i="7"/>
  <c r="CO220" i="7" s="1"/>
  <c r="BV218" i="7"/>
  <c r="CQ218" i="7" s="1"/>
  <c r="CI219" i="7"/>
  <c r="DD219" i="7" s="1"/>
  <c r="DS218" i="7"/>
  <c r="P218" i="7" s="1"/>
  <c r="CA212" i="7"/>
  <c r="CV212" i="7" s="1"/>
  <c r="BO210" i="7"/>
  <c r="CG213" i="7"/>
  <c r="DB213" i="7" s="1"/>
  <c r="BZ214" i="7"/>
  <c r="CU214" i="7" s="1"/>
  <c r="CD216" i="7"/>
  <c r="CY216" i="7" s="1"/>
  <c r="BQ209" i="7"/>
  <c r="H209" i="7" s="1"/>
  <c r="DI210" i="7"/>
  <c r="BP210" i="7" s="1"/>
  <c r="CH213" i="7"/>
  <c r="DC213" i="7" s="1"/>
  <c r="BN212" i="7"/>
  <c r="CF218" i="7"/>
  <c r="DA218" i="7" s="1"/>
  <c r="BE214" i="7"/>
  <c r="BD214" i="7"/>
  <c r="BF214" i="7"/>
  <c r="BS217" i="7"/>
  <c r="CN217" i="7" s="1"/>
  <c r="BU228" i="7"/>
  <c r="CP228" i="7" s="1"/>
  <c r="CE221" i="7"/>
  <c r="CZ221" i="7" s="1"/>
  <c r="CJ252" i="7"/>
  <c r="DE252" i="7" s="1"/>
  <c r="EO220" i="7" l="1"/>
  <c r="CK219" i="7"/>
  <c r="DF219" i="7" s="1"/>
  <c r="AN218" i="7"/>
  <c r="EN214" i="7"/>
  <c r="AM221" i="7"/>
  <c r="AO213" i="7"/>
  <c r="CB221" i="7"/>
  <c r="CW221" i="7" s="1"/>
  <c r="F65" i="32"/>
  <c r="G65" i="32" s="1"/>
  <c r="P65" i="32" s="1"/>
  <c r="Q65" i="32" s="1"/>
  <c r="AP76" i="7"/>
  <c r="BG76" i="7" s="1"/>
  <c r="AQ76" i="7"/>
  <c r="BH76" i="7" s="1"/>
  <c r="AR76" i="7"/>
  <c r="BI76" i="7" s="1"/>
  <c r="CL217" i="7"/>
  <c r="DG217" i="7" s="1"/>
  <c r="EM216" i="7"/>
  <c r="EF217" i="7"/>
  <c r="EC217" i="7"/>
  <c r="EB212" i="7"/>
  <c r="DX212" i="7"/>
  <c r="DW212" i="7"/>
  <c r="EA213" i="7"/>
  <c r="DZ213" i="7"/>
  <c r="BA216" i="7"/>
  <c r="AL76" i="7"/>
  <c r="E76" i="7" s="1"/>
  <c r="AJ76" i="7"/>
  <c r="C76" i="7" s="1"/>
  <c r="AK76" i="7"/>
  <c r="D76" i="7" s="1"/>
  <c r="BC216" i="7"/>
  <c r="M217" i="7"/>
  <c r="AX217" i="7" s="1"/>
  <c r="DV217" i="7"/>
  <c r="AU216" i="7"/>
  <c r="AW216" i="7"/>
  <c r="AY216" i="7"/>
  <c r="BB216" i="7"/>
  <c r="AZ216" i="7"/>
  <c r="AX216" i="7"/>
  <c r="AT216" i="7"/>
  <c r="BY250" i="7"/>
  <c r="CT250" i="7" s="1"/>
  <c r="BX250" i="7"/>
  <c r="CS250" i="7" s="1"/>
  <c r="BW252" i="7"/>
  <c r="CR252" i="7" s="1"/>
  <c r="DO215" i="7"/>
  <c r="DQ215" i="7"/>
  <c r="DJ215" i="7"/>
  <c r="DN215" i="7"/>
  <c r="DL215" i="7"/>
  <c r="DR215" i="7"/>
  <c r="DR216" i="7" s="1"/>
  <c r="AH215" i="7"/>
  <c r="DK215" i="7"/>
  <c r="DM215" i="7"/>
  <c r="AF215" i="7"/>
  <c r="AI215" i="7" s="1"/>
  <c r="DP215" i="7"/>
  <c r="AG215" i="7"/>
  <c r="CM241" i="7"/>
  <c r="DH241" i="7" s="1"/>
  <c r="CC235" i="7"/>
  <c r="CX235" i="7" s="1"/>
  <c r="G209" i="7"/>
  <c r="DS219" i="7"/>
  <c r="P219" i="7" s="1"/>
  <c r="CI220" i="7"/>
  <c r="DD220" i="7" s="1"/>
  <c r="BT221" i="7"/>
  <c r="CO221" i="7" s="1"/>
  <c r="BV219" i="7"/>
  <c r="CQ219" i="7" s="1"/>
  <c r="CA213" i="7"/>
  <c r="CV213" i="7" s="1"/>
  <c r="BO211" i="7"/>
  <c r="CG214" i="7"/>
  <c r="DB214" i="7" s="1"/>
  <c r="BZ215" i="7"/>
  <c r="CU215" i="7" s="1"/>
  <c r="CD217" i="7"/>
  <c r="CY217" i="7" s="1"/>
  <c r="BN213" i="7"/>
  <c r="CH214" i="7"/>
  <c r="DC214" i="7" s="1"/>
  <c r="CF219" i="7"/>
  <c r="DA219" i="7" s="1"/>
  <c r="BQ210" i="7"/>
  <c r="H210" i="7" s="1"/>
  <c r="DI211" i="7"/>
  <c r="BP211" i="7" s="1"/>
  <c r="AF216" i="7"/>
  <c r="AI216" i="7" s="1"/>
  <c r="AG216" i="7"/>
  <c r="BS218" i="7"/>
  <c r="CN218" i="7" s="1"/>
  <c r="BU229" i="7"/>
  <c r="CP229" i="7" s="1"/>
  <c r="CE222" i="7"/>
  <c r="CZ222" i="7" s="1"/>
  <c r="CJ253" i="7"/>
  <c r="DE253" i="7" s="1"/>
  <c r="CK220" i="7" l="1"/>
  <c r="DF220" i="7" s="1"/>
  <c r="AN219" i="7"/>
  <c r="EN215" i="7"/>
  <c r="AM222" i="7"/>
  <c r="AO214" i="7"/>
  <c r="EO221" i="7"/>
  <c r="CB222" i="7"/>
  <c r="CW222" i="7" s="1"/>
  <c r="CL218" i="7"/>
  <c r="DG218" i="7" s="1"/>
  <c r="EM217" i="7"/>
  <c r="EF218" i="7"/>
  <c r="EC218" i="7"/>
  <c r="DW213" i="7"/>
  <c r="EB213" i="7"/>
  <c r="DX213" i="7"/>
  <c r="DZ214" i="7"/>
  <c r="EA214" i="7"/>
  <c r="AT217" i="7"/>
  <c r="AW217" i="7"/>
  <c r="AV217" i="7"/>
  <c r="AY217" i="7"/>
  <c r="AU217" i="7"/>
  <c r="BA217" i="7"/>
  <c r="BC217" i="7"/>
  <c r="AZ217" i="7"/>
  <c r="BB217" i="7"/>
  <c r="M218" i="7"/>
  <c r="AV218" i="7" s="1"/>
  <c r="DV218" i="7"/>
  <c r="BX251" i="7"/>
  <c r="CS251" i="7" s="1"/>
  <c r="BY251" i="7"/>
  <c r="CT251" i="7" s="1"/>
  <c r="BW253" i="7"/>
  <c r="CR253" i="7" s="1"/>
  <c r="DO216" i="7"/>
  <c r="DP216" i="7"/>
  <c r="DJ216" i="7"/>
  <c r="BE215" i="7"/>
  <c r="BD215" i="7"/>
  <c r="BF215" i="7"/>
  <c r="DL216" i="7"/>
  <c r="AH216" i="7"/>
  <c r="DQ216" i="7"/>
  <c r="DK216" i="7"/>
  <c r="DM216" i="7"/>
  <c r="DN216" i="7"/>
  <c r="CM242" i="7"/>
  <c r="DH242" i="7" s="1"/>
  <c r="CC236" i="7"/>
  <c r="CX236" i="7" s="1"/>
  <c r="G210" i="7"/>
  <c r="F76" i="7"/>
  <c r="BJ76" i="7"/>
  <c r="BL76" i="7"/>
  <c r="BK76" i="7"/>
  <c r="BV220" i="7"/>
  <c r="CQ220" i="7" s="1"/>
  <c r="CI221" i="7"/>
  <c r="DD221" i="7" s="1"/>
  <c r="DS220" i="7"/>
  <c r="P220" i="7" s="1"/>
  <c r="BT222" i="7"/>
  <c r="CO222" i="7" s="1"/>
  <c r="BO212" i="7"/>
  <c r="CA214" i="7"/>
  <c r="CV214" i="7" s="1"/>
  <c r="CG215" i="7"/>
  <c r="DB215" i="7" s="1"/>
  <c r="BZ216" i="7"/>
  <c r="CU216" i="7" s="1"/>
  <c r="CD218" i="7"/>
  <c r="CY218" i="7" s="1"/>
  <c r="CF220" i="7"/>
  <c r="DA220" i="7" s="1"/>
  <c r="DI212" i="7"/>
  <c r="BP212" i="7" s="1"/>
  <c r="BQ211" i="7"/>
  <c r="H211" i="7" s="1"/>
  <c r="CH215" i="7"/>
  <c r="DC215" i="7" s="1"/>
  <c r="BN214" i="7"/>
  <c r="BS219" i="7"/>
  <c r="CN219" i="7" s="1"/>
  <c r="BU230" i="7"/>
  <c r="CP230" i="7" s="1"/>
  <c r="CE223" i="7"/>
  <c r="CZ223" i="7" s="1"/>
  <c r="CJ254" i="7"/>
  <c r="DE254" i="7" s="1"/>
  <c r="AM223" i="7" l="1"/>
  <c r="EN216" i="7"/>
  <c r="EO222" i="7"/>
  <c r="AO215" i="7"/>
  <c r="AN220" i="7"/>
  <c r="CK221" i="7"/>
  <c r="DF221" i="7" s="1"/>
  <c r="CB223" i="7"/>
  <c r="CW223" i="7" s="1"/>
  <c r="CL219" i="7"/>
  <c r="DG219" i="7" s="1"/>
  <c r="EM218" i="7"/>
  <c r="EF219" i="7"/>
  <c r="EC219" i="7"/>
  <c r="EA215" i="7"/>
  <c r="DZ215" i="7"/>
  <c r="EB214" i="7"/>
  <c r="DX214" i="7"/>
  <c r="DW214" i="7"/>
  <c r="AZ218" i="7"/>
  <c r="AT218" i="7"/>
  <c r="AU218" i="7"/>
  <c r="AY218" i="7"/>
  <c r="AW218" i="7"/>
  <c r="BC218" i="7"/>
  <c r="BA218" i="7"/>
  <c r="BB218" i="7"/>
  <c r="AX218" i="7"/>
  <c r="M219" i="7"/>
  <c r="BB219" i="7" s="1"/>
  <c r="DV219" i="7"/>
  <c r="BY252" i="7"/>
  <c r="CT252" i="7" s="1"/>
  <c r="BX252" i="7"/>
  <c r="CS252" i="7" s="1"/>
  <c r="BW254" i="7"/>
  <c r="CR254" i="7" s="1"/>
  <c r="DO217" i="7"/>
  <c r="BF216" i="7"/>
  <c r="BE216" i="7"/>
  <c r="BD216" i="7"/>
  <c r="DM217" i="7"/>
  <c r="DN217" i="7"/>
  <c r="AG217" i="7"/>
  <c r="DJ217" i="7"/>
  <c r="AF217" i="7"/>
  <c r="AI217" i="7" s="1"/>
  <c r="DL217" i="7"/>
  <c r="DR217" i="7"/>
  <c r="AH217" i="7"/>
  <c r="DK217" i="7"/>
  <c r="DP217" i="7"/>
  <c r="DQ217" i="7"/>
  <c r="CM243" i="7"/>
  <c r="DH243" i="7" s="1"/>
  <c r="CC237" i="7"/>
  <c r="CX237" i="7" s="1"/>
  <c r="G211" i="7"/>
  <c r="BM76" i="7"/>
  <c r="CI222" i="7"/>
  <c r="DD222" i="7" s="1"/>
  <c r="DS221" i="7"/>
  <c r="P221" i="7" s="1"/>
  <c r="BT223" i="7"/>
  <c r="CO223" i="7" s="1"/>
  <c r="BV221" i="7"/>
  <c r="CQ221" i="7" s="1"/>
  <c r="BO213" i="7"/>
  <c r="CA215" i="7"/>
  <c r="CV215" i="7" s="1"/>
  <c r="CG216" i="7"/>
  <c r="DB216" i="7" s="1"/>
  <c r="BZ217" i="7"/>
  <c r="CU217" i="7" s="1"/>
  <c r="CD219" i="7"/>
  <c r="CY219" i="7" s="1"/>
  <c r="BQ212" i="7"/>
  <c r="H212" i="7" s="1"/>
  <c r="DI213" i="7"/>
  <c r="BP213" i="7" s="1"/>
  <c r="CH216" i="7"/>
  <c r="DC216" i="7" s="1"/>
  <c r="BN215" i="7"/>
  <c r="CF221" i="7"/>
  <c r="DA221" i="7" s="1"/>
  <c r="BS220" i="7"/>
  <c r="CN220" i="7" s="1"/>
  <c r="AG218" i="7"/>
  <c r="AH218" i="7"/>
  <c r="AF218" i="7"/>
  <c r="AI218" i="7" s="1"/>
  <c r="BU231" i="7"/>
  <c r="CP231" i="7" s="1"/>
  <c r="CE224" i="7"/>
  <c r="CZ224" i="7" s="1"/>
  <c r="CJ255" i="7"/>
  <c r="DE255" i="7" s="1"/>
  <c r="EN217" i="7" l="1"/>
  <c r="CK222" i="7"/>
  <c r="DF222" i="7" s="1"/>
  <c r="AO216" i="7"/>
  <c r="AM224" i="7"/>
  <c r="EO223" i="7"/>
  <c r="AN221" i="7"/>
  <c r="CB224" i="7"/>
  <c r="CW224" i="7" s="1"/>
  <c r="DJ218" i="7"/>
  <c r="CL220" i="7"/>
  <c r="DG220" i="7" s="1"/>
  <c r="EM219" i="7"/>
  <c r="DR218" i="7"/>
  <c r="AT219" i="7"/>
  <c r="DZ216" i="7"/>
  <c r="EA216" i="7"/>
  <c r="EB215" i="7"/>
  <c r="DX215" i="7"/>
  <c r="DW215" i="7"/>
  <c r="EF220" i="7"/>
  <c r="EC220" i="7"/>
  <c r="AY219" i="7"/>
  <c r="N77" i="7"/>
  <c r="D66" i="32"/>
  <c r="DQ218" i="7"/>
  <c r="BA219" i="7"/>
  <c r="AZ219" i="7"/>
  <c r="AV219" i="7"/>
  <c r="DP218" i="7"/>
  <c r="BC219" i="7"/>
  <c r="AW219" i="7"/>
  <c r="AU219" i="7"/>
  <c r="AX219" i="7"/>
  <c r="DO218" i="7"/>
  <c r="M220" i="7"/>
  <c r="AZ220" i="7" s="1"/>
  <c r="DV220" i="7"/>
  <c r="BX253" i="7"/>
  <c r="CS253" i="7" s="1"/>
  <c r="BY253" i="7"/>
  <c r="CT253" i="7" s="1"/>
  <c r="BW255" i="7"/>
  <c r="CR255" i="7" s="1"/>
  <c r="DM218" i="7"/>
  <c r="BE217" i="7"/>
  <c r="BD217" i="7"/>
  <c r="DN218" i="7"/>
  <c r="BF217" i="7"/>
  <c r="DL218" i="7"/>
  <c r="DK218" i="7"/>
  <c r="CM244" i="7"/>
  <c r="DH244" i="7" s="1"/>
  <c r="CC238" i="7"/>
  <c r="CX238" i="7" s="1"/>
  <c r="G212" i="7"/>
  <c r="B76" i="7"/>
  <c r="BT224" i="7"/>
  <c r="CO224" i="7" s="1"/>
  <c r="BV222" i="7"/>
  <c r="CQ222" i="7" s="1"/>
  <c r="CI223" i="7"/>
  <c r="DD223" i="7" s="1"/>
  <c r="DS222" i="7"/>
  <c r="P222" i="7" s="1"/>
  <c r="CA216" i="7"/>
  <c r="CV216" i="7" s="1"/>
  <c r="BO214" i="7"/>
  <c r="CG217" i="7"/>
  <c r="DB217" i="7" s="1"/>
  <c r="BZ218" i="7"/>
  <c r="CU218" i="7" s="1"/>
  <c r="CD220" i="7"/>
  <c r="CY220" i="7" s="1"/>
  <c r="BN216" i="7"/>
  <c r="CH217" i="7"/>
  <c r="DC217" i="7" s="1"/>
  <c r="BQ213" i="7"/>
  <c r="H213" i="7" s="1"/>
  <c r="DI214" i="7"/>
  <c r="BP214" i="7" s="1"/>
  <c r="CF222" i="7"/>
  <c r="DA222" i="7" s="1"/>
  <c r="BS221" i="7"/>
  <c r="CN221" i="7" s="1"/>
  <c r="BU232" i="7"/>
  <c r="CP232" i="7" s="1"/>
  <c r="CE225" i="7"/>
  <c r="CZ225" i="7" s="1"/>
  <c r="CJ256" i="7"/>
  <c r="DE256" i="7" s="1"/>
  <c r="AN222" i="7" l="1"/>
  <c r="AM225" i="7"/>
  <c r="EO224" i="7"/>
  <c r="CK223" i="7"/>
  <c r="DF223" i="7" s="1"/>
  <c r="EN218" i="7"/>
  <c r="AO217" i="7"/>
  <c r="CB225" i="7"/>
  <c r="CW225" i="7" s="1"/>
  <c r="F66" i="32"/>
  <c r="G66" i="32" s="1"/>
  <c r="P66" i="32" s="1"/>
  <c r="Q66" i="32" s="1"/>
  <c r="AQ77" i="7"/>
  <c r="BH77" i="7" s="1"/>
  <c r="AR77" i="7"/>
  <c r="BI77" i="7" s="1"/>
  <c r="AP77" i="7"/>
  <c r="BG77" i="7" s="1"/>
  <c r="CL221" i="7"/>
  <c r="DG221" i="7" s="1"/>
  <c r="EM220" i="7"/>
  <c r="DZ217" i="7"/>
  <c r="EA217" i="7"/>
  <c r="EB216" i="7"/>
  <c r="DX216" i="7"/>
  <c r="DW216" i="7"/>
  <c r="EF221" i="7"/>
  <c r="EC221" i="7"/>
  <c r="AL77" i="7"/>
  <c r="E77" i="7" s="1"/>
  <c r="AK77" i="7"/>
  <c r="D77" i="7" s="1"/>
  <c r="AJ77" i="7"/>
  <c r="C77" i="7" s="1"/>
  <c r="BC220" i="7"/>
  <c r="AW220" i="7"/>
  <c r="AU220" i="7"/>
  <c r="AV220" i="7"/>
  <c r="AT220" i="7"/>
  <c r="AX220" i="7"/>
  <c r="BA220" i="7"/>
  <c r="M221" i="7"/>
  <c r="AU221" i="7" s="1"/>
  <c r="DV221" i="7"/>
  <c r="AY220" i="7"/>
  <c r="BB220" i="7"/>
  <c r="BY254" i="7"/>
  <c r="CT254" i="7" s="1"/>
  <c r="BX254" i="7"/>
  <c r="CS254" i="7" s="1"/>
  <c r="BW256" i="7"/>
  <c r="CR256" i="7" s="1"/>
  <c r="BE218" i="7"/>
  <c r="DL219" i="7"/>
  <c r="DR219" i="7"/>
  <c r="DM219" i="7"/>
  <c r="DN219" i="7"/>
  <c r="BF218" i="7"/>
  <c r="DK219" i="7"/>
  <c r="DO219" i="7"/>
  <c r="AH219" i="7"/>
  <c r="DJ219" i="7"/>
  <c r="DP219" i="7"/>
  <c r="AG219" i="7"/>
  <c r="AF219" i="7"/>
  <c r="AI219" i="7" s="1"/>
  <c r="DQ219" i="7"/>
  <c r="BD218" i="7"/>
  <c r="CM245" i="7"/>
  <c r="DH245" i="7" s="1"/>
  <c r="CC239" i="7"/>
  <c r="CX239" i="7" s="1"/>
  <c r="G213" i="7"/>
  <c r="BV223" i="7"/>
  <c r="CQ223" i="7" s="1"/>
  <c r="DS223" i="7"/>
  <c r="P223" i="7" s="1"/>
  <c r="CI224" i="7"/>
  <c r="DD224" i="7" s="1"/>
  <c r="BT225" i="7"/>
  <c r="CO225" i="7" s="1"/>
  <c r="BO215" i="7"/>
  <c r="CA217" i="7"/>
  <c r="CV217" i="7" s="1"/>
  <c r="CG218" i="7"/>
  <c r="DB218" i="7" s="1"/>
  <c r="BZ219" i="7"/>
  <c r="CU219" i="7" s="1"/>
  <c r="CD221" i="7"/>
  <c r="CY221" i="7" s="1"/>
  <c r="BQ214" i="7"/>
  <c r="H214" i="7" s="1"/>
  <c r="DI215" i="7"/>
  <c r="BP215" i="7" s="1"/>
  <c r="BN217" i="7"/>
  <c r="CH218" i="7"/>
  <c r="DC218" i="7" s="1"/>
  <c r="CF223" i="7"/>
  <c r="DA223" i="7" s="1"/>
  <c r="AH220" i="7"/>
  <c r="BS222" i="7"/>
  <c r="CN222" i="7" s="1"/>
  <c r="BU233" i="7"/>
  <c r="CP233" i="7" s="1"/>
  <c r="CE226" i="7"/>
  <c r="CZ226" i="7" s="1"/>
  <c r="CJ257" i="7"/>
  <c r="DE257" i="7" s="1"/>
  <c r="AO218" i="7" l="1"/>
  <c r="AM226" i="7"/>
  <c r="AN223" i="7"/>
  <c r="CK224" i="7"/>
  <c r="DF224" i="7" s="1"/>
  <c r="EN219" i="7"/>
  <c r="EO225" i="7"/>
  <c r="CB226" i="7"/>
  <c r="CW226" i="7" s="1"/>
  <c r="DP220" i="7"/>
  <c r="CL222" i="7"/>
  <c r="DG222" i="7" s="1"/>
  <c r="EM221" i="7"/>
  <c r="DZ218" i="7"/>
  <c r="EA218" i="7"/>
  <c r="EB217" i="7"/>
  <c r="DX217" i="7"/>
  <c r="DW217" i="7"/>
  <c r="EF222" i="7"/>
  <c r="EC222" i="7"/>
  <c r="BC221" i="7"/>
  <c r="AW221" i="7"/>
  <c r="AY221" i="7"/>
  <c r="AV221" i="7"/>
  <c r="BB221" i="7"/>
  <c r="AZ221" i="7"/>
  <c r="AX221" i="7"/>
  <c r="AT221" i="7"/>
  <c r="BA221" i="7"/>
  <c r="M222" i="7"/>
  <c r="AW222" i="7" s="1"/>
  <c r="DV222" i="7"/>
  <c r="DN220" i="7"/>
  <c r="BX255" i="7"/>
  <c r="CS255" i="7" s="1"/>
  <c r="BY255" i="7"/>
  <c r="CT255" i="7" s="1"/>
  <c r="BW257" i="7"/>
  <c r="CR257" i="7" s="1"/>
  <c r="DK220" i="7"/>
  <c r="DM220" i="7"/>
  <c r="BF219" i="7"/>
  <c r="BE219" i="7"/>
  <c r="BD219" i="7"/>
  <c r="DQ220" i="7"/>
  <c r="DO220" i="7"/>
  <c r="AF220" i="7"/>
  <c r="AI220" i="7" s="1"/>
  <c r="DJ220" i="7"/>
  <c r="DL220" i="7"/>
  <c r="DR220" i="7"/>
  <c r="AG220" i="7"/>
  <c r="CM246" i="7"/>
  <c r="DH246" i="7" s="1"/>
  <c r="CC240" i="7"/>
  <c r="CX240" i="7" s="1"/>
  <c r="G214" i="7"/>
  <c r="BJ77" i="7"/>
  <c r="F77" i="7"/>
  <c r="BL77" i="7"/>
  <c r="BK77" i="7"/>
  <c r="BT226" i="7"/>
  <c r="CO226" i="7" s="1"/>
  <c r="BV224" i="7"/>
  <c r="CQ224" i="7" s="1"/>
  <c r="DS224" i="7"/>
  <c r="P224" i="7" s="1"/>
  <c r="CI225" i="7"/>
  <c r="DD225" i="7" s="1"/>
  <c r="CA218" i="7"/>
  <c r="CV218" i="7" s="1"/>
  <c r="BO216" i="7"/>
  <c r="CG219" i="7"/>
  <c r="DB219" i="7" s="1"/>
  <c r="BZ220" i="7"/>
  <c r="CU220" i="7" s="1"/>
  <c r="CD222" i="7"/>
  <c r="CY222" i="7" s="1"/>
  <c r="CH219" i="7"/>
  <c r="DC219" i="7" s="1"/>
  <c r="BN218" i="7"/>
  <c r="CF224" i="7"/>
  <c r="DA224" i="7" s="1"/>
  <c r="DI216" i="7"/>
  <c r="BP216" i="7" s="1"/>
  <c r="BQ215" i="7"/>
  <c r="H215" i="7" s="1"/>
  <c r="BS223" i="7"/>
  <c r="CN223" i="7" s="1"/>
  <c r="AG221" i="7"/>
  <c r="AF221" i="7"/>
  <c r="AI221" i="7" s="1"/>
  <c r="BU234" i="7"/>
  <c r="CP234" i="7" s="1"/>
  <c r="CE227" i="7"/>
  <c r="CZ227" i="7" s="1"/>
  <c r="CJ258" i="7"/>
  <c r="DE258" i="7" s="1"/>
  <c r="AM227" i="7" l="1"/>
  <c r="CK225" i="7"/>
  <c r="DF225" i="7" s="1"/>
  <c r="EO226" i="7"/>
  <c r="AO219" i="7"/>
  <c r="AN224" i="7"/>
  <c r="EN220" i="7"/>
  <c r="CB227" i="7"/>
  <c r="CW227" i="7" s="1"/>
  <c r="CL223" i="7"/>
  <c r="DG223" i="7" s="1"/>
  <c r="EM222" i="7"/>
  <c r="AV222" i="7"/>
  <c r="EB218" i="7"/>
  <c r="DX218" i="7"/>
  <c r="DW218" i="7"/>
  <c r="EC223" i="7"/>
  <c r="EF223" i="7"/>
  <c r="EA219" i="7"/>
  <c r="DZ219" i="7"/>
  <c r="AT222" i="7"/>
  <c r="AY222" i="7"/>
  <c r="AX222" i="7"/>
  <c r="AU222" i="7"/>
  <c r="AZ222" i="7"/>
  <c r="BC222" i="7"/>
  <c r="BA222" i="7"/>
  <c r="BB222" i="7"/>
  <c r="M223" i="7"/>
  <c r="AX223" i="7" s="1"/>
  <c r="DV223" i="7"/>
  <c r="BY256" i="7"/>
  <c r="CT256" i="7" s="1"/>
  <c r="BX256" i="7"/>
  <c r="CS256" i="7" s="1"/>
  <c r="BW258" i="7"/>
  <c r="CR258" i="7" s="1"/>
  <c r="DO221" i="7"/>
  <c r="DR221" i="7"/>
  <c r="BE220" i="7"/>
  <c r="BD220" i="7"/>
  <c r="BF220" i="7"/>
  <c r="DP221" i="7"/>
  <c r="AH221" i="7"/>
  <c r="DL221" i="7"/>
  <c r="DM221" i="7"/>
  <c r="DQ221" i="7"/>
  <c r="DK221" i="7"/>
  <c r="DJ221" i="7"/>
  <c r="DN221" i="7"/>
  <c r="CM247" i="7"/>
  <c r="DH247" i="7" s="1"/>
  <c r="CC241" i="7"/>
  <c r="CX241" i="7" s="1"/>
  <c r="G215" i="7"/>
  <c r="BM77" i="7"/>
  <c r="BV225" i="7"/>
  <c r="CQ225" i="7" s="1"/>
  <c r="DS225" i="7"/>
  <c r="P225" i="7" s="1"/>
  <c r="CI226" i="7"/>
  <c r="DD226" i="7" s="1"/>
  <c r="BT227" i="7"/>
  <c r="CO227" i="7" s="1"/>
  <c r="BO217" i="7"/>
  <c r="CA219" i="7"/>
  <c r="CV219" i="7" s="1"/>
  <c r="CG220" i="7"/>
  <c r="DB220" i="7" s="1"/>
  <c r="BZ221" i="7"/>
  <c r="CU221" i="7" s="1"/>
  <c r="CD223" i="7"/>
  <c r="CY223" i="7" s="1"/>
  <c r="BQ216" i="7"/>
  <c r="H216" i="7" s="1"/>
  <c r="DI217" i="7"/>
  <c r="BP217" i="7" s="1"/>
  <c r="CF225" i="7"/>
  <c r="DA225" i="7" s="1"/>
  <c r="CH220" i="7"/>
  <c r="DC220" i="7" s="1"/>
  <c r="BN219" i="7"/>
  <c r="BS224" i="7"/>
  <c r="CN224" i="7" s="1"/>
  <c r="AF222" i="7"/>
  <c r="AI222" i="7" s="1"/>
  <c r="AH222" i="7"/>
  <c r="AG222" i="7"/>
  <c r="BU235" i="7"/>
  <c r="CP235" i="7" s="1"/>
  <c r="CE228" i="7"/>
  <c r="CZ228" i="7" s="1"/>
  <c r="CJ259" i="7"/>
  <c r="DE259" i="7" s="1"/>
  <c r="CK226" i="7" l="1"/>
  <c r="DF226" i="7" s="1"/>
  <c r="AO220" i="7"/>
  <c r="AM228" i="7"/>
  <c r="AN225" i="7"/>
  <c r="EN221" i="7"/>
  <c r="EO227" i="7"/>
  <c r="CB228" i="7"/>
  <c r="CW228" i="7" s="1"/>
  <c r="CL224" i="7"/>
  <c r="DG224" i="7" s="1"/>
  <c r="EM223" i="7"/>
  <c r="DP222" i="7"/>
  <c r="EB219" i="7"/>
  <c r="DX219" i="7"/>
  <c r="DW219" i="7"/>
  <c r="EF224" i="7"/>
  <c r="EC224" i="7"/>
  <c r="DZ220" i="7"/>
  <c r="EA220" i="7"/>
  <c r="N78" i="7"/>
  <c r="D67" i="32"/>
  <c r="AW223" i="7"/>
  <c r="BB223" i="7"/>
  <c r="DR222" i="7"/>
  <c r="AV223" i="7"/>
  <c r="AT223" i="7"/>
  <c r="AY223" i="7"/>
  <c r="AZ223" i="7"/>
  <c r="AU223" i="7"/>
  <c r="M224" i="7"/>
  <c r="BA224" i="7" s="1"/>
  <c r="DV224" i="7"/>
  <c r="BA223" i="7"/>
  <c r="BC223" i="7"/>
  <c r="BX257" i="7"/>
  <c r="CS257" i="7" s="1"/>
  <c r="BY257" i="7"/>
  <c r="CT257" i="7" s="1"/>
  <c r="BW259" i="7"/>
  <c r="CR259" i="7" s="1"/>
  <c r="DM222" i="7"/>
  <c r="BD221" i="7"/>
  <c r="BE221" i="7"/>
  <c r="DN222" i="7"/>
  <c r="DL222" i="7"/>
  <c r="DJ222" i="7"/>
  <c r="BF221" i="7"/>
  <c r="DK222" i="7"/>
  <c r="DQ222" i="7"/>
  <c r="DO222" i="7"/>
  <c r="CM248" i="7"/>
  <c r="DH248" i="7" s="1"/>
  <c r="CC242" i="7"/>
  <c r="CX242" i="7" s="1"/>
  <c r="G216" i="7"/>
  <c r="B77" i="7"/>
  <c r="BT228" i="7"/>
  <c r="CO228" i="7" s="1"/>
  <c r="BV226" i="7"/>
  <c r="CQ226" i="7" s="1"/>
  <c r="CI227" i="7"/>
  <c r="DD227" i="7" s="1"/>
  <c r="DS226" i="7"/>
  <c r="P226" i="7" s="1"/>
  <c r="CA220" i="7"/>
  <c r="CV220" i="7" s="1"/>
  <c r="BO218" i="7"/>
  <c r="CG221" i="7"/>
  <c r="DB221" i="7" s="1"/>
  <c r="BZ222" i="7"/>
  <c r="CU222" i="7" s="1"/>
  <c r="CD224" i="7"/>
  <c r="CY224" i="7" s="1"/>
  <c r="BQ217" i="7"/>
  <c r="H217" i="7" s="1"/>
  <c r="DI218" i="7"/>
  <c r="BP218" i="7" s="1"/>
  <c r="CF226" i="7"/>
  <c r="DA226" i="7" s="1"/>
  <c r="CH221" i="7"/>
  <c r="DC221" i="7" s="1"/>
  <c r="BN220" i="7"/>
  <c r="AF223" i="7"/>
  <c r="AI223" i="7" s="1"/>
  <c r="BS225" i="7"/>
  <c r="CN225" i="7" s="1"/>
  <c r="BU236" i="7"/>
  <c r="CP236" i="7" s="1"/>
  <c r="CE229" i="7"/>
  <c r="CZ229" i="7" s="1"/>
  <c r="CJ260" i="7"/>
  <c r="DE260" i="7" s="1"/>
  <c r="DP223" i="7" l="1"/>
  <c r="EO228" i="7"/>
  <c r="AN226" i="7"/>
  <c r="EN222" i="7"/>
  <c r="AM229" i="7"/>
  <c r="AO221" i="7"/>
  <c r="CK227" i="7"/>
  <c r="DF227" i="7" s="1"/>
  <c r="CB229" i="7"/>
  <c r="CW229" i="7" s="1"/>
  <c r="F67" i="32"/>
  <c r="G67" i="32" s="1"/>
  <c r="P67" i="32" s="1"/>
  <c r="Q67" i="32" s="1"/>
  <c r="AR78" i="7"/>
  <c r="BI78" i="7" s="1"/>
  <c r="AP78" i="7"/>
  <c r="BG78" i="7" s="1"/>
  <c r="AQ78" i="7"/>
  <c r="BH78" i="7" s="1"/>
  <c r="CL225" i="7"/>
  <c r="DG225" i="7" s="1"/>
  <c r="EM224" i="7"/>
  <c r="DQ223" i="7"/>
  <c r="EA221" i="7"/>
  <c r="DZ221" i="7"/>
  <c r="EB220" i="7"/>
  <c r="DX220" i="7"/>
  <c r="DW220" i="7"/>
  <c r="EF225" i="7"/>
  <c r="EC225" i="7"/>
  <c r="AL78" i="7"/>
  <c r="E78" i="7" s="1"/>
  <c r="AK78" i="7"/>
  <c r="D78" i="7" s="1"/>
  <c r="AJ78" i="7"/>
  <c r="C78" i="7" s="1"/>
  <c r="AX224" i="7"/>
  <c r="BB224" i="7"/>
  <c r="AT224" i="7"/>
  <c r="AY224" i="7"/>
  <c r="AV224" i="7"/>
  <c r="AU224" i="7"/>
  <c r="AZ224" i="7"/>
  <c r="AW224" i="7"/>
  <c r="M225" i="7"/>
  <c r="AT225" i="7" s="1"/>
  <c r="DV225" i="7"/>
  <c r="BC224" i="7"/>
  <c r="BY258" i="7"/>
  <c r="CT258" i="7" s="1"/>
  <c r="BX258" i="7"/>
  <c r="CS258" i="7" s="1"/>
  <c r="BW260" i="7"/>
  <c r="CR260" i="7" s="1"/>
  <c r="BD222" i="7"/>
  <c r="DK223" i="7"/>
  <c r="BF222" i="7"/>
  <c r="DJ223" i="7"/>
  <c r="BE222" i="7"/>
  <c r="DR223" i="7"/>
  <c r="DM223" i="7"/>
  <c r="DN223" i="7"/>
  <c r="DO223" i="7"/>
  <c r="AG223" i="7"/>
  <c r="AH223" i="7"/>
  <c r="DL223" i="7"/>
  <c r="CM249" i="7"/>
  <c r="DH249" i="7" s="1"/>
  <c r="CC243" i="7"/>
  <c r="CX243" i="7" s="1"/>
  <c r="G217" i="7"/>
  <c r="BT229" i="7"/>
  <c r="CO229" i="7" s="1"/>
  <c r="BV227" i="7"/>
  <c r="CQ227" i="7" s="1"/>
  <c r="CI228" i="7"/>
  <c r="DD228" i="7" s="1"/>
  <c r="DS227" i="7"/>
  <c r="P227" i="7" s="1"/>
  <c r="BO219" i="7"/>
  <c r="CA221" i="7"/>
  <c r="CV221" i="7" s="1"/>
  <c r="CG222" i="7"/>
  <c r="DB222" i="7" s="1"/>
  <c r="BZ223" i="7"/>
  <c r="CU223" i="7" s="1"/>
  <c r="CD225" i="7"/>
  <c r="CY225" i="7" s="1"/>
  <c r="CF227" i="7"/>
  <c r="DA227" i="7" s="1"/>
  <c r="CH222" i="7"/>
  <c r="DC222" i="7" s="1"/>
  <c r="BN221" i="7"/>
  <c r="BQ218" i="7"/>
  <c r="H218" i="7" s="1"/>
  <c r="DI219" i="7"/>
  <c r="BP219" i="7" s="1"/>
  <c r="BS226" i="7"/>
  <c r="CN226" i="7" s="1"/>
  <c r="AF224" i="7"/>
  <c r="AI224" i="7" s="1"/>
  <c r="DP224" i="7"/>
  <c r="BU237" i="7"/>
  <c r="CP237" i="7" s="1"/>
  <c r="CE230" i="7"/>
  <c r="CZ230" i="7" s="1"/>
  <c r="CJ261" i="7"/>
  <c r="DE261" i="7" s="1"/>
  <c r="EO229" i="7" l="1"/>
  <c r="EN223" i="7"/>
  <c r="CK228" i="7"/>
  <c r="DF228" i="7" s="1"/>
  <c r="AO222" i="7"/>
  <c r="AM230" i="7"/>
  <c r="AN227" i="7"/>
  <c r="CB230" i="7"/>
  <c r="CW230" i="7" s="1"/>
  <c r="CL226" i="7"/>
  <c r="DG226" i="7" s="1"/>
  <c r="EM225" i="7"/>
  <c r="DM224" i="7"/>
  <c r="EA222" i="7"/>
  <c r="DZ222" i="7"/>
  <c r="EB221" i="7"/>
  <c r="DX221" i="7"/>
  <c r="DW221" i="7"/>
  <c r="EF226" i="7"/>
  <c r="EC226" i="7"/>
  <c r="BB225" i="7"/>
  <c r="BA225" i="7"/>
  <c r="AZ225" i="7"/>
  <c r="AU225" i="7"/>
  <c r="AW225" i="7"/>
  <c r="BC225" i="7"/>
  <c r="AX225" i="7"/>
  <c r="M226" i="7"/>
  <c r="BA226" i="7" s="1"/>
  <c r="DV226" i="7"/>
  <c r="AV225" i="7"/>
  <c r="AY225" i="7"/>
  <c r="BX259" i="7"/>
  <c r="CS259" i="7" s="1"/>
  <c r="BY259" i="7"/>
  <c r="CT259" i="7" s="1"/>
  <c r="BW261" i="7"/>
  <c r="CR261" i="7" s="1"/>
  <c r="DO224" i="7"/>
  <c r="DJ224" i="7"/>
  <c r="DR224" i="7"/>
  <c r="DN224" i="7"/>
  <c r="BF223" i="7"/>
  <c r="BE223" i="7"/>
  <c r="BD223" i="7"/>
  <c r="DL224" i="7"/>
  <c r="AH224" i="7"/>
  <c r="DK224" i="7"/>
  <c r="AG224" i="7"/>
  <c r="DQ224" i="7"/>
  <c r="CM250" i="7"/>
  <c r="DH250" i="7" s="1"/>
  <c r="CC244" i="7"/>
  <c r="CX244" i="7" s="1"/>
  <c r="G218" i="7"/>
  <c r="BL78" i="7"/>
  <c r="F78" i="7"/>
  <c r="BJ78" i="7"/>
  <c r="BK78" i="7"/>
  <c r="BV228" i="7"/>
  <c r="CQ228" i="7" s="1"/>
  <c r="DS228" i="7"/>
  <c r="P228" i="7" s="1"/>
  <c r="CI229" i="7"/>
  <c r="DD229" i="7" s="1"/>
  <c r="BT230" i="7"/>
  <c r="CO230" i="7" s="1"/>
  <c r="CA222" i="7"/>
  <c r="CV222" i="7" s="1"/>
  <c r="BO220" i="7"/>
  <c r="CG223" i="7"/>
  <c r="DB223" i="7" s="1"/>
  <c r="BZ224" i="7"/>
  <c r="CU224" i="7" s="1"/>
  <c r="CD226" i="7"/>
  <c r="CY226" i="7" s="1"/>
  <c r="BQ219" i="7"/>
  <c r="H219" i="7" s="1"/>
  <c r="DI220" i="7"/>
  <c r="BP220" i="7" s="1"/>
  <c r="CH223" i="7"/>
  <c r="DC223" i="7" s="1"/>
  <c r="BN222" i="7"/>
  <c r="CF228" i="7"/>
  <c r="DA228" i="7" s="1"/>
  <c r="BS227" i="7"/>
  <c r="CN227" i="7" s="1"/>
  <c r="BU238" i="7"/>
  <c r="CP238" i="7" s="1"/>
  <c r="CE231" i="7"/>
  <c r="CZ231" i="7" s="1"/>
  <c r="CJ262" i="7"/>
  <c r="DE262" i="7" s="1"/>
  <c r="EO230" i="7" l="1"/>
  <c r="AO223" i="7"/>
  <c r="EN224" i="7"/>
  <c r="AN228" i="7"/>
  <c r="AM231" i="7"/>
  <c r="CK229" i="7"/>
  <c r="DF229" i="7" s="1"/>
  <c r="CB231" i="7"/>
  <c r="CW231" i="7" s="1"/>
  <c r="CL227" i="7"/>
  <c r="DG227" i="7" s="1"/>
  <c r="EM226" i="7"/>
  <c r="DM225" i="7"/>
  <c r="EA223" i="7"/>
  <c r="DZ223" i="7"/>
  <c r="EB222" i="7"/>
  <c r="DX222" i="7"/>
  <c r="DW222" i="7"/>
  <c r="EC227" i="7"/>
  <c r="EF227" i="7"/>
  <c r="AW226" i="7"/>
  <c r="AT226" i="7"/>
  <c r="BC226" i="7"/>
  <c r="AY226" i="7"/>
  <c r="AZ226" i="7"/>
  <c r="M227" i="7"/>
  <c r="AX227" i="7" s="1"/>
  <c r="DV227" i="7"/>
  <c r="AU226" i="7"/>
  <c r="AX226" i="7"/>
  <c r="AV226" i="7"/>
  <c r="BB226" i="7"/>
  <c r="BY260" i="7"/>
  <c r="CT260" i="7" s="1"/>
  <c r="BX260" i="7"/>
  <c r="CS260" i="7" s="1"/>
  <c r="BW262" i="7"/>
  <c r="CR262" i="7" s="1"/>
  <c r="DK225" i="7"/>
  <c r="BE224" i="7"/>
  <c r="BD224" i="7"/>
  <c r="BF224" i="7"/>
  <c r="DP225" i="7"/>
  <c r="DP226" i="7" s="1"/>
  <c r="AF225" i="7"/>
  <c r="AI225" i="7" s="1"/>
  <c r="DJ225" i="7"/>
  <c r="AH225" i="7"/>
  <c r="DR225" i="7"/>
  <c r="DN225" i="7"/>
  <c r="DO225" i="7"/>
  <c r="DL225" i="7"/>
  <c r="AG225" i="7"/>
  <c r="DQ225" i="7"/>
  <c r="CM251" i="7"/>
  <c r="DH251" i="7" s="1"/>
  <c r="CC245" i="7"/>
  <c r="CX245" i="7" s="1"/>
  <c r="G219" i="7"/>
  <c r="BM78" i="7"/>
  <c r="CI230" i="7"/>
  <c r="DD230" i="7" s="1"/>
  <c r="DS229" i="7"/>
  <c r="P229" i="7" s="1"/>
  <c r="BT231" i="7"/>
  <c r="CO231" i="7" s="1"/>
  <c r="BV229" i="7"/>
  <c r="CQ229" i="7" s="1"/>
  <c r="CA223" i="7"/>
  <c r="CV223" i="7" s="1"/>
  <c r="BO221" i="7"/>
  <c r="CG224" i="7"/>
  <c r="DB224" i="7" s="1"/>
  <c r="BZ225" i="7"/>
  <c r="CU225" i="7" s="1"/>
  <c r="CD227" i="7"/>
  <c r="CY227" i="7" s="1"/>
  <c r="CH224" i="7"/>
  <c r="DC224" i="7" s="1"/>
  <c r="BN223" i="7"/>
  <c r="DI221" i="7"/>
  <c r="BP221" i="7" s="1"/>
  <c r="BQ220" i="7"/>
  <c r="H220" i="7" s="1"/>
  <c r="CF229" i="7"/>
  <c r="DA229" i="7" s="1"/>
  <c r="AG226" i="7"/>
  <c r="AH226" i="7"/>
  <c r="BS228" i="7"/>
  <c r="CN228" i="7" s="1"/>
  <c r="BU239" i="7"/>
  <c r="CP239" i="7" s="1"/>
  <c r="CE232" i="7"/>
  <c r="CZ232" i="7" s="1"/>
  <c r="CJ263" i="7"/>
  <c r="DE263" i="7" s="1"/>
  <c r="EN225" i="7" l="1"/>
  <c r="CK230" i="7"/>
  <c r="DF230" i="7" s="1"/>
  <c r="AM232" i="7"/>
  <c r="AO224" i="7"/>
  <c r="EO231" i="7"/>
  <c r="AN229" i="7"/>
  <c r="CB232" i="7"/>
  <c r="CW232" i="7" s="1"/>
  <c r="CL228" i="7"/>
  <c r="DG228" i="7" s="1"/>
  <c r="EM227" i="7"/>
  <c r="DZ224" i="7"/>
  <c r="EA224" i="7"/>
  <c r="EC228" i="7"/>
  <c r="EF228" i="7"/>
  <c r="DX223" i="7"/>
  <c r="DW223" i="7"/>
  <c r="EB223" i="7"/>
  <c r="AZ227" i="7"/>
  <c r="AY227" i="7"/>
  <c r="N79" i="7"/>
  <c r="D68" i="32"/>
  <c r="AT227" i="7"/>
  <c r="AW227" i="7"/>
  <c r="AU227" i="7"/>
  <c r="AV227" i="7"/>
  <c r="BB227" i="7"/>
  <c r="M228" i="7"/>
  <c r="AW228" i="7" s="1"/>
  <c r="DV228" i="7"/>
  <c r="BA227" i="7"/>
  <c r="BC227" i="7"/>
  <c r="BX261" i="7"/>
  <c r="CS261" i="7" s="1"/>
  <c r="BY261" i="7"/>
  <c r="CT261" i="7" s="1"/>
  <c r="BW263" i="7"/>
  <c r="CR263" i="7" s="1"/>
  <c r="DO226" i="7"/>
  <c r="BE225" i="7"/>
  <c r="DQ226" i="7"/>
  <c r="DR226" i="7"/>
  <c r="BF225" i="7"/>
  <c r="BD225" i="7"/>
  <c r="DM226" i="7"/>
  <c r="DN226" i="7"/>
  <c r="DL226" i="7"/>
  <c r="DJ226" i="7"/>
  <c r="AF226" i="7"/>
  <c r="AI226" i="7" s="1"/>
  <c r="DK226" i="7"/>
  <c r="CM252" i="7"/>
  <c r="DH252" i="7" s="1"/>
  <c r="CC246" i="7"/>
  <c r="CX246" i="7" s="1"/>
  <c r="G220" i="7"/>
  <c r="B78" i="7"/>
  <c r="BV230" i="7"/>
  <c r="CQ230" i="7" s="1"/>
  <c r="BT232" i="7"/>
  <c r="CO232" i="7" s="1"/>
  <c r="CI231" i="7"/>
  <c r="DD231" i="7" s="1"/>
  <c r="DS230" i="7"/>
  <c r="P230" i="7" s="1"/>
  <c r="BO222" i="7"/>
  <c r="CA224" i="7"/>
  <c r="CV224" i="7" s="1"/>
  <c r="CG225" i="7"/>
  <c r="DB225" i="7" s="1"/>
  <c r="BZ226" i="7"/>
  <c r="CU226" i="7" s="1"/>
  <c r="CD228" i="7"/>
  <c r="CY228" i="7" s="1"/>
  <c r="CF230" i="7"/>
  <c r="DA230" i="7" s="1"/>
  <c r="DI222" i="7"/>
  <c r="BP222" i="7" s="1"/>
  <c r="BQ221" i="7"/>
  <c r="H221" i="7" s="1"/>
  <c r="BN224" i="7"/>
  <c r="CH225" i="7"/>
  <c r="DC225" i="7" s="1"/>
  <c r="BS229" i="7"/>
  <c r="CN229" i="7" s="1"/>
  <c r="BU240" i="7"/>
  <c r="CP240" i="7" s="1"/>
  <c r="CE233" i="7"/>
  <c r="CZ233" i="7" s="1"/>
  <c r="CJ264" i="7"/>
  <c r="DE264" i="7" s="1"/>
  <c r="EO232" i="7" l="1"/>
  <c r="AM233" i="7"/>
  <c r="CK231" i="7"/>
  <c r="DF231" i="7" s="1"/>
  <c r="EN226" i="7"/>
  <c r="AN230" i="7"/>
  <c r="AO225" i="7"/>
  <c r="CB233" i="7"/>
  <c r="CW233" i="7" s="1"/>
  <c r="F68" i="32"/>
  <c r="G68" i="32" s="1"/>
  <c r="P68" i="32" s="1"/>
  <c r="Q68" i="32" s="1"/>
  <c r="AP79" i="7"/>
  <c r="BG79" i="7" s="1"/>
  <c r="AQ79" i="7"/>
  <c r="BH79" i="7" s="1"/>
  <c r="AR79" i="7"/>
  <c r="BI79" i="7" s="1"/>
  <c r="CL229" i="7"/>
  <c r="DG229" i="7" s="1"/>
  <c r="EM228" i="7"/>
  <c r="AK79" i="7"/>
  <c r="D79" i="7" s="1"/>
  <c r="DZ225" i="7"/>
  <c r="EA225" i="7"/>
  <c r="EF229" i="7"/>
  <c r="EC229" i="7"/>
  <c r="DW224" i="7"/>
  <c r="EB224" i="7"/>
  <c r="DX224" i="7"/>
  <c r="AL79" i="7"/>
  <c r="E79" i="7" s="1"/>
  <c r="AJ79" i="7"/>
  <c r="C79" i="7" s="1"/>
  <c r="AY228" i="7"/>
  <c r="BC228" i="7"/>
  <c r="AT228" i="7"/>
  <c r="BA228" i="7"/>
  <c r="AX228" i="7"/>
  <c r="AZ228" i="7"/>
  <c r="BB228" i="7"/>
  <c r="AV228" i="7"/>
  <c r="AU228" i="7"/>
  <c r="M229" i="7"/>
  <c r="AX229" i="7" s="1"/>
  <c r="DV229" i="7"/>
  <c r="BY262" i="7"/>
  <c r="CT262" i="7" s="1"/>
  <c r="BX262" i="7"/>
  <c r="CS262" i="7" s="1"/>
  <c r="BW264" i="7"/>
  <c r="CR264" i="7" s="1"/>
  <c r="BD226" i="7"/>
  <c r="DK227" i="7"/>
  <c r="BF226" i="7"/>
  <c r="BE226" i="7"/>
  <c r="DR227" i="7"/>
  <c r="DJ227" i="7"/>
  <c r="AG227" i="7"/>
  <c r="AH227" i="7"/>
  <c r="DM227" i="7"/>
  <c r="AF227" i="7"/>
  <c r="AI227" i="7" s="1"/>
  <c r="DO227" i="7"/>
  <c r="DP227" i="7"/>
  <c r="DQ227" i="7"/>
  <c r="DL227" i="7"/>
  <c r="DN227" i="7"/>
  <c r="CM253" i="7"/>
  <c r="DH253" i="7" s="1"/>
  <c r="CC247" i="7"/>
  <c r="CX247" i="7" s="1"/>
  <c r="G221" i="7"/>
  <c r="BT233" i="7"/>
  <c r="CO233" i="7" s="1"/>
  <c r="BV231" i="7"/>
  <c r="CQ231" i="7" s="1"/>
  <c r="DS231" i="7"/>
  <c r="P231" i="7" s="1"/>
  <c r="CI232" i="7"/>
  <c r="DD232" i="7" s="1"/>
  <c r="CA225" i="7"/>
  <c r="CV225" i="7" s="1"/>
  <c r="BO223" i="7"/>
  <c r="CG226" i="7"/>
  <c r="DB226" i="7" s="1"/>
  <c r="BZ227" i="7"/>
  <c r="CU227" i="7" s="1"/>
  <c r="CD229" i="7"/>
  <c r="CY229" i="7" s="1"/>
  <c r="CH226" i="7"/>
  <c r="DC226" i="7" s="1"/>
  <c r="BN225" i="7"/>
  <c r="BQ222" i="7"/>
  <c r="H222" i="7" s="1"/>
  <c r="DI223" i="7"/>
  <c r="BP223" i="7" s="1"/>
  <c r="CF231" i="7"/>
  <c r="DA231" i="7" s="1"/>
  <c r="BS230" i="7"/>
  <c r="CN230" i="7" s="1"/>
  <c r="BU241" i="7"/>
  <c r="CP241" i="7" s="1"/>
  <c r="CE234" i="7"/>
  <c r="CZ234" i="7" s="1"/>
  <c r="CJ265" i="7"/>
  <c r="DE265" i="7" s="1"/>
  <c r="AN231" i="7" l="1"/>
  <c r="AM234" i="7"/>
  <c r="AO226" i="7"/>
  <c r="EO233" i="7"/>
  <c r="EN227" i="7"/>
  <c r="CK232" i="7"/>
  <c r="DF232" i="7" s="1"/>
  <c r="CB234" i="7"/>
  <c r="CW234" i="7" s="1"/>
  <c r="CL230" i="7"/>
  <c r="DG230" i="7" s="1"/>
  <c r="EM229" i="7"/>
  <c r="EB225" i="7"/>
  <c r="DX225" i="7"/>
  <c r="DW225" i="7"/>
  <c r="EF230" i="7"/>
  <c r="EC230" i="7"/>
  <c r="EA226" i="7"/>
  <c r="DZ226" i="7"/>
  <c r="AZ229" i="7"/>
  <c r="AT229" i="7"/>
  <c r="AY229" i="7"/>
  <c r="BA229" i="7"/>
  <c r="BB229" i="7"/>
  <c r="AV229" i="7"/>
  <c r="AU229" i="7"/>
  <c r="M230" i="7"/>
  <c r="BA230" i="7" s="1"/>
  <c r="DV230" i="7"/>
  <c r="AW229" i="7"/>
  <c r="BC229" i="7"/>
  <c r="BX263" i="7"/>
  <c r="CS263" i="7" s="1"/>
  <c r="BY263" i="7"/>
  <c r="CT263" i="7" s="1"/>
  <c r="BW265" i="7"/>
  <c r="CR265" i="7" s="1"/>
  <c r="DO228" i="7"/>
  <c r="BE227" i="7"/>
  <c r="BF227" i="7"/>
  <c r="DP228" i="7"/>
  <c r="DN228" i="7"/>
  <c r="DL228" i="7"/>
  <c r="DR228" i="7"/>
  <c r="DJ228" i="7"/>
  <c r="AF228" i="7"/>
  <c r="AI228" i="7" s="1"/>
  <c r="AH228" i="7"/>
  <c r="AG228" i="7"/>
  <c r="DK228" i="7"/>
  <c r="DM228" i="7"/>
  <c r="DQ228" i="7"/>
  <c r="BD227" i="7"/>
  <c r="CM254" i="7"/>
  <c r="DH254" i="7" s="1"/>
  <c r="CC248" i="7"/>
  <c r="CX248" i="7" s="1"/>
  <c r="G222" i="7"/>
  <c r="BK79" i="7"/>
  <c r="F79" i="7"/>
  <c r="BJ79" i="7"/>
  <c r="BL79" i="7"/>
  <c r="BV232" i="7"/>
  <c r="CQ232" i="7" s="1"/>
  <c r="CI233" i="7"/>
  <c r="DD233" i="7" s="1"/>
  <c r="DS232" i="7"/>
  <c r="P232" i="7" s="1"/>
  <c r="BT234" i="7"/>
  <c r="CO234" i="7" s="1"/>
  <c r="CA226" i="7"/>
  <c r="CV226" i="7" s="1"/>
  <c r="BO224" i="7"/>
  <c r="CG227" i="7"/>
  <c r="DB227" i="7" s="1"/>
  <c r="BZ228" i="7"/>
  <c r="CU228" i="7" s="1"/>
  <c r="CD230" i="7"/>
  <c r="CY230" i="7" s="1"/>
  <c r="CF232" i="7"/>
  <c r="DA232" i="7" s="1"/>
  <c r="BQ223" i="7"/>
  <c r="H223" i="7" s="1"/>
  <c r="DI224" i="7"/>
  <c r="BP224" i="7" s="1"/>
  <c r="CH227" i="7"/>
  <c r="DC227" i="7" s="1"/>
  <c r="BN226" i="7"/>
  <c r="BS231" i="7"/>
  <c r="CN231" i="7" s="1"/>
  <c r="AF229" i="7"/>
  <c r="AI229" i="7" s="1"/>
  <c r="AG229" i="7"/>
  <c r="BU242" i="7"/>
  <c r="CP242" i="7" s="1"/>
  <c r="CE235" i="7"/>
  <c r="CZ235" i="7" s="1"/>
  <c r="CJ266" i="7"/>
  <c r="DE266" i="7" s="1"/>
  <c r="AN232" i="7" l="1"/>
  <c r="CK233" i="7"/>
  <c r="DF233" i="7" s="1"/>
  <c r="EO234" i="7"/>
  <c r="EN228" i="7"/>
  <c r="AM235" i="7"/>
  <c r="AO227" i="7"/>
  <c r="CB235" i="7"/>
  <c r="CW235" i="7" s="1"/>
  <c r="CL231" i="7"/>
  <c r="DG231" i="7" s="1"/>
  <c r="EM230" i="7"/>
  <c r="EF231" i="7"/>
  <c r="EC231" i="7"/>
  <c r="DZ227" i="7"/>
  <c r="EA227" i="7"/>
  <c r="EB226" i="7"/>
  <c r="DX226" i="7"/>
  <c r="DW226" i="7"/>
  <c r="DN229" i="7"/>
  <c r="AU230" i="7"/>
  <c r="AX230" i="7"/>
  <c r="AT230" i="7"/>
  <c r="AW230" i="7"/>
  <c r="BB230" i="7"/>
  <c r="AZ230" i="7"/>
  <c r="AY230" i="7"/>
  <c r="AV230" i="7"/>
  <c r="M231" i="7"/>
  <c r="AX231" i="7" s="1"/>
  <c r="DV231" i="7"/>
  <c r="BC230" i="7"/>
  <c r="BY264" i="7"/>
  <c r="CT264" i="7" s="1"/>
  <c r="BX264" i="7"/>
  <c r="CS264" i="7" s="1"/>
  <c r="BW266" i="7"/>
  <c r="CR266" i="7" s="1"/>
  <c r="DL229" i="7"/>
  <c r="DP229" i="7"/>
  <c r="BF228" i="7"/>
  <c r="BE228" i="7"/>
  <c r="DJ229" i="7"/>
  <c r="BD228" i="7"/>
  <c r="DK229" i="7"/>
  <c r="AH229" i="7"/>
  <c r="DQ229" i="7"/>
  <c r="DO229" i="7"/>
  <c r="DR229" i="7"/>
  <c r="DM229" i="7"/>
  <c r="CM255" i="7"/>
  <c r="DH255" i="7" s="1"/>
  <c r="CC249" i="7"/>
  <c r="CX249" i="7" s="1"/>
  <c r="G223" i="7"/>
  <c r="BM79" i="7"/>
  <c r="CI234" i="7"/>
  <c r="DD234" i="7" s="1"/>
  <c r="DS233" i="7"/>
  <c r="P233" i="7" s="1"/>
  <c r="BT235" i="7"/>
  <c r="CO235" i="7" s="1"/>
  <c r="BV233" i="7"/>
  <c r="CQ233" i="7" s="1"/>
  <c r="BO225" i="7"/>
  <c r="CA227" i="7"/>
  <c r="CV227" i="7" s="1"/>
  <c r="CG228" i="7"/>
  <c r="DB228" i="7" s="1"/>
  <c r="BZ229" i="7"/>
  <c r="CU229" i="7" s="1"/>
  <c r="CD231" i="7"/>
  <c r="CY231" i="7" s="1"/>
  <c r="DI225" i="7"/>
  <c r="BP225" i="7" s="1"/>
  <c r="BQ224" i="7"/>
  <c r="H224" i="7" s="1"/>
  <c r="BN227" i="7"/>
  <c r="CH228" i="7"/>
  <c r="DC228" i="7" s="1"/>
  <c r="CF233" i="7"/>
  <c r="DA233" i="7" s="1"/>
  <c r="BS232" i="7"/>
  <c r="CN232" i="7" s="1"/>
  <c r="AF230" i="7"/>
  <c r="AI230" i="7" s="1"/>
  <c r="BU243" i="7"/>
  <c r="CP243" i="7" s="1"/>
  <c r="CE236" i="7"/>
  <c r="CZ236" i="7" s="1"/>
  <c r="CJ267" i="7"/>
  <c r="DE267" i="7" s="1"/>
  <c r="AM236" i="7" l="1"/>
  <c r="AN233" i="7"/>
  <c r="CK234" i="7"/>
  <c r="DF234" i="7" s="1"/>
  <c r="AO228" i="7"/>
  <c r="EO235" i="7"/>
  <c r="EN229" i="7"/>
  <c r="CB236" i="7"/>
  <c r="CW236" i="7" s="1"/>
  <c r="CL232" i="7"/>
  <c r="DG232" i="7" s="1"/>
  <c r="EM231" i="7"/>
  <c r="DN230" i="7"/>
  <c r="DQ230" i="7"/>
  <c r="AT231" i="7"/>
  <c r="EA228" i="7"/>
  <c r="DZ228" i="7"/>
  <c r="EB227" i="7"/>
  <c r="DX227" i="7"/>
  <c r="DW227" i="7"/>
  <c r="EF232" i="7"/>
  <c r="EC232" i="7"/>
  <c r="N80" i="7"/>
  <c r="D69" i="32"/>
  <c r="AZ231" i="7"/>
  <c r="AV231" i="7"/>
  <c r="AY231" i="7"/>
  <c r="AU231" i="7"/>
  <c r="AW231" i="7"/>
  <c r="BB231" i="7"/>
  <c r="BA231" i="7"/>
  <c r="BC231" i="7"/>
  <c r="M232" i="7"/>
  <c r="BA232" i="7" s="1"/>
  <c r="DV232" i="7"/>
  <c r="BX265" i="7"/>
  <c r="CS265" i="7" s="1"/>
  <c r="BY265" i="7"/>
  <c r="CT265" i="7" s="1"/>
  <c r="BW267" i="7"/>
  <c r="CR267" i="7" s="1"/>
  <c r="BE229" i="7"/>
  <c r="DM230" i="7"/>
  <c r="BD229" i="7"/>
  <c r="BF229" i="7"/>
  <c r="DO230" i="7"/>
  <c r="DR230" i="7"/>
  <c r="DJ230" i="7"/>
  <c r="AH230" i="7"/>
  <c r="DL230" i="7"/>
  <c r="DP230" i="7"/>
  <c r="AG230" i="7"/>
  <c r="DK230" i="7"/>
  <c r="CM256" i="7"/>
  <c r="DH256" i="7" s="1"/>
  <c r="CC250" i="7"/>
  <c r="CX250" i="7" s="1"/>
  <c r="G224" i="7"/>
  <c r="B79" i="7"/>
  <c r="BT236" i="7"/>
  <c r="CO236" i="7" s="1"/>
  <c r="BV234" i="7"/>
  <c r="CQ234" i="7" s="1"/>
  <c r="DS234" i="7"/>
  <c r="P234" i="7" s="1"/>
  <c r="CI235" i="7"/>
  <c r="DD235" i="7" s="1"/>
  <c r="CA228" i="7"/>
  <c r="CV228" i="7" s="1"/>
  <c r="BO226" i="7"/>
  <c r="CG229" i="7"/>
  <c r="DB229" i="7" s="1"/>
  <c r="BZ230" i="7"/>
  <c r="CU230" i="7" s="1"/>
  <c r="CD232" i="7"/>
  <c r="CY232" i="7" s="1"/>
  <c r="CF234" i="7"/>
  <c r="DA234" i="7" s="1"/>
  <c r="BN228" i="7"/>
  <c r="CH229" i="7"/>
  <c r="DC229" i="7" s="1"/>
  <c r="BQ225" i="7"/>
  <c r="H225" i="7" s="1"/>
  <c r="DI226" i="7"/>
  <c r="BP226" i="7" s="1"/>
  <c r="BS233" i="7"/>
  <c r="CN233" i="7" s="1"/>
  <c r="BU244" i="7"/>
  <c r="CP244" i="7" s="1"/>
  <c r="CE237" i="7"/>
  <c r="CZ237" i="7" s="1"/>
  <c r="CJ268" i="7"/>
  <c r="DE268" i="7" s="1"/>
  <c r="EN230" i="7" l="1"/>
  <c r="AO229" i="7"/>
  <c r="AN234" i="7"/>
  <c r="AM237" i="7"/>
  <c r="EO236" i="7"/>
  <c r="CK235" i="7"/>
  <c r="DF235" i="7" s="1"/>
  <c r="CB237" i="7"/>
  <c r="CW237" i="7" s="1"/>
  <c r="F69" i="32"/>
  <c r="G69" i="32" s="1"/>
  <c r="P69" i="32" s="1"/>
  <c r="Q69" i="32" s="1"/>
  <c r="AP80" i="7"/>
  <c r="BG80" i="7" s="1"/>
  <c r="AQ80" i="7"/>
  <c r="BH80" i="7" s="1"/>
  <c r="AR80" i="7"/>
  <c r="BI80" i="7" s="1"/>
  <c r="CL233" i="7"/>
  <c r="DG233" i="7" s="1"/>
  <c r="EM232" i="7"/>
  <c r="EA229" i="7"/>
  <c r="DZ229" i="7"/>
  <c r="DW228" i="7"/>
  <c r="DX228" i="7"/>
  <c r="EB228" i="7"/>
  <c r="EF233" i="7"/>
  <c r="EC233" i="7"/>
  <c r="DO231" i="7"/>
  <c r="AJ80" i="7"/>
  <c r="C80" i="7" s="1"/>
  <c r="AK80" i="7"/>
  <c r="D80" i="7" s="1"/>
  <c r="AL80" i="7"/>
  <c r="E80" i="7" s="1"/>
  <c r="AW232" i="7"/>
  <c r="AZ232" i="7"/>
  <c r="AU232" i="7"/>
  <c r="AX232" i="7"/>
  <c r="AV232" i="7"/>
  <c r="BB232" i="7"/>
  <c r="AY232" i="7"/>
  <c r="AT232" i="7"/>
  <c r="M233" i="7"/>
  <c r="AT233" i="7" s="1"/>
  <c r="DV233" i="7"/>
  <c r="BC232" i="7"/>
  <c r="BY266" i="7"/>
  <c r="CT266" i="7" s="1"/>
  <c r="BX266" i="7"/>
  <c r="CS266" i="7" s="1"/>
  <c r="BW268" i="7"/>
  <c r="CR268" i="7" s="1"/>
  <c r="BD230" i="7"/>
  <c r="BF230" i="7"/>
  <c r="BE230" i="7"/>
  <c r="DR231" i="7"/>
  <c r="AH231" i="7"/>
  <c r="DL231" i="7"/>
  <c r="DJ231" i="7"/>
  <c r="DP231" i="7"/>
  <c r="AG231" i="7"/>
  <c r="DK231" i="7"/>
  <c r="DM231" i="7"/>
  <c r="DN231" i="7"/>
  <c r="AF231" i="7"/>
  <c r="AI231" i="7" s="1"/>
  <c r="DQ231" i="7"/>
  <c r="CM257" i="7"/>
  <c r="DH257" i="7" s="1"/>
  <c r="CC251" i="7"/>
  <c r="CX251" i="7" s="1"/>
  <c r="G225" i="7"/>
  <c r="BV235" i="7"/>
  <c r="CQ235" i="7" s="1"/>
  <c r="BT237" i="7"/>
  <c r="CO237" i="7" s="1"/>
  <c r="DS235" i="7"/>
  <c r="P235" i="7" s="1"/>
  <c r="CI236" i="7"/>
  <c r="DD236" i="7" s="1"/>
  <c r="CA229" i="7"/>
  <c r="CV229" i="7" s="1"/>
  <c r="BO227" i="7"/>
  <c r="CG230" i="7"/>
  <c r="DB230" i="7" s="1"/>
  <c r="BZ231" i="7"/>
  <c r="CU231" i="7" s="1"/>
  <c r="CD233" i="7"/>
  <c r="CY233" i="7" s="1"/>
  <c r="DI227" i="7"/>
  <c r="BP227" i="7" s="1"/>
  <c r="BQ226" i="7"/>
  <c r="H226" i="7" s="1"/>
  <c r="CF235" i="7"/>
  <c r="DA235" i="7" s="1"/>
  <c r="CH230" i="7"/>
  <c r="DC230" i="7" s="1"/>
  <c r="BN229" i="7"/>
  <c r="BS234" i="7"/>
  <c r="CN234" i="7" s="1"/>
  <c r="BU245" i="7"/>
  <c r="CP245" i="7" s="1"/>
  <c r="CE238" i="7"/>
  <c r="CZ238" i="7" s="1"/>
  <c r="CJ269" i="7"/>
  <c r="DE269" i="7" s="1"/>
  <c r="EO237" i="7" l="1"/>
  <c r="CK236" i="7"/>
  <c r="DF236" i="7" s="1"/>
  <c r="AO230" i="7"/>
  <c r="AM238" i="7"/>
  <c r="AN235" i="7"/>
  <c r="EN231" i="7"/>
  <c r="CB238" i="7"/>
  <c r="CW238" i="7" s="1"/>
  <c r="CL234" i="7"/>
  <c r="DG234" i="7" s="1"/>
  <c r="EM233" i="7"/>
  <c r="BB233" i="7"/>
  <c r="DO232" i="7"/>
  <c r="EF234" i="7"/>
  <c r="EC234" i="7"/>
  <c r="DZ230" i="7"/>
  <c r="EA230" i="7"/>
  <c r="DW229" i="7"/>
  <c r="EB229" i="7"/>
  <c r="DX229" i="7"/>
  <c r="BA233" i="7"/>
  <c r="AZ233" i="7"/>
  <c r="AU233" i="7"/>
  <c r="AW233" i="7"/>
  <c r="BC233" i="7"/>
  <c r="AX233" i="7"/>
  <c r="M234" i="7"/>
  <c r="BA234" i="7" s="1"/>
  <c r="DV234" i="7"/>
  <c r="AV233" i="7"/>
  <c r="AY233" i="7"/>
  <c r="BX267" i="7"/>
  <c r="CS267" i="7" s="1"/>
  <c r="BY267" i="7"/>
  <c r="CT267" i="7" s="1"/>
  <c r="BW269" i="7"/>
  <c r="CR269" i="7" s="1"/>
  <c r="BD231" i="7"/>
  <c r="DN232" i="7"/>
  <c r="DJ232" i="7"/>
  <c r="DL232" i="7"/>
  <c r="DR232" i="7"/>
  <c r="AG232" i="7"/>
  <c r="BF231" i="7"/>
  <c r="DK232" i="7"/>
  <c r="DM232" i="7"/>
  <c r="AH232" i="7"/>
  <c r="AF232" i="7"/>
  <c r="AI232" i="7" s="1"/>
  <c r="DP232" i="7"/>
  <c r="DQ232" i="7"/>
  <c r="BE231" i="7"/>
  <c r="CM258" i="7"/>
  <c r="DH258" i="7" s="1"/>
  <c r="CC252" i="7"/>
  <c r="CX252" i="7" s="1"/>
  <c r="G226" i="7"/>
  <c r="BK80" i="7"/>
  <c r="F80" i="7"/>
  <c r="BJ80" i="7"/>
  <c r="BL80" i="7"/>
  <c r="BT238" i="7"/>
  <c r="CO238" i="7" s="1"/>
  <c r="DS236" i="7"/>
  <c r="P236" i="7" s="1"/>
  <c r="CI237" i="7"/>
  <c r="DD237" i="7" s="1"/>
  <c r="BV236" i="7"/>
  <c r="CQ236" i="7" s="1"/>
  <c r="CA230" i="7"/>
  <c r="CV230" i="7" s="1"/>
  <c r="BO228" i="7"/>
  <c r="CG231" i="7"/>
  <c r="DB231" i="7" s="1"/>
  <c r="BZ232" i="7"/>
  <c r="CU232" i="7" s="1"/>
  <c r="CD234" i="7"/>
  <c r="CY234" i="7" s="1"/>
  <c r="CF236" i="7"/>
  <c r="DA236" i="7" s="1"/>
  <c r="CH231" i="7"/>
  <c r="DC231" i="7" s="1"/>
  <c r="BN230" i="7"/>
  <c r="BQ227" i="7"/>
  <c r="H227" i="7" s="1"/>
  <c r="DI228" i="7"/>
  <c r="BP228" i="7" s="1"/>
  <c r="AH233" i="7"/>
  <c r="AF233" i="7"/>
  <c r="AI233" i="7" s="1"/>
  <c r="AG233" i="7"/>
  <c r="BS235" i="7"/>
  <c r="CN235" i="7" s="1"/>
  <c r="BU246" i="7"/>
  <c r="CP246" i="7" s="1"/>
  <c r="CE239" i="7"/>
  <c r="CZ239" i="7" s="1"/>
  <c r="CJ270" i="7"/>
  <c r="DE270" i="7" s="1"/>
  <c r="EO238" i="7" l="1"/>
  <c r="CK237" i="7"/>
  <c r="DF237" i="7" s="1"/>
  <c r="AN236" i="7"/>
  <c r="EN232" i="7"/>
  <c r="DQ233" i="7"/>
  <c r="AM239" i="7"/>
  <c r="AO231" i="7"/>
  <c r="CB239" i="7"/>
  <c r="CW239" i="7" s="1"/>
  <c r="CL235" i="7"/>
  <c r="DG235" i="7" s="1"/>
  <c r="EM234" i="7"/>
  <c r="EF235" i="7"/>
  <c r="EC235" i="7"/>
  <c r="EA231" i="7"/>
  <c r="DZ231" i="7"/>
  <c r="DW230" i="7"/>
  <c r="EB230" i="7"/>
  <c r="DX230" i="7"/>
  <c r="DR233" i="7"/>
  <c r="DM233" i="7"/>
  <c r="AW234" i="7"/>
  <c r="AT234" i="7"/>
  <c r="M235" i="7"/>
  <c r="BB235" i="7" s="1"/>
  <c r="DV235" i="7"/>
  <c r="BC234" i="7"/>
  <c r="AY234" i="7"/>
  <c r="AZ234" i="7"/>
  <c r="BB234" i="7"/>
  <c r="AX234" i="7"/>
  <c r="AV234" i="7"/>
  <c r="DN233" i="7"/>
  <c r="AU234" i="7"/>
  <c r="BY268" i="7"/>
  <c r="CT268" i="7" s="1"/>
  <c r="BX268" i="7"/>
  <c r="CS268" i="7" s="1"/>
  <c r="BW270" i="7"/>
  <c r="CR270" i="7" s="1"/>
  <c r="DK233" i="7"/>
  <c r="DJ233" i="7"/>
  <c r="BF232" i="7"/>
  <c r="BE232" i="7"/>
  <c r="BD232" i="7"/>
  <c r="DP233" i="7"/>
  <c r="DO233" i="7"/>
  <c r="DL233" i="7"/>
  <c r="CM259" i="7"/>
  <c r="DH259" i="7" s="1"/>
  <c r="CC253" i="7"/>
  <c r="CX253" i="7" s="1"/>
  <c r="G227" i="7"/>
  <c r="BM80" i="7"/>
  <c r="DS237" i="7"/>
  <c r="P237" i="7" s="1"/>
  <c r="CI238" i="7"/>
  <c r="DD238" i="7" s="1"/>
  <c r="BV237" i="7"/>
  <c r="CQ237" i="7" s="1"/>
  <c r="BT239" i="7"/>
  <c r="CO239" i="7" s="1"/>
  <c r="CA231" i="7"/>
  <c r="CV231" i="7" s="1"/>
  <c r="BO229" i="7"/>
  <c r="CG232" i="7"/>
  <c r="DB232" i="7" s="1"/>
  <c r="BZ233" i="7"/>
  <c r="CU233" i="7" s="1"/>
  <c r="CD235" i="7"/>
  <c r="CY235" i="7" s="1"/>
  <c r="CF237" i="7"/>
  <c r="DA237" i="7" s="1"/>
  <c r="DI229" i="7"/>
  <c r="BP229" i="7" s="1"/>
  <c r="BQ228" i="7"/>
  <c r="H228" i="7" s="1"/>
  <c r="CH232" i="7"/>
  <c r="DC232" i="7" s="1"/>
  <c r="BN231" i="7"/>
  <c r="BD233" i="7"/>
  <c r="BE233" i="7"/>
  <c r="BF233" i="7"/>
  <c r="BS236" i="7"/>
  <c r="CN236" i="7" s="1"/>
  <c r="AH234" i="7"/>
  <c r="BU247" i="7"/>
  <c r="CP247" i="7" s="1"/>
  <c r="CE240" i="7"/>
  <c r="CZ240" i="7" s="1"/>
  <c r="CJ271" i="7"/>
  <c r="DE271" i="7" s="1"/>
  <c r="AO232" i="7" l="1"/>
  <c r="CK238" i="7"/>
  <c r="DF238" i="7" s="1"/>
  <c r="EO239" i="7"/>
  <c r="EN233" i="7"/>
  <c r="AN237" i="7"/>
  <c r="AM240" i="7"/>
  <c r="CB240" i="7"/>
  <c r="CW240" i="7" s="1"/>
  <c r="CL236" i="7"/>
  <c r="DG236" i="7" s="1"/>
  <c r="EM235" i="7"/>
  <c r="DM234" i="7"/>
  <c r="BC235" i="7"/>
  <c r="DR234" i="7"/>
  <c r="EA232" i="7"/>
  <c r="DZ232" i="7"/>
  <c r="EB231" i="7"/>
  <c r="DX231" i="7"/>
  <c r="DW231" i="7"/>
  <c r="EF236" i="7"/>
  <c r="EC236" i="7"/>
  <c r="AX235" i="7"/>
  <c r="BA235" i="7"/>
  <c r="N81" i="7"/>
  <c r="D70" i="32"/>
  <c r="DN234" i="7"/>
  <c r="AZ235" i="7"/>
  <c r="AY235" i="7"/>
  <c r="AT235" i="7"/>
  <c r="AW235" i="7"/>
  <c r="AU235" i="7"/>
  <c r="AV235" i="7"/>
  <c r="M236" i="7"/>
  <c r="AV236" i="7" s="1"/>
  <c r="DV236" i="7"/>
  <c r="BX269" i="7"/>
  <c r="CS269" i="7" s="1"/>
  <c r="BY269" i="7"/>
  <c r="CT269" i="7" s="1"/>
  <c r="BW271" i="7"/>
  <c r="CR271" i="7" s="1"/>
  <c r="DK234" i="7"/>
  <c r="AG234" i="7"/>
  <c r="DQ234" i="7"/>
  <c r="DO234" i="7"/>
  <c r="DP234" i="7"/>
  <c r="DJ234" i="7"/>
  <c r="AF234" i="7"/>
  <c r="AI234" i="7" s="1"/>
  <c r="DL234" i="7"/>
  <c r="CM260" i="7"/>
  <c r="DH260" i="7" s="1"/>
  <c r="CC254" i="7"/>
  <c r="CX254" i="7" s="1"/>
  <c r="G228" i="7"/>
  <c r="B80" i="7"/>
  <c r="CI239" i="7"/>
  <c r="DD239" i="7" s="1"/>
  <c r="DS238" i="7"/>
  <c r="P238" i="7" s="1"/>
  <c r="BT240" i="7"/>
  <c r="CO240" i="7" s="1"/>
  <c r="BV238" i="7"/>
  <c r="CQ238" i="7" s="1"/>
  <c r="CA232" i="7"/>
  <c r="CV232" i="7" s="1"/>
  <c r="BO230" i="7"/>
  <c r="CG233" i="7"/>
  <c r="DB233" i="7" s="1"/>
  <c r="BZ234" i="7"/>
  <c r="CU234" i="7" s="1"/>
  <c r="CD236" i="7"/>
  <c r="CY236" i="7" s="1"/>
  <c r="CH233" i="7"/>
  <c r="DC233" i="7" s="1"/>
  <c r="BN232" i="7"/>
  <c r="CF238" i="7"/>
  <c r="DA238" i="7" s="1"/>
  <c r="DI230" i="7"/>
  <c r="BP230" i="7" s="1"/>
  <c r="BQ229" i="7"/>
  <c r="H229" i="7" s="1"/>
  <c r="BS237" i="7"/>
  <c r="CN237" i="7" s="1"/>
  <c r="BU248" i="7"/>
  <c r="CP248" i="7" s="1"/>
  <c r="CE241" i="7"/>
  <c r="CZ241" i="7" s="1"/>
  <c r="CJ272" i="7"/>
  <c r="DE272" i="7" s="1"/>
  <c r="CK239" i="7" l="1"/>
  <c r="DF239" i="7" s="1"/>
  <c r="EO240" i="7"/>
  <c r="AM241" i="7"/>
  <c r="AO233" i="7"/>
  <c r="AN238" i="7"/>
  <c r="EN234" i="7"/>
  <c r="CB241" i="7"/>
  <c r="CW241" i="7" s="1"/>
  <c r="F70" i="32"/>
  <c r="G70" i="32" s="1"/>
  <c r="P70" i="32" s="1"/>
  <c r="Q70" i="32" s="1"/>
  <c r="AQ81" i="7"/>
  <c r="BH81" i="7" s="1"/>
  <c r="AR81" i="7"/>
  <c r="BI81" i="7" s="1"/>
  <c r="AP81" i="7"/>
  <c r="BG81" i="7" s="1"/>
  <c r="CL237" i="7"/>
  <c r="DG237" i="7" s="1"/>
  <c r="EM236" i="7"/>
  <c r="DZ233" i="7"/>
  <c r="EA233" i="7"/>
  <c r="EF237" i="7"/>
  <c r="EC237" i="7"/>
  <c r="EB232" i="7"/>
  <c r="DX232" i="7"/>
  <c r="DW232" i="7"/>
  <c r="AK81" i="7"/>
  <c r="D81" i="7" s="1"/>
  <c r="AJ81" i="7"/>
  <c r="C81" i="7" s="1"/>
  <c r="AL81" i="7"/>
  <c r="E81" i="7" s="1"/>
  <c r="AZ236" i="7"/>
  <c r="BB236" i="7"/>
  <c r="AU236" i="7"/>
  <c r="DK235" i="7"/>
  <c r="AY236" i="7"/>
  <c r="BA236" i="7"/>
  <c r="BC236" i="7"/>
  <c r="AW236" i="7"/>
  <c r="M237" i="7"/>
  <c r="AU237" i="7" s="1"/>
  <c r="DV237" i="7"/>
  <c r="AX236" i="7"/>
  <c r="AT236" i="7"/>
  <c r="BY270" i="7"/>
  <c r="CT270" i="7" s="1"/>
  <c r="BX270" i="7"/>
  <c r="CS270" i="7" s="1"/>
  <c r="BW272" i="7"/>
  <c r="CR272" i="7" s="1"/>
  <c r="BD234" i="7"/>
  <c r="BE234" i="7"/>
  <c r="DO235" i="7"/>
  <c r="AF235" i="7"/>
  <c r="AI235" i="7" s="1"/>
  <c r="AH235" i="7"/>
  <c r="DP235" i="7"/>
  <c r="DN235" i="7"/>
  <c r="DL235" i="7"/>
  <c r="DJ235" i="7"/>
  <c r="DR235" i="7"/>
  <c r="AG235" i="7"/>
  <c r="DQ235" i="7"/>
  <c r="DM235" i="7"/>
  <c r="BF234" i="7"/>
  <c r="CM261" i="7"/>
  <c r="DH261" i="7" s="1"/>
  <c r="CC255" i="7"/>
  <c r="CX255" i="7" s="1"/>
  <c r="G229" i="7"/>
  <c r="BT241" i="7"/>
  <c r="CO241" i="7" s="1"/>
  <c r="BV239" i="7"/>
  <c r="CQ239" i="7" s="1"/>
  <c r="CI240" i="7"/>
  <c r="DD240" i="7" s="1"/>
  <c r="DS239" i="7"/>
  <c r="P239" i="7" s="1"/>
  <c r="BO231" i="7"/>
  <c r="CA233" i="7"/>
  <c r="CV233" i="7" s="1"/>
  <c r="CG234" i="7"/>
  <c r="DB234" i="7" s="1"/>
  <c r="BZ235" i="7"/>
  <c r="CU235" i="7" s="1"/>
  <c r="CD237" i="7"/>
  <c r="CY237" i="7" s="1"/>
  <c r="BQ230" i="7"/>
  <c r="H230" i="7" s="1"/>
  <c r="DI231" i="7"/>
  <c r="BP231" i="7" s="1"/>
  <c r="CH234" i="7"/>
  <c r="DC234" i="7" s="1"/>
  <c r="BN233" i="7"/>
  <c r="CF239" i="7"/>
  <c r="DA239" i="7" s="1"/>
  <c r="BS238" i="7"/>
  <c r="CN238" i="7" s="1"/>
  <c r="BU249" i="7"/>
  <c r="CP249" i="7" s="1"/>
  <c r="CE242" i="7"/>
  <c r="CZ242" i="7" s="1"/>
  <c r="CJ273" i="7"/>
  <c r="DE273" i="7" s="1"/>
  <c r="AN239" i="7" l="1"/>
  <c r="AO234" i="7"/>
  <c r="AM242" i="7"/>
  <c r="EO241" i="7"/>
  <c r="EN235" i="7"/>
  <c r="CK240" i="7"/>
  <c r="DF240" i="7" s="1"/>
  <c r="CB242" i="7"/>
  <c r="CW242" i="7" s="1"/>
  <c r="CL238" i="7"/>
  <c r="DG238" i="7" s="1"/>
  <c r="EM237" i="7"/>
  <c r="DZ234" i="7"/>
  <c r="EA234" i="7"/>
  <c r="DX233" i="7"/>
  <c r="EB233" i="7"/>
  <c r="DW233" i="7"/>
  <c r="EF238" i="7"/>
  <c r="EC238" i="7"/>
  <c r="BC237" i="7"/>
  <c r="AV237" i="7"/>
  <c r="AZ237" i="7"/>
  <c r="AX237" i="7"/>
  <c r="AW237" i="7"/>
  <c r="BB237" i="7"/>
  <c r="DP236" i="7"/>
  <c r="AY237" i="7"/>
  <c r="AT237" i="7"/>
  <c r="BA237" i="7"/>
  <c r="M238" i="7"/>
  <c r="AZ238" i="7" s="1"/>
  <c r="DV238" i="7"/>
  <c r="BX271" i="7"/>
  <c r="CS271" i="7" s="1"/>
  <c r="BY271" i="7"/>
  <c r="CT271" i="7" s="1"/>
  <c r="BW273" i="7"/>
  <c r="CR273" i="7" s="1"/>
  <c r="BE235" i="7"/>
  <c r="BD235" i="7"/>
  <c r="BF235" i="7"/>
  <c r="DL236" i="7"/>
  <c r="DM236" i="7"/>
  <c r="DQ236" i="7"/>
  <c r="DR236" i="7"/>
  <c r="AG236" i="7"/>
  <c r="AF236" i="7"/>
  <c r="AI236" i="7" s="1"/>
  <c r="DK236" i="7"/>
  <c r="DO236" i="7"/>
  <c r="AH236" i="7"/>
  <c r="DJ236" i="7"/>
  <c r="DJ237" i="7" s="1"/>
  <c r="DN236" i="7"/>
  <c r="CM262" i="7"/>
  <c r="DH262" i="7" s="1"/>
  <c r="CC256" i="7"/>
  <c r="CX256" i="7" s="1"/>
  <c r="G230" i="7"/>
  <c r="F81" i="7"/>
  <c r="BJ81" i="7"/>
  <c r="BL81" i="7"/>
  <c r="BK81" i="7"/>
  <c r="BV240" i="7"/>
  <c r="CQ240" i="7" s="1"/>
  <c r="CI241" i="7"/>
  <c r="DD241" i="7" s="1"/>
  <c r="DS240" i="7"/>
  <c r="P240" i="7" s="1"/>
  <c r="BT242" i="7"/>
  <c r="CO242" i="7" s="1"/>
  <c r="BO232" i="7"/>
  <c r="CA234" i="7"/>
  <c r="CV234" i="7" s="1"/>
  <c r="CG235" i="7"/>
  <c r="DB235" i="7" s="1"/>
  <c r="BZ236" i="7"/>
  <c r="CU236" i="7" s="1"/>
  <c r="CD238" i="7"/>
  <c r="CY238" i="7" s="1"/>
  <c r="BN234" i="7"/>
  <c r="CH235" i="7"/>
  <c r="DC235" i="7" s="1"/>
  <c r="CF240" i="7"/>
  <c r="DA240" i="7" s="1"/>
  <c r="DI232" i="7"/>
  <c r="BP232" i="7" s="1"/>
  <c r="BQ231" i="7"/>
  <c r="H231" i="7" s="1"/>
  <c r="AH237" i="7"/>
  <c r="AG237" i="7"/>
  <c r="AF237" i="7"/>
  <c r="AI237" i="7" s="1"/>
  <c r="BS239" i="7"/>
  <c r="CN239" i="7" s="1"/>
  <c r="BU250" i="7"/>
  <c r="CP250" i="7" s="1"/>
  <c r="CE243" i="7"/>
  <c r="CZ243" i="7" s="1"/>
  <c r="CJ274" i="7"/>
  <c r="DE274" i="7" s="1"/>
  <c r="CK241" i="7" l="1"/>
  <c r="DF241" i="7" s="1"/>
  <c r="AM243" i="7"/>
  <c r="AN240" i="7"/>
  <c r="EN236" i="7"/>
  <c r="EO242" i="7"/>
  <c r="AO235" i="7"/>
  <c r="DM237" i="7"/>
  <c r="CB243" i="7"/>
  <c r="CW243" i="7" s="1"/>
  <c r="CL239" i="7"/>
  <c r="DG239" i="7" s="1"/>
  <c r="EM238" i="7"/>
  <c r="EA235" i="7"/>
  <c r="DZ235" i="7"/>
  <c r="EB234" i="7"/>
  <c r="DX234" i="7"/>
  <c r="DW234" i="7"/>
  <c r="EC239" i="7"/>
  <c r="EF239" i="7"/>
  <c r="DK237" i="7"/>
  <c r="DQ237" i="7"/>
  <c r="DP237" i="7"/>
  <c r="AV238" i="7"/>
  <c r="AX238" i="7"/>
  <c r="AT238" i="7"/>
  <c r="BC238" i="7"/>
  <c r="BA238" i="7"/>
  <c r="M239" i="7"/>
  <c r="BB239" i="7" s="1"/>
  <c r="DV239" i="7"/>
  <c r="BB238" i="7"/>
  <c r="AW238" i="7"/>
  <c r="AU238" i="7"/>
  <c r="DJ238" i="7" s="1"/>
  <c r="AY238" i="7"/>
  <c r="BY272" i="7"/>
  <c r="CT272" i="7" s="1"/>
  <c r="BX272" i="7"/>
  <c r="CS272" i="7" s="1"/>
  <c r="BW274" i="7"/>
  <c r="CR274" i="7" s="1"/>
  <c r="DO237" i="7"/>
  <c r="DR237" i="7"/>
  <c r="DN237" i="7"/>
  <c r="BF236" i="7"/>
  <c r="BD236" i="7"/>
  <c r="BE236" i="7"/>
  <c r="DL237" i="7"/>
  <c r="CM263" i="7"/>
  <c r="DH263" i="7" s="1"/>
  <c r="CC257" i="7"/>
  <c r="CX257" i="7" s="1"/>
  <c r="G231" i="7"/>
  <c r="BM81" i="7"/>
  <c r="DS241" i="7"/>
  <c r="P241" i="7" s="1"/>
  <c r="CI242" i="7"/>
  <c r="DD242" i="7" s="1"/>
  <c r="BT243" i="7"/>
  <c r="CO243" i="7" s="1"/>
  <c r="BV241" i="7"/>
  <c r="CQ241" i="7" s="1"/>
  <c r="BO233" i="7"/>
  <c r="CA235" i="7"/>
  <c r="CV235" i="7" s="1"/>
  <c r="CG236" i="7"/>
  <c r="DB236" i="7" s="1"/>
  <c r="BZ237" i="7"/>
  <c r="CU237" i="7" s="1"/>
  <c r="CD239" i="7"/>
  <c r="CY239" i="7" s="1"/>
  <c r="CF241" i="7"/>
  <c r="DA241" i="7" s="1"/>
  <c r="BQ232" i="7"/>
  <c r="H232" i="7" s="1"/>
  <c r="DI233" i="7"/>
  <c r="BP233" i="7" s="1"/>
  <c r="CH236" i="7"/>
  <c r="DC236" i="7" s="1"/>
  <c r="BN235" i="7"/>
  <c r="BD237" i="7"/>
  <c r="BE237" i="7"/>
  <c r="BF237" i="7"/>
  <c r="BS240" i="7"/>
  <c r="CN240" i="7" s="1"/>
  <c r="AH238" i="7"/>
  <c r="AF238" i="7"/>
  <c r="AI238" i="7" s="1"/>
  <c r="BU251" i="7"/>
  <c r="CP251" i="7" s="1"/>
  <c r="CE244" i="7"/>
  <c r="CZ244" i="7" s="1"/>
  <c r="CJ275" i="7"/>
  <c r="DE275" i="7" s="1"/>
  <c r="EN237" i="7" l="1"/>
  <c r="EO243" i="7"/>
  <c r="AO236" i="7"/>
  <c r="AM244" i="7"/>
  <c r="AN241" i="7"/>
  <c r="CK242" i="7"/>
  <c r="DF242" i="7" s="1"/>
  <c r="CB244" i="7"/>
  <c r="CW244" i="7" s="1"/>
  <c r="DP238" i="7"/>
  <c r="CL240" i="7"/>
  <c r="DG240" i="7" s="1"/>
  <c r="EM239" i="7"/>
  <c r="DQ238" i="7"/>
  <c r="EF240" i="7"/>
  <c r="EC240" i="7"/>
  <c r="EB235" i="7"/>
  <c r="DX235" i="7"/>
  <c r="DW235" i="7"/>
  <c r="DZ236" i="7"/>
  <c r="EA236" i="7"/>
  <c r="N82" i="7"/>
  <c r="D71" i="32"/>
  <c r="AT239" i="7"/>
  <c r="AX239" i="7"/>
  <c r="DO238" i="7"/>
  <c r="BA239" i="7"/>
  <c r="DP239" i="7" s="1"/>
  <c r="AV239" i="7"/>
  <c r="BC239" i="7"/>
  <c r="AZ239" i="7"/>
  <c r="AY239" i="7"/>
  <c r="AW239" i="7"/>
  <c r="AU239" i="7"/>
  <c r="DJ239" i="7" s="1"/>
  <c r="M240" i="7"/>
  <c r="AZ240" i="7" s="1"/>
  <c r="DV240" i="7"/>
  <c r="BX273" i="7"/>
  <c r="CS273" i="7" s="1"/>
  <c r="BY273" i="7"/>
  <c r="CT273" i="7" s="1"/>
  <c r="BW275" i="7"/>
  <c r="CR275" i="7" s="1"/>
  <c r="AG238" i="7"/>
  <c r="DN238" i="7"/>
  <c r="DL238" i="7"/>
  <c r="DR238" i="7"/>
  <c r="DM238" i="7"/>
  <c r="DK238" i="7"/>
  <c r="CM264" i="7"/>
  <c r="DH264" i="7" s="1"/>
  <c r="CC258" i="7"/>
  <c r="CX258" i="7" s="1"/>
  <c r="G232" i="7"/>
  <c r="B81" i="7"/>
  <c r="BT244" i="7"/>
  <c r="CO244" i="7" s="1"/>
  <c r="DS242" i="7"/>
  <c r="P242" i="7" s="1"/>
  <c r="CI243" i="7"/>
  <c r="DD243" i="7" s="1"/>
  <c r="BV242" i="7"/>
  <c r="CQ242" i="7" s="1"/>
  <c r="CA236" i="7"/>
  <c r="CV236" i="7" s="1"/>
  <c r="BO234" i="7"/>
  <c r="CG237" i="7"/>
  <c r="DB237" i="7" s="1"/>
  <c r="BZ238" i="7"/>
  <c r="CU238" i="7" s="1"/>
  <c r="CD240" i="7"/>
  <c r="CY240" i="7" s="1"/>
  <c r="CH237" i="7"/>
  <c r="DC237" i="7" s="1"/>
  <c r="BN236" i="7"/>
  <c r="BQ233" i="7"/>
  <c r="H233" i="7" s="1"/>
  <c r="DI234" i="7"/>
  <c r="BP234" i="7" s="1"/>
  <c r="CF242" i="7"/>
  <c r="DA242" i="7" s="1"/>
  <c r="AH239" i="7"/>
  <c r="AF239" i="7"/>
  <c r="AI239" i="7" s="1"/>
  <c r="BS241" i="7"/>
  <c r="CN241" i="7" s="1"/>
  <c r="BU252" i="7"/>
  <c r="CP252" i="7" s="1"/>
  <c r="CE245" i="7"/>
  <c r="CZ245" i="7" s="1"/>
  <c r="CJ276" i="7"/>
  <c r="DE276" i="7" s="1"/>
  <c r="EN238" i="7" l="1"/>
  <c r="CK243" i="7"/>
  <c r="DF243" i="7" s="1"/>
  <c r="EO244" i="7"/>
  <c r="AM245" i="7"/>
  <c r="AO237" i="7"/>
  <c r="AN242" i="7"/>
  <c r="CB245" i="7"/>
  <c r="CW245" i="7" s="1"/>
  <c r="F71" i="32"/>
  <c r="G71" i="32" s="1"/>
  <c r="P71" i="32" s="1"/>
  <c r="Q71" i="32" s="1"/>
  <c r="AR82" i="7"/>
  <c r="BI82" i="7" s="1"/>
  <c r="AP82" i="7"/>
  <c r="BG82" i="7" s="1"/>
  <c r="AQ82" i="7"/>
  <c r="BH82" i="7" s="1"/>
  <c r="CL241" i="7"/>
  <c r="DG241" i="7" s="1"/>
  <c r="EM240" i="7"/>
  <c r="AL82" i="7"/>
  <c r="E82" i="7" s="1"/>
  <c r="EA237" i="7"/>
  <c r="DZ237" i="7"/>
  <c r="EF241" i="7"/>
  <c r="EC241" i="7"/>
  <c r="EB236" i="7"/>
  <c r="DX236" i="7"/>
  <c r="DW236" i="7"/>
  <c r="AU240" i="7"/>
  <c r="DJ240" i="7" s="1"/>
  <c r="AW240" i="7"/>
  <c r="AK82" i="7"/>
  <c r="D82" i="7" s="1"/>
  <c r="AJ82" i="7"/>
  <c r="C82" i="7" s="1"/>
  <c r="AX240" i="7"/>
  <c r="AV240" i="7"/>
  <c r="BC240" i="7"/>
  <c r="BA240" i="7"/>
  <c r="DP240" i="7" s="1"/>
  <c r="AT240" i="7"/>
  <c r="M241" i="7"/>
  <c r="AU241" i="7" s="1"/>
  <c r="DV241" i="7"/>
  <c r="AY240" i="7"/>
  <c r="BB240" i="7"/>
  <c r="BY274" i="7"/>
  <c r="CT274" i="7" s="1"/>
  <c r="BX274" i="7"/>
  <c r="CS274" i="7" s="1"/>
  <c r="BW276" i="7"/>
  <c r="CR276" i="7" s="1"/>
  <c r="DK239" i="7"/>
  <c r="DM239" i="7"/>
  <c r="BD238" i="7"/>
  <c r="DR239" i="7"/>
  <c r="BF238" i="7"/>
  <c r="BE238" i="7"/>
  <c r="DO239" i="7"/>
  <c r="AG239" i="7"/>
  <c r="DQ239" i="7"/>
  <c r="DL239" i="7"/>
  <c r="DN239" i="7"/>
  <c r="CM265" i="7"/>
  <c r="DH265" i="7" s="1"/>
  <c r="CC259" i="7"/>
  <c r="CX259" i="7" s="1"/>
  <c r="G233" i="7"/>
  <c r="CI244" i="7"/>
  <c r="DD244" i="7" s="1"/>
  <c r="DS243" i="7"/>
  <c r="P243" i="7" s="1"/>
  <c r="BV243" i="7"/>
  <c r="CQ243" i="7" s="1"/>
  <c r="BT245" i="7"/>
  <c r="CO245" i="7" s="1"/>
  <c r="BO235" i="7"/>
  <c r="CA237" i="7"/>
  <c r="CV237" i="7" s="1"/>
  <c r="CG238" i="7"/>
  <c r="DB238" i="7" s="1"/>
  <c r="BZ239" i="7"/>
  <c r="CU239" i="7" s="1"/>
  <c r="CD241" i="7"/>
  <c r="CY241" i="7" s="1"/>
  <c r="DI235" i="7"/>
  <c r="BP235" i="7" s="1"/>
  <c r="BQ234" i="7"/>
  <c r="H234" i="7" s="1"/>
  <c r="BN237" i="7"/>
  <c r="CH238" i="7"/>
  <c r="DC238" i="7" s="1"/>
  <c r="CF243" i="7"/>
  <c r="DA243" i="7" s="1"/>
  <c r="BS242" i="7"/>
  <c r="CN242" i="7" s="1"/>
  <c r="AF240" i="7"/>
  <c r="AI240" i="7" s="1"/>
  <c r="AG240" i="7"/>
  <c r="AH240" i="7"/>
  <c r="BU253" i="7"/>
  <c r="CP253" i="7" s="1"/>
  <c r="CE246" i="7"/>
  <c r="CZ246" i="7" s="1"/>
  <c r="CJ277" i="7"/>
  <c r="DE277" i="7" s="1"/>
  <c r="AN243" i="7" l="1"/>
  <c r="CK244" i="7"/>
  <c r="DF244" i="7" s="1"/>
  <c r="AO238" i="7"/>
  <c r="AM246" i="7"/>
  <c r="EN239" i="7"/>
  <c r="EO245" i="7"/>
  <c r="CB246" i="7"/>
  <c r="CW246" i="7" s="1"/>
  <c r="CL242" i="7"/>
  <c r="DG242" i="7" s="1"/>
  <c r="EM241" i="7"/>
  <c r="DL240" i="7"/>
  <c r="DM240" i="7"/>
  <c r="EF242" i="7"/>
  <c r="EC242" i="7"/>
  <c r="EA238" i="7"/>
  <c r="DZ238" i="7"/>
  <c r="DW237" i="7"/>
  <c r="EB237" i="7"/>
  <c r="DX237" i="7"/>
  <c r="AZ241" i="7"/>
  <c r="BC241" i="7"/>
  <c r="BB241" i="7"/>
  <c r="AW241" i="7"/>
  <c r="AX241" i="7"/>
  <c r="DM241" i="7" s="1"/>
  <c r="AV241" i="7"/>
  <c r="AY241" i="7"/>
  <c r="AT241" i="7"/>
  <c r="M242" i="7"/>
  <c r="AV242" i="7" s="1"/>
  <c r="DV242" i="7"/>
  <c r="BA241" i="7"/>
  <c r="DP241" i="7" s="1"/>
  <c r="BX275" i="7"/>
  <c r="CS275" i="7" s="1"/>
  <c r="BY275" i="7"/>
  <c r="CT275" i="7" s="1"/>
  <c r="BW277" i="7"/>
  <c r="CR277" i="7" s="1"/>
  <c r="DO240" i="7"/>
  <c r="DR240" i="7"/>
  <c r="BF239" i="7"/>
  <c r="DQ240" i="7"/>
  <c r="BE239" i="7"/>
  <c r="BD239" i="7"/>
  <c r="DN240" i="7"/>
  <c r="DK240" i="7"/>
  <c r="CM266" i="7"/>
  <c r="DH266" i="7" s="1"/>
  <c r="CC260" i="7"/>
  <c r="CX260" i="7" s="1"/>
  <c r="G234" i="7"/>
  <c r="F82" i="7"/>
  <c r="BJ82" i="7"/>
  <c r="BL82" i="7"/>
  <c r="BK82" i="7"/>
  <c r="BT246" i="7"/>
  <c r="CO246" i="7" s="1"/>
  <c r="DS244" i="7"/>
  <c r="P244" i="7" s="1"/>
  <c r="CI245" i="7"/>
  <c r="DD245" i="7" s="1"/>
  <c r="BV244" i="7"/>
  <c r="CQ244" i="7" s="1"/>
  <c r="BO236" i="7"/>
  <c r="CA238" i="7"/>
  <c r="CV238" i="7" s="1"/>
  <c r="CG239" i="7"/>
  <c r="DB239" i="7" s="1"/>
  <c r="BZ240" i="7"/>
  <c r="CU240" i="7" s="1"/>
  <c r="CD242" i="7"/>
  <c r="CY242" i="7" s="1"/>
  <c r="CF244" i="7"/>
  <c r="DA244" i="7" s="1"/>
  <c r="BN238" i="7"/>
  <c r="CH239" i="7"/>
  <c r="DC239" i="7" s="1"/>
  <c r="BQ235" i="7"/>
  <c r="H235" i="7" s="1"/>
  <c r="DI236" i="7"/>
  <c r="BP236" i="7" s="1"/>
  <c r="BS243" i="7"/>
  <c r="CN243" i="7" s="1"/>
  <c r="AG241" i="7"/>
  <c r="DJ241" i="7"/>
  <c r="AH241" i="7"/>
  <c r="BU254" i="7"/>
  <c r="CP254" i="7" s="1"/>
  <c r="CE247" i="7"/>
  <c r="CZ247" i="7" s="1"/>
  <c r="CJ278" i="7"/>
  <c r="DE278" i="7" s="1"/>
  <c r="AO239" i="7" l="1"/>
  <c r="AN244" i="7"/>
  <c r="CK245" i="7"/>
  <c r="DF245" i="7" s="1"/>
  <c r="EO246" i="7"/>
  <c r="AM247" i="7"/>
  <c r="EN240" i="7"/>
  <c r="CB247" i="7"/>
  <c r="CW247" i="7" s="1"/>
  <c r="CL243" i="7"/>
  <c r="DG243" i="7" s="1"/>
  <c r="EM242" i="7"/>
  <c r="DQ241" i="7"/>
  <c r="EC243" i="7"/>
  <c r="EF243" i="7"/>
  <c r="EA239" i="7"/>
  <c r="DZ239" i="7"/>
  <c r="EB238" i="7"/>
  <c r="DX238" i="7"/>
  <c r="DW238" i="7"/>
  <c r="BA242" i="7"/>
  <c r="DP242" i="7" s="1"/>
  <c r="DL241" i="7"/>
  <c r="BB242" i="7"/>
  <c r="AT242" i="7"/>
  <c r="AW242" i="7"/>
  <c r="M243" i="7"/>
  <c r="AX243" i="7" s="1"/>
  <c r="DV243" i="7"/>
  <c r="BC242" i="7"/>
  <c r="AY242" i="7"/>
  <c r="AZ242" i="7"/>
  <c r="AU242" i="7"/>
  <c r="DJ242" i="7" s="1"/>
  <c r="AX242" i="7"/>
  <c r="DM242" i="7" s="1"/>
  <c r="BY276" i="7"/>
  <c r="CT276" i="7" s="1"/>
  <c r="BX276" i="7"/>
  <c r="CS276" i="7" s="1"/>
  <c r="BW278" i="7"/>
  <c r="CR278" i="7" s="1"/>
  <c r="BF240" i="7"/>
  <c r="DN241" i="7"/>
  <c r="BD240" i="7"/>
  <c r="BE240" i="7"/>
  <c r="DR241" i="7"/>
  <c r="AF241" i="7"/>
  <c r="AI241" i="7" s="1"/>
  <c r="DK241" i="7"/>
  <c r="DO241" i="7"/>
  <c r="CM267" i="7"/>
  <c r="DH267" i="7" s="1"/>
  <c r="CC261" i="7"/>
  <c r="CX261" i="7" s="1"/>
  <c r="G235" i="7"/>
  <c r="BM82" i="7"/>
  <c r="BV245" i="7"/>
  <c r="CQ245" i="7" s="1"/>
  <c r="DS245" i="7"/>
  <c r="P245" i="7" s="1"/>
  <c r="CI246" i="7"/>
  <c r="DD246" i="7" s="1"/>
  <c r="BT247" i="7"/>
  <c r="CO247" i="7" s="1"/>
  <c r="BO237" i="7"/>
  <c r="CA239" i="7"/>
  <c r="CV239" i="7" s="1"/>
  <c r="CG240" i="7"/>
  <c r="DB240" i="7" s="1"/>
  <c r="BZ241" i="7"/>
  <c r="CU241" i="7" s="1"/>
  <c r="CD243" i="7"/>
  <c r="CY243" i="7" s="1"/>
  <c r="CF245" i="7"/>
  <c r="DA245" i="7" s="1"/>
  <c r="BQ236" i="7"/>
  <c r="H236" i="7" s="1"/>
  <c r="DI237" i="7"/>
  <c r="BP237" i="7" s="1"/>
  <c r="CH240" i="7"/>
  <c r="DC240" i="7" s="1"/>
  <c r="BN239" i="7"/>
  <c r="BS244" i="7"/>
  <c r="CN244" i="7" s="1"/>
  <c r="AF242" i="7"/>
  <c r="AI242" i="7" s="1"/>
  <c r="AG242" i="7"/>
  <c r="AH242" i="7"/>
  <c r="BU255" i="7"/>
  <c r="CP255" i="7" s="1"/>
  <c r="CE248" i="7"/>
  <c r="CZ248" i="7" s="1"/>
  <c r="CJ279" i="7"/>
  <c r="DE279" i="7" s="1"/>
  <c r="AM248" i="7" l="1"/>
  <c r="EN241" i="7"/>
  <c r="EO247" i="7"/>
  <c r="AN245" i="7"/>
  <c r="AO240" i="7"/>
  <c r="CK246" i="7"/>
  <c r="DF246" i="7" s="1"/>
  <c r="CB248" i="7"/>
  <c r="CW248" i="7" s="1"/>
  <c r="DQ242" i="7"/>
  <c r="CL244" i="7"/>
  <c r="DG244" i="7" s="1"/>
  <c r="EM243" i="7"/>
  <c r="AT243" i="7"/>
  <c r="DL242" i="7"/>
  <c r="EC244" i="7"/>
  <c r="EF244" i="7"/>
  <c r="DZ240" i="7"/>
  <c r="EA240" i="7"/>
  <c r="EB239" i="7"/>
  <c r="DX239" i="7"/>
  <c r="DW239" i="7"/>
  <c r="N83" i="7"/>
  <c r="D72" i="32"/>
  <c r="DN242" i="7"/>
  <c r="AV243" i="7"/>
  <c r="AY243" i="7"/>
  <c r="AZ243" i="7"/>
  <c r="AU243" i="7"/>
  <c r="AW243" i="7"/>
  <c r="BB243" i="7"/>
  <c r="M244" i="7"/>
  <c r="BA244" i="7" s="1"/>
  <c r="DV244" i="7"/>
  <c r="BA243" i="7"/>
  <c r="DP243" i="7" s="1"/>
  <c r="BC243" i="7"/>
  <c r="BX277" i="7"/>
  <c r="CS277" i="7" s="1"/>
  <c r="BY277" i="7"/>
  <c r="CT277" i="7" s="1"/>
  <c r="BW279" i="7"/>
  <c r="CR279" i="7" s="1"/>
  <c r="BD241" i="7"/>
  <c r="BE241" i="7"/>
  <c r="DR242" i="7"/>
  <c r="BF241" i="7"/>
  <c r="DO242" i="7"/>
  <c r="DK242" i="7"/>
  <c r="CM268" i="7"/>
  <c r="DH268" i="7" s="1"/>
  <c r="CC262" i="7"/>
  <c r="CX262" i="7" s="1"/>
  <c r="G236" i="7"/>
  <c r="B82" i="7"/>
  <c r="BT248" i="7"/>
  <c r="CO248" i="7" s="1"/>
  <c r="BV246" i="7"/>
  <c r="CQ246" i="7" s="1"/>
  <c r="DS246" i="7"/>
  <c r="P246" i="7" s="1"/>
  <c r="CI247" i="7"/>
  <c r="DD247" i="7" s="1"/>
  <c r="CA240" i="7"/>
  <c r="CV240" i="7" s="1"/>
  <c r="BO238" i="7"/>
  <c r="CG241" i="7"/>
  <c r="DB241" i="7" s="1"/>
  <c r="BZ242" i="7"/>
  <c r="CU242" i="7" s="1"/>
  <c r="CD244" i="7"/>
  <c r="CY244" i="7" s="1"/>
  <c r="DI238" i="7"/>
  <c r="BP238" i="7" s="1"/>
  <c r="BQ237" i="7"/>
  <c r="H237" i="7" s="1"/>
  <c r="CF246" i="7"/>
  <c r="DA246" i="7" s="1"/>
  <c r="CH241" i="7"/>
  <c r="DC241" i="7" s="1"/>
  <c r="BN240" i="7"/>
  <c r="AH243" i="7"/>
  <c r="BS245" i="7"/>
  <c r="CN245" i="7" s="1"/>
  <c r="BD242" i="7"/>
  <c r="BU256" i="7"/>
  <c r="CP256" i="7" s="1"/>
  <c r="CE249" i="7"/>
  <c r="CZ249" i="7" s="1"/>
  <c r="CJ280" i="7"/>
  <c r="DE280" i="7" s="1"/>
  <c r="EO248" i="7" l="1"/>
  <c r="AN246" i="7"/>
  <c r="EN242" i="7"/>
  <c r="CK247" i="7"/>
  <c r="DF247" i="7" s="1"/>
  <c r="AM249" i="7"/>
  <c r="AO241" i="7"/>
  <c r="CB249" i="7"/>
  <c r="CW249" i="7" s="1"/>
  <c r="F72" i="32"/>
  <c r="G72" i="32" s="1"/>
  <c r="P72" i="32" s="1"/>
  <c r="Q72" i="32" s="1"/>
  <c r="AP83" i="7"/>
  <c r="BG83" i="7" s="1"/>
  <c r="AQ83" i="7"/>
  <c r="BH83" i="7" s="1"/>
  <c r="AR83" i="7"/>
  <c r="BI83" i="7" s="1"/>
  <c r="CL245" i="7"/>
  <c r="DG245" i="7" s="1"/>
  <c r="EM244" i="7"/>
  <c r="EF245" i="7"/>
  <c r="EC245" i="7"/>
  <c r="EA241" i="7"/>
  <c r="DZ241" i="7"/>
  <c r="EB240" i="7"/>
  <c r="DX240" i="7"/>
  <c r="DW240" i="7"/>
  <c r="AK83" i="7"/>
  <c r="D83" i="7" s="1"/>
  <c r="AJ83" i="7"/>
  <c r="C83" i="7" s="1"/>
  <c r="AL83" i="7"/>
  <c r="E83" i="7" s="1"/>
  <c r="AX244" i="7"/>
  <c r="BB244" i="7"/>
  <c r="AT244" i="7"/>
  <c r="AV244" i="7"/>
  <c r="AY244" i="7"/>
  <c r="AW244" i="7"/>
  <c r="AU244" i="7"/>
  <c r="AZ244" i="7"/>
  <c r="M245" i="7"/>
  <c r="AT245" i="7" s="1"/>
  <c r="DV245" i="7"/>
  <c r="BC244" i="7"/>
  <c r="BY278" i="7"/>
  <c r="CT278" i="7" s="1"/>
  <c r="BX278" i="7"/>
  <c r="CS278" i="7" s="1"/>
  <c r="BW280" i="7"/>
  <c r="CR280" i="7" s="1"/>
  <c r="BE242" i="7"/>
  <c r="BF242" i="7"/>
  <c r="DO243" i="7"/>
  <c r="DM243" i="7"/>
  <c r="DQ243" i="7"/>
  <c r="DL243" i="7"/>
  <c r="AG243" i="7"/>
  <c r="DJ243" i="7"/>
  <c r="DN243" i="7"/>
  <c r="DK243" i="7"/>
  <c r="DR243" i="7"/>
  <c r="AF243" i="7"/>
  <c r="AI243" i="7" s="1"/>
  <c r="CM269" i="7"/>
  <c r="DH269" i="7" s="1"/>
  <c r="CC263" i="7"/>
  <c r="CX263" i="7" s="1"/>
  <c r="G237" i="7"/>
  <c r="BV247" i="7"/>
  <c r="CQ247" i="7" s="1"/>
  <c r="CI248" i="7"/>
  <c r="DD248" i="7" s="1"/>
  <c r="DS247" i="7"/>
  <c r="P247" i="7" s="1"/>
  <c r="BT249" i="7"/>
  <c r="CO249" i="7" s="1"/>
  <c r="BO239" i="7"/>
  <c r="CA241" i="7"/>
  <c r="CV241" i="7" s="1"/>
  <c r="CG242" i="7"/>
  <c r="DB242" i="7" s="1"/>
  <c r="BZ243" i="7"/>
  <c r="CU243" i="7" s="1"/>
  <c r="CD245" i="7"/>
  <c r="CY245" i="7" s="1"/>
  <c r="CF247" i="7"/>
  <c r="DA247" i="7" s="1"/>
  <c r="DI239" i="7"/>
  <c r="BP239" i="7" s="1"/>
  <c r="BQ238" i="7"/>
  <c r="H238" i="7" s="1"/>
  <c r="CH242" i="7"/>
  <c r="DC242" i="7" s="1"/>
  <c r="BN241" i="7"/>
  <c r="BS246" i="7"/>
  <c r="CN246" i="7" s="1"/>
  <c r="BU257" i="7"/>
  <c r="CP257" i="7" s="1"/>
  <c r="CE250" i="7"/>
  <c r="CZ250" i="7" s="1"/>
  <c r="CJ281" i="7"/>
  <c r="DE281" i="7" s="1"/>
  <c r="CK248" i="7" l="1"/>
  <c r="DF248" i="7" s="1"/>
  <c r="AO242" i="7"/>
  <c r="AM250" i="7"/>
  <c r="EN243" i="7"/>
  <c r="EO249" i="7"/>
  <c r="AN247" i="7"/>
  <c r="CB250" i="7"/>
  <c r="CW250" i="7" s="1"/>
  <c r="CL246" i="7"/>
  <c r="DG246" i="7" s="1"/>
  <c r="EM245" i="7"/>
  <c r="EF246" i="7"/>
  <c r="EC246" i="7"/>
  <c r="DZ242" i="7"/>
  <c r="EA242" i="7"/>
  <c r="DW241" i="7"/>
  <c r="DX241" i="7"/>
  <c r="EB241" i="7"/>
  <c r="BB245" i="7"/>
  <c r="DK244" i="7"/>
  <c r="BA245" i="7"/>
  <c r="AZ245" i="7"/>
  <c r="AU245" i="7"/>
  <c r="AW245" i="7"/>
  <c r="BC245" i="7"/>
  <c r="AX245" i="7"/>
  <c r="M246" i="7"/>
  <c r="BA246" i="7" s="1"/>
  <c r="DV246" i="7"/>
  <c r="AV245" i="7"/>
  <c r="AY245" i="7"/>
  <c r="BX279" i="7"/>
  <c r="CS279" i="7" s="1"/>
  <c r="BY279" i="7"/>
  <c r="CT279" i="7" s="1"/>
  <c r="BW281" i="7"/>
  <c r="CR281" i="7" s="1"/>
  <c r="BE243" i="7"/>
  <c r="BD243" i="7"/>
  <c r="BF243" i="7"/>
  <c r="AH244" i="7"/>
  <c r="DN244" i="7"/>
  <c r="AF244" i="7"/>
  <c r="AI244" i="7" s="1"/>
  <c r="DR244" i="7"/>
  <c r="DP244" i="7"/>
  <c r="DQ244" i="7"/>
  <c r="DO244" i="7"/>
  <c r="DM244" i="7"/>
  <c r="AG244" i="7"/>
  <c r="DL244" i="7"/>
  <c r="DJ244" i="7"/>
  <c r="CM270" i="7"/>
  <c r="DH270" i="7" s="1"/>
  <c r="CC264" i="7"/>
  <c r="CX264" i="7" s="1"/>
  <c r="G238" i="7"/>
  <c r="BK83" i="7"/>
  <c r="F83" i="7"/>
  <c r="BJ83" i="7"/>
  <c r="BL83" i="7"/>
  <c r="CI249" i="7"/>
  <c r="DD249" i="7" s="1"/>
  <c r="DS248" i="7"/>
  <c r="P248" i="7" s="1"/>
  <c r="BT250" i="7"/>
  <c r="CO250" i="7" s="1"/>
  <c r="BV248" i="7"/>
  <c r="CQ248" i="7" s="1"/>
  <c r="CA242" i="7"/>
  <c r="CV242" i="7" s="1"/>
  <c r="BO240" i="7"/>
  <c r="CG243" i="7"/>
  <c r="DB243" i="7" s="1"/>
  <c r="BZ244" i="7"/>
  <c r="CU244" i="7" s="1"/>
  <c r="CD246" i="7"/>
  <c r="CY246" i="7" s="1"/>
  <c r="BQ239" i="7"/>
  <c r="H239" i="7" s="1"/>
  <c r="DI240" i="7"/>
  <c r="BP240" i="7" s="1"/>
  <c r="CF248" i="7"/>
  <c r="DA248" i="7" s="1"/>
  <c r="BN242" i="7"/>
  <c r="CH243" i="7"/>
  <c r="DC243" i="7" s="1"/>
  <c r="AG245" i="7"/>
  <c r="AF245" i="7"/>
  <c r="AI245" i="7" s="1"/>
  <c r="AH245" i="7"/>
  <c r="BS247" i="7"/>
  <c r="CN247" i="7" s="1"/>
  <c r="BE244" i="7"/>
  <c r="BU258" i="7"/>
  <c r="CP258" i="7" s="1"/>
  <c r="CE251" i="7"/>
  <c r="CZ251" i="7" s="1"/>
  <c r="CJ282" i="7"/>
  <c r="DE282" i="7" s="1"/>
  <c r="AN248" i="7" l="1"/>
  <c r="EN244" i="7"/>
  <c r="AM251" i="7"/>
  <c r="AO243" i="7"/>
  <c r="EO250" i="7"/>
  <c r="CK249" i="7"/>
  <c r="DF249" i="7" s="1"/>
  <c r="CB251" i="7"/>
  <c r="CW251" i="7" s="1"/>
  <c r="DP245" i="7"/>
  <c r="DP246" i="7" s="1"/>
  <c r="CL247" i="7"/>
  <c r="DG247" i="7" s="1"/>
  <c r="EM246" i="7"/>
  <c r="EA243" i="7"/>
  <c r="DZ243" i="7"/>
  <c r="EB242" i="7"/>
  <c r="DX242" i="7"/>
  <c r="DW242" i="7"/>
  <c r="EC247" i="7"/>
  <c r="EF247" i="7"/>
  <c r="DJ245" i="7"/>
  <c r="AW246" i="7"/>
  <c r="BB246" i="7"/>
  <c r="AU246" i="7"/>
  <c r="AY246" i="7"/>
  <c r="AZ246" i="7"/>
  <c r="BC246" i="7"/>
  <c r="AX246" i="7"/>
  <c r="AV246" i="7"/>
  <c r="M247" i="7"/>
  <c r="AT247" i="7" s="1"/>
  <c r="DV247" i="7"/>
  <c r="AT246" i="7"/>
  <c r="BY280" i="7"/>
  <c r="CT280" i="7" s="1"/>
  <c r="BX280" i="7"/>
  <c r="CS280" i="7" s="1"/>
  <c r="BW282" i="7"/>
  <c r="CR282" i="7" s="1"/>
  <c r="DO245" i="7"/>
  <c r="BF244" i="7"/>
  <c r="DM245" i="7"/>
  <c r="DR245" i="7"/>
  <c r="BD244" i="7"/>
  <c r="DQ245" i="7"/>
  <c r="DN245" i="7"/>
  <c r="DL245" i="7"/>
  <c r="DK245" i="7"/>
  <c r="CM271" i="7"/>
  <c r="DH271" i="7" s="1"/>
  <c r="CC265" i="7"/>
  <c r="CX265" i="7" s="1"/>
  <c r="G239" i="7"/>
  <c r="BM83" i="7"/>
  <c r="BV249" i="7"/>
  <c r="CQ249" i="7" s="1"/>
  <c r="BT251" i="7"/>
  <c r="CO251" i="7" s="1"/>
  <c r="CI250" i="7"/>
  <c r="DD250" i="7" s="1"/>
  <c r="DS249" i="7"/>
  <c r="P249" i="7" s="1"/>
  <c r="CA243" i="7"/>
  <c r="CV243" i="7" s="1"/>
  <c r="BO241" i="7"/>
  <c r="CG244" i="7"/>
  <c r="DB244" i="7" s="1"/>
  <c r="BZ245" i="7"/>
  <c r="CU245" i="7" s="1"/>
  <c r="CD247" i="7"/>
  <c r="CY247" i="7" s="1"/>
  <c r="BQ240" i="7"/>
  <c r="H240" i="7" s="1"/>
  <c r="DI241" i="7"/>
  <c r="BP241" i="7" s="1"/>
  <c r="CF249" i="7"/>
  <c r="DA249" i="7" s="1"/>
  <c r="CH244" i="7"/>
  <c r="DC244" i="7" s="1"/>
  <c r="BN243" i="7"/>
  <c r="AG246" i="7"/>
  <c r="AH246" i="7"/>
  <c r="BS248" i="7"/>
  <c r="CN248" i="7" s="1"/>
  <c r="BU259" i="7"/>
  <c r="CP259" i="7" s="1"/>
  <c r="CE252" i="7"/>
  <c r="CZ252" i="7" s="1"/>
  <c r="CJ283" i="7"/>
  <c r="DE283" i="7" s="1"/>
  <c r="AN249" i="7" l="1"/>
  <c r="EN245" i="7"/>
  <c r="CK250" i="7"/>
  <c r="DF250" i="7" s="1"/>
  <c r="AM252" i="7"/>
  <c r="AO244" i="7"/>
  <c r="EO251" i="7"/>
  <c r="CB252" i="7"/>
  <c r="CW252" i="7" s="1"/>
  <c r="CL248" i="7"/>
  <c r="DG248" i="7" s="1"/>
  <c r="EM247" i="7"/>
  <c r="DJ246" i="7"/>
  <c r="EC248" i="7"/>
  <c r="EF248" i="7"/>
  <c r="EA244" i="7"/>
  <c r="DZ244" i="7"/>
  <c r="EB243" i="7"/>
  <c r="DX243" i="7"/>
  <c r="DW243" i="7"/>
  <c r="N84" i="7"/>
  <c r="D73" i="32"/>
  <c r="AW247" i="7"/>
  <c r="AV247" i="7"/>
  <c r="AU247" i="7"/>
  <c r="BB247" i="7"/>
  <c r="M248" i="7"/>
  <c r="AV248" i="7" s="1"/>
  <c r="DV248" i="7"/>
  <c r="BA247" i="7"/>
  <c r="BC247" i="7"/>
  <c r="AX247" i="7"/>
  <c r="DR246" i="7"/>
  <c r="AZ247" i="7"/>
  <c r="AY247" i="7"/>
  <c r="BX281" i="7"/>
  <c r="CS281" i="7" s="1"/>
  <c r="BY281" i="7"/>
  <c r="CT281" i="7" s="1"/>
  <c r="BW283" i="7"/>
  <c r="CR283" i="7" s="1"/>
  <c r="BF245" i="7"/>
  <c r="BE245" i="7"/>
  <c r="DQ246" i="7"/>
  <c r="BD245" i="7"/>
  <c r="DL246" i="7"/>
  <c r="DK246" i="7"/>
  <c r="AF246" i="7"/>
  <c r="AI246" i="7" s="1"/>
  <c r="DO246" i="7"/>
  <c r="DM246" i="7"/>
  <c r="DN246" i="7"/>
  <c r="CM272" i="7"/>
  <c r="DH272" i="7" s="1"/>
  <c r="CC266" i="7"/>
  <c r="CX266" i="7" s="1"/>
  <c r="G240" i="7"/>
  <c r="B83" i="7"/>
  <c r="BT252" i="7"/>
  <c r="CO252" i="7" s="1"/>
  <c r="BV250" i="7"/>
  <c r="CQ250" i="7" s="1"/>
  <c r="DS250" i="7"/>
  <c r="P250" i="7" s="1"/>
  <c r="CI251" i="7"/>
  <c r="DD251" i="7" s="1"/>
  <c r="BO242" i="7"/>
  <c r="CA244" i="7"/>
  <c r="CV244" i="7" s="1"/>
  <c r="CG245" i="7"/>
  <c r="DB245" i="7" s="1"/>
  <c r="BZ246" i="7"/>
  <c r="CU246" i="7" s="1"/>
  <c r="CD248" i="7"/>
  <c r="CY248" i="7" s="1"/>
  <c r="BN244" i="7"/>
  <c r="CH245" i="7"/>
  <c r="DC245" i="7" s="1"/>
  <c r="DI242" i="7"/>
  <c r="BP242" i="7" s="1"/>
  <c r="BQ241" i="7"/>
  <c r="H241" i="7" s="1"/>
  <c r="CF250" i="7"/>
  <c r="DA250" i="7" s="1"/>
  <c r="AF247" i="7"/>
  <c r="AI247" i="7" s="1"/>
  <c r="AG247" i="7"/>
  <c r="BS249" i="7"/>
  <c r="CN249" i="7" s="1"/>
  <c r="BU260" i="7"/>
  <c r="CP260" i="7" s="1"/>
  <c r="CE253" i="7"/>
  <c r="CZ253" i="7" s="1"/>
  <c r="CJ284" i="7"/>
  <c r="DE284" i="7" s="1"/>
  <c r="EO252" i="7" l="1"/>
  <c r="EN246" i="7"/>
  <c r="AN250" i="7"/>
  <c r="AM253" i="7"/>
  <c r="AO245" i="7"/>
  <c r="CK251" i="7"/>
  <c r="DF251" i="7" s="1"/>
  <c r="CB253" i="7"/>
  <c r="CW253" i="7" s="1"/>
  <c r="F73" i="32"/>
  <c r="G73" i="32" s="1"/>
  <c r="P73" i="32" s="1"/>
  <c r="Q73" i="32" s="1"/>
  <c r="AP84" i="7"/>
  <c r="BG84" i="7" s="1"/>
  <c r="AQ84" i="7"/>
  <c r="BH84" i="7" s="1"/>
  <c r="AR84" i="7"/>
  <c r="BI84" i="7" s="1"/>
  <c r="CL249" i="7"/>
  <c r="DG249" i="7" s="1"/>
  <c r="EM248" i="7"/>
  <c r="EF249" i="7"/>
  <c r="EC249" i="7"/>
  <c r="DZ245" i="7"/>
  <c r="EA245" i="7"/>
  <c r="EB244" i="7"/>
  <c r="DX244" i="7"/>
  <c r="DW244" i="7"/>
  <c r="AK84" i="7"/>
  <c r="D84" i="7" s="1"/>
  <c r="BC248" i="7"/>
  <c r="AJ84" i="7"/>
  <c r="C84" i="7" s="1"/>
  <c r="AL84" i="7"/>
  <c r="E84" i="7" s="1"/>
  <c r="BA248" i="7"/>
  <c r="AU248" i="7"/>
  <c r="AW248" i="7"/>
  <c r="AY248" i="7"/>
  <c r="BB248" i="7"/>
  <c r="AZ248" i="7"/>
  <c r="AX248" i="7"/>
  <c r="AT248" i="7"/>
  <c r="M249" i="7"/>
  <c r="AX249" i="7" s="1"/>
  <c r="DV249" i="7"/>
  <c r="BY282" i="7"/>
  <c r="CT282" i="7" s="1"/>
  <c r="BX282" i="7"/>
  <c r="CS282" i="7" s="1"/>
  <c r="BW284" i="7"/>
  <c r="CR284" i="7" s="1"/>
  <c r="DL247" i="7"/>
  <c r="BE246" i="7"/>
  <c r="BD246" i="7"/>
  <c r="BF246" i="7"/>
  <c r="DM247" i="7"/>
  <c r="DP247" i="7"/>
  <c r="DN247" i="7"/>
  <c r="DK247" i="7"/>
  <c r="DJ247" i="7"/>
  <c r="AH247" i="7"/>
  <c r="DO247" i="7"/>
  <c r="DR247" i="7"/>
  <c r="DQ247" i="7"/>
  <c r="CM273" i="7"/>
  <c r="DH273" i="7" s="1"/>
  <c r="CC267" i="7"/>
  <c r="CX267" i="7" s="1"/>
  <c r="G241" i="7"/>
  <c r="CI252" i="7"/>
  <c r="DD252" i="7" s="1"/>
  <c r="DS251" i="7"/>
  <c r="P251" i="7" s="1"/>
  <c r="BV251" i="7"/>
  <c r="CQ251" i="7" s="1"/>
  <c r="BT253" i="7"/>
  <c r="CO253" i="7" s="1"/>
  <c r="BO243" i="7"/>
  <c r="CA245" i="7"/>
  <c r="CV245" i="7" s="1"/>
  <c r="CG246" i="7"/>
  <c r="DB246" i="7" s="1"/>
  <c r="BZ247" i="7"/>
  <c r="CU247" i="7" s="1"/>
  <c r="CD249" i="7"/>
  <c r="CY249" i="7" s="1"/>
  <c r="BQ242" i="7"/>
  <c r="H242" i="7" s="1"/>
  <c r="DI243" i="7"/>
  <c r="BP243" i="7" s="1"/>
  <c r="BN245" i="7"/>
  <c r="CH246" i="7"/>
  <c r="DC246" i="7" s="1"/>
  <c r="CF251" i="7"/>
  <c r="DA251" i="7" s="1"/>
  <c r="BS250" i="7"/>
  <c r="CN250" i="7" s="1"/>
  <c r="AG248" i="7"/>
  <c r="BU261" i="7"/>
  <c r="CP261" i="7" s="1"/>
  <c r="CE254" i="7"/>
  <c r="CZ254" i="7" s="1"/>
  <c r="CJ285" i="7"/>
  <c r="DE285" i="7" s="1"/>
  <c r="EN247" i="7" l="1"/>
  <c r="EO253" i="7"/>
  <c r="CK252" i="7"/>
  <c r="DF252" i="7" s="1"/>
  <c r="AO246" i="7"/>
  <c r="AM254" i="7"/>
  <c r="AN251" i="7"/>
  <c r="CB254" i="7"/>
  <c r="CW254" i="7" s="1"/>
  <c r="DR248" i="7"/>
  <c r="CL250" i="7"/>
  <c r="DG250" i="7" s="1"/>
  <c r="EM249" i="7"/>
  <c r="DZ246" i="7"/>
  <c r="EA246" i="7"/>
  <c r="EB245" i="7"/>
  <c r="DX245" i="7"/>
  <c r="DW245" i="7"/>
  <c r="EF250" i="7"/>
  <c r="EC250" i="7"/>
  <c r="AZ249" i="7"/>
  <c r="AT249" i="7"/>
  <c r="AY249" i="7"/>
  <c r="BA249" i="7"/>
  <c r="BB249" i="7"/>
  <c r="AV249" i="7"/>
  <c r="AU249" i="7"/>
  <c r="AW249" i="7"/>
  <c r="BC249" i="7"/>
  <c r="M250" i="7"/>
  <c r="BA250" i="7" s="1"/>
  <c r="DV250" i="7"/>
  <c r="BX283" i="7"/>
  <c r="CS283" i="7" s="1"/>
  <c r="BY283" i="7"/>
  <c r="CT283" i="7" s="1"/>
  <c r="BW285" i="7"/>
  <c r="CR285" i="7" s="1"/>
  <c r="DO248" i="7"/>
  <c r="DK248" i="7"/>
  <c r="BD247" i="7"/>
  <c r="AH248" i="7"/>
  <c r="DM248" i="7"/>
  <c r="DN248" i="7"/>
  <c r="DL248" i="7"/>
  <c r="BF247" i="7"/>
  <c r="DP248" i="7"/>
  <c r="DQ248" i="7"/>
  <c r="BE247" i="7"/>
  <c r="AF248" i="7"/>
  <c r="AI248" i="7" s="1"/>
  <c r="DJ248" i="7"/>
  <c r="CM274" i="7"/>
  <c r="DH274" i="7" s="1"/>
  <c r="CC268" i="7"/>
  <c r="CX268" i="7" s="1"/>
  <c r="G242" i="7"/>
  <c r="BL84" i="7"/>
  <c r="F84" i="7"/>
  <c r="BJ84" i="7"/>
  <c r="BK84" i="7"/>
  <c r="BV252" i="7"/>
  <c r="CQ252" i="7" s="1"/>
  <c r="BT254" i="7"/>
  <c r="CO254" i="7" s="1"/>
  <c r="CI253" i="7"/>
  <c r="DD253" i="7" s="1"/>
  <c r="DS252" i="7"/>
  <c r="P252" i="7" s="1"/>
  <c r="BO244" i="7"/>
  <c r="CA246" i="7"/>
  <c r="CV246" i="7" s="1"/>
  <c r="CG247" i="7"/>
  <c r="DB247" i="7" s="1"/>
  <c r="BZ248" i="7"/>
  <c r="CU248" i="7" s="1"/>
  <c r="CD250" i="7"/>
  <c r="CY250" i="7" s="1"/>
  <c r="CF252" i="7"/>
  <c r="DA252" i="7" s="1"/>
  <c r="DI244" i="7"/>
  <c r="BP244" i="7" s="1"/>
  <c r="BQ243" i="7"/>
  <c r="H243" i="7" s="1"/>
  <c r="CH247" i="7"/>
  <c r="DC247" i="7" s="1"/>
  <c r="BN246" i="7"/>
  <c r="AF249" i="7"/>
  <c r="AI249" i="7" s="1"/>
  <c r="AG249" i="7"/>
  <c r="BS251" i="7"/>
  <c r="CN251" i="7" s="1"/>
  <c r="BU262" i="7"/>
  <c r="CP262" i="7" s="1"/>
  <c r="CE255" i="7"/>
  <c r="CZ255" i="7" s="1"/>
  <c r="CJ286" i="7"/>
  <c r="DE286" i="7" s="1"/>
  <c r="AN252" i="7" l="1"/>
  <c r="EO254" i="7"/>
  <c r="AM255" i="7"/>
  <c r="AO247" i="7"/>
  <c r="EN248" i="7"/>
  <c r="CK253" i="7"/>
  <c r="DF253" i="7" s="1"/>
  <c r="CB255" i="7"/>
  <c r="CW255" i="7" s="1"/>
  <c r="CL251" i="7"/>
  <c r="DG251" i="7" s="1"/>
  <c r="EM250" i="7"/>
  <c r="DZ247" i="7"/>
  <c r="EA247" i="7"/>
  <c r="EC251" i="7"/>
  <c r="EF251" i="7"/>
  <c r="EB246" i="7"/>
  <c r="DX246" i="7"/>
  <c r="DW246" i="7"/>
  <c r="AW250" i="7"/>
  <c r="AZ250" i="7"/>
  <c r="AT250" i="7"/>
  <c r="BB250" i="7"/>
  <c r="AY250" i="7"/>
  <c r="AV250" i="7"/>
  <c r="BC250" i="7"/>
  <c r="AX250" i="7"/>
  <c r="DP249" i="7"/>
  <c r="DP250" i="7" s="1"/>
  <c r="M251" i="7"/>
  <c r="AX251" i="7" s="1"/>
  <c r="DV251" i="7"/>
  <c r="AU250" i="7"/>
  <c r="BY284" i="7"/>
  <c r="CT284" i="7" s="1"/>
  <c r="BX284" i="7"/>
  <c r="CS284" i="7" s="1"/>
  <c r="BW286" i="7"/>
  <c r="CR286" i="7" s="1"/>
  <c r="DO249" i="7"/>
  <c r="BF248" i="7"/>
  <c r="DL249" i="7"/>
  <c r="BE248" i="7"/>
  <c r="DQ249" i="7"/>
  <c r="DN249" i="7"/>
  <c r="BD248" i="7"/>
  <c r="DK249" i="7"/>
  <c r="DJ249" i="7"/>
  <c r="DM249" i="7"/>
  <c r="DR249" i="7"/>
  <c r="AH249" i="7"/>
  <c r="CM275" i="7"/>
  <c r="DH275" i="7" s="1"/>
  <c r="CC269" i="7"/>
  <c r="CX269" i="7" s="1"/>
  <c r="G243" i="7"/>
  <c r="BM84" i="7"/>
  <c r="BT255" i="7"/>
  <c r="CO255" i="7" s="1"/>
  <c r="CI254" i="7"/>
  <c r="DD254" i="7" s="1"/>
  <c r="DS253" i="7"/>
  <c r="P253" i="7" s="1"/>
  <c r="BV253" i="7"/>
  <c r="CQ253" i="7" s="1"/>
  <c r="BO245" i="7"/>
  <c r="CA247" i="7"/>
  <c r="CV247" i="7" s="1"/>
  <c r="CG248" i="7"/>
  <c r="DB248" i="7" s="1"/>
  <c r="BZ249" i="7"/>
  <c r="CU249" i="7" s="1"/>
  <c r="CD251" i="7"/>
  <c r="CY251" i="7" s="1"/>
  <c r="BQ244" i="7"/>
  <c r="H244" i="7" s="1"/>
  <c r="DI245" i="7"/>
  <c r="BP245" i="7" s="1"/>
  <c r="CH248" i="7"/>
  <c r="DC248" i="7" s="1"/>
  <c r="BN247" i="7"/>
  <c r="CF253" i="7"/>
  <c r="DA253" i="7" s="1"/>
  <c r="BS252" i="7"/>
  <c r="CN252" i="7" s="1"/>
  <c r="AG250" i="7"/>
  <c r="BU263" i="7"/>
  <c r="CP263" i="7" s="1"/>
  <c r="CE256" i="7"/>
  <c r="CZ256" i="7" s="1"/>
  <c r="CJ287" i="7"/>
  <c r="DE287" i="7" s="1"/>
  <c r="AM256" i="7" l="1"/>
  <c r="AN253" i="7"/>
  <c r="CK254" i="7"/>
  <c r="DF254" i="7" s="1"/>
  <c r="AO248" i="7"/>
  <c r="EO255" i="7"/>
  <c r="EN249" i="7"/>
  <c r="CB256" i="7"/>
  <c r="CW256" i="7" s="1"/>
  <c r="CL252" i="7"/>
  <c r="DG252" i="7" s="1"/>
  <c r="EM251" i="7"/>
  <c r="EF252" i="7"/>
  <c r="EC252" i="7"/>
  <c r="DZ248" i="7"/>
  <c r="EA248" i="7"/>
  <c r="EB247" i="7"/>
  <c r="DX247" i="7"/>
  <c r="DW247" i="7"/>
  <c r="N85" i="7"/>
  <c r="D74" i="32"/>
  <c r="AT251" i="7"/>
  <c r="AW251" i="7"/>
  <c r="AY251" i="7"/>
  <c r="AV251" i="7"/>
  <c r="AZ251" i="7"/>
  <c r="AU251" i="7"/>
  <c r="BB251" i="7"/>
  <c r="BA251" i="7"/>
  <c r="BC251" i="7"/>
  <c r="M252" i="7"/>
  <c r="AW252" i="7" s="1"/>
  <c r="DV252" i="7"/>
  <c r="BX285" i="7"/>
  <c r="CS285" i="7" s="1"/>
  <c r="BY285" i="7"/>
  <c r="CT285" i="7" s="1"/>
  <c r="BW287" i="7"/>
  <c r="CR287" i="7" s="1"/>
  <c r="DO250" i="7"/>
  <c r="BE249" i="7"/>
  <c r="DQ250" i="7"/>
  <c r="DM250" i="7"/>
  <c r="BD249" i="7"/>
  <c r="AH250" i="7"/>
  <c r="AF250" i="7"/>
  <c r="AI250" i="7" s="1"/>
  <c r="DN250" i="7"/>
  <c r="DL250" i="7"/>
  <c r="DK250" i="7"/>
  <c r="DR250" i="7"/>
  <c r="DJ250" i="7"/>
  <c r="BF249" i="7"/>
  <c r="CM276" i="7"/>
  <c r="DH276" i="7" s="1"/>
  <c r="CC270" i="7"/>
  <c r="CX270" i="7" s="1"/>
  <c r="G244" i="7"/>
  <c r="B84" i="7"/>
  <c r="DS254" i="7"/>
  <c r="P254" i="7" s="1"/>
  <c r="CI255" i="7"/>
  <c r="DD255" i="7" s="1"/>
  <c r="BV254" i="7"/>
  <c r="CQ254" i="7" s="1"/>
  <c r="BT256" i="7"/>
  <c r="CO256" i="7" s="1"/>
  <c r="BO246" i="7"/>
  <c r="CA248" i="7"/>
  <c r="CV248" i="7" s="1"/>
  <c r="CG249" i="7"/>
  <c r="DB249" i="7" s="1"/>
  <c r="BZ250" i="7"/>
  <c r="CU250" i="7" s="1"/>
  <c r="CD252" i="7"/>
  <c r="CY252" i="7" s="1"/>
  <c r="BQ245" i="7"/>
  <c r="H245" i="7" s="1"/>
  <c r="DI246" i="7"/>
  <c r="BP246" i="7" s="1"/>
  <c r="BN248" i="7"/>
  <c r="CH249" i="7"/>
  <c r="DC249" i="7" s="1"/>
  <c r="CF254" i="7"/>
  <c r="DA254" i="7" s="1"/>
  <c r="BS253" i="7"/>
  <c r="CN253" i="7" s="1"/>
  <c r="BU264" i="7"/>
  <c r="CP264" i="7" s="1"/>
  <c r="CE257" i="7"/>
  <c r="CZ257" i="7" s="1"/>
  <c r="CJ288" i="7"/>
  <c r="DE288" i="7" s="1"/>
  <c r="EN250" i="7" l="1"/>
  <c r="EO256" i="7"/>
  <c r="AM257" i="7"/>
  <c r="AO249" i="7"/>
  <c r="AN254" i="7"/>
  <c r="CK255" i="7"/>
  <c r="DF255" i="7" s="1"/>
  <c r="CB257" i="7"/>
  <c r="CW257" i="7" s="1"/>
  <c r="F74" i="32"/>
  <c r="G74" i="32" s="1"/>
  <c r="P74" i="32" s="1"/>
  <c r="Q74" i="32" s="1"/>
  <c r="AQ85" i="7"/>
  <c r="BH85" i="7" s="1"/>
  <c r="AR85" i="7"/>
  <c r="BI85" i="7" s="1"/>
  <c r="AP85" i="7"/>
  <c r="BG85" i="7" s="1"/>
  <c r="CL253" i="7"/>
  <c r="DG253" i="7" s="1"/>
  <c r="EM252" i="7"/>
  <c r="EB248" i="7"/>
  <c r="DW248" i="7"/>
  <c r="DX248" i="7"/>
  <c r="EF253" i="7"/>
  <c r="EC253" i="7"/>
  <c r="DZ249" i="7"/>
  <c r="EA249" i="7"/>
  <c r="AK85" i="7"/>
  <c r="D85" i="7" s="1"/>
  <c r="AJ85" i="7"/>
  <c r="C85" i="7" s="1"/>
  <c r="AL85" i="7"/>
  <c r="E85" i="7" s="1"/>
  <c r="BB252" i="7"/>
  <c r="AV252" i="7"/>
  <c r="AX252" i="7"/>
  <c r="AT252" i="7"/>
  <c r="AY252" i="7"/>
  <c r="BC252" i="7"/>
  <c r="BA252" i="7"/>
  <c r="AU252" i="7"/>
  <c r="AZ252" i="7"/>
  <c r="M253" i="7"/>
  <c r="AT253" i="7" s="1"/>
  <c r="DV253" i="7"/>
  <c r="BY286" i="7"/>
  <c r="CT286" i="7" s="1"/>
  <c r="BX286" i="7"/>
  <c r="CS286" i="7" s="1"/>
  <c r="BW288" i="7"/>
  <c r="CR288" i="7" s="1"/>
  <c r="DO251" i="7"/>
  <c r="BF250" i="7"/>
  <c r="BE250" i="7"/>
  <c r="BD250" i="7"/>
  <c r="DP251" i="7"/>
  <c r="DQ251" i="7"/>
  <c r="DL251" i="7"/>
  <c r="DL252" i="7" s="1"/>
  <c r="DR251" i="7"/>
  <c r="DM251" i="7"/>
  <c r="DK251" i="7"/>
  <c r="AF251" i="7"/>
  <c r="AI251" i="7" s="1"/>
  <c r="DN251" i="7"/>
  <c r="AH251" i="7"/>
  <c r="DJ251" i="7"/>
  <c r="AG251" i="7"/>
  <c r="CM277" i="7"/>
  <c r="DH277" i="7" s="1"/>
  <c r="CC271" i="7"/>
  <c r="CX271" i="7" s="1"/>
  <c r="G245" i="7"/>
  <c r="BV255" i="7"/>
  <c r="CQ255" i="7" s="1"/>
  <c r="DS255" i="7"/>
  <c r="P255" i="7" s="1"/>
  <c r="CI256" i="7"/>
  <c r="DD256" i="7" s="1"/>
  <c r="BT257" i="7"/>
  <c r="CO257" i="7" s="1"/>
  <c r="CA249" i="7"/>
  <c r="CV249" i="7" s="1"/>
  <c r="BO247" i="7"/>
  <c r="CG250" i="7"/>
  <c r="DB250" i="7" s="1"/>
  <c r="BZ251" i="7"/>
  <c r="CU251" i="7" s="1"/>
  <c r="CD253" i="7"/>
  <c r="CY253" i="7" s="1"/>
  <c r="DI247" i="7"/>
  <c r="BP247" i="7" s="1"/>
  <c r="BQ246" i="7"/>
  <c r="H246" i="7" s="1"/>
  <c r="BN249" i="7"/>
  <c r="CH250" i="7"/>
  <c r="DC250" i="7" s="1"/>
  <c r="CF255" i="7"/>
  <c r="DA255" i="7" s="1"/>
  <c r="AH252" i="7"/>
  <c r="AG252" i="7"/>
  <c r="AF252" i="7"/>
  <c r="AI252" i="7" s="1"/>
  <c r="BS254" i="7"/>
  <c r="CN254" i="7" s="1"/>
  <c r="BU265" i="7"/>
  <c r="CP265" i="7" s="1"/>
  <c r="CE258" i="7"/>
  <c r="CZ258" i="7" s="1"/>
  <c r="CJ289" i="7"/>
  <c r="DE289" i="7" s="1"/>
  <c r="AN255" i="7" l="1"/>
  <c r="CK256" i="7"/>
  <c r="DF256" i="7" s="1"/>
  <c r="AO250" i="7"/>
  <c r="AM258" i="7"/>
  <c r="EN251" i="7"/>
  <c r="EO257" i="7"/>
  <c r="CB258" i="7"/>
  <c r="CW258" i="7" s="1"/>
  <c r="CL254" i="7"/>
  <c r="DG254" i="7" s="1"/>
  <c r="EM253" i="7"/>
  <c r="DN252" i="7"/>
  <c r="DQ252" i="7"/>
  <c r="AX253" i="7"/>
  <c r="EA250" i="7"/>
  <c r="DZ250" i="7"/>
  <c r="EB249" i="7"/>
  <c r="DX249" i="7"/>
  <c r="DW249" i="7"/>
  <c r="EF254" i="7"/>
  <c r="EC254" i="7"/>
  <c r="DM252" i="7"/>
  <c r="DO252" i="7"/>
  <c r="BB253" i="7"/>
  <c r="AZ253" i="7"/>
  <c r="BA253" i="7"/>
  <c r="AW253" i="7"/>
  <c r="AU253" i="7"/>
  <c r="BC253" i="7"/>
  <c r="M254" i="7"/>
  <c r="BB254" i="7" s="1"/>
  <c r="DV254" i="7"/>
  <c r="AV253" i="7"/>
  <c r="AY253" i="7"/>
  <c r="BX287" i="7"/>
  <c r="CS287" i="7" s="1"/>
  <c r="BY287" i="7"/>
  <c r="CT287" i="7" s="1"/>
  <c r="BW289" i="7"/>
  <c r="CR289" i="7" s="1"/>
  <c r="DP252" i="7"/>
  <c r="BE251" i="7"/>
  <c r="DJ252" i="7"/>
  <c r="BD251" i="7"/>
  <c r="BF251" i="7"/>
  <c r="DR252" i="7"/>
  <c r="DK252" i="7"/>
  <c r="CM278" i="7"/>
  <c r="DH278" i="7" s="1"/>
  <c r="CC272" i="7"/>
  <c r="CX272" i="7" s="1"/>
  <c r="G246" i="7"/>
  <c r="BL85" i="7"/>
  <c r="BK85" i="7"/>
  <c r="F85" i="7"/>
  <c r="BJ85" i="7"/>
  <c r="BT258" i="7"/>
  <c r="CO258" i="7" s="1"/>
  <c r="BV256" i="7"/>
  <c r="CQ256" i="7" s="1"/>
  <c r="CI257" i="7"/>
  <c r="DD257" i="7" s="1"/>
  <c r="DS256" i="7"/>
  <c r="P256" i="7" s="1"/>
  <c r="CA250" i="7"/>
  <c r="CV250" i="7" s="1"/>
  <c r="BO248" i="7"/>
  <c r="CG251" i="7"/>
  <c r="DB251" i="7" s="1"/>
  <c r="BZ252" i="7"/>
  <c r="CU252" i="7" s="1"/>
  <c r="CD254" i="7"/>
  <c r="CY254" i="7" s="1"/>
  <c r="BQ247" i="7"/>
  <c r="H247" i="7" s="1"/>
  <c r="DI248" i="7"/>
  <c r="BP248" i="7" s="1"/>
  <c r="CF256" i="7"/>
  <c r="DA256" i="7" s="1"/>
  <c r="CH251" i="7"/>
  <c r="DC251" i="7" s="1"/>
  <c r="BN250" i="7"/>
  <c r="BS255" i="7"/>
  <c r="CN255" i="7" s="1"/>
  <c r="BU266" i="7"/>
  <c r="CP266" i="7" s="1"/>
  <c r="CE259" i="7"/>
  <c r="CZ259" i="7" s="1"/>
  <c r="CJ290" i="7"/>
  <c r="DE290" i="7" s="1"/>
  <c r="AM259" i="7" l="1"/>
  <c r="EO258" i="7"/>
  <c r="CK257" i="7"/>
  <c r="DF257" i="7" s="1"/>
  <c r="AN256" i="7"/>
  <c r="EN252" i="7"/>
  <c r="AO251" i="7"/>
  <c r="CB259" i="7"/>
  <c r="CW259" i="7" s="1"/>
  <c r="CL255" i="7"/>
  <c r="DG255" i="7" s="1"/>
  <c r="EM254" i="7"/>
  <c r="EB250" i="7"/>
  <c r="DX250" i="7"/>
  <c r="DW250" i="7"/>
  <c r="DZ251" i="7"/>
  <c r="EA251" i="7"/>
  <c r="EC255" i="7"/>
  <c r="EF255" i="7"/>
  <c r="DO253" i="7"/>
  <c r="AX254" i="7"/>
  <c r="AU254" i="7"/>
  <c r="AT254" i="7"/>
  <c r="AY254" i="7"/>
  <c r="AZ254" i="7"/>
  <c r="AW254" i="7"/>
  <c r="BC254" i="7"/>
  <c r="AV254" i="7"/>
  <c r="M255" i="7"/>
  <c r="AZ255" i="7" s="1"/>
  <c r="DV255" i="7"/>
  <c r="BA254" i="7"/>
  <c r="BY288" i="7"/>
  <c r="CT288" i="7" s="1"/>
  <c r="BX288" i="7"/>
  <c r="CS288" i="7" s="1"/>
  <c r="BW290" i="7"/>
  <c r="CR290" i="7" s="1"/>
  <c r="BF252" i="7"/>
  <c r="BE252" i="7"/>
  <c r="BD252" i="7"/>
  <c r="DL253" i="7"/>
  <c r="AG253" i="7"/>
  <c r="DP253" i="7"/>
  <c r="AH253" i="7"/>
  <c r="DQ253" i="7"/>
  <c r="DJ253" i="7"/>
  <c r="DN253" i="7"/>
  <c r="DK253" i="7"/>
  <c r="DM253" i="7"/>
  <c r="DR253" i="7"/>
  <c r="AF253" i="7"/>
  <c r="AI253" i="7" s="1"/>
  <c r="CM279" i="7"/>
  <c r="DH279" i="7" s="1"/>
  <c r="CC273" i="7"/>
  <c r="CX273" i="7" s="1"/>
  <c r="G247" i="7"/>
  <c r="BM85" i="7"/>
  <c r="BV257" i="7"/>
  <c r="CQ257" i="7" s="1"/>
  <c r="DS257" i="7"/>
  <c r="P257" i="7" s="1"/>
  <c r="CI258" i="7"/>
  <c r="DD258" i="7" s="1"/>
  <c r="BT259" i="7"/>
  <c r="CO259" i="7" s="1"/>
  <c r="BO249" i="7"/>
  <c r="CA251" i="7"/>
  <c r="CV251" i="7" s="1"/>
  <c r="CG252" i="7"/>
  <c r="DB252" i="7" s="1"/>
  <c r="BZ253" i="7"/>
  <c r="CU253" i="7" s="1"/>
  <c r="CD255" i="7"/>
  <c r="CY255" i="7" s="1"/>
  <c r="CH252" i="7"/>
  <c r="DC252" i="7" s="1"/>
  <c r="BN251" i="7"/>
  <c r="CF257" i="7"/>
  <c r="DA257" i="7" s="1"/>
  <c r="DI249" i="7"/>
  <c r="BP249" i="7" s="1"/>
  <c r="BQ248" i="7"/>
  <c r="H248" i="7" s="1"/>
  <c r="AF254" i="7"/>
  <c r="AI254" i="7" s="1"/>
  <c r="BS256" i="7"/>
  <c r="CN256" i="7" s="1"/>
  <c r="BU267" i="7"/>
  <c r="CP267" i="7" s="1"/>
  <c r="CE260" i="7"/>
  <c r="CZ260" i="7" s="1"/>
  <c r="CJ291" i="7"/>
  <c r="DE291" i="7" s="1"/>
  <c r="AN257" i="7" l="1"/>
  <c r="EN253" i="7"/>
  <c r="EO259" i="7"/>
  <c r="AO252" i="7"/>
  <c r="AM260" i="7"/>
  <c r="CK258" i="7"/>
  <c r="DF258" i="7" s="1"/>
  <c r="CB260" i="7"/>
  <c r="CW260" i="7" s="1"/>
  <c r="CL256" i="7"/>
  <c r="DG256" i="7" s="1"/>
  <c r="EM255" i="7"/>
  <c r="DO254" i="7"/>
  <c r="AV255" i="7"/>
  <c r="DW251" i="7"/>
  <c r="DX251" i="7"/>
  <c r="EB251" i="7"/>
  <c r="EF256" i="7"/>
  <c r="EC256" i="7"/>
  <c r="DZ252" i="7"/>
  <c r="EA252" i="7"/>
  <c r="N86" i="7"/>
  <c r="D75" i="32"/>
  <c r="DR254" i="7"/>
  <c r="AY255" i="7"/>
  <c r="AX255" i="7"/>
  <c r="AU255" i="7"/>
  <c r="BA255" i="7"/>
  <c r="BB255" i="7"/>
  <c r="AW255" i="7"/>
  <c r="M256" i="7"/>
  <c r="AU256" i="7" s="1"/>
  <c r="DV256" i="7"/>
  <c r="BC255" i="7"/>
  <c r="AT255" i="7"/>
  <c r="BX289" i="7"/>
  <c r="CS289" i="7" s="1"/>
  <c r="BY289" i="7"/>
  <c r="CT289" i="7" s="1"/>
  <c r="BW291" i="7"/>
  <c r="CR291" i="7" s="1"/>
  <c r="BD253" i="7"/>
  <c r="DQ254" i="7"/>
  <c r="DL254" i="7"/>
  <c r="DP254" i="7"/>
  <c r="BE253" i="7"/>
  <c r="AH254" i="7"/>
  <c r="DM254" i="7"/>
  <c r="DN254" i="7"/>
  <c r="DK254" i="7"/>
  <c r="BF253" i="7"/>
  <c r="AG254" i="7"/>
  <c r="DJ254" i="7"/>
  <c r="CM280" i="7"/>
  <c r="DH280" i="7" s="1"/>
  <c r="CC274" i="7"/>
  <c r="CX274" i="7" s="1"/>
  <c r="G248" i="7"/>
  <c r="B85" i="7"/>
  <c r="DS258" i="7"/>
  <c r="P258" i="7" s="1"/>
  <c r="CI259" i="7"/>
  <c r="DD259" i="7" s="1"/>
  <c r="BT260" i="7"/>
  <c r="CO260" i="7" s="1"/>
  <c r="BV258" i="7"/>
  <c r="CQ258" i="7" s="1"/>
  <c r="BO250" i="7"/>
  <c r="CA252" i="7"/>
  <c r="CV252" i="7" s="1"/>
  <c r="CG253" i="7"/>
  <c r="DB253" i="7" s="1"/>
  <c r="BZ254" i="7"/>
  <c r="CU254" i="7" s="1"/>
  <c r="CD256" i="7"/>
  <c r="CY256" i="7" s="1"/>
  <c r="CF258" i="7"/>
  <c r="DA258" i="7" s="1"/>
  <c r="DI250" i="7"/>
  <c r="BP250" i="7" s="1"/>
  <c r="BQ249" i="7"/>
  <c r="H249" i="7" s="1"/>
  <c r="BN252" i="7"/>
  <c r="CH253" i="7"/>
  <c r="DC253" i="7" s="1"/>
  <c r="BS257" i="7"/>
  <c r="CN257" i="7" s="1"/>
  <c r="BU268" i="7"/>
  <c r="CP268" i="7" s="1"/>
  <c r="CE261" i="7"/>
  <c r="CZ261" i="7" s="1"/>
  <c r="CJ292" i="7"/>
  <c r="DE292" i="7" s="1"/>
  <c r="AO253" i="7" l="1"/>
  <c r="EO260" i="7"/>
  <c r="CK259" i="7"/>
  <c r="DF259" i="7" s="1"/>
  <c r="EN254" i="7"/>
  <c r="AN258" i="7"/>
  <c r="AM261" i="7"/>
  <c r="CB261" i="7"/>
  <c r="CW261" i="7" s="1"/>
  <c r="F75" i="32"/>
  <c r="G75" i="32" s="1"/>
  <c r="P75" i="32" s="1"/>
  <c r="Q75" i="32" s="1"/>
  <c r="AR86" i="7"/>
  <c r="BI86" i="7" s="1"/>
  <c r="AP86" i="7"/>
  <c r="BG86" i="7" s="1"/>
  <c r="AQ86" i="7"/>
  <c r="BH86" i="7" s="1"/>
  <c r="CL257" i="7"/>
  <c r="DG257" i="7" s="1"/>
  <c r="EM256" i="7"/>
  <c r="DO255" i="7"/>
  <c r="EF257" i="7"/>
  <c r="EC257" i="7"/>
  <c r="DZ253" i="7"/>
  <c r="EA253" i="7"/>
  <c r="EB252" i="7"/>
  <c r="DX252" i="7"/>
  <c r="DW252" i="7"/>
  <c r="AL86" i="7"/>
  <c r="E86" i="7" s="1"/>
  <c r="AK86" i="7"/>
  <c r="D86" i="7" s="1"/>
  <c r="AJ86" i="7"/>
  <c r="C86" i="7" s="1"/>
  <c r="BA256" i="7"/>
  <c r="AY256" i="7"/>
  <c r="BC256" i="7"/>
  <c r="AW256" i="7"/>
  <c r="BB256" i="7"/>
  <c r="AV256" i="7"/>
  <c r="AT256" i="7"/>
  <c r="AX256" i="7"/>
  <c r="AZ256" i="7"/>
  <c r="M257" i="7"/>
  <c r="AV257" i="7" s="1"/>
  <c r="DV257" i="7"/>
  <c r="BY290" i="7"/>
  <c r="CT290" i="7" s="1"/>
  <c r="BX290" i="7"/>
  <c r="CS290" i="7" s="1"/>
  <c r="BW292" i="7"/>
  <c r="CR292" i="7" s="1"/>
  <c r="BE254" i="7"/>
  <c r="DJ255" i="7"/>
  <c r="DN255" i="7"/>
  <c r="DR255" i="7"/>
  <c r="DL255" i="7"/>
  <c r="BD254" i="7"/>
  <c r="DP255" i="7"/>
  <c r="BF254" i="7"/>
  <c r="AH255" i="7"/>
  <c r="AG255" i="7"/>
  <c r="AF255" i="7"/>
  <c r="AI255" i="7" s="1"/>
  <c r="DK255" i="7"/>
  <c r="DM255" i="7"/>
  <c r="DQ255" i="7"/>
  <c r="CM281" i="7"/>
  <c r="DH281" i="7" s="1"/>
  <c r="CC275" i="7"/>
  <c r="CX275" i="7" s="1"/>
  <c r="G249" i="7"/>
  <c r="BT261" i="7"/>
  <c r="CO261" i="7" s="1"/>
  <c r="BV259" i="7"/>
  <c r="CQ259" i="7" s="1"/>
  <c r="CI260" i="7"/>
  <c r="DD260" i="7" s="1"/>
  <c r="DS259" i="7"/>
  <c r="P259" i="7" s="1"/>
  <c r="CA253" i="7"/>
  <c r="CV253" i="7" s="1"/>
  <c r="BO251" i="7"/>
  <c r="CG254" i="7"/>
  <c r="DB254" i="7" s="1"/>
  <c r="BZ255" i="7"/>
  <c r="CU255" i="7" s="1"/>
  <c r="CD257" i="7"/>
  <c r="CY257" i="7" s="1"/>
  <c r="BN253" i="7"/>
  <c r="CH254" i="7"/>
  <c r="DC254" i="7" s="1"/>
  <c r="DI251" i="7"/>
  <c r="BP251" i="7" s="1"/>
  <c r="BQ250" i="7"/>
  <c r="H250" i="7" s="1"/>
  <c r="CF259" i="7"/>
  <c r="DA259" i="7" s="1"/>
  <c r="BS258" i="7"/>
  <c r="CN258" i="7" s="1"/>
  <c r="AG256" i="7"/>
  <c r="BU269" i="7"/>
  <c r="CP269" i="7" s="1"/>
  <c r="CE262" i="7"/>
  <c r="CZ262" i="7" s="1"/>
  <c r="CJ293" i="7"/>
  <c r="DE293" i="7" s="1"/>
  <c r="AM262" i="7" l="1"/>
  <c r="AN259" i="7"/>
  <c r="EO261" i="7"/>
  <c r="AO254" i="7"/>
  <c r="EN255" i="7"/>
  <c r="CK260" i="7"/>
  <c r="DF260" i="7" s="1"/>
  <c r="CB262" i="7"/>
  <c r="CW262" i="7" s="1"/>
  <c r="DO256" i="7"/>
  <c r="CL258" i="7"/>
  <c r="DG258" i="7" s="1"/>
  <c r="EM257" i="7"/>
  <c r="EF258" i="7"/>
  <c r="EC258" i="7"/>
  <c r="DW253" i="7"/>
  <c r="EB253" i="7"/>
  <c r="DX253" i="7"/>
  <c r="EA254" i="7"/>
  <c r="DZ254" i="7"/>
  <c r="BB257" i="7"/>
  <c r="AW257" i="7"/>
  <c r="DQ256" i="7"/>
  <c r="AY257" i="7"/>
  <c r="AZ257" i="7"/>
  <c r="AX257" i="7"/>
  <c r="AU257" i="7"/>
  <c r="BC257" i="7"/>
  <c r="BA257" i="7"/>
  <c r="AT257" i="7"/>
  <c r="M258" i="7"/>
  <c r="BB258" i="7" s="1"/>
  <c r="DV258" i="7"/>
  <c r="BX291" i="7"/>
  <c r="CS291" i="7" s="1"/>
  <c r="BY291" i="7"/>
  <c r="CT291" i="7" s="1"/>
  <c r="BW293" i="7"/>
  <c r="CR293" i="7" s="1"/>
  <c r="BD255" i="7"/>
  <c r="DK256" i="7"/>
  <c r="BF255" i="7"/>
  <c r="DN256" i="7"/>
  <c r="DL256" i="7"/>
  <c r="DM256" i="7"/>
  <c r="DR256" i="7"/>
  <c r="DJ256" i="7"/>
  <c r="AH256" i="7"/>
  <c r="BE255" i="7"/>
  <c r="DP256" i="7"/>
  <c r="AF256" i="7"/>
  <c r="AI256" i="7" s="1"/>
  <c r="CM282" i="7"/>
  <c r="DH282" i="7" s="1"/>
  <c r="CC276" i="7"/>
  <c r="CX276" i="7" s="1"/>
  <c r="G250" i="7"/>
  <c r="BK86" i="7"/>
  <c r="F86" i="7"/>
  <c r="BJ86" i="7"/>
  <c r="BL86" i="7"/>
  <c r="BV260" i="7"/>
  <c r="CQ260" i="7" s="1"/>
  <c r="BT262" i="7"/>
  <c r="CO262" i="7" s="1"/>
  <c r="DS260" i="7"/>
  <c r="P260" i="7" s="1"/>
  <c r="CI261" i="7"/>
  <c r="DD261" i="7" s="1"/>
  <c r="CA254" i="7"/>
  <c r="CV254" i="7" s="1"/>
  <c r="BO252" i="7"/>
  <c r="CG255" i="7"/>
  <c r="DB255" i="7" s="1"/>
  <c r="BZ256" i="7"/>
  <c r="CU256" i="7" s="1"/>
  <c r="CD258" i="7"/>
  <c r="CY258" i="7" s="1"/>
  <c r="CF260" i="7"/>
  <c r="DA260" i="7" s="1"/>
  <c r="DI252" i="7"/>
  <c r="BP252" i="7" s="1"/>
  <c r="BQ251" i="7"/>
  <c r="H251" i="7" s="1"/>
  <c r="CH255" i="7"/>
  <c r="DC255" i="7" s="1"/>
  <c r="BN254" i="7"/>
  <c r="BS259" i="7"/>
  <c r="CN259" i="7" s="1"/>
  <c r="BU270" i="7"/>
  <c r="CP270" i="7" s="1"/>
  <c r="CE263" i="7"/>
  <c r="CZ263" i="7" s="1"/>
  <c r="CJ294" i="7"/>
  <c r="DE294" i="7" s="1"/>
  <c r="AO255" i="7" l="1"/>
  <c r="AN260" i="7"/>
  <c r="EO262" i="7"/>
  <c r="CK261" i="7"/>
  <c r="DF261" i="7" s="1"/>
  <c r="AM263" i="7"/>
  <c r="EN256" i="7"/>
  <c r="CB263" i="7"/>
  <c r="CW263" i="7" s="1"/>
  <c r="CL259" i="7"/>
  <c r="DG259" i="7" s="1"/>
  <c r="EM258" i="7"/>
  <c r="DO257" i="7"/>
  <c r="EC259" i="7"/>
  <c r="EF259" i="7"/>
  <c r="EA255" i="7"/>
  <c r="DZ255" i="7"/>
  <c r="EB254" i="7"/>
  <c r="DX254" i="7"/>
  <c r="DW254" i="7"/>
  <c r="AX258" i="7"/>
  <c r="AT258" i="7"/>
  <c r="BC258" i="7"/>
  <c r="AV258" i="7"/>
  <c r="AW258" i="7"/>
  <c r="AY258" i="7"/>
  <c r="BA258" i="7"/>
  <c r="AU258" i="7"/>
  <c r="AZ258" i="7"/>
  <c r="M259" i="7"/>
  <c r="AZ259" i="7" s="1"/>
  <c r="DV259" i="7"/>
  <c r="BY292" i="7"/>
  <c r="CT292" i="7" s="1"/>
  <c r="BX292" i="7"/>
  <c r="CS292" i="7" s="1"/>
  <c r="BW294" i="7"/>
  <c r="CR294" i="7" s="1"/>
  <c r="BE256" i="7"/>
  <c r="DN257" i="7"/>
  <c r="AF257" i="7"/>
  <c r="AI257" i="7" s="1"/>
  <c r="BF256" i="7"/>
  <c r="DL257" i="7"/>
  <c r="DQ257" i="7"/>
  <c r="DQ258" i="7" s="1"/>
  <c r="DJ257" i="7"/>
  <c r="DR257" i="7"/>
  <c r="AH257" i="7"/>
  <c r="AG257" i="7"/>
  <c r="BD256" i="7"/>
  <c r="DK257" i="7"/>
  <c r="DP257" i="7"/>
  <c r="DM257" i="7"/>
  <c r="CM283" i="7"/>
  <c r="DH283" i="7" s="1"/>
  <c r="CC277" i="7"/>
  <c r="CX277" i="7" s="1"/>
  <c r="G251" i="7"/>
  <c r="BM86" i="7"/>
  <c r="BT263" i="7"/>
  <c r="CO263" i="7" s="1"/>
  <c r="DS261" i="7"/>
  <c r="P261" i="7" s="1"/>
  <c r="CI262" i="7"/>
  <c r="DD262" i="7" s="1"/>
  <c r="BV261" i="7"/>
  <c r="CQ261" i="7" s="1"/>
  <c r="CA255" i="7"/>
  <c r="CV255" i="7" s="1"/>
  <c r="BO253" i="7"/>
  <c r="CG256" i="7"/>
  <c r="DB256" i="7" s="1"/>
  <c r="BZ257" i="7"/>
  <c r="CU257" i="7" s="1"/>
  <c r="CD259" i="7"/>
  <c r="CY259" i="7" s="1"/>
  <c r="BQ252" i="7"/>
  <c r="H252" i="7" s="1"/>
  <c r="DI253" i="7"/>
  <c r="BP253" i="7" s="1"/>
  <c r="BN255" i="7"/>
  <c r="CH256" i="7"/>
  <c r="DC256" i="7" s="1"/>
  <c r="CF261" i="7"/>
  <c r="DA261" i="7" s="1"/>
  <c r="BS260" i="7"/>
  <c r="CN260" i="7" s="1"/>
  <c r="AG258" i="7"/>
  <c r="AH258" i="7"/>
  <c r="BU271" i="7"/>
  <c r="CP271" i="7" s="1"/>
  <c r="CE264" i="7"/>
  <c r="CZ264" i="7" s="1"/>
  <c r="CJ295" i="7"/>
  <c r="DE295" i="7" s="1"/>
  <c r="EN257" i="7" l="1"/>
  <c r="CK262" i="7"/>
  <c r="DF262" i="7" s="1"/>
  <c r="EO263" i="7"/>
  <c r="AM264" i="7"/>
  <c r="AO256" i="7"/>
  <c r="AN261" i="7"/>
  <c r="CB264" i="7"/>
  <c r="CW264" i="7" s="1"/>
  <c r="DN258" i="7"/>
  <c r="CL260" i="7"/>
  <c r="DG260" i="7" s="1"/>
  <c r="EM259" i="7"/>
  <c r="DO258" i="7"/>
  <c r="DM258" i="7"/>
  <c r="EA256" i="7"/>
  <c r="DZ256" i="7"/>
  <c r="EB255" i="7"/>
  <c r="DX255" i="7"/>
  <c r="DW255" i="7"/>
  <c r="EC260" i="7"/>
  <c r="EF260" i="7"/>
  <c r="N87" i="7"/>
  <c r="D76" i="32"/>
  <c r="AW259" i="7"/>
  <c r="AV259" i="7"/>
  <c r="AU259" i="7"/>
  <c r="BA259" i="7"/>
  <c r="AT259" i="7"/>
  <c r="AY259" i="7"/>
  <c r="AX259" i="7"/>
  <c r="M260" i="7"/>
  <c r="AU260" i="7" s="1"/>
  <c r="DV260" i="7"/>
  <c r="BC259" i="7"/>
  <c r="BB259" i="7"/>
  <c r="BX293" i="7"/>
  <c r="CS293" i="7" s="1"/>
  <c r="BY293" i="7"/>
  <c r="CT293" i="7" s="1"/>
  <c r="BW295" i="7"/>
  <c r="CR295" i="7" s="1"/>
  <c r="BF257" i="7"/>
  <c r="DK258" i="7"/>
  <c r="BE257" i="7"/>
  <c r="DJ258" i="7"/>
  <c r="AF258" i="7"/>
  <c r="AI258" i="7" s="1"/>
  <c r="BD257" i="7"/>
  <c r="DL258" i="7"/>
  <c r="DR258" i="7"/>
  <c r="DP258" i="7"/>
  <c r="CM284" i="7"/>
  <c r="DH284" i="7" s="1"/>
  <c r="CC278" i="7"/>
  <c r="CX278" i="7" s="1"/>
  <c r="G252" i="7"/>
  <c r="DO259" i="7" s="1"/>
  <c r="B86" i="7"/>
  <c r="CI263" i="7"/>
  <c r="DD263" i="7" s="1"/>
  <c r="DS262" i="7"/>
  <c r="P262" i="7" s="1"/>
  <c r="BV262" i="7"/>
  <c r="CQ262" i="7" s="1"/>
  <c r="BT264" i="7"/>
  <c r="CO264" i="7" s="1"/>
  <c r="CA256" i="7"/>
  <c r="CV256" i="7" s="1"/>
  <c r="BO254" i="7"/>
  <c r="CG257" i="7"/>
  <c r="DB257" i="7" s="1"/>
  <c r="BZ258" i="7"/>
  <c r="CU258" i="7" s="1"/>
  <c r="CD260" i="7"/>
  <c r="CY260" i="7" s="1"/>
  <c r="BN256" i="7"/>
  <c r="CH257" i="7"/>
  <c r="DC257" i="7" s="1"/>
  <c r="CF262" i="7"/>
  <c r="DA262" i="7" s="1"/>
  <c r="BQ253" i="7"/>
  <c r="H253" i="7" s="1"/>
  <c r="DI254" i="7"/>
  <c r="BP254" i="7" s="1"/>
  <c r="BS261" i="7"/>
  <c r="CN261" i="7" s="1"/>
  <c r="BU272" i="7"/>
  <c r="CP272" i="7" s="1"/>
  <c r="CE265" i="7"/>
  <c r="CZ265" i="7" s="1"/>
  <c r="CJ296" i="7"/>
  <c r="DE296" i="7" s="1"/>
  <c r="AM265" i="7" l="1"/>
  <c r="CK263" i="7"/>
  <c r="DF263" i="7" s="1"/>
  <c r="AN262" i="7"/>
  <c r="EN258" i="7"/>
  <c r="EO264" i="7"/>
  <c r="AO257" i="7"/>
  <c r="CB265" i="7"/>
  <c r="CW265" i="7" s="1"/>
  <c r="F76" i="32"/>
  <c r="G76" i="32" s="1"/>
  <c r="P76" i="32" s="1"/>
  <c r="Q76" i="32" s="1"/>
  <c r="AP87" i="7"/>
  <c r="BG87" i="7" s="1"/>
  <c r="AQ87" i="7"/>
  <c r="BH87" i="7" s="1"/>
  <c r="AR87" i="7"/>
  <c r="BI87" i="7" s="1"/>
  <c r="CL261" i="7"/>
  <c r="DG261" i="7" s="1"/>
  <c r="EM260" i="7"/>
  <c r="DZ257" i="7"/>
  <c r="EA257" i="7"/>
  <c r="DW256" i="7"/>
  <c r="EB256" i="7"/>
  <c r="DX256" i="7"/>
  <c r="EF261" i="7"/>
  <c r="EC261" i="7"/>
  <c r="AL87" i="7"/>
  <c r="E87" i="7" s="1"/>
  <c r="AK87" i="7"/>
  <c r="D87" i="7" s="1"/>
  <c r="AJ87" i="7"/>
  <c r="C87" i="7" s="1"/>
  <c r="AZ260" i="7"/>
  <c r="DO260" i="7" s="1"/>
  <c r="BC260" i="7"/>
  <c r="AT260" i="7"/>
  <c r="AY260" i="7"/>
  <c r="BA260" i="7"/>
  <c r="BB260" i="7"/>
  <c r="AV260" i="7"/>
  <c r="AX260" i="7"/>
  <c r="M261" i="7"/>
  <c r="AZ261" i="7" s="1"/>
  <c r="DV261" i="7"/>
  <c r="AW260" i="7"/>
  <c r="BY294" i="7"/>
  <c r="CT294" i="7" s="1"/>
  <c r="BX294" i="7"/>
  <c r="CS294" i="7" s="1"/>
  <c r="BW296" i="7"/>
  <c r="CR296" i="7" s="1"/>
  <c r="BE258" i="7"/>
  <c r="DM259" i="7"/>
  <c r="AG259" i="7"/>
  <c r="BD258" i="7"/>
  <c r="DL259" i="7"/>
  <c r="AF259" i="7"/>
  <c r="AI259" i="7" s="1"/>
  <c r="DN259" i="7"/>
  <c r="DR259" i="7"/>
  <c r="DJ259" i="7"/>
  <c r="DJ260" i="7" s="1"/>
  <c r="AH259" i="7"/>
  <c r="BF258" i="7"/>
  <c r="DK259" i="7"/>
  <c r="DP259" i="7"/>
  <c r="DQ259" i="7"/>
  <c r="CM285" i="7"/>
  <c r="DH285" i="7" s="1"/>
  <c r="CC279" i="7"/>
  <c r="CX279" i="7" s="1"/>
  <c r="G253" i="7"/>
  <c r="BT265" i="7"/>
  <c r="CO265" i="7" s="1"/>
  <c r="BV263" i="7"/>
  <c r="CQ263" i="7" s="1"/>
  <c r="CI264" i="7"/>
  <c r="DD264" i="7" s="1"/>
  <c r="DS263" i="7"/>
  <c r="P263" i="7" s="1"/>
  <c r="BO255" i="7"/>
  <c r="CA257" i="7"/>
  <c r="CV257" i="7" s="1"/>
  <c r="CG258" i="7"/>
  <c r="DB258" i="7" s="1"/>
  <c r="BZ259" i="7"/>
  <c r="CU259" i="7" s="1"/>
  <c r="CD261" i="7"/>
  <c r="CY261" i="7" s="1"/>
  <c r="BN257" i="7"/>
  <c r="CH258" i="7"/>
  <c r="DC258" i="7" s="1"/>
  <c r="BQ254" i="7"/>
  <c r="H254" i="7" s="1"/>
  <c r="DI255" i="7"/>
  <c r="BP255" i="7" s="1"/>
  <c r="CF263" i="7"/>
  <c r="DA263" i="7" s="1"/>
  <c r="BS262" i="7"/>
  <c r="CN262" i="7" s="1"/>
  <c r="AF260" i="7"/>
  <c r="AI260" i="7" s="1"/>
  <c r="BU273" i="7"/>
  <c r="CP273" i="7" s="1"/>
  <c r="CE266" i="7"/>
  <c r="CZ266" i="7" s="1"/>
  <c r="CJ297" i="7"/>
  <c r="DE297" i="7" s="1"/>
  <c r="AM266" i="7" l="1"/>
  <c r="AN263" i="7"/>
  <c r="CK264" i="7"/>
  <c r="DF264" i="7" s="1"/>
  <c r="AO258" i="7"/>
  <c r="EO265" i="7"/>
  <c r="EN259" i="7"/>
  <c r="CB266" i="7"/>
  <c r="CW266" i="7" s="1"/>
  <c r="CL262" i="7"/>
  <c r="DG262" i="7" s="1"/>
  <c r="EM261" i="7"/>
  <c r="AV261" i="7"/>
  <c r="DQ260" i="7"/>
  <c r="DP260" i="7"/>
  <c r="EF262" i="7"/>
  <c r="EC262" i="7"/>
  <c r="DZ258" i="7"/>
  <c r="EA258" i="7"/>
  <c r="EB257" i="7"/>
  <c r="DX257" i="7"/>
  <c r="DW257" i="7"/>
  <c r="BC261" i="7"/>
  <c r="AX261" i="7"/>
  <c r="AT261" i="7"/>
  <c r="BA261" i="7"/>
  <c r="AU261" i="7"/>
  <c r="DJ261" i="7" s="1"/>
  <c r="AW261" i="7"/>
  <c r="M262" i="7"/>
  <c r="AU262" i="7" s="1"/>
  <c r="DV262" i="7"/>
  <c r="AY261" i="7"/>
  <c r="BB261" i="7"/>
  <c r="BX295" i="7"/>
  <c r="CS295" i="7" s="1"/>
  <c r="BY295" i="7"/>
  <c r="CT295" i="7" s="1"/>
  <c r="BW297" i="7"/>
  <c r="CR297" i="7" s="1"/>
  <c r="DK260" i="7"/>
  <c r="BD259" i="7"/>
  <c r="BF259" i="7"/>
  <c r="AH260" i="7"/>
  <c r="AG260" i="7"/>
  <c r="DN260" i="7"/>
  <c r="DL260" i="7"/>
  <c r="BE259" i="7"/>
  <c r="DR260" i="7"/>
  <c r="DM260" i="7"/>
  <c r="CM286" i="7"/>
  <c r="DH286" i="7" s="1"/>
  <c r="CC280" i="7"/>
  <c r="CX280" i="7" s="1"/>
  <c r="G254" i="7"/>
  <c r="F87" i="7"/>
  <c r="BJ87" i="7"/>
  <c r="BK87" i="7"/>
  <c r="BL87" i="7"/>
  <c r="BV264" i="7"/>
  <c r="CQ264" i="7" s="1"/>
  <c r="DS264" i="7"/>
  <c r="P264" i="7" s="1"/>
  <c r="CI265" i="7"/>
  <c r="DD265" i="7" s="1"/>
  <c r="BT266" i="7"/>
  <c r="CO266" i="7" s="1"/>
  <c r="BO256" i="7"/>
  <c r="CA258" i="7"/>
  <c r="CV258" i="7" s="1"/>
  <c r="CG259" i="7"/>
  <c r="DB259" i="7" s="1"/>
  <c r="BZ260" i="7"/>
  <c r="CU260" i="7" s="1"/>
  <c r="CD262" i="7"/>
  <c r="CY262" i="7" s="1"/>
  <c r="BQ255" i="7"/>
  <c r="H255" i="7" s="1"/>
  <c r="DI256" i="7"/>
  <c r="BP256" i="7" s="1"/>
  <c r="BN258" i="7"/>
  <c r="CH259" i="7"/>
  <c r="DC259" i="7" s="1"/>
  <c r="CF264" i="7"/>
  <c r="DA264" i="7" s="1"/>
  <c r="AG261" i="7"/>
  <c r="AF261" i="7"/>
  <c r="AI261" i="7" s="1"/>
  <c r="AH261" i="7"/>
  <c r="BS263" i="7"/>
  <c r="CN263" i="7" s="1"/>
  <c r="BU274" i="7"/>
  <c r="CP274" i="7" s="1"/>
  <c r="CE267" i="7"/>
  <c r="CZ267" i="7" s="1"/>
  <c r="CJ298" i="7"/>
  <c r="DE298" i="7" s="1"/>
  <c r="AM267" i="7" l="1"/>
  <c r="EN260" i="7"/>
  <c r="EO266" i="7"/>
  <c r="AO259" i="7"/>
  <c r="AN264" i="7"/>
  <c r="CK265" i="7"/>
  <c r="DF265" i="7" s="1"/>
  <c r="CB267" i="7"/>
  <c r="CW267" i="7" s="1"/>
  <c r="DQ261" i="7"/>
  <c r="CL263" i="7"/>
  <c r="DG263" i="7" s="1"/>
  <c r="EM262" i="7"/>
  <c r="DP261" i="7"/>
  <c r="DR261" i="7"/>
  <c r="DK261" i="7"/>
  <c r="EA259" i="7"/>
  <c r="DZ259" i="7"/>
  <c r="EC263" i="7"/>
  <c r="EF263" i="7"/>
  <c r="EB258" i="7"/>
  <c r="DX258" i="7"/>
  <c r="DW258" i="7"/>
  <c r="AW262" i="7"/>
  <c r="AV262" i="7"/>
  <c r="BB262" i="7"/>
  <c r="AZ262" i="7"/>
  <c r="AX262" i="7"/>
  <c r="AY262" i="7"/>
  <c r="BC262" i="7"/>
  <c r="AT262" i="7"/>
  <c r="BA262" i="7"/>
  <c r="M263" i="7"/>
  <c r="AZ263" i="7" s="1"/>
  <c r="DV263" i="7"/>
  <c r="BY296" i="7"/>
  <c r="CT296" i="7" s="1"/>
  <c r="BX296" i="7"/>
  <c r="CS296" i="7" s="1"/>
  <c r="BW298" i="7"/>
  <c r="CR298" i="7" s="1"/>
  <c r="DL261" i="7"/>
  <c r="BF260" i="7"/>
  <c r="BE260" i="7"/>
  <c r="DO261" i="7"/>
  <c r="BD260" i="7"/>
  <c r="DN261" i="7"/>
  <c r="DM261" i="7"/>
  <c r="CM287" i="7"/>
  <c r="DH287" i="7" s="1"/>
  <c r="CC281" i="7"/>
  <c r="CX281" i="7" s="1"/>
  <c r="G255" i="7"/>
  <c r="BM87" i="7"/>
  <c r="BT267" i="7"/>
  <c r="CO267" i="7" s="1"/>
  <c r="CI266" i="7"/>
  <c r="DD266" i="7" s="1"/>
  <c r="DS265" i="7"/>
  <c r="P265" i="7" s="1"/>
  <c r="BV265" i="7"/>
  <c r="CQ265" i="7" s="1"/>
  <c r="CA259" i="7"/>
  <c r="CV259" i="7" s="1"/>
  <c r="BO257" i="7"/>
  <c r="CG260" i="7"/>
  <c r="DB260" i="7" s="1"/>
  <c r="BZ261" i="7"/>
  <c r="CU261" i="7" s="1"/>
  <c r="CD263" i="7"/>
  <c r="CY263" i="7" s="1"/>
  <c r="CF265" i="7"/>
  <c r="DA265" i="7" s="1"/>
  <c r="BQ256" i="7"/>
  <c r="H256" i="7" s="1"/>
  <c r="DI257" i="7"/>
  <c r="BP257" i="7" s="1"/>
  <c r="CH260" i="7"/>
  <c r="DC260" i="7" s="1"/>
  <c r="BN259" i="7"/>
  <c r="BS264" i="7"/>
  <c r="CN264" i="7" s="1"/>
  <c r="BE261" i="7"/>
  <c r="BD261" i="7"/>
  <c r="BF261" i="7"/>
  <c r="BU275" i="7"/>
  <c r="CP275" i="7" s="1"/>
  <c r="CE268" i="7"/>
  <c r="CZ268" i="7" s="1"/>
  <c r="CJ299" i="7"/>
  <c r="DE299" i="7" s="1"/>
  <c r="EO267" i="7" l="1"/>
  <c r="AM268" i="7"/>
  <c r="EN261" i="7"/>
  <c r="CK266" i="7"/>
  <c r="DF266" i="7" s="1"/>
  <c r="AO260" i="7"/>
  <c r="AN265" i="7"/>
  <c r="CB268" i="7"/>
  <c r="CW268" i="7" s="1"/>
  <c r="DP262" i="7"/>
  <c r="CL264" i="7"/>
  <c r="DG264" i="7" s="1"/>
  <c r="EM263" i="7"/>
  <c r="DL262" i="7"/>
  <c r="DM262" i="7"/>
  <c r="EB259" i="7"/>
  <c r="DX259" i="7"/>
  <c r="DW259" i="7"/>
  <c r="DZ260" i="7"/>
  <c r="EA260" i="7"/>
  <c r="EC264" i="7"/>
  <c r="EF264" i="7"/>
  <c r="N88" i="7"/>
  <c r="D77" i="32"/>
  <c r="BB263" i="7"/>
  <c r="BA263" i="7"/>
  <c r="BC263" i="7"/>
  <c r="AW263" i="7"/>
  <c r="AX263" i="7"/>
  <c r="AY263" i="7"/>
  <c r="AV263" i="7"/>
  <c r="AU263" i="7"/>
  <c r="AT263" i="7"/>
  <c r="M264" i="7"/>
  <c r="AU264" i="7" s="1"/>
  <c r="DV264" i="7"/>
  <c r="BX297" i="7"/>
  <c r="CS297" i="7" s="1"/>
  <c r="BY297" i="7"/>
  <c r="CT297" i="7" s="1"/>
  <c r="BW299" i="7"/>
  <c r="CR299" i="7" s="1"/>
  <c r="DN262" i="7"/>
  <c r="DK262" i="7"/>
  <c r="AH262" i="7"/>
  <c r="DJ262" i="7"/>
  <c r="DO262" i="7"/>
  <c r="AG262" i="7"/>
  <c r="DR262" i="7"/>
  <c r="AF262" i="7"/>
  <c r="AI262" i="7" s="1"/>
  <c r="DQ262" i="7"/>
  <c r="CM288" i="7"/>
  <c r="DH288" i="7" s="1"/>
  <c r="CC282" i="7"/>
  <c r="CX282" i="7" s="1"/>
  <c r="G256" i="7"/>
  <c r="B87" i="7"/>
  <c r="BV266" i="7"/>
  <c r="CQ266" i="7" s="1"/>
  <c r="CI267" i="7"/>
  <c r="DD267" i="7" s="1"/>
  <c r="DS266" i="7"/>
  <c r="P266" i="7" s="1"/>
  <c r="BT268" i="7"/>
  <c r="CO268" i="7" s="1"/>
  <c r="BO258" i="7"/>
  <c r="CA260" i="7"/>
  <c r="CV260" i="7" s="1"/>
  <c r="CG261" i="7"/>
  <c r="DB261" i="7" s="1"/>
  <c r="BZ262" i="7"/>
  <c r="CU262" i="7" s="1"/>
  <c r="CD264" i="7"/>
  <c r="CY264" i="7" s="1"/>
  <c r="BQ257" i="7"/>
  <c r="H257" i="7" s="1"/>
  <c r="DI258" i="7"/>
  <c r="BP258" i="7" s="1"/>
  <c r="CF266" i="7"/>
  <c r="DA266" i="7" s="1"/>
  <c r="BN260" i="7"/>
  <c r="CH261" i="7"/>
  <c r="DC261" i="7" s="1"/>
  <c r="BS265" i="7"/>
  <c r="CN265" i="7" s="1"/>
  <c r="AH263" i="7"/>
  <c r="AF263" i="7"/>
  <c r="AI263" i="7" s="1"/>
  <c r="BU276" i="7"/>
  <c r="CP276" i="7" s="1"/>
  <c r="CE269" i="7"/>
  <c r="CZ269" i="7" s="1"/>
  <c r="CJ300" i="7"/>
  <c r="DE300" i="7" s="1"/>
  <c r="CK267" i="7" l="1"/>
  <c r="DF267" i="7" s="1"/>
  <c r="AN266" i="7"/>
  <c r="EN262" i="7"/>
  <c r="EO268" i="7"/>
  <c r="AM269" i="7"/>
  <c r="AO261" i="7"/>
  <c r="CB269" i="7"/>
  <c r="CW269" i="7" s="1"/>
  <c r="F77" i="32"/>
  <c r="G77" i="32" s="1"/>
  <c r="P77" i="32" s="1"/>
  <c r="Q77" i="32" s="1"/>
  <c r="AP88" i="7"/>
  <c r="BG88" i="7" s="1"/>
  <c r="AQ88" i="7"/>
  <c r="BH88" i="7" s="1"/>
  <c r="AR88" i="7"/>
  <c r="BI88" i="7" s="1"/>
  <c r="DP263" i="7"/>
  <c r="DL263" i="7"/>
  <c r="CL265" i="7"/>
  <c r="DG265" i="7" s="1"/>
  <c r="EM264" i="7"/>
  <c r="DM263" i="7"/>
  <c r="DZ261" i="7"/>
  <c r="EA261" i="7"/>
  <c r="DX260" i="7"/>
  <c r="EB260" i="7"/>
  <c r="DW260" i="7"/>
  <c r="EF265" i="7"/>
  <c r="EC265" i="7"/>
  <c r="DN263" i="7"/>
  <c r="AX264" i="7"/>
  <c r="AT264" i="7"/>
  <c r="AW264" i="7"/>
  <c r="AK88" i="7"/>
  <c r="D88" i="7" s="1"/>
  <c r="AJ88" i="7"/>
  <c r="C88" i="7" s="1"/>
  <c r="AL88" i="7"/>
  <c r="E88" i="7" s="1"/>
  <c r="AV264" i="7"/>
  <c r="BB264" i="7"/>
  <c r="BC264" i="7"/>
  <c r="BA264" i="7"/>
  <c r="AY264" i="7"/>
  <c r="M265" i="7"/>
  <c r="AV265" i="7" s="1"/>
  <c r="DV265" i="7"/>
  <c r="AZ264" i="7"/>
  <c r="BY298" i="7"/>
  <c r="CT298" i="7" s="1"/>
  <c r="BX298" i="7"/>
  <c r="CS298" i="7" s="1"/>
  <c r="BW300" i="7"/>
  <c r="CR300" i="7" s="1"/>
  <c r="DO263" i="7"/>
  <c r="DJ263" i="7"/>
  <c r="BF262" i="7"/>
  <c r="DR263" i="7"/>
  <c r="BE262" i="7"/>
  <c r="BD262" i="7"/>
  <c r="DK263" i="7"/>
  <c r="AG263" i="7"/>
  <c r="DQ263" i="7"/>
  <c r="CM289" i="7"/>
  <c r="DH289" i="7" s="1"/>
  <c r="CC283" i="7"/>
  <c r="CX283" i="7" s="1"/>
  <c r="G257" i="7"/>
  <c r="DS267" i="7"/>
  <c r="P267" i="7" s="1"/>
  <c r="CI268" i="7"/>
  <c r="DD268" i="7" s="1"/>
  <c r="BT269" i="7"/>
  <c r="CO269" i="7" s="1"/>
  <c r="BV267" i="7"/>
  <c r="CQ267" i="7" s="1"/>
  <c r="CA261" i="7"/>
  <c r="CV261" i="7" s="1"/>
  <c r="BO259" i="7"/>
  <c r="CG262" i="7"/>
  <c r="DB262" i="7" s="1"/>
  <c r="BZ263" i="7"/>
  <c r="CU263" i="7" s="1"/>
  <c r="CD265" i="7"/>
  <c r="CY265" i="7" s="1"/>
  <c r="CF267" i="7"/>
  <c r="DA267" i="7" s="1"/>
  <c r="BN261" i="7"/>
  <c r="CH262" i="7"/>
  <c r="DC262" i="7" s="1"/>
  <c r="BQ258" i="7"/>
  <c r="H258" i="7" s="1"/>
  <c r="DI259" i="7"/>
  <c r="BP259" i="7" s="1"/>
  <c r="BS266" i="7"/>
  <c r="CN266" i="7" s="1"/>
  <c r="BU277" i="7"/>
  <c r="CP277" i="7" s="1"/>
  <c r="CE270" i="7"/>
  <c r="CZ270" i="7" s="1"/>
  <c r="CJ301" i="7"/>
  <c r="DE301" i="7" s="1"/>
  <c r="AM270" i="7" l="1"/>
  <c r="EN263" i="7"/>
  <c r="AO262" i="7"/>
  <c r="EO269" i="7"/>
  <c r="AN267" i="7"/>
  <c r="CK268" i="7"/>
  <c r="DF268" i="7" s="1"/>
  <c r="CB270" i="7"/>
  <c r="CW270" i="7" s="1"/>
  <c r="CL266" i="7"/>
  <c r="DG266" i="7" s="1"/>
  <c r="EM265" i="7"/>
  <c r="EB261" i="7"/>
  <c r="DX261" i="7"/>
  <c r="DW261" i="7"/>
  <c r="EF266" i="7"/>
  <c r="EC266" i="7"/>
  <c r="DZ262" i="7"/>
  <c r="EA262" i="7"/>
  <c r="BC265" i="7"/>
  <c r="BB265" i="7"/>
  <c r="BA265" i="7"/>
  <c r="AY265" i="7"/>
  <c r="AW265" i="7"/>
  <c r="AU265" i="7"/>
  <c r="AZ265" i="7"/>
  <c r="AX265" i="7"/>
  <c r="AT265" i="7"/>
  <c r="DO264" i="7"/>
  <c r="M266" i="7"/>
  <c r="AX266" i="7" s="1"/>
  <c r="DV266" i="7"/>
  <c r="BX299" i="7"/>
  <c r="CS299" i="7" s="1"/>
  <c r="BY299" i="7"/>
  <c r="CT299" i="7" s="1"/>
  <c r="BW301" i="7"/>
  <c r="CR301" i="7" s="1"/>
  <c r="BF263" i="7"/>
  <c r="BE263" i="7"/>
  <c r="BD263" i="7"/>
  <c r="AF264" i="7"/>
  <c r="AI264" i="7" s="1"/>
  <c r="DM264" i="7"/>
  <c r="DL264" i="7"/>
  <c r="DJ264" i="7"/>
  <c r="DQ264" i="7"/>
  <c r="DK264" i="7"/>
  <c r="DK265" i="7" s="1"/>
  <c r="DP264" i="7"/>
  <c r="AH264" i="7"/>
  <c r="AG264" i="7"/>
  <c r="DR264" i="7"/>
  <c r="DN264" i="7"/>
  <c r="CM290" i="7"/>
  <c r="DH290" i="7" s="1"/>
  <c r="CC284" i="7"/>
  <c r="CX284" i="7" s="1"/>
  <c r="G258" i="7"/>
  <c r="BL88" i="7"/>
  <c r="BK88" i="7"/>
  <c r="F88" i="7"/>
  <c r="BJ88" i="7"/>
  <c r="BT270" i="7"/>
  <c r="CO270" i="7" s="1"/>
  <c r="CI269" i="7"/>
  <c r="DD269" i="7" s="1"/>
  <c r="DS268" i="7"/>
  <c r="P268" i="7" s="1"/>
  <c r="BV268" i="7"/>
  <c r="CQ268" i="7" s="1"/>
  <c r="BO260" i="7"/>
  <c r="CA262" i="7"/>
  <c r="CV262" i="7" s="1"/>
  <c r="CG263" i="7"/>
  <c r="DB263" i="7" s="1"/>
  <c r="BZ264" i="7"/>
  <c r="CU264" i="7" s="1"/>
  <c r="CD266" i="7"/>
  <c r="CY266" i="7" s="1"/>
  <c r="BN262" i="7"/>
  <c r="CH263" i="7"/>
  <c r="DC263" i="7" s="1"/>
  <c r="CF268" i="7"/>
  <c r="DA268" i="7" s="1"/>
  <c r="DI260" i="7"/>
  <c r="BP260" i="7" s="1"/>
  <c r="BQ259" i="7"/>
  <c r="H259" i="7" s="1"/>
  <c r="AF265" i="7"/>
  <c r="AI265" i="7" s="1"/>
  <c r="AH265" i="7"/>
  <c r="AG265" i="7"/>
  <c r="BS267" i="7"/>
  <c r="CN267" i="7" s="1"/>
  <c r="BU278" i="7"/>
  <c r="CP278" i="7" s="1"/>
  <c r="CE271" i="7"/>
  <c r="CZ271" i="7" s="1"/>
  <c r="CJ302" i="7"/>
  <c r="DE302" i="7" s="1"/>
  <c r="EO270" i="7" l="1"/>
  <c r="CK269" i="7"/>
  <c r="DF269" i="7" s="1"/>
  <c r="AM271" i="7"/>
  <c r="AN268" i="7"/>
  <c r="EN264" i="7"/>
  <c r="AO263" i="7"/>
  <c r="CB271" i="7"/>
  <c r="CW271" i="7" s="1"/>
  <c r="CL267" i="7"/>
  <c r="DG267" i="7" s="1"/>
  <c r="EM266" i="7"/>
  <c r="DL265" i="7"/>
  <c r="DO265" i="7"/>
  <c r="DQ265" i="7"/>
  <c r="DR265" i="7"/>
  <c r="EA263" i="7"/>
  <c r="DZ263" i="7"/>
  <c r="EB262" i="7"/>
  <c r="DW262" i="7"/>
  <c r="DX262" i="7"/>
  <c r="EC267" i="7"/>
  <c r="EF267" i="7"/>
  <c r="DM265" i="7"/>
  <c r="DM266" i="7" s="1"/>
  <c r="AV266" i="7"/>
  <c r="DK266" i="7" s="1"/>
  <c r="AU266" i="7"/>
  <c r="BA266" i="7"/>
  <c r="AY266" i="7"/>
  <c r="AT266" i="7"/>
  <c r="AZ266" i="7"/>
  <c r="BB266" i="7"/>
  <c r="DQ266" i="7" s="1"/>
  <c r="M267" i="7"/>
  <c r="BA267" i="7" s="1"/>
  <c r="DV267" i="7"/>
  <c r="AW266" i="7"/>
  <c r="BC266" i="7"/>
  <c r="BY300" i="7"/>
  <c r="CT300" i="7" s="1"/>
  <c r="BX300" i="7"/>
  <c r="CS300" i="7" s="1"/>
  <c r="BW302" i="7"/>
  <c r="CR302" i="7" s="1"/>
  <c r="BE264" i="7"/>
  <c r="DJ265" i="7"/>
  <c r="BD264" i="7"/>
  <c r="DP265" i="7"/>
  <c r="DN265" i="7"/>
  <c r="BF264" i="7"/>
  <c r="CM291" i="7"/>
  <c r="DH291" i="7" s="1"/>
  <c r="CC285" i="7"/>
  <c r="CX285" i="7" s="1"/>
  <c r="G259" i="7"/>
  <c r="BM88" i="7"/>
  <c r="DS269" i="7"/>
  <c r="P269" i="7" s="1"/>
  <c r="CI270" i="7"/>
  <c r="DD270" i="7" s="1"/>
  <c r="BV269" i="7"/>
  <c r="CQ269" i="7" s="1"/>
  <c r="BT271" i="7"/>
  <c r="CO271" i="7" s="1"/>
  <c r="BO261" i="7"/>
  <c r="CA263" i="7"/>
  <c r="CV263" i="7" s="1"/>
  <c r="CG264" i="7"/>
  <c r="DB264" i="7" s="1"/>
  <c r="BZ265" i="7"/>
  <c r="CU265" i="7" s="1"/>
  <c r="CD267" i="7"/>
  <c r="CY267" i="7" s="1"/>
  <c r="DI261" i="7"/>
  <c r="BP261" i="7" s="1"/>
  <c r="BQ260" i="7"/>
  <c r="H260" i="7" s="1"/>
  <c r="CH264" i="7"/>
  <c r="DC264" i="7" s="1"/>
  <c r="BN263" i="7"/>
  <c r="CF269" i="7"/>
  <c r="DA269" i="7" s="1"/>
  <c r="AG266" i="7"/>
  <c r="AF266" i="7"/>
  <c r="AI266" i="7" s="1"/>
  <c r="AH266" i="7"/>
  <c r="BS268" i="7"/>
  <c r="CN268" i="7" s="1"/>
  <c r="BU279" i="7"/>
  <c r="CP279" i="7" s="1"/>
  <c r="CE272" i="7"/>
  <c r="CZ272" i="7" s="1"/>
  <c r="CJ303" i="7"/>
  <c r="DE303" i="7" s="1"/>
  <c r="EN265" i="7" l="1"/>
  <c r="EO271" i="7"/>
  <c r="CK270" i="7"/>
  <c r="DF270" i="7" s="1"/>
  <c r="AO264" i="7"/>
  <c r="AM272" i="7"/>
  <c r="AN269" i="7"/>
  <c r="CB272" i="7"/>
  <c r="CW272" i="7" s="1"/>
  <c r="DJ266" i="7"/>
  <c r="CL268" i="7"/>
  <c r="DG268" i="7" s="1"/>
  <c r="EM267" i="7"/>
  <c r="DO266" i="7"/>
  <c r="DL266" i="7"/>
  <c r="DR266" i="7"/>
  <c r="EF268" i="7"/>
  <c r="EC268" i="7"/>
  <c r="EA264" i="7"/>
  <c r="DZ264" i="7"/>
  <c r="EB263" i="7"/>
  <c r="DX263" i="7"/>
  <c r="DW263" i="7"/>
  <c r="N89" i="7"/>
  <c r="D78" i="32"/>
  <c r="DN266" i="7"/>
  <c r="AY267" i="7"/>
  <c r="AW267" i="7"/>
  <c r="M268" i="7"/>
  <c r="AU268" i="7" s="1"/>
  <c r="DV268" i="7"/>
  <c r="BC267" i="7"/>
  <c r="BB267" i="7"/>
  <c r="AZ267" i="7"/>
  <c r="AU267" i="7"/>
  <c r="AX267" i="7"/>
  <c r="AV267" i="7"/>
  <c r="AT267" i="7"/>
  <c r="BX301" i="7"/>
  <c r="CS301" i="7" s="1"/>
  <c r="BY301" i="7"/>
  <c r="CT301" i="7" s="1"/>
  <c r="BW303" i="7"/>
  <c r="CR303" i="7" s="1"/>
  <c r="BE265" i="7"/>
  <c r="DP266" i="7"/>
  <c r="BD265" i="7"/>
  <c r="BF265" i="7"/>
  <c r="CM292" i="7"/>
  <c r="DH292" i="7" s="1"/>
  <c r="CC286" i="7"/>
  <c r="CX286" i="7" s="1"/>
  <c r="G260" i="7"/>
  <c r="B88" i="7"/>
  <c r="BV270" i="7"/>
  <c r="CQ270" i="7" s="1"/>
  <c r="CI271" i="7"/>
  <c r="DD271" i="7" s="1"/>
  <c r="DS270" i="7"/>
  <c r="P270" i="7" s="1"/>
  <c r="BT272" i="7"/>
  <c r="CO272" i="7" s="1"/>
  <c r="CA264" i="7"/>
  <c r="CV264" i="7" s="1"/>
  <c r="BO262" i="7"/>
  <c r="CG265" i="7"/>
  <c r="DB265" i="7" s="1"/>
  <c r="BZ266" i="7"/>
  <c r="CU266" i="7" s="1"/>
  <c r="CD268" i="7"/>
  <c r="CY268" i="7" s="1"/>
  <c r="CF270" i="7"/>
  <c r="DA270" i="7" s="1"/>
  <c r="CH265" i="7"/>
  <c r="DC265" i="7" s="1"/>
  <c r="BN264" i="7"/>
  <c r="BQ261" i="7"/>
  <c r="H261" i="7" s="1"/>
  <c r="DI262" i="7"/>
  <c r="BP262" i="7" s="1"/>
  <c r="BS269" i="7"/>
  <c r="CN269" i="7" s="1"/>
  <c r="BE266" i="7"/>
  <c r="BF266" i="7"/>
  <c r="BD266" i="7"/>
  <c r="BU280" i="7"/>
  <c r="CP280" i="7" s="1"/>
  <c r="CE273" i="7"/>
  <c r="CZ273" i="7" s="1"/>
  <c r="CJ304" i="7"/>
  <c r="DE304" i="7" s="1"/>
  <c r="AM273" i="7" l="1"/>
  <c r="EN266" i="7"/>
  <c r="EO272" i="7"/>
  <c r="AO265" i="7"/>
  <c r="AN270" i="7"/>
  <c r="CK271" i="7"/>
  <c r="DF271" i="7" s="1"/>
  <c r="CB273" i="7"/>
  <c r="CW273" i="7" s="1"/>
  <c r="F78" i="32"/>
  <c r="G78" i="32" s="1"/>
  <c r="P78" i="32" s="1"/>
  <c r="Q78" i="32" s="1"/>
  <c r="AQ89" i="7"/>
  <c r="BH89" i="7" s="1"/>
  <c r="AR89" i="7"/>
  <c r="BI89" i="7" s="1"/>
  <c r="AP89" i="7"/>
  <c r="BG89" i="7" s="1"/>
  <c r="CL269" i="7"/>
  <c r="DG269" i="7" s="1"/>
  <c r="EM268" i="7"/>
  <c r="EF269" i="7"/>
  <c r="EC269" i="7"/>
  <c r="EA265" i="7"/>
  <c r="DZ265" i="7"/>
  <c r="EB264" i="7"/>
  <c r="DX264" i="7"/>
  <c r="DW264" i="7"/>
  <c r="AL89" i="7"/>
  <c r="E89" i="7" s="1"/>
  <c r="AK89" i="7"/>
  <c r="D89" i="7" s="1"/>
  <c r="AJ89" i="7"/>
  <c r="C89" i="7" s="1"/>
  <c r="DO267" i="7"/>
  <c r="AV268" i="7"/>
  <c r="BB268" i="7"/>
  <c r="BA268" i="7"/>
  <c r="BC268" i="7"/>
  <c r="AX268" i="7"/>
  <c r="AZ268" i="7"/>
  <c r="AY268" i="7"/>
  <c r="AT268" i="7"/>
  <c r="AW268" i="7"/>
  <c r="M269" i="7"/>
  <c r="AZ269" i="7" s="1"/>
  <c r="DV269" i="7"/>
  <c r="BY302" i="7"/>
  <c r="CT302" i="7" s="1"/>
  <c r="BX302" i="7"/>
  <c r="CS302" i="7" s="1"/>
  <c r="BW304" i="7"/>
  <c r="CR304" i="7" s="1"/>
  <c r="DR267" i="7"/>
  <c r="DQ267" i="7"/>
  <c r="AF267" i="7"/>
  <c r="AI267" i="7" s="1"/>
  <c r="DL267" i="7"/>
  <c r="DN267" i="7"/>
  <c r="DM267" i="7"/>
  <c r="AG267" i="7"/>
  <c r="DK267" i="7"/>
  <c r="DP267" i="7"/>
  <c r="AH267" i="7"/>
  <c r="DJ267" i="7"/>
  <c r="CM293" i="7"/>
  <c r="DH293" i="7" s="1"/>
  <c r="CC287" i="7"/>
  <c r="CX287" i="7" s="1"/>
  <c r="G261" i="7"/>
  <c r="DS271" i="7"/>
  <c r="P271" i="7" s="1"/>
  <c r="CI272" i="7"/>
  <c r="DD272" i="7" s="1"/>
  <c r="BT273" i="7"/>
  <c r="CO273" i="7" s="1"/>
  <c r="BV271" i="7"/>
  <c r="CQ271" i="7" s="1"/>
  <c r="BO263" i="7"/>
  <c r="CA265" i="7"/>
  <c r="CV265" i="7" s="1"/>
  <c r="CG266" i="7"/>
  <c r="DB266" i="7" s="1"/>
  <c r="BZ267" i="7"/>
  <c r="CU267" i="7" s="1"/>
  <c r="CD269" i="7"/>
  <c r="CY269" i="7" s="1"/>
  <c r="DI263" i="7"/>
  <c r="BP263" i="7" s="1"/>
  <c r="BQ262" i="7"/>
  <c r="H262" i="7" s="1"/>
  <c r="CF271" i="7"/>
  <c r="DA271" i="7" s="1"/>
  <c r="CH266" i="7"/>
  <c r="DC266" i="7" s="1"/>
  <c r="BN265" i="7"/>
  <c r="BS270" i="7"/>
  <c r="CN270" i="7" s="1"/>
  <c r="AF268" i="7"/>
  <c r="AI268" i="7" s="1"/>
  <c r="AG268" i="7"/>
  <c r="BU281" i="7"/>
  <c r="CP281" i="7" s="1"/>
  <c r="CE274" i="7"/>
  <c r="CZ274" i="7" s="1"/>
  <c r="CJ305" i="7"/>
  <c r="DE305" i="7" s="1"/>
  <c r="CK272" i="7" l="1"/>
  <c r="DF272" i="7" s="1"/>
  <c r="EN267" i="7"/>
  <c r="AN271" i="7"/>
  <c r="AM274" i="7"/>
  <c r="AO266" i="7"/>
  <c r="EO273" i="7"/>
  <c r="CB274" i="7"/>
  <c r="CW274" i="7" s="1"/>
  <c r="CL270" i="7"/>
  <c r="DG270" i="7" s="1"/>
  <c r="EM269" i="7"/>
  <c r="EF270" i="7"/>
  <c r="EC270" i="7"/>
  <c r="DZ266" i="7"/>
  <c r="EA266" i="7"/>
  <c r="EB265" i="7"/>
  <c r="DX265" i="7"/>
  <c r="DW265" i="7"/>
  <c r="DL268" i="7"/>
  <c r="AU269" i="7"/>
  <c r="AW269" i="7"/>
  <c r="DR268" i="7"/>
  <c r="AX269" i="7"/>
  <c r="AV269" i="7"/>
  <c r="DO268" i="7"/>
  <c r="AT269" i="7"/>
  <c r="BC269" i="7"/>
  <c r="BA269" i="7"/>
  <c r="M270" i="7"/>
  <c r="AU270" i="7" s="1"/>
  <c r="DV270" i="7"/>
  <c r="AY269" i="7"/>
  <c r="BB269" i="7"/>
  <c r="BX303" i="7"/>
  <c r="CS303" i="7" s="1"/>
  <c r="BY303" i="7"/>
  <c r="CT303" i="7" s="1"/>
  <c r="BW305" i="7"/>
  <c r="CR305" i="7" s="1"/>
  <c r="DM268" i="7"/>
  <c r="BE267" i="7"/>
  <c r="BF267" i="7"/>
  <c r="BD267" i="7"/>
  <c r="DQ268" i="7"/>
  <c r="DP268" i="7"/>
  <c r="DN268" i="7"/>
  <c r="DK268" i="7"/>
  <c r="AH268" i="7"/>
  <c r="DJ268" i="7"/>
  <c r="CM294" i="7"/>
  <c r="DH294" i="7" s="1"/>
  <c r="CC288" i="7"/>
  <c r="CX288" i="7" s="1"/>
  <c r="G262" i="7"/>
  <c r="BL89" i="7"/>
  <c r="BJ89" i="7"/>
  <c r="F89" i="7"/>
  <c r="BK89" i="7"/>
  <c r="BV272" i="7"/>
  <c r="CQ272" i="7" s="1"/>
  <c r="CI273" i="7"/>
  <c r="DD273" i="7" s="1"/>
  <c r="DS272" i="7"/>
  <c r="P272" i="7" s="1"/>
  <c r="BT274" i="7"/>
  <c r="CO274" i="7" s="1"/>
  <c r="CA266" i="7"/>
  <c r="CV266" i="7" s="1"/>
  <c r="BO264" i="7"/>
  <c r="CG267" i="7"/>
  <c r="DB267" i="7" s="1"/>
  <c r="BZ268" i="7"/>
  <c r="CU268" i="7" s="1"/>
  <c r="CD270" i="7"/>
  <c r="CY270" i="7" s="1"/>
  <c r="CF272" i="7"/>
  <c r="DA272" i="7" s="1"/>
  <c r="CH267" i="7"/>
  <c r="DC267" i="7" s="1"/>
  <c r="BN266" i="7"/>
  <c r="DI264" i="7"/>
  <c r="BP264" i="7" s="1"/>
  <c r="BQ263" i="7"/>
  <c r="H263" i="7" s="1"/>
  <c r="BS271" i="7"/>
  <c r="CN271" i="7" s="1"/>
  <c r="BU282" i="7"/>
  <c r="CP282" i="7" s="1"/>
  <c r="CE275" i="7"/>
  <c r="CZ275" i="7" s="1"/>
  <c r="CJ306" i="7"/>
  <c r="DE306" i="7" s="1"/>
  <c r="AO267" i="7" l="1"/>
  <c r="EO274" i="7"/>
  <c r="AN272" i="7"/>
  <c r="EN268" i="7"/>
  <c r="AM275" i="7"/>
  <c r="CK273" i="7"/>
  <c r="DF273" i="7" s="1"/>
  <c r="CB275" i="7"/>
  <c r="CW275" i="7" s="1"/>
  <c r="CL271" i="7"/>
  <c r="DG271" i="7" s="1"/>
  <c r="EM270" i="7"/>
  <c r="DO269" i="7"/>
  <c r="EC271" i="7"/>
  <c r="EF271" i="7"/>
  <c r="DZ267" i="7"/>
  <c r="EA267" i="7"/>
  <c r="DW266" i="7"/>
  <c r="EB266" i="7"/>
  <c r="DX266" i="7"/>
  <c r="DM269" i="7"/>
  <c r="DR269" i="7"/>
  <c r="AY270" i="7"/>
  <c r="AW270" i="7"/>
  <c r="AV270" i="7"/>
  <c r="BB270" i="7"/>
  <c r="AZ270" i="7"/>
  <c r="AX270" i="7"/>
  <c r="BC270" i="7"/>
  <c r="AT270" i="7"/>
  <c r="BA270" i="7"/>
  <c r="M271" i="7"/>
  <c r="AZ271" i="7" s="1"/>
  <c r="DV271" i="7"/>
  <c r="BY304" i="7"/>
  <c r="CT304" i="7" s="1"/>
  <c r="BX304" i="7"/>
  <c r="CS304" i="7" s="1"/>
  <c r="BW306" i="7"/>
  <c r="CR306" i="7" s="1"/>
  <c r="DN269" i="7"/>
  <c r="BF268" i="7"/>
  <c r="DQ269" i="7"/>
  <c r="DJ269" i="7"/>
  <c r="DL269" i="7"/>
  <c r="AF269" i="7"/>
  <c r="AI269" i="7" s="1"/>
  <c r="AG269" i="7"/>
  <c r="BD268" i="7"/>
  <c r="DK269" i="7"/>
  <c r="DP269" i="7"/>
  <c r="BE268" i="7"/>
  <c r="AH269" i="7"/>
  <c r="CM295" i="7"/>
  <c r="DH295" i="7" s="1"/>
  <c r="CC289" i="7"/>
  <c r="CX289" i="7" s="1"/>
  <c r="G263" i="7"/>
  <c r="BM89" i="7"/>
  <c r="CI274" i="7"/>
  <c r="DD274" i="7" s="1"/>
  <c r="DS273" i="7"/>
  <c r="P273" i="7" s="1"/>
  <c r="BT275" i="7"/>
  <c r="CO275" i="7" s="1"/>
  <c r="BV273" i="7"/>
  <c r="CQ273" i="7" s="1"/>
  <c r="BO265" i="7"/>
  <c r="CA267" i="7"/>
  <c r="CV267" i="7" s="1"/>
  <c r="CG268" i="7"/>
  <c r="DB268" i="7" s="1"/>
  <c r="BZ269" i="7"/>
  <c r="CU269" i="7" s="1"/>
  <c r="CD271" i="7"/>
  <c r="CY271" i="7" s="1"/>
  <c r="CF273" i="7"/>
  <c r="DA273" i="7" s="1"/>
  <c r="BN267" i="7"/>
  <c r="CH268" i="7"/>
  <c r="DC268" i="7" s="1"/>
  <c r="BQ264" i="7"/>
  <c r="H264" i="7" s="1"/>
  <c r="DI265" i="7"/>
  <c r="BP265" i="7" s="1"/>
  <c r="BS272" i="7"/>
  <c r="CN272" i="7" s="1"/>
  <c r="AF270" i="7"/>
  <c r="AI270" i="7" s="1"/>
  <c r="BU283" i="7"/>
  <c r="CP283" i="7" s="1"/>
  <c r="CE276" i="7"/>
  <c r="CZ276" i="7" s="1"/>
  <c r="CJ307" i="7"/>
  <c r="DE307" i="7" s="1"/>
  <c r="EN269" i="7" l="1"/>
  <c r="CK274" i="7"/>
  <c r="DF274" i="7" s="1"/>
  <c r="AO268" i="7"/>
  <c r="EO275" i="7"/>
  <c r="AM276" i="7"/>
  <c r="AN273" i="7"/>
  <c r="CB276" i="7"/>
  <c r="CW276" i="7" s="1"/>
  <c r="CL272" i="7"/>
  <c r="DG272" i="7" s="1"/>
  <c r="EM271" i="7"/>
  <c r="EB267" i="7"/>
  <c r="DX267" i="7"/>
  <c r="DW267" i="7"/>
  <c r="EF272" i="7"/>
  <c r="EC272" i="7"/>
  <c r="DZ268" i="7"/>
  <c r="EA268" i="7"/>
  <c r="N90" i="7"/>
  <c r="D79" i="32"/>
  <c r="AY271" i="7"/>
  <c r="AW271" i="7"/>
  <c r="AU271" i="7"/>
  <c r="AX271" i="7"/>
  <c r="BC271" i="7"/>
  <c r="AT271" i="7"/>
  <c r="AV271" i="7"/>
  <c r="DO270" i="7"/>
  <c r="BB271" i="7"/>
  <c r="BA271" i="7"/>
  <c r="M272" i="7"/>
  <c r="AX272" i="7" s="1"/>
  <c r="DV272" i="7"/>
  <c r="BX305" i="7"/>
  <c r="CS305" i="7" s="1"/>
  <c r="BY305" i="7"/>
  <c r="CT305" i="7" s="1"/>
  <c r="BW307" i="7"/>
  <c r="CR307" i="7" s="1"/>
  <c r="BF269" i="7"/>
  <c r="AG270" i="7"/>
  <c r="DM270" i="7"/>
  <c r="DL270" i="7"/>
  <c r="DN270" i="7"/>
  <c r="DK270" i="7"/>
  <c r="AH270" i="7"/>
  <c r="BD269" i="7"/>
  <c r="DR270" i="7"/>
  <c r="DQ270" i="7"/>
  <c r="DP270" i="7"/>
  <c r="DJ270" i="7"/>
  <c r="BE269" i="7"/>
  <c r="CM296" i="7"/>
  <c r="DH296" i="7" s="1"/>
  <c r="CC290" i="7"/>
  <c r="CX290" i="7" s="1"/>
  <c r="G264" i="7"/>
  <c r="B89" i="7"/>
  <c r="BT276" i="7"/>
  <c r="CO276" i="7" s="1"/>
  <c r="BV274" i="7"/>
  <c r="CQ274" i="7" s="1"/>
  <c r="CI275" i="7"/>
  <c r="DD275" i="7" s="1"/>
  <c r="DS274" i="7"/>
  <c r="P274" i="7" s="1"/>
  <c r="CA268" i="7"/>
  <c r="CV268" i="7" s="1"/>
  <c r="BO266" i="7"/>
  <c r="CG269" i="7"/>
  <c r="DB269" i="7" s="1"/>
  <c r="BZ270" i="7"/>
  <c r="CU270" i="7" s="1"/>
  <c r="CD272" i="7"/>
  <c r="CY272" i="7" s="1"/>
  <c r="DI266" i="7"/>
  <c r="BP266" i="7" s="1"/>
  <c r="BQ265" i="7"/>
  <c r="H265" i="7" s="1"/>
  <c r="CH269" i="7"/>
  <c r="DC269" i="7" s="1"/>
  <c r="BN268" i="7"/>
  <c r="CF274" i="7"/>
  <c r="DA274" i="7" s="1"/>
  <c r="BS273" i="7"/>
  <c r="CN273" i="7" s="1"/>
  <c r="BU284" i="7"/>
  <c r="CP284" i="7" s="1"/>
  <c r="CE277" i="7"/>
  <c r="CZ277" i="7" s="1"/>
  <c r="CJ308" i="7"/>
  <c r="DE308" i="7" s="1"/>
  <c r="AO269" i="7" l="1"/>
  <c r="CK275" i="7"/>
  <c r="DF275" i="7" s="1"/>
  <c r="EN270" i="7"/>
  <c r="AN274" i="7"/>
  <c r="AM277" i="7"/>
  <c r="EO276" i="7"/>
  <c r="CB277" i="7"/>
  <c r="CW277" i="7" s="1"/>
  <c r="F79" i="32"/>
  <c r="G79" i="32" s="1"/>
  <c r="P79" i="32" s="1"/>
  <c r="Q79" i="32" s="1"/>
  <c r="AR90" i="7"/>
  <c r="BI90" i="7" s="1"/>
  <c r="AP90" i="7"/>
  <c r="BG90" i="7" s="1"/>
  <c r="AQ90" i="7"/>
  <c r="BH90" i="7" s="1"/>
  <c r="CL273" i="7"/>
  <c r="DG273" i="7" s="1"/>
  <c r="EM272" i="7"/>
  <c r="AJ90" i="7"/>
  <c r="C90" i="7" s="1"/>
  <c r="DZ269" i="7"/>
  <c r="EA269" i="7"/>
  <c r="EF273" i="7"/>
  <c r="EC273" i="7"/>
  <c r="EB268" i="7"/>
  <c r="DW268" i="7"/>
  <c r="DX268" i="7"/>
  <c r="AL90" i="7"/>
  <c r="E90" i="7" s="1"/>
  <c r="AK90" i="7"/>
  <c r="D90" i="7" s="1"/>
  <c r="AV272" i="7"/>
  <c r="DO271" i="7"/>
  <c r="BB272" i="7"/>
  <c r="AT272" i="7"/>
  <c r="AZ272" i="7"/>
  <c r="AY272" i="7"/>
  <c r="AW272" i="7"/>
  <c r="AU272" i="7"/>
  <c r="BA272" i="7"/>
  <c r="BC272" i="7"/>
  <c r="M273" i="7"/>
  <c r="AW273" i="7" s="1"/>
  <c r="DV273" i="7"/>
  <c r="BY306" i="7"/>
  <c r="CT306" i="7" s="1"/>
  <c r="BX306" i="7"/>
  <c r="CS306" i="7" s="1"/>
  <c r="BW308" i="7"/>
  <c r="CR308" i="7" s="1"/>
  <c r="DJ271" i="7"/>
  <c r="AH271" i="7"/>
  <c r="DP271" i="7"/>
  <c r="DM271" i="7"/>
  <c r="BD270" i="7"/>
  <c r="DL271" i="7"/>
  <c r="AF271" i="7"/>
  <c r="AI271" i="7" s="1"/>
  <c r="BF270" i="7"/>
  <c r="DK271" i="7"/>
  <c r="DQ271" i="7"/>
  <c r="DN271" i="7"/>
  <c r="AG271" i="7"/>
  <c r="DR271" i="7"/>
  <c r="BE270" i="7"/>
  <c r="CM297" i="7"/>
  <c r="DH297" i="7" s="1"/>
  <c r="CC291" i="7"/>
  <c r="CX291" i="7" s="1"/>
  <c r="G265" i="7"/>
  <c r="BV275" i="7"/>
  <c r="CQ275" i="7" s="1"/>
  <c r="CI276" i="7"/>
  <c r="DD276" i="7" s="1"/>
  <c r="DS275" i="7"/>
  <c r="P275" i="7" s="1"/>
  <c r="BT277" i="7"/>
  <c r="CO277" i="7" s="1"/>
  <c r="BO267" i="7"/>
  <c r="CA269" i="7"/>
  <c r="CV269" i="7" s="1"/>
  <c r="CG270" i="7"/>
  <c r="DB270" i="7" s="1"/>
  <c r="BZ271" i="7"/>
  <c r="CU271" i="7" s="1"/>
  <c r="CD273" i="7"/>
  <c r="CY273" i="7" s="1"/>
  <c r="CF275" i="7"/>
  <c r="DA275" i="7" s="1"/>
  <c r="CH270" i="7"/>
  <c r="DC270" i="7" s="1"/>
  <c r="BN269" i="7"/>
  <c r="DI267" i="7"/>
  <c r="BP267" i="7" s="1"/>
  <c r="BQ266" i="7"/>
  <c r="H266" i="7" s="1"/>
  <c r="BS274" i="7"/>
  <c r="CN274" i="7" s="1"/>
  <c r="BU285" i="7"/>
  <c r="CP285" i="7" s="1"/>
  <c r="CE278" i="7"/>
  <c r="CZ278" i="7" s="1"/>
  <c r="CJ309" i="7"/>
  <c r="DE309" i="7" s="1"/>
  <c r="AN275" i="7" l="1"/>
  <c r="AM278" i="7"/>
  <c r="CK276" i="7"/>
  <c r="DF276" i="7" s="1"/>
  <c r="EN271" i="7"/>
  <c r="EO277" i="7"/>
  <c r="AO270" i="7"/>
  <c r="CB278" i="7"/>
  <c r="CW278" i="7" s="1"/>
  <c r="CL274" i="7"/>
  <c r="DG274" i="7" s="1"/>
  <c r="EM273" i="7"/>
  <c r="EF274" i="7"/>
  <c r="EC274" i="7"/>
  <c r="DZ270" i="7"/>
  <c r="EA270" i="7"/>
  <c r="EB269" i="7"/>
  <c r="DX269" i="7"/>
  <c r="DW269" i="7"/>
  <c r="BB273" i="7"/>
  <c r="AT273" i="7"/>
  <c r="AY273" i="7"/>
  <c r="AZ273" i="7"/>
  <c r="DO272" i="7"/>
  <c r="AX273" i="7"/>
  <c r="AV273" i="7"/>
  <c r="BC273" i="7"/>
  <c r="BA273" i="7"/>
  <c r="M274" i="7"/>
  <c r="AU274" i="7" s="1"/>
  <c r="DV274" i="7"/>
  <c r="AU273" i="7"/>
  <c r="BX307" i="7"/>
  <c r="CS307" i="7" s="1"/>
  <c r="BY307" i="7"/>
  <c r="CT307" i="7" s="1"/>
  <c r="BW309" i="7"/>
  <c r="CR309" i="7" s="1"/>
  <c r="BF271" i="7"/>
  <c r="DM272" i="7"/>
  <c r="AH272" i="7"/>
  <c r="AF272" i="7"/>
  <c r="AI272" i="7" s="1"/>
  <c r="DL272" i="7"/>
  <c r="BE271" i="7"/>
  <c r="DN272" i="7"/>
  <c r="DQ272" i="7"/>
  <c r="DP272" i="7"/>
  <c r="DK272" i="7"/>
  <c r="AG272" i="7"/>
  <c r="DR272" i="7"/>
  <c r="BD271" i="7"/>
  <c r="DJ272" i="7"/>
  <c r="CM298" i="7"/>
  <c r="DH298" i="7" s="1"/>
  <c r="CC292" i="7"/>
  <c r="CX292" i="7" s="1"/>
  <c r="G266" i="7"/>
  <c r="BJ90" i="7"/>
  <c r="F90" i="7"/>
  <c r="BL90" i="7"/>
  <c r="BK90" i="7"/>
  <c r="CI277" i="7"/>
  <c r="DD277" i="7" s="1"/>
  <c r="DS276" i="7"/>
  <c r="P276" i="7" s="1"/>
  <c r="BT278" i="7"/>
  <c r="CO278" i="7" s="1"/>
  <c r="BV276" i="7"/>
  <c r="CQ276" i="7" s="1"/>
  <c r="BO268" i="7"/>
  <c r="CA270" i="7"/>
  <c r="CV270" i="7" s="1"/>
  <c r="CG271" i="7"/>
  <c r="DB271" i="7" s="1"/>
  <c r="BZ272" i="7"/>
  <c r="CU272" i="7" s="1"/>
  <c r="CD274" i="7"/>
  <c r="CY274" i="7" s="1"/>
  <c r="CF276" i="7"/>
  <c r="DA276" i="7" s="1"/>
  <c r="CH271" i="7"/>
  <c r="DC271" i="7" s="1"/>
  <c r="BN270" i="7"/>
  <c r="BQ267" i="7"/>
  <c r="H267" i="7" s="1"/>
  <c r="DI268" i="7"/>
  <c r="BP268" i="7" s="1"/>
  <c r="BS275" i="7"/>
  <c r="CN275" i="7" s="1"/>
  <c r="BU286" i="7"/>
  <c r="CP286" i="7" s="1"/>
  <c r="CE279" i="7"/>
  <c r="CZ279" i="7" s="1"/>
  <c r="CJ310" i="7"/>
  <c r="DE310" i="7" s="1"/>
  <c r="AN276" i="7" l="1"/>
  <c r="AM279" i="7"/>
  <c r="EN272" i="7"/>
  <c r="AO271" i="7"/>
  <c r="EO278" i="7"/>
  <c r="CK277" i="7"/>
  <c r="DF277" i="7" s="1"/>
  <c r="CB279" i="7"/>
  <c r="CW279" i="7" s="1"/>
  <c r="DN273" i="7"/>
  <c r="CL275" i="7"/>
  <c r="DG275" i="7" s="1"/>
  <c r="EM274" i="7"/>
  <c r="EB270" i="7"/>
  <c r="DX270" i="7"/>
  <c r="DW270" i="7"/>
  <c r="EC275" i="7"/>
  <c r="EF275" i="7"/>
  <c r="EA271" i="7"/>
  <c r="DZ271" i="7"/>
  <c r="AT274" i="7"/>
  <c r="DO273" i="7"/>
  <c r="BA274" i="7"/>
  <c r="AY274" i="7"/>
  <c r="AV274" i="7"/>
  <c r="AW274" i="7"/>
  <c r="BB274" i="7"/>
  <c r="BC274" i="7"/>
  <c r="AZ274" i="7"/>
  <c r="AX274" i="7"/>
  <c r="M275" i="7"/>
  <c r="AZ275" i="7" s="1"/>
  <c r="DV275" i="7"/>
  <c r="BY308" i="7"/>
  <c r="CT308" i="7" s="1"/>
  <c r="BX308" i="7"/>
  <c r="CS308" i="7" s="1"/>
  <c r="BW310" i="7"/>
  <c r="CR310" i="7" s="1"/>
  <c r="DK273" i="7"/>
  <c r="DQ273" i="7"/>
  <c r="BF272" i="7"/>
  <c r="AF273" i="7"/>
  <c r="AI273" i="7" s="1"/>
  <c r="BE272" i="7"/>
  <c r="AG273" i="7"/>
  <c r="DJ273" i="7"/>
  <c r="DJ274" i="7" s="1"/>
  <c r="DR273" i="7"/>
  <c r="DL273" i="7"/>
  <c r="AH273" i="7"/>
  <c r="BD272" i="7"/>
  <c r="DM273" i="7"/>
  <c r="DP273" i="7"/>
  <c r="CM299" i="7"/>
  <c r="DH299" i="7" s="1"/>
  <c r="CC293" i="7"/>
  <c r="CX293" i="7" s="1"/>
  <c r="G267" i="7"/>
  <c r="BM90" i="7"/>
  <c r="BV277" i="7"/>
  <c r="CQ277" i="7" s="1"/>
  <c r="CI278" i="7"/>
  <c r="DD278" i="7" s="1"/>
  <c r="DS277" i="7"/>
  <c r="P277" i="7" s="1"/>
  <c r="BT279" i="7"/>
  <c r="CO279" i="7" s="1"/>
  <c r="CA271" i="7"/>
  <c r="CV271" i="7" s="1"/>
  <c r="BO269" i="7"/>
  <c r="CG272" i="7"/>
  <c r="DB272" i="7" s="1"/>
  <c r="BZ273" i="7"/>
  <c r="CU273" i="7" s="1"/>
  <c r="CD275" i="7"/>
  <c r="CY275" i="7" s="1"/>
  <c r="BQ268" i="7"/>
  <c r="H268" i="7" s="1"/>
  <c r="DI269" i="7"/>
  <c r="BP269" i="7" s="1"/>
  <c r="CH272" i="7"/>
  <c r="DC272" i="7" s="1"/>
  <c r="BN271" i="7"/>
  <c r="CF277" i="7"/>
  <c r="DA277" i="7" s="1"/>
  <c r="BS276" i="7"/>
  <c r="CN276" i="7" s="1"/>
  <c r="AG274" i="7"/>
  <c r="AF274" i="7"/>
  <c r="AI274" i="7" s="1"/>
  <c r="AH274" i="7"/>
  <c r="BU287" i="7"/>
  <c r="CP287" i="7" s="1"/>
  <c r="CE280" i="7"/>
  <c r="CZ280" i="7" s="1"/>
  <c r="CJ311" i="7"/>
  <c r="DE311" i="7" s="1"/>
  <c r="AM280" i="7" l="1"/>
  <c r="EN273" i="7"/>
  <c r="EO279" i="7"/>
  <c r="CK278" i="7"/>
  <c r="DF278" i="7" s="1"/>
  <c r="AO272" i="7"/>
  <c r="AN277" i="7"/>
  <c r="CB280" i="7"/>
  <c r="CW280" i="7" s="1"/>
  <c r="DL274" i="7"/>
  <c r="DN274" i="7"/>
  <c r="CL276" i="7"/>
  <c r="DG276" i="7" s="1"/>
  <c r="EM275" i="7"/>
  <c r="DQ274" i="7"/>
  <c r="DR274" i="7"/>
  <c r="DO274" i="7"/>
  <c r="DZ272" i="7"/>
  <c r="EA272" i="7"/>
  <c r="EC276" i="7"/>
  <c r="EF276" i="7"/>
  <c r="EB271" i="7"/>
  <c r="DX271" i="7"/>
  <c r="DW271" i="7"/>
  <c r="N91" i="7"/>
  <c r="D80" i="32"/>
  <c r="AW275" i="7"/>
  <c r="AY275" i="7"/>
  <c r="AV275" i="7"/>
  <c r="AX275" i="7"/>
  <c r="AT275" i="7"/>
  <c r="BC275" i="7"/>
  <c r="BA275" i="7"/>
  <c r="AU275" i="7"/>
  <c r="BB275" i="7"/>
  <c r="M276" i="7"/>
  <c r="AU276" i="7" s="1"/>
  <c r="DV276" i="7"/>
  <c r="BX309" i="7"/>
  <c r="CS309" i="7" s="1"/>
  <c r="BY309" i="7"/>
  <c r="CT309" i="7" s="1"/>
  <c r="BW311" i="7"/>
  <c r="CR311" i="7" s="1"/>
  <c r="BF273" i="7"/>
  <c r="DM274" i="7"/>
  <c r="BE273" i="7"/>
  <c r="DP274" i="7"/>
  <c r="DK274" i="7"/>
  <c r="BD273" i="7"/>
  <c r="CM300" i="7"/>
  <c r="DH300" i="7" s="1"/>
  <c r="CC294" i="7"/>
  <c r="CX294" i="7" s="1"/>
  <c r="G268" i="7"/>
  <c r="DO275" i="7" s="1"/>
  <c r="B90" i="7"/>
  <c r="DS278" i="7"/>
  <c r="P278" i="7" s="1"/>
  <c r="CI279" i="7"/>
  <c r="DD279" i="7" s="1"/>
  <c r="BT280" i="7"/>
  <c r="CO280" i="7" s="1"/>
  <c r="BV278" i="7"/>
  <c r="CQ278" i="7" s="1"/>
  <c r="CA272" i="7"/>
  <c r="CV272" i="7" s="1"/>
  <c r="BO270" i="7"/>
  <c r="CG273" i="7"/>
  <c r="DB273" i="7" s="1"/>
  <c r="BZ274" i="7"/>
  <c r="CU274" i="7" s="1"/>
  <c r="CD276" i="7"/>
  <c r="CY276" i="7" s="1"/>
  <c r="BN272" i="7"/>
  <c r="CH273" i="7"/>
  <c r="DC273" i="7" s="1"/>
  <c r="DI270" i="7"/>
  <c r="BP270" i="7" s="1"/>
  <c r="BQ269" i="7"/>
  <c r="H269" i="7" s="1"/>
  <c r="CF278" i="7"/>
  <c r="DA278" i="7" s="1"/>
  <c r="BS277" i="7"/>
  <c r="CN277" i="7" s="1"/>
  <c r="BU288" i="7"/>
  <c r="CP288" i="7" s="1"/>
  <c r="CE281" i="7"/>
  <c r="CZ281" i="7" s="1"/>
  <c r="CJ312" i="7"/>
  <c r="DE312" i="7" s="1"/>
  <c r="EO280" i="7" l="1"/>
  <c r="CK279" i="7"/>
  <c r="DF279" i="7" s="1"/>
  <c r="AO273" i="7"/>
  <c r="AN278" i="7"/>
  <c r="AM281" i="7"/>
  <c r="EN274" i="7"/>
  <c r="CB281" i="7"/>
  <c r="CW281" i="7" s="1"/>
  <c r="F80" i="32"/>
  <c r="G80" i="32" s="1"/>
  <c r="P80" i="32" s="1"/>
  <c r="Q80" i="32" s="1"/>
  <c r="AP91" i="7"/>
  <c r="BG91" i="7" s="1"/>
  <c r="AQ91" i="7"/>
  <c r="BH91" i="7" s="1"/>
  <c r="AR91" i="7"/>
  <c r="BI91" i="7" s="1"/>
  <c r="CL277" i="7"/>
  <c r="DG277" i="7" s="1"/>
  <c r="EM276" i="7"/>
  <c r="AK91" i="7"/>
  <c r="D91" i="7" s="1"/>
  <c r="EF277" i="7"/>
  <c r="EC277" i="7"/>
  <c r="EA273" i="7"/>
  <c r="DZ273" i="7"/>
  <c r="DW272" i="7"/>
  <c r="EB272" i="7"/>
  <c r="DX272" i="7"/>
  <c r="AL91" i="7"/>
  <c r="E91" i="7" s="1"/>
  <c r="AJ91" i="7"/>
  <c r="C91" i="7" s="1"/>
  <c r="BB276" i="7"/>
  <c r="AZ276" i="7"/>
  <c r="DO276" i="7" s="1"/>
  <c r="AX276" i="7"/>
  <c r="AV276" i="7"/>
  <c r="AT276" i="7"/>
  <c r="BC276" i="7"/>
  <c r="BA276" i="7"/>
  <c r="AY276" i="7"/>
  <c r="M277" i="7"/>
  <c r="AZ277" i="7" s="1"/>
  <c r="DV277" i="7"/>
  <c r="AW276" i="7"/>
  <c r="BY310" i="7"/>
  <c r="CT310" i="7" s="1"/>
  <c r="BX310" i="7"/>
  <c r="CS310" i="7" s="1"/>
  <c r="BW312" i="7"/>
  <c r="CR312" i="7" s="1"/>
  <c r="BF274" i="7"/>
  <c r="DM275" i="7"/>
  <c r="AF275" i="7"/>
  <c r="AI275" i="7" s="1"/>
  <c r="DP275" i="7"/>
  <c r="AG275" i="7"/>
  <c r="DJ275" i="7"/>
  <c r="DJ276" i="7" s="1"/>
  <c r="DK275" i="7"/>
  <c r="DR275" i="7"/>
  <c r="DN275" i="7"/>
  <c r="BE274" i="7"/>
  <c r="DL275" i="7"/>
  <c r="AH275" i="7"/>
  <c r="DQ275" i="7"/>
  <c r="BD274" i="7"/>
  <c r="CM301" i="7"/>
  <c r="DH301" i="7" s="1"/>
  <c r="CC295" i="7"/>
  <c r="CX295" i="7" s="1"/>
  <c r="G269" i="7"/>
  <c r="BV279" i="7"/>
  <c r="CQ279" i="7" s="1"/>
  <c r="CI280" i="7"/>
  <c r="DD280" i="7" s="1"/>
  <c r="DS279" i="7"/>
  <c r="P279" i="7" s="1"/>
  <c r="BT281" i="7"/>
  <c r="CO281" i="7" s="1"/>
  <c r="CA273" i="7"/>
  <c r="CV273" i="7" s="1"/>
  <c r="BO271" i="7"/>
  <c r="CG274" i="7"/>
  <c r="DB274" i="7" s="1"/>
  <c r="BZ275" i="7"/>
  <c r="CU275" i="7" s="1"/>
  <c r="CD277" i="7"/>
  <c r="CY277" i="7" s="1"/>
  <c r="BN273" i="7"/>
  <c r="CH274" i="7"/>
  <c r="DC274" i="7" s="1"/>
  <c r="BQ270" i="7"/>
  <c r="H270" i="7" s="1"/>
  <c r="DI271" i="7"/>
  <c r="BP271" i="7" s="1"/>
  <c r="CF279" i="7"/>
  <c r="DA279" i="7" s="1"/>
  <c r="BS278" i="7"/>
  <c r="CN278" i="7" s="1"/>
  <c r="AH276" i="7"/>
  <c r="AG276" i="7"/>
  <c r="AF276" i="7"/>
  <c r="AI276" i="7" s="1"/>
  <c r="BU289" i="7"/>
  <c r="CP289" i="7" s="1"/>
  <c r="CE282" i="7"/>
  <c r="CZ282" i="7" s="1"/>
  <c r="CJ313" i="7"/>
  <c r="DE313" i="7" s="1"/>
  <c r="AM282" i="7" l="1"/>
  <c r="EN275" i="7"/>
  <c r="AO274" i="7"/>
  <c r="CK280" i="7"/>
  <c r="DF280" i="7" s="1"/>
  <c r="EO281" i="7"/>
  <c r="AN279" i="7"/>
  <c r="CB282" i="7"/>
  <c r="CW282" i="7" s="1"/>
  <c r="CL278" i="7"/>
  <c r="DG278" i="7" s="1"/>
  <c r="EM277" i="7"/>
  <c r="DM276" i="7"/>
  <c r="AV277" i="7"/>
  <c r="EF278" i="7"/>
  <c r="EC278" i="7"/>
  <c r="DZ274" i="7"/>
  <c r="EA274" i="7"/>
  <c r="DW273" i="7"/>
  <c r="EB273" i="7"/>
  <c r="DX273" i="7"/>
  <c r="AU277" i="7"/>
  <c r="AX277" i="7"/>
  <c r="AW277" i="7"/>
  <c r="AT277" i="7"/>
  <c r="BC277" i="7"/>
  <c r="BA277" i="7"/>
  <c r="M278" i="7"/>
  <c r="AU278" i="7" s="1"/>
  <c r="DV278" i="7"/>
  <c r="AY277" i="7"/>
  <c r="BB277" i="7"/>
  <c r="BX311" i="7"/>
  <c r="CS311" i="7" s="1"/>
  <c r="BY311" i="7"/>
  <c r="CT311" i="7" s="1"/>
  <c r="BW313" i="7"/>
  <c r="CR313" i="7" s="1"/>
  <c r="DL276" i="7"/>
  <c r="DK276" i="7"/>
  <c r="DP276" i="7"/>
  <c r="BE275" i="7"/>
  <c r="BD275" i="7"/>
  <c r="BF275" i="7"/>
  <c r="DQ276" i="7"/>
  <c r="DR276" i="7"/>
  <c r="DN276" i="7"/>
  <c r="CM302" i="7"/>
  <c r="DH302" i="7" s="1"/>
  <c r="CC296" i="7"/>
  <c r="CX296" i="7" s="1"/>
  <c r="G270" i="7"/>
  <c r="DO277" i="7" s="1"/>
  <c r="BK91" i="7"/>
  <c r="BJ91" i="7"/>
  <c r="F91" i="7"/>
  <c r="BL91" i="7"/>
  <c r="DS280" i="7"/>
  <c r="P280" i="7" s="1"/>
  <c r="CI281" i="7"/>
  <c r="DD281" i="7" s="1"/>
  <c r="BT282" i="7"/>
  <c r="CO282" i="7" s="1"/>
  <c r="BV280" i="7"/>
  <c r="CQ280" i="7" s="1"/>
  <c r="CA274" i="7"/>
  <c r="CV274" i="7" s="1"/>
  <c r="BO272" i="7"/>
  <c r="CG275" i="7"/>
  <c r="DB275" i="7" s="1"/>
  <c r="BZ276" i="7"/>
  <c r="CU276" i="7" s="1"/>
  <c r="CD278" i="7"/>
  <c r="CY278" i="7" s="1"/>
  <c r="DI272" i="7"/>
  <c r="BP272" i="7" s="1"/>
  <c r="BQ271" i="7"/>
  <c r="H271" i="7" s="1"/>
  <c r="CH275" i="7"/>
  <c r="DC275" i="7" s="1"/>
  <c r="BN274" i="7"/>
  <c r="CF280" i="7"/>
  <c r="DA280" i="7" s="1"/>
  <c r="BS279" i="7"/>
  <c r="CN279" i="7" s="1"/>
  <c r="BU290" i="7"/>
  <c r="CP290" i="7" s="1"/>
  <c r="CE283" i="7"/>
  <c r="CZ283" i="7" s="1"/>
  <c r="CJ314" i="7"/>
  <c r="DE314" i="7" s="1"/>
  <c r="EO282" i="7" l="1"/>
  <c r="AN280" i="7"/>
  <c r="CK281" i="7"/>
  <c r="DF281" i="7" s="1"/>
  <c r="AM283" i="7"/>
  <c r="AO275" i="7"/>
  <c r="EN276" i="7"/>
  <c r="CB283" i="7"/>
  <c r="CW283" i="7" s="1"/>
  <c r="CL279" i="7"/>
  <c r="DG279" i="7" s="1"/>
  <c r="EM278" i="7"/>
  <c r="EB274" i="7"/>
  <c r="DX274" i="7"/>
  <c r="DW274" i="7"/>
  <c r="EC279" i="7"/>
  <c r="EF279" i="7"/>
  <c r="DZ275" i="7"/>
  <c r="EA275" i="7"/>
  <c r="AY278" i="7"/>
  <c r="AW278" i="7"/>
  <c r="AZ278" i="7"/>
  <c r="AX278" i="7"/>
  <c r="AV278" i="7"/>
  <c r="BB278" i="7"/>
  <c r="BC278" i="7"/>
  <c r="AT278" i="7"/>
  <c r="M279" i="7"/>
  <c r="AZ279" i="7" s="1"/>
  <c r="DV279" i="7"/>
  <c r="BA278" i="7"/>
  <c r="BY312" i="7"/>
  <c r="CT312" i="7" s="1"/>
  <c r="BX312" i="7"/>
  <c r="CS312" i="7" s="1"/>
  <c r="BW314" i="7"/>
  <c r="CR314" i="7" s="1"/>
  <c r="BE276" i="7"/>
  <c r="BD276" i="7"/>
  <c r="BF276" i="7"/>
  <c r="DN277" i="7"/>
  <c r="DL277" i="7"/>
  <c r="AG277" i="7"/>
  <c r="DQ277" i="7"/>
  <c r="DP277" i="7"/>
  <c r="DM277" i="7"/>
  <c r="DK277" i="7"/>
  <c r="DR277" i="7"/>
  <c r="AH277" i="7"/>
  <c r="AF277" i="7"/>
  <c r="AI277" i="7" s="1"/>
  <c r="DJ277" i="7"/>
  <c r="CM303" i="7"/>
  <c r="DH303" i="7" s="1"/>
  <c r="CC297" i="7"/>
  <c r="CX297" i="7" s="1"/>
  <c r="G271" i="7"/>
  <c r="BM91" i="7"/>
  <c r="BV281" i="7"/>
  <c r="CQ281" i="7" s="1"/>
  <c r="CI282" i="7"/>
  <c r="DD282" i="7" s="1"/>
  <c r="DS281" i="7"/>
  <c r="P281" i="7" s="1"/>
  <c r="BT283" i="7"/>
  <c r="CO283" i="7" s="1"/>
  <c r="BO273" i="7"/>
  <c r="CA275" i="7"/>
  <c r="CV275" i="7" s="1"/>
  <c r="CG276" i="7"/>
  <c r="DB276" i="7" s="1"/>
  <c r="BZ277" i="7"/>
  <c r="CU277" i="7" s="1"/>
  <c r="CD279" i="7"/>
  <c r="CY279" i="7" s="1"/>
  <c r="DI273" i="7"/>
  <c r="BP273" i="7" s="1"/>
  <c r="BQ272" i="7"/>
  <c r="H272" i="7" s="1"/>
  <c r="CH276" i="7"/>
  <c r="DC276" i="7" s="1"/>
  <c r="BN275" i="7"/>
  <c r="CF281" i="7"/>
  <c r="DA281" i="7" s="1"/>
  <c r="BS280" i="7"/>
  <c r="CN280" i="7" s="1"/>
  <c r="BU291" i="7"/>
  <c r="CP291" i="7" s="1"/>
  <c r="CE284" i="7"/>
  <c r="CZ284" i="7" s="1"/>
  <c r="CJ315" i="7"/>
  <c r="DE315" i="7" s="1"/>
  <c r="AM284" i="7" l="1"/>
  <c r="AN281" i="7"/>
  <c r="EO283" i="7"/>
  <c r="EN277" i="7"/>
  <c r="AO276" i="7"/>
  <c r="CK282" i="7"/>
  <c r="DF282" i="7" s="1"/>
  <c r="CB284" i="7"/>
  <c r="CW284" i="7" s="1"/>
  <c r="CL280" i="7"/>
  <c r="DG280" i="7" s="1"/>
  <c r="EM279" i="7"/>
  <c r="EC280" i="7"/>
  <c r="EF280" i="7"/>
  <c r="DZ276" i="7"/>
  <c r="EA276" i="7"/>
  <c r="DX275" i="7"/>
  <c r="DW275" i="7"/>
  <c r="EB275" i="7"/>
  <c r="N92" i="7"/>
  <c r="D81" i="32"/>
  <c r="AV279" i="7"/>
  <c r="AY279" i="7"/>
  <c r="AW279" i="7"/>
  <c r="BB279" i="7"/>
  <c r="AX279" i="7"/>
  <c r="BC279" i="7"/>
  <c r="BA279" i="7"/>
  <c r="AU279" i="7"/>
  <c r="AT279" i="7"/>
  <c r="M280" i="7"/>
  <c r="AU280" i="7" s="1"/>
  <c r="DV280" i="7"/>
  <c r="BX313" i="7"/>
  <c r="CS313" i="7" s="1"/>
  <c r="BY313" i="7"/>
  <c r="CT313" i="7" s="1"/>
  <c r="BW315" i="7"/>
  <c r="CR315" i="7" s="1"/>
  <c r="BF277" i="7"/>
  <c r="AH278" i="7"/>
  <c r="DM278" i="7"/>
  <c r="DQ278" i="7"/>
  <c r="DP278" i="7"/>
  <c r="DR278" i="7"/>
  <c r="DN278" i="7"/>
  <c r="DK278" i="7"/>
  <c r="AG278" i="7"/>
  <c r="BE277" i="7"/>
  <c r="DL278" i="7"/>
  <c r="AF278" i="7"/>
  <c r="AI278" i="7" s="1"/>
  <c r="DJ278" i="7"/>
  <c r="BD277" i="7"/>
  <c r="DO278" i="7"/>
  <c r="CM304" i="7"/>
  <c r="DH304" i="7" s="1"/>
  <c r="CC298" i="7"/>
  <c r="CX298" i="7" s="1"/>
  <c r="G272" i="7"/>
  <c r="B91" i="7"/>
  <c r="DS282" i="7"/>
  <c r="P282" i="7" s="1"/>
  <c r="CI283" i="7"/>
  <c r="DD283" i="7" s="1"/>
  <c r="BT284" i="7"/>
  <c r="CO284" i="7" s="1"/>
  <c r="BV282" i="7"/>
  <c r="CQ282" i="7" s="1"/>
  <c r="CA276" i="7"/>
  <c r="CV276" i="7" s="1"/>
  <c r="BO274" i="7"/>
  <c r="CG277" i="7"/>
  <c r="DB277" i="7" s="1"/>
  <c r="BZ278" i="7"/>
  <c r="CU278" i="7" s="1"/>
  <c r="CD280" i="7"/>
  <c r="CY280" i="7" s="1"/>
  <c r="CF282" i="7"/>
  <c r="DA282" i="7" s="1"/>
  <c r="CH277" i="7"/>
  <c r="DC277" i="7" s="1"/>
  <c r="BN276" i="7"/>
  <c r="BQ273" i="7"/>
  <c r="H273" i="7" s="1"/>
  <c r="DI274" i="7"/>
  <c r="BP274" i="7" s="1"/>
  <c r="AH279" i="7"/>
  <c r="AG279" i="7"/>
  <c r="AF279" i="7"/>
  <c r="AI279" i="7" s="1"/>
  <c r="BS281" i="7"/>
  <c r="CN281" i="7" s="1"/>
  <c r="BU292" i="7"/>
  <c r="CP292" i="7" s="1"/>
  <c r="CE285" i="7"/>
  <c r="CZ285" i="7" s="1"/>
  <c r="CJ316" i="7"/>
  <c r="DE316" i="7" s="1"/>
  <c r="AN282" i="7" l="1"/>
  <c r="CK283" i="7"/>
  <c r="DF283" i="7" s="1"/>
  <c r="AO277" i="7"/>
  <c r="EO284" i="7"/>
  <c r="AM285" i="7"/>
  <c r="EN278" i="7"/>
  <c r="CB285" i="7"/>
  <c r="CW285" i="7" s="1"/>
  <c r="F81" i="32"/>
  <c r="G81" i="32" s="1"/>
  <c r="P81" i="32" s="1"/>
  <c r="Q81" i="32" s="1"/>
  <c r="AP92" i="7"/>
  <c r="BG92" i="7" s="1"/>
  <c r="AQ92" i="7"/>
  <c r="BH92" i="7" s="1"/>
  <c r="AR92" i="7"/>
  <c r="BI92" i="7" s="1"/>
  <c r="CL281" i="7"/>
  <c r="DG281" i="7" s="1"/>
  <c r="EM280" i="7"/>
  <c r="DW276" i="7"/>
  <c r="DX276" i="7"/>
  <c r="EB276" i="7"/>
  <c r="DZ277" i="7"/>
  <c r="EA277" i="7"/>
  <c r="EF281" i="7"/>
  <c r="EC281" i="7"/>
  <c r="DM279" i="7"/>
  <c r="AL92" i="7"/>
  <c r="E92" i="7" s="1"/>
  <c r="AK92" i="7"/>
  <c r="D92" i="7" s="1"/>
  <c r="AJ92" i="7"/>
  <c r="C92" i="7" s="1"/>
  <c r="AX280" i="7"/>
  <c r="BA280" i="7"/>
  <c r="AT280" i="7"/>
  <c r="AZ280" i="7"/>
  <c r="BC280" i="7"/>
  <c r="AV280" i="7"/>
  <c r="BB280" i="7"/>
  <c r="AW280" i="7"/>
  <c r="AY280" i="7"/>
  <c r="DJ279" i="7"/>
  <c r="DJ280" i="7" s="1"/>
  <c r="M281" i="7"/>
  <c r="AZ281" i="7" s="1"/>
  <c r="DV281" i="7"/>
  <c r="BY314" i="7"/>
  <c r="CT314" i="7" s="1"/>
  <c r="BX314" i="7"/>
  <c r="CS314" i="7" s="1"/>
  <c r="BW316" i="7"/>
  <c r="CR316" i="7" s="1"/>
  <c r="DL279" i="7"/>
  <c r="BF278" i="7"/>
  <c r="DO279" i="7"/>
  <c r="DR279" i="7"/>
  <c r="DN279" i="7"/>
  <c r="BD278" i="7"/>
  <c r="DK279" i="7"/>
  <c r="BE278" i="7"/>
  <c r="DP279" i="7"/>
  <c r="DQ279" i="7"/>
  <c r="CM305" i="7"/>
  <c r="DH305" i="7" s="1"/>
  <c r="CC299" i="7"/>
  <c r="CX299" i="7" s="1"/>
  <c r="G273" i="7"/>
  <c r="BV283" i="7"/>
  <c r="CQ283" i="7" s="1"/>
  <c r="DS283" i="7"/>
  <c r="P283" i="7" s="1"/>
  <c r="CI284" i="7"/>
  <c r="DD284" i="7" s="1"/>
  <c r="BT285" i="7"/>
  <c r="CO285" i="7" s="1"/>
  <c r="CA277" i="7"/>
  <c r="CV277" i="7" s="1"/>
  <c r="BO275" i="7"/>
  <c r="CG278" i="7"/>
  <c r="DB278" i="7" s="1"/>
  <c r="BZ279" i="7"/>
  <c r="CU279" i="7" s="1"/>
  <c r="CD281" i="7"/>
  <c r="CY281" i="7" s="1"/>
  <c r="CH278" i="7"/>
  <c r="DC278" i="7" s="1"/>
  <c r="BN277" i="7"/>
  <c r="DI275" i="7"/>
  <c r="BP275" i="7" s="1"/>
  <c r="BQ274" i="7"/>
  <c r="H274" i="7" s="1"/>
  <c r="CF283" i="7"/>
  <c r="DA283" i="7" s="1"/>
  <c r="BS282" i="7"/>
  <c r="CN282" i="7" s="1"/>
  <c r="AF280" i="7"/>
  <c r="AI280" i="7" s="1"/>
  <c r="AH280" i="7"/>
  <c r="AG280" i="7"/>
  <c r="BU293" i="7"/>
  <c r="CP293" i="7" s="1"/>
  <c r="CE286" i="7"/>
  <c r="CZ286" i="7" s="1"/>
  <c r="CJ317" i="7"/>
  <c r="DE317" i="7" s="1"/>
  <c r="DQ280" i="7" l="1"/>
  <c r="CK284" i="7"/>
  <c r="DF284" i="7" s="1"/>
  <c r="AN283" i="7"/>
  <c r="EN279" i="7"/>
  <c r="AM286" i="7"/>
  <c r="EO285" i="7"/>
  <c r="AO278" i="7"/>
  <c r="CB286" i="7"/>
  <c r="CW286" i="7" s="1"/>
  <c r="CL282" i="7"/>
  <c r="DG282" i="7" s="1"/>
  <c r="EM281" i="7"/>
  <c r="DM280" i="7"/>
  <c r="EF282" i="7"/>
  <c r="EC282" i="7"/>
  <c r="DZ278" i="7"/>
  <c r="EA278" i="7"/>
  <c r="EB277" i="7"/>
  <c r="DX277" i="7"/>
  <c r="DW277" i="7"/>
  <c r="DL280" i="7"/>
  <c r="DN280" i="7"/>
  <c r="BA281" i="7"/>
  <c r="AX281" i="7"/>
  <c r="AW281" i="7"/>
  <c r="BC281" i="7"/>
  <c r="AT281" i="7"/>
  <c r="AU281" i="7"/>
  <c r="AV281" i="7"/>
  <c r="M282" i="7"/>
  <c r="AU282" i="7" s="1"/>
  <c r="DV282" i="7"/>
  <c r="AY281" i="7"/>
  <c r="BB281" i="7"/>
  <c r="DQ281" i="7" s="1"/>
  <c r="BX315" i="7"/>
  <c r="CS315" i="7" s="1"/>
  <c r="BY315" i="7"/>
  <c r="CT315" i="7" s="1"/>
  <c r="BW317" i="7"/>
  <c r="CR317" i="7" s="1"/>
  <c r="DO280" i="7"/>
  <c r="DK280" i="7"/>
  <c r="DR280" i="7"/>
  <c r="DP280" i="7"/>
  <c r="BF279" i="7"/>
  <c r="BE279" i="7"/>
  <c r="BD279" i="7"/>
  <c r="CM306" i="7"/>
  <c r="DH306" i="7" s="1"/>
  <c r="CC300" i="7"/>
  <c r="CX300" i="7" s="1"/>
  <c r="G274" i="7"/>
  <c r="BK92" i="7"/>
  <c r="BL92" i="7"/>
  <c r="BJ92" i="7"/>
  <c r="F92" i="7"/>
  <c r="BT286" i="7"/>
  <c r="CO286" i="7" s="1"/>
  <c r="BV284" i="7"/>
  <c r="CQ284" i="7" s="1"/>
  <c r="DS284" i="7"/>
  <c r="P284" i="7" s="1"/>
  <c r="CI285" i="7"/>
  <c r="DD285" i="7" s="1"/>
  <c r="BO276" i="7"/>
  <c r="CA278" i="7"/>
  <c r="CV278" i="7" s="1"/>
  <c r="CG279" i="7"/>
  <c r="DB279" i="7" s="1"/>
  <c r="BZ280" i="7"/>
  <c r="CU280" i="7" s="1"/>
  <c r="CD282" i="7"/>
  <c r="CY282" i="7" s="1"/>
  <c r="CF284" i="7"/>
  <c r="DA284" i="7" s="1"/>
  <c r="CH279" i="7"/>
  <c r="DC279" i="7" s="1"/>
  <c r="BN278" i="7"/>
  <c r="BQ275" i="7"/>
  <c r="H275" i="7" s="1"/>
  <c r="DI276" i="7"/>
  <c r="BP276" i="7" s="1"/>
  <c r="AH281" i="7"/>
  <c r="BD280" i="7"/>
  <c r="BE280" i="7"/>
  <c r="BF280" i="7"/>
  <c r="BS283" i="7"/>
  <c r="CN283" i="7" s="1"/>
  <c r="BU294" i="7"/>
  <c r="CP294" i="7" s="1"/>
  <c r="CE287" i="7"/>
  <c r="CZ287" i="7" s="1"/>
  <c r="CJ318" i="7"/>
  <c r="DE318" i="7" s="1"/>
  <c r="AO279" i="7" l="1"/>
  <c r="AN284" i="7"/>
  <c r="AM287" i="7"/>
  <c r="EO286" i="7"/>
  <c r="EN280" i="7"/>
  <c r="CK285" i="7"/>
  <c r="DF285" i="7" s="1"/>
  <c r="CB287" i="7"/>
  <c r="CW287" i="7" s="1"/>
  <c r="CL283" i="7"/>
  <c r="DG283" i="7" s="1"/>
  <c r="EM282" i="7"/>
  <c r="DZ279" i="7"/>
  <c r="EA279" i="7"/>
  <c r="EB278" i="7"/>
  <c r="DX278" i="7"/>
  <c r="DW278" i="7"/>
  <c r="EC283" i="7"/>
  <c r="EF283" i="7"/>
  <c r="AT282" i="7"/>
  <c r="BA282" i="7"/>
  <c r="BC282" i="7"/>
  <c r="AY282" i="7"/>
  <c r="AW282" i="7"/>
  <c r="BB282" i="7"/>
  <c r="AZ282" i="7"/>
  <c r="AX282" i="7"/>
  <c r="M283" i="7"/>
  <c r="AV283" i="7" s="1"/>
  <c r="DV283" i="7"/>
  <c r="AV282" i="7"/>
  <c r="BY316" i="7"/>
  <c r="CT316" i="7" s="1"/>
  <c r="BX316" i="7"/>
  <c r="CS316" i="7" s="1"/>
  <c r="BW318" i="7"/>
  <c r="CR318" i="7" s="1"/>
  <c r="DK281" i="7"/>
  <c r="DR281" i="7"/>
  <c r="DM281" i="7"/>
  <c r="AF281" i="7"/>
  <c r="AI281" i="7" s="1"/>
  <c r="DL281" i="7"/>
  <c r="DO281" i="7"/>
  <c r="AG281" i="7"/>
  <c r="DN281" i="7"/>
  <c r="DP281" i="7"/>
  <c r="DJ281" i="7"/>
  <c r="CM307" i="7"/>
  <c r="DH307" i="7" s="1"/>
  <c r="CC301" i="7"/>
  <c r="CX301" i="7" s="1"/>
  <c r="G275" i="7"/>
  <c r="BM92" i="7"/>
  <c r="BV285" i="7"/>
  <c r="CQ285" i="7" s="1"/>
  <c r="DS285" i="7"/>
  <c r="P285" i="7" s="1"/>
  <c r="CI286" i="7"/>
  <c r="DD286" i="7" s="1"/>
  <c r="BT287" i="7"/>
  <c r="CO287" i="7" s="1"/>
  <c r="BO277" i="7"/>
  <c r="CA279" i="7"/>
  <c r="CV279" i="7" s="1"/>
  <c r="CG280" i="7"/>
  <c r="DB280" i="7" s="1"/>
  <c r="BZ281" i="7"/>
  <c r="CU281" i="7" s="1"/>
  <c r="CD283" i="7"/>
  <c r="CY283" i="7" s="1"/>
  <c r="DI277" i="7"/>
  <c r="BP277" i="7" s="1"/>
  <c r="BQ276" i="7"/>
  <c r="H276" i="7" s="1"/>
  <c r="CF285" i="7"/>
  <c r="DA285" i="7" s="1"/>
  <c r="CH280" i="7"/>
  <c r="DC280" i="7" s="1"/>
  <c r="BN279" i="7"/>
  <c r="AH282" i="7"/>
  <c r="BS284" i="7"/>
  <c r="CN284" i="7" s="1"/>
  <c r="BU295" i="7"/>
  <c r="CP295" i="7" s="1"/>
  <c r="CE288" i="7"/>
  <c r="CZ288" i="7" s="1"/>
  <c r="CJ319" i="7"/>
  <c r="DE319" i="7" s="1"/>
  <c r="CK286" i="7" l="1"/>
  <c r="DF286" i="7" s="1"/>
  <c r="AN285" i="7"/>
  <c r="EN281" i="7"/>
  <c r="EO287" i="7"/>
  <c r="AM288" i="7"/>
  <c r="AO280" i="7"/>
  <c r="CB288" i="7"/>
  <c r="CW288" i="7" s="1"/>
  <c r="CL284" i="7"/>
  <c r="DG284" i="7" s="1"/>
  <c r="EM283" i="7"/>
  <c r="DZ280" i="7"/>
  <c r="EA280" i="7"/>
  <c r="EF284" i="7"/>
  <c r="EC284" i="7"/>
  <c r="DX279" i="7"/>
  <c r="DW279" i="7"/>
  <c r="EB279" i="7"/>
  <c r="AW283" i="7"/>
  <c r="N93" i="7"/>
  <c r="D82" i="32"/>
  <c r="AT283" i="7"/>
  <c r="AY283" i="7"/>
  <c r="BA283" i="7"/>
  <c r="BC283" i="7"/>
  <c r="BB283" i="7"/>
  <c r="AZ283" i="7"/>
  <c r="AU283" i="7"/>
  <c r="AX283" i="7"/>
  <c r="M284" i="7"/>
  <c r="BB284" i="7" s="1"/>
  <c r="DV284" i="7"/>
  <c r="BX317" i="7"/>
  <c r="CS317" i="7" s="1"/>
  <c r="BY317" i="7"/>
  <c r="CT317" i="7" s="1"/>
  <c r="BW319" i="7"/>
  <c r="CR319" i="7" s="1"/>
  <c r="DK282" i="7"/>
  <c r="DP282" i="7"/>
  <c r="DJ282" i="7"/>
  <c r="BD281" i="7"/>
  <c r="BF281" i="7"/>
  <c r="DQ282" i="7"/>
  <c r="AF282" i="7"/>
  <c r="AI282" i="7" s="1"/>
  <c r="DL282" i="7"/>
  <c r="DO282" i="7"/>
  <c r="AG282" i="7"/>
  <c r="BE281" i="7"/>
  <c r="DR282" i="7"/>
  <c r="DN282" i="7"/>
  <c r="DM282" i="7"/>
  <c r="CM308" i="7"/>
  <c r="DH308" i="7" s="1"/>
  <c r="CC302" i="7"/>
  <c r="CX302" i="7" s="1"/>
  <c r="G276" i="7"/>
  <c r="B92" i="7"/>
  <c r="BT288" i="7"/>
  <c r="CO288" i="7" s="1"/>
  <c r="BV286" i="7"/>
  <c r="CQ286" i="7" s="1"/>
  <c r="DS286" i="7"/>
  <c r="P286" i="7" s="1"/>
  <c r="CI287" i="7"/>
  <c r="DD287" i="7" s="1"/>
  <c r="CA280" i="7"/>
  <c r="CV280" i="7" s="1"/>
  <c r="BO278" i="7"/>
  <c r="CG281" i="7"/>
  <c r="DB281" i="7" s="1"/>
  <c r="BZ282" i="7"/>
  <c r="CU282" i="7" s="1"/>
  <c r="CD284" i="7"/>
  <c r="CY284" i="7" s="1"/>
  <c r="DI278" i="7"/>
  <c r="BP278" i="7" s="1"/>
  <c r="BQ277" i="7"/>
  <c r="H277" i="7" s="1"/>
  <c r="CF286" i="7"/>
  <c r="DA286" i="7" s="1"/>
  <c r="CH281" i="7"/>
  <c r="DC281" i="7" s="1"/>
  <c r="BN280" i="7"/>
  <c r="BS285" i="7"/>
  <c r="CN285" i="7" s="1"/>
  <c r="BU296" i="7"/>
  <c r="CP296" i="7" s="1"/>
  <c r="CE289" i="7"/>
  <c r="CZ289" i="7" s="1"/>
  <c r="CJ320" i="7"/>
  <c r="DE320" i="7" s="1"/>
  <c r="EN282" i="7" l="1"/>
  <c r="AO281" i="7"/>
  <c r="AN286" i="7"/>
  <c r="AM289" i="7"/>
  <c r="EO288" i="7"/>
  <c r="CK287" i="7"/>
  <c r="DF287" i="7" s="1"/>
  <c r="CB289" i="7"/>
  <c r="CW289" i="7" s="1"/>
  <c r="F82" i="32"/>
  <c r="G82" i="32" s="1"/>
  <c r="P82" i="32" s="1"/>
  <c r="Q82" i="32" s="1"/>
  <c r="AQ93" i="7"/>
  <c r="BH93" i="7" s="1"/>
  <c r="AR93" i="7"/>
  <c r="BI93" i="7" s="1"/>
  <c r="AP93" i="7"/>
  <c r="BG93" i="7" s="1"/>
  <c r="DM283" i="7"/>
  <c r="CL285" i="7"/>
  <c r="DG285" i="7" s="1"/>
  <c r="EM284" i="7"/>
  <c r="AL93" i="7"/>
  <c r="E93" i="7" s="1"/>
  <c r="EF285" i="7"/>
  <c r="EC285" i="7"/>
  <c r="EA281" i="7"/>
  <c r="DZ281" i="7"/>
  <c r="EB280" i="7"/>
  <c r="DW280" i="7"/>
  <c r="DX280" i="7"/>
  <c r="AJ93" i="7"/>
  <c r="C93" i="7" s="1"/>
  <c r="AT284" i="7"/>
  <c r="AK93" i="7"/>
  <c r="D93" i="7" s="1"/>
  <c r="AW284" i="7"/>
  <c r="BC284" i="7"/>
  <c r="DK283" i="7"/>
  <c r="BA284" i="7"/>
  <c r="AY284" i="7"/>
  <c r="AZ284" i="7"/>
  <c r="AX284" i="7"/>
  <c r="AU284" i="7"/>
  <c r="AV284" i="7"/>
  <c r="M285" i="7"/>
  <c r="AZ285" i="7" s="1"/>
  <c r="DV285" i="7"/>
  <c r="BY318" i="7"/>
  <c r="CT318" i="7" s="1"/>
  <c r="BX318" i="7"/>
  <c r="CS318" i="7" s="1"/>
  <c r="BW320" i="7"/>
  <c r="CR320" i="7" s="1"/>
  <c r="BE282" i="7"/>
  <c r="DQ283" i="7"/>
  <c r="BF282" i="7"/>
  <c r="DO283" i="7"/>
  <c r="DJ283" i="7"/>
  <c r="DN283" i="7"/>
  <c r="DR283" i="7"/>
  <c r="AH283" i="7"/>
  <c r="AF283" i="7"/>
  <c r="AI283" i="7" s="1"/>
  <c r="BD282" i="7"/>
  <c r="DL283" i="7"/>
  <c r="DP283" i="7"/>
  <c r="AG283" i="7"/>
  <c r="BF283" i="7"/>
  <c r="CM309" i="7"/>
  <c r="DH309" i="7" s="1"/>
  <c r="CC303" i="7"/>
  <c r="CX303" i="7" s="1"/>
  <c r="G277" i="7"/>
  <c r="BV287" i="7"/>
  <c r="CQ287" i="7" s="1"/>
  <c r="CI288" i="7"/>
  <c r="DD288" i="7" s="1"/>
  <c r="DS287" i="7"/>
  <c r="P287" i="7" s="1"/>
  <c r="BT289" i="7"/>
  <c r="CO289" i="7" s="1"/>
  <c r="CA281" i="7"/>
  <c r="CV281" i="7" s="1"/>
  <c r="BO279" i="7"/>
  <c r="CG282" i="7"/>
  <c r="DB282" i="7" s="1"/>
  <c r="BZ283" i="7"/>
  <c r="CU283" i="7" s="1"/>
  <c r="CD285" i="7"/>
  <c r="CY285" i="7" s="1"/>
  <c r="CH282" i="7"/>
  <c r="DC282" i="7" s="1"/>
  <c r="BN281" i="7"/>
  <c r="CF287" i="7"/>
  <c r="DA287" i="7" s="1"/>
  <c r="BQ278" i="7"/>
  <c r="H278" i="7" s="1"/>
  <c r="DI279" i="7"/>
  <c r="BP279" i="7" s="1"/>
  <c r="BS286" i="7"/>
  <c r="CN286" i="7" s="1"/>
  <c r="BU297" i="7"/>
  <c r="CP297" i="7" s="1"/>
  <c r="CE290" i="7"/>
  <c r="CZ290" i="7" s="1"/>
  <c r="CJ321" i="7"/>
  <c r="DE321" i="7" s="1"/>
  <c r="AM290" i="7" l="1"/>
  <c r="CK288" i="7"/>
  <c r="DF288" i="7" s="1"/>
  <c r="AN287" i="7"/>
  <c r="EN283" i="7"/>
  <c r="EO289" i="7"/>
  <c r="AO282" i="7"/>
  <c r="CB290" i="7"/>
  <c r="CW290" i="7" s="1"/>
  <c r="CL286" i="7"/>
  <c r="DG286" i="7" s="1"/>
  <c r="EM285" i="7"/>
  <c r="EF286" i="7"/>
  <c r="EC286" i="7"/>
  <c r="DZ282" i="7"/>
  <c r="EA282" i="7"/>
  <c r="EB281" i="7"/>
  <c r="DX281" i="7"/>
  <c r="DW281" i="7"/>
  <c r="AW285" i="7"/>
  <c r="AV285" i="7"/>
  <c r="DO284" i="7"/>
  <c r="DO285" i="7" s="1"/>
  <c r="BA285" i="7"/>
  <c r="BC285" i="7"/>
  <c r="AU285" i="7"/>
  <c r="AX285" i="7"/>
  <c r="AT285" i="7"/>
  <c r="AY285" i="7"/>
  <c r="BB285" i="7"/>
  <c r="M286" i="7"/>
  <c r="AU286" i="7" s="1"/>
  <c r="DV286" i="7"/>
  <c r="BX319" i="7"/>
  <c r="CS319" i="7" s="1"/>
  <c r="BY319" i="7"/>
  <c r="CT319" i="7" s="1"/>
  <c r="BW321" i="7"/>
  <c r="CR321" i="7" s="1"/>
  <c r="BD283" i="7"/>
  <c r="DL284" i="7"/>
  <c r="DP284" i="7"/>
  <c r="DM284" i="7"/>
  <c r="AH284" i="7"/>
  <c r="BE283" i="7"/>
  <c r="DK284" i="7"/>
  <c r="DR284" i="7"/>
  <c r="DQ284" i="7"/>
  <c r="DJ284" i="7"/>
  <c r="DN284" i="7"/>
  <c r="AF284" i="7"/>
  <c r="AI284" i="7" s="1"/>
  <c r="AG284" i="7"/>
  <c r="CM310" i="7"/>
  <c r="DH310" i="7" s="1"/>
  <c r="CC304" i="7"/>
  <c r="CX304" i="7" s="1"/>
  <c r="G278" i="7"/>
  <c r="BL93" i="7"/>
  <c r="F93" i="7"/>
  <c r="BJ93" i="7"/>
  <c r="BK93" i="7"/>
  <c r="CI289" i="7"/>
  <c r="DD289" i="7" s="1"/>
  <c r="DS288" i="7"/>
  <c r="P288" i="7" s="1"/>
  <c r="BT290" i="7"/>
  <c r="CO290" i="7" s="1"/>
  <c r="BV288" i="7"/>
  <c r="CQ288" i="7" s="1"/>
  <c r="BO280" i="7"/>
  <c r="CA282" i="7"/>
  <c r="CV282" i="7" s="1"/>
  <c r="CG283" i="7"/>
  <c r="DB283" i="7" s="1"/>
  <c r="BZ284" i="7"/>
  <c r="CU284" i="7" s="1"/>
  <c r="CD286" i="7"/>
  <c r="CY286" i="7" s="1"/>
  <c r="DI280" i="7"/>
  <c r="BP280" i="7" s="1"/>
  <c r="BQ279" i="7"/>
  <c r="H279" i="7" s="1"/>
  <c r="CF288" i="7"/>
  <c r="DA288" i="7" s="1"/>
  <c r="BN282" i="7"/>
  <c r="CH283" i="7"/>
  <c r="DC283" i="7" s="1"/>
  <c r="AH285" i="7"/>
  <c r="AG285" i="7"/>
  <c r="AF285" i="7"/>
  <c r="AI285" i="7" s="1"/>
  <c r="BS287" i="7"/>
  <c r="CN287" i="7" s="1"/>
  <c r="BU298" i="7"/>
  <c r="CP298" i="7" s="1"/>
  <c r="CE291" i="7"/>
  <c r="CZ291" i="7" s="1"/>
  <c r="CJ322" i="7"/>
  <c r="DE322" i="7" s="1"/>
  <c r="EO290" i="7" l="1"/>
  <c r="CK289" i="7"/>
  <c r="DF289" i="7" s="1"/>
  <c r="AO283" i="7"/>
  <c r="AM291" i="7"/>
  <c r="AN288" i="7"/>
  <c r="EN284" i="7"/>
  <c r="CB291" i="7"/>
  <c r="CW291" i="7" s="1"/>
  <c r="CL287" i="7"/>
  <c r="DG287" i="7" s="1"/>
  <c r="EM286" i="7"/>
  <c r="EC287" i="7"/>
  <c r="EF287" i="7"/>
  <c r="DZ283" i="7"/>
  <c r="EA283" i="7"/>
  <c r="EB282" i="7"/>
  <c r="DX282" i="7"/>
  <c r="DW282" i="7"/>
  <c r="AZ286" i="7"/>
  <c r="AX286" i="7"/>
  <c r="AW286" i="7"/>
  <c r="BC286" i="7"/>
  <c r="AT286" i="7"/>
  <c r="AV286" i="7"/>
  <c r="AY286" i="7"/>
  <c r="BA286" i="7"/>
  <c r="BB286" i="7"/>
  <c r="M287" i="7"/>
  <c r="AZ287" i="7" s="1"/>
  <c r="DV287" i="7"/>
  <c r="BY320" i="7"/>
  <c r="CT320" i="7" s="1"/>
  <c r="BX320" i="7"/>
  <c r="CS320" i="7" s="1"/>
  <c r="BW322" i="7"/>
  <c r="CR322" i="7" s="1"/>
  <c r="DL285" i="7"/>
  <c r="DM285" i="7"/>
  <c r="BD284" i="7"/>
  <c r="DN285" i="7"/>
  <c r="DJ285" i="7"/>
  <c r="DP285" i="7"/>
  <c r="DK285" i="7"/>
  <c r="DR285" i="7"/>
  <c r="BF284" i="7"/>
  <c r="DQ285" i="7"/>
  <c r="BE284" i="7"/>
  <c r="CM311" i="7"/>
  <c r="DH311" i="7" s="1"/>
  <c r="CC305" i="7"/>
  <c r="CX305" i="7" s="1"/>
  <c r="G279" i="7"/>
  <c r="BM93" i="7"/>
  <c r="BT291" i="7"/>
  <c r="CO291" i="7" s="1"/>
  <c r="BV289" i="7"/>
  <c r="CQ289" i="7" s="1"/>
  <c r="CI290" i="7"/>
  <c r="DD290" i="7" s="1"/>
  <c r="DS289" i="7"/>
  <c r="P289" i="7" s="1"/>
  <c r="CA283" i="7"/>
  <c r="CV283" i="7" s="1"/>
  <c r="BO281" i="7"/>
  <c r="CG284" i="7"/>
  <c r="DB284" i="7" s="1"/>
  <c r="BZ285" i="7"/>
  <c r="CU285" i="7" s="1"/>
  <c r="CD287" i="7"/>
  <c r="CY287" i="7" s="1"/>
  <c r="CF289" i="7"/>
  <c r="DA289" i="7" s="1"/>
  <c r="DI281" i="7"/>
  <c r="BP281" i="7" s="1"/>
  <c r="BQ280" i="7"/>
  <c r="H280" i="7" s="1"/>
  <c r="CH284" i="7"/>
  <c r="DC284" i="7" s="1"/>
  <c r="BN283" i="7"/>
  <c r="BD285" i="7"/>
  <c r="BE285" i="7"/>
  <c r="BF285" i="7"/>
  <c r="BS288" i="7"/>
  <c r="CN288" i="7" s="1"/>
  <c r="BU299" i="7"/>
  <c r="CP299" i="7" s="1"/>
  <c r="CE292" i="7"/>
  <c r="CZ292" i="7" s="1"/>
  <c r="CJ323" i="7"/>
  <c r="DE323" i="7" s="1"/>
  <c r="EO291" i="7" l="1"/>
  <c r="AM292" i="7"/>
  <c r="EN285" i="7"/>
  <c r="CK290" i="7"/>
  <c r="DF290" i="7" s="1"/>
  <c r="AO284" i="7"/>
  <c r="AN289" i="7"/>
  <c r="CB292" i="7"/>
  <c r="CW292" i="7" s="1"/>
  <c r="CL288" i="7"/>
  <c r="DG288" i="7" s="1"/>
  <c r="EM287" i="7"/>
  <c r="DO286" i="7"/>
  <c r="DZ284" i="7"/>
  <c r="EA284" i="7"/>
  <c r="EB283" i="7"/>
  <c r="DX283" i="7"/>
  <c r="DW283" i="7"/>
  <c r="EF288" i="7"/>
  <c r="EC288" i="7"/>
  <c r="N94" i="7"/>
  <c r="D83" i="32"/>
  <c r="AW287" i="7"/>
  <c r="BB287" i="7"/>
  <c r="AY287" i="7"/>
  <c r="AV287" i="7"/>
  <c r="AX287" i="7"/>
  <c r="AU287" i="7"/>
  <c r="BA287" i="7"/>
  <c r="M288" i="7"/>
  <c r="AU288" i="7" s="1"/>
  <c r="DV288" i="7"/>
  <c r="BC287" i="7"/>
  <c r="AT287" i="7"/>
  <c r="BX321" i="7"/>
  <c r="CS321" i="7" s="1"/>
  <c r="BY321" i="7"/>
  <c r="CT321" i="7" s="1"/>
  <c r="BW323" i="7"/>
  <c r="CR323" i="7" s="1"/>
  <c r="DR286" i="7"/>
  <c r="DQ286" i="7"/>
  <c r="DP286" i="7"/>
  <c r="AG286" i="7"/>
  <c r="DK286" i="7"/>
  <c r="AF286" i="7"/>
  <c r="AI286" i="7" s="1"/>
  <c r="DM286" i="7"/>
  <c r="DJ286" i="7"/>
  <c r="DL286" i="7"/>
  <c r="DN286" i="7"/>
  <c r="AH286" i="7"/>
  <c r="CM312" i="7"/>
  <c r="DH312" i="7" s="1"/>
  <c r="CC306" i="7"/>
  <c r="CX306" i="7" s="1"/>
  <c r="G280" i="7"/>
  <c r="B93" i="7"/>
  <c r="BV290" i="7"/>
  <c r="CQ290" i="7" s="1"/>
  <c r="CI291" i="7"/>
  <c r="DD291" i="7" s="1"/>
  <c r="DS290" i="7"/>
  <c r="P290" i="7" s="1"/>
  <c r="BT292" i="7"/>
  <c r="CO292" i="7" s="1"/>
  <c r="CA284" i="7"/>
  <c r="CV284" i="7" s="1"/>
  <c r="BO282" i="7"/>
  <c r="CG285" i="7"/>
  <c r="DB285" i="7" s="1"/>
  <c r="BZ286" i="7"/>
  <c r="CU286" i="7" s="1"/>
  <c r="CD288" i="7"/>
  <c r="CY288" i="7" s="1"/>
  <c r="BN284" i="7"/>
  <c r="CH285" i="7"/>
  <c r="DC285" i="7" s="1"/>
  <c r="CF290" i="7"/>
  <c r="DA290" i="7" s="1"/>
  <c r="DI282" i="7"/>
  <c r="BP282" i="7" s="1"/>
  <c r="BQ281" i="7"/>
  <c r="H281" i="7" s="1"/>
  <c r="BS289" i="7"/>
  <c r="CN289" i="7" s="1"/>
  <c r="BU300" i="7"/>
  <c r="CP300" i="7" s="1"/>
  <c r="CE293" i="7"/>
  <c r="CZ293" i="7" s="1"/>
  <c r="CJ324" i="7"/>
  <c r="DE324" i="7" s="1"/>
  <c r="AM293" i="7" l="1"/>
  <c r="CK291" i="7"/>
  <c r="DF291" i="7" s="1"/>
  <c r="AN290" i="7"/>
  <c r="EN286" i="7"/>
  <c r="EO292" i="7"/>
  <c r="AO285" i="7"/>
  <c r="CB293" i="7"/>
  <c r="CW293" i="7" s="1"/>
  <c r="F83" i="32"/>
  <c r="G83" i="32" s="1"/>
  <c r="P83" i="32" s="1"/>
  <c r="Q83" i="32" s="1"/>
  <c r="AR94" i="7"/>
  <c r="BI94" i="7" s="1"/>
  <c r="AP94" i="7"/>
  <c r="BG94" i="7" s="1"/>
  <c r="AQ94" i="7"/>
  <c r="BH94" i="7" s="1"/>
  <c r="CL289" i="7"/>
  <c r="DG289" i="7" s="1"/>
  <c r="EM288" i="7"/>
  <c r="DO287" i="7"/>
  <c r="DX284" i="7"/>
  <c r="DW284" i="7"/>
  <c r="EB284" i="7"/>
  <c r="EF289" i="7"/>
  <c r="EC289" i="7"/>
  <c r="DZ285" i="7"/>
  <c r="EA285" i="7"/>
  <c r="AJ94" i="7"/>
  <c r="C94" i="7" s="1"/>
  <c r="AL94" i="7"/>
  <c r="E94" i="7" s="1"/>
  <c r="AK94" i="7"/>
  <c r="D94" i="7" s="1"/>
  <c r="BA288" i="7"/>
  <c r="AW288" i="7"/>
  <c r="BB288" i="7"/>
  <c r="AY288" i="7"/>
  <c r="AV288" i="7"/>
  <c r="AX288" i="7"/>
  <c r="BC288" i="7"/>
  <c r="AT288" i="7"/>
  <c r="AZ288" i="7"/>
  <c r="M289" i="7"/>
  <c r="AV289" i="7" s="1"/>
  <c r="DV289" i="7"/>
  <c r="BY322" i="7"/>
  <c r="CT322" i="7" s="1"/>
  <c r="BX322" i="7"/>
  <c r="CS322" i="7" s="1"/>
  <c r="BW324" i="7"/>
  <c r="CR324" i="7" s="1"/>
  <c r="BE286" i="7"/>
  <c r="AF287" i="7"/>
  <c r="AI287" i="7" s="1"/>
  <c r="DM287" i="7"/>
  <c r="AH287" i="7"/>
  <c r="BD286" i="7"/>
  <c r="DR287" i="7"/>
  <c r="DJ287" i="7"/>
  <c r="DJ288" i="7" s="1"/>
  <c r="BF286" i="7"/>
  <c r="DP287" i="7"/>
  <c r="DQ287" i="7"/>
  <c r="DK287" i="7"/>
  <c r="DL287" i="7"/>
  <c r="AG287" i="7"/>
  <c r="DN287" i="7"/>
  <c r="CM313" i="7"/>
  <c r="DH313" i="7" s="1"/>
  <c r="CC307" i="7"/>
  <c r="CX307" i="7" s="1"/>
  <c r="G281" i="7"/>
  <c r="BT293" i="7"/>
  <c r="CO293" i="7" s="1"/>
  <c r="CI292" i="7"/>
  <c r="DD292" i="7" s="1"/>
  <c r="DS291" i="7"/>
  <c r="P291" i="7" s="1"/>
  <c r="BV291" i="7"/>
  <c r="CQ291" i="7" s="1"/>
  <c r="BO283" i="7"/>
  <c r="CA285" i="7"/>
  <c r="CV285" i="7" s="1"/>
  <c r="CG286" i="7"/>
  <c r="DB286" i="7" s="1"/>
  <c r="BZ287" i="7"/>
  <c r="CU287" i="7" s="1"/>
  <c r="CD289" i="7"/>
  <c r="CY289" i="7" s="1"/>
  <c r="CH286" i="7"/>
  <c r="DC286" i="7" s="1"/>
  <c r="BN285" i="7"/>
  <c r="BQ282" i="7"/>
  <c r="H282" i="7" s="1"/>
  <c r="DI283" i="7"/>
  <c r="BP283" i="7" s="1"/>
  <c r="CF291" i="7"/>
  <c r="DA291" i="7" s="1"/>
  <c r="AF288" i="7"/>
  <c r="AI288" i="7" s="1"/>
  <c r="BS290" i="7"/>
  <c r="CN290" i="7" s="1"/>
  <c r="BU301" i="7"/>
  <c r="CP301" i="7" s="1"/>
  <c r="CE294" i="7"/>
  <c r="CZ294" i="7" s="1"/>
  <c r="CJ325" i="7"/>
  <c r="DE325" i="7" s="1"/>
  <c r="AO286" i="7" l="1"/>
  <c r="CK292" i="7"/>
  <c r="DF292" i="7" s="1"/>
  <c r="EO293" i="7"/>
  <c r="AM294" i="7"/>
  <c r="AN291" i="7"/>
  <c r="EN287" i="7"/>
  <c r="CB294" i="7"/>
  <c r="CW294" i="7" s="1"/>
  <c r="DO288" i="7"/>
  <c r="CL290" i="7"/>
  <c r="DG290" i="7" s="1"/>
  <c r="EM289" i="7"/>
  <c r="DZ286" i="7"/>
  <c r="EA286" i="7"/>
  <c r="EF290" i="7"/>
  <c r="EC290" i="7"/>
  <c r="EB285" i="7"/>
  <c r="DX285" i="7"/>
  <c r="DW285" i="7"/>
  <c r="DM288" i="7"/>
  <c r="BA289" i="7"/>
  <c r="AW289" i="7"/>
  <c r="AX289" i="7"/>
  <c r="BC289" i="7"/>
  <c r="AU289" i="7"/>
  <c r="DJ289" i="7" s="1"/>
  <c r="AZ289" i="7"/>
  <c r="DO289" i="7" s="1"/>
  <c r="AY289" i="7"/>
  <c r="BB289" i="7"/>
  <c r="AT289" i="7"/>
  <c r="M290" i="7"/>
  <c r="AX290" i="7" s="1"/>
  <c r="DV290" i="7"/>
  <c r="BX323" i="7"/>
  <c r="CS323" i="7" s="1"/>
  <c r="BY323" i="7"/>
  <c r="CT323" i="7" s="1"/>
  <c r="BW325" i="7"/>
  <c r="CR325" i="7" s="1"/>
  <c r="BF287" i="7"/>
  <c r="DK288" i="7"/>
  <c r="DK289" i="7" s="1"/>
  <c r="BD287" i="7"/>
  <c r="DP288" i="7"/>
  <c r="AG288" i="7"/>
  <c r="BE287" i="7"/>
  <c r="AH288" i="7"/>
  <c r="DQ288" i="7"/>
  <c r="DL288" i="7"/>
  <c r="DR288" i="7"/>
  <c r="DN288" i="7"/>
  <c r="CM314" i="7"/>
  <c r="DH314" i="7" s="1"/>
  <c r="CC308" i="7"/>
  <c r="CX308" i="7" s="1"/>
  <c r="G282" i="7"/>
  <c r="BL94" i="7"/>
  <c r="F94" i="7"/>
  <c r="BJ94" i="7"/>
  <c r="BK94" i="7"/>
  <c r="BV292" i="7"/>
  <c r="CQ292" i="7" s="1"/>
  <c r="CI293" i="7"/>
  <c r="DD293" i="7" s="1"/>
  <c r="DS292" i="7"/>
  <c r="P292" i="7" s="1"/>
  <c r="BT294" i="7"/>
  <c r="CO294" i="7" s="1"/>
  <c r="CA286" i="7"/>
  <c r="CV286" i="7" s="1"/>
  <c r="BO284" i="7"/>
  <c r="CG287" i="7"/>
  <c r="DB287" i="7" s="1"/>
  <c r="BZ288" i="7"/>
  <c r="CU288" i="7" s="1"/>
  <c r="CD290" i="7"/>
  <c r="CY290" i="7" s="1"/>
  <c r="CF292" i="7"/>
  <c r="DA292" i="7" s="1"/>
  <c r="DI284" i="7"/>
  <c r="BP284" i="7" s="1"/>
  <c r="BQ283" i="7"/>
  <c r="H283" i="7" s="1"/>
  <c r="CH287" i="7"/>
  <c r="DC287" i="7" s="1"/>
  <c r="BN286" i="7"/>
  <c r="AF289" i="7"/>
  <c r="AI289" i="7" s="1"/>
  <c r="AH289" i="7"/>
  <c r="AG289" i="7"/>
  <c r="BS291" i="7"/>
  <c r="CN291" i="7" s="1"/>
  <c r="BU302" i="7"/>
  <c r="CP302" i="7" s="1"/>
  <c r="CE295" i="7"/>
  <c r="CZ295" i="7" s="1"/>
  <c r="CJ326" i="7"/>
  <c r="DE326" i="7" s="1"/>
  <c r="AN292" i="7" l="1"/>
  <c r="CK293" i="7"/>
  <c r="DF293" i="7" s="1"/>
  <c r="AO287" i="7"/>
  <c r="AM295" i="7"/>
  <c r="EN288" i="7"/>
  <c r="EO294" i="7"/>
  <c r="DN289" i="7"/>
  <c r="CB295" i="7"/>
  <c r="CW295" i="7" s="1"/>
  <c r="CL291" i="7"/>
  <c r="DG291" i="7" s="1"/>
  <c r="EM290" i="7"/>
  <c r="DM289" i="7"/>
  <c r="DQ289" i="7"/>
  <c r="EA287" i="7"/>
  <c r="DZ287" i="7"/>
  <c r="EC291" i="7"/>
  <c r="EF291" i="7"/>
  <c r="EB286" i="7"/>
  <c r="DX286" i="7"/>
  <c r="DW286" i="7"/>
  <c r="DP289" i="7"/>
  <c r="AU290" i="7"/>
  <c r="BB290" i="7"/>
  <c r="AV290" i="7"/>
  <c r="BA290" i="7"/>
  <c r="AY290" i="7"/>
  <c r="AZ290" i="7"/>
  <c r="AT290" i="7"/>
  <c r="M291" i="7"/>
  <c r="BA291" i="7" s="1"/>
  <c r="DV291" i="7"/>
  <c r="AW290" i="7"/>
  <c r="BC290" i="7"/>
  <c r="BY324" i="7"/>
  <c r="CT324" i="7" s="1"/>
  <c r="BX324" i="7"/>
  <c r="CS324" i="7" s="1"/>
  <c r="BW326" i="7"/>
  <c r="CR326" i="7" s="1"/>
  <c r="BD288" i="7"/>
  <c r="BE288" i="7"/>
  <c r="DL289" i="7"/>
  <c r="DR289" i="7"/>
  <c r="BF288" i="7"/>
  <c r="CM315" i="7"/>
  <c r="DH315" i="7" s="1"/>
  <c r="CC309" i="7"/>
  <c r="CX309" i="7" s="1"/>
  <c r="G283" i="7"/>
  <c r="BM94" i="7"/>
  <c r="DS293" i="7"/>
  <c r="P293" i="7" s="1"/>
  <c r="CI294" i="7"/>
  <c r="DD294" i="7" s="1"/>
  <c r="BT295" i="7"/>
  <c r="CO295" i="7" s="1"/>
  <c r="BV293" i="7"/>
  <c r="CQ293" i="7" s="1"/>
  <c r="CA287" i="7"/>
  <c r="CV287" i="7" s="1"/>
  <c r="BO285" i="7"/>
  <c r="CG288" i="7"/>
  <c r="DB288" i="7" s="1"/>
  <c r="BZ289" i="7"/>
  <c r="CU289" i="7" s="1"/>
  <c r="CD291" i="7"/>
  <c r="CY291" i="7" s="1"/>
  <c r="DI285" i="7"/>
  <c r="BP285" i="7" s="1"/>
  <c r="BQ284" i="7"/>
  <c r="H284" i="7" s="1"/>
  <c r="CF293" i="7"/>
  <c r="DA293" i="7" s="1"/>
  <c r="CH288" i="7"/>
  <c r="DC288" i="7" s="1"/>
  <c r="BN287" i="7"/>
  <c r="BS292" i="7"/>
  <c r="CN292" i="7" s="1"/>
  <c r="BD289" i="7"/>
  <c r="BE289" i="7"/>
  <c r="BF289" i="7"/>
  <c r="BU303" i="7"/>
  <c r="CP303" i="7" s="1"/>
  <c r="CE296" i="7"/>
  <c r="CZ296" i="7" s="1"/>
  <c r="CJ327" i="7"/>
  <c r="DE327" i="7" s="1"/>
  <c r="EO295" i="7" l="1"/>
  <c r="CK294" i="7"/>
  <c r="DF294" i="7" s="1"/>
  <c r="AO288" i="7"/>
  <c r="AM296" i="7"/>
  <c r="AN293" i="7"/>
  <c r="EN289" i="7"/>
  <c r="CB296" i="7"/>
  <c r="CW296" i="7" s="1"/>
  <c r="CL292" i="7"/>
  <c r="DG292" i="7" s="1"/>
  <c r="EM291" i="7"/>
  <c r="DK290" i="7"/>
  <c r="EC292" i="7"/>
  <c r="EF292" i="7"/>
  <c r="EA288" i="7"/>
  <c r="DZ288" i="7"/>
  <c r="EB287" i="7"/>
  <c r="DX287" i="7"/>
  <c r="DW287" i="7"/>
  <c r="N95" i="7"/>
  <c r="D84" i="32"/>
  <c r="AU291" i="7"/>
  <c r="AY291" i="7"/>
  <c r="AX291" i="7"/>
  <c r="AZ291" i="7"/>
  <c r="BC291" i="7"/>
  <c r="AW291" i="7"/>
  <c r="BB291" i="7"/>
  <c r="AV291" i="7"/>
  <c r="M292" i="7"/>
  <c r="AX292" i="7" s="1"/>
  <c r="DV292" i="7"/>
  <c r="AT291" i="7"/>
  <c r="BX325" i="7"/>
  <c r="CS325" i="7" s="1"/>
  <c r="BY325" i="7"/>
  <c r="CT325" i="7" s="1"/>
  <c r="BW327" i="7"/>
  <c r="CR327" i="7" s="1"/>
  <c r="AG290" i="7"/>
  <c r="AH290" i="7"/>
  <c r="DL290" i="7"/>
  <c r="DR290" i="7"/>
  <c r="DN290" i="7"/>
  <c r="DP290" i="7"/>
  <c r="DO290" i="7"/>
  <c r="DJ290" i="7"/>
  <c r="AF290" i="7"/>
  <c r="AI290" i="7" s="1"/>
  <c r="DQ290" i="7"/>
  <c r="DM290" i="7"/>
  <c r="CM316" i="7"/>
  <c r="DH316" i="7" s="1"/>
  <c r="CC310" i="7"/>
  <c r="CX310" i="7" s="1"/>
  <c r="G284" i="7"/>
  <c r="B94" i="7"/>
  <c r="BV294" i="7"/>
  <c r="CQ294" i="7" s="1"/>
  <c r="DS294" i="7"/>
  <c r="P294" i="7" s="1"/>
  <c r="CI295" i="7"/>
  <c r="DD295" i="7" s="1"/>
  <c r="BT296" i="7"/>
  <c r="CO296" i="7" s="1"/>
  <c r="BO286" i="7"/>
  <c r="CA288" i="7"/>
  <c r="CV288" i="7" s="1"/>
  <c r="CG289" i="7"/>
  <c r="DB289" i="7" s="1"/>
  <c r="BZ290" i="7"/>
  <c r="CU290" i="7" s="1"/>
  <c r="CD292" i="7"/>
  <c r="CY292" i="7" s="1"/>
  <c r="CH289" i="7"/>
  <c r="DC289" i="7" s="1"/>
  <c r="BN288" i="7"/>
  <c r="CF294" i="7"/>
  <c r="DA294" i="7" s="1"/>
  <c r="DI286" i="7"/>
  <c r="BP286" i="7" s="1"/>
  <c r="BQ285" i="7"/>
  <c r="H285" i="7" s="1"/>
  <c r="BS293" i="7"/>
  <c r="CN293" i="7" s="1"/>
  <c r="BU304" i="7"/>
  <c r="CP304" i="7" s="1"/>
  <c r="CE297" i="7"/>
  <c r="CZ297" i="7" s="1"/>
  <c r="CJ328" i="7"/>
  <c r="DE328" i="7" s="1"/>
  <c r="AM297" i="7" l="1"/>
  <c r="CK295" i="7"/>
  <c r="DF295" i="7" s="1"/>
  <c r="EO296" i="7"/>
  <c r="AN294" i="7"/>
  <c r="EN290" i="7"/>
  <c r="AO289" i="7"/>
  <c r="CB297" i="7"/>
  <c r="CW297" i="7" s="1"/>
  <c r="F84" i="32"/>
  <c r="G84" i="32" s="1"/>
  <c r="P84" i="32" s="1"/>
  <c r="Q84" i="32" s="1"/>
  <c r="AP95" i="7"/>
  <c r="BG95" i="7" s="1"/>
  <c r="AQ95" i="7"/>
  <c r="BH95" i="7" s="1"/>
  <c r="AR95" i="7"/>
  <c r="BI95" i="7" s="1"/>
  <c r="CL293" i="7"/>
  <c r="DG293" i="7" s="1"/>
  <c r="EM292" i="7"/>
  <c r="AT292" i="7"/>
  <c r="AL95" i="7"/>
  <c r="E95" i="7" s="1"/>
  <c r="AJ95" i="7"/>
  <c r="C95" i="7" s="1"/>
  <c r="EF293" i="7"/>
  <c r="EC293" i="7"/>
  <c r="DZ289" i="7"/>
  <c r="EA289" i="7"/>
  <c r="EB288" i="7"/>
  <c r="DX288" i="7"/>
  <c r="DW288" i="7"/>
  <c r="AK95" i="7"/>
  <c r="D95" i="7" s="1"/>
  <c r="AY292" i="7"/>
  <c r="AU292" i="7"/>
  <c r="AZ292" i="7"/>
  <c r="AV292" i="7"/>
  <c r="AW292" i="7"/>
  <c r="BB292" i="7"/>
  <c r="BA292" i="7"/>
  <c r="BC292" i="7"/>
  <c r="M293" i="7"/>
  <c r="BA293" i="7" s="1"/>
  <c r="DV293" i="7"/>
  <c r="BY326" i="7"/>
  <c r="CT326" i="7" s="1"/>
  <c r="BX326" i="7"/>
  <c r="CS326" i="7" s="1"/>
  <c r="BW328" i="7"/>
  <c r="CR328" i="7" s="1"/>
  <c r="DO291" i="7"/>
  <c r="BF290" i="7"/>
  <c r="DL291" i="7"/>
  <c r="AG291" i="7"/>
  <c r="DP291" i="7"/>
  <c r="AF291" i="7"/>
  <c r="AI291" i="7" s="1"/>
  <c r="DK291" i="7"/>
  <c r="DJ291" i="7"/>
  <c r="DQ291" i="7"/>
  <c r="BE290" i="7"/>
  <c r="DR291" i="7"/>
  <c r="DN291" i="7"/>
  <c r="BD290" i="7"/>
  <c r="DM291" i="7"/>
  <c r="AH291" i="7"/>
  <c r="BE291" i="7"/>
  <c r="CM317" i="7"/>
  <c r="DH317" i="7" s="1"/>
  <c r="CC311" i="7"/>
  <c r="CX311" i="7" s="1"/>
  <c r="G285" i="7"/>
  <c r="CI296" i="7"/>
  <c r="DD296" i="7" s="1"/>
  <c r="DS295" i="7"/>
  <c r="P295" i="7" s="1"/>
  <c r="BT297" i="7"/>
  <c r="CO297" i="7" s="1"/>
  <c r="BV295" i="7"/>
  <c r="CQ295" i="7" s="1"/>
  <c r="BO287" i="7"/>
  <c r="CA289" i="7"/>
  <c r="CV289" i="7" s="1"/>
  <c r="CG290" i="7"/>
  <c r="DB290" i="7" s="1"/>
  <c r="BZ291" i="7"/>
  <c r="CU291" i="7" s="1"/>
  <c r="CD293" i="7"/>
  <c r="CY293" i="7" s="1"/>
  <c r="CF295" i="7"/>
  <c r="DA295" i="7" s="1"/>
  <c r="DI287" i="7"/>
  <c r="BP287" i="7" s="1"/>
  <c r="BQ286" i="7"/>
  <c r="H286" i="7" s="1"/>
  <c r="CH290" i="7"/>
  <c r="DC290" i="7" s="1"/>
  <c r="BN289" i="7"/>
  <c r="BS294" i="7"/>
  <c r="CN294" i="7" s="1"/>
  <c r="AG292" i="7"/>
  <c r="AH292" i="7"/>
  <c r="BU305" i="7"/>
  <c r="CP305" i="7" s="1"/>
  <c r="CE298" i="7"/>
  <c r="CZ298" i="7" s="1"/>
  <c r="CJ329" i="7"/>
  <c r="DE329" i="7" s="1"/>
  <c r="AN295" i="7" l="1"/>
  <c r="CK296" i="7"/>
  <c r="DF296" i="7" s="1"/>
  <c r="EN291" i="7"/>
  <c r="AM298" i="7"/>
  <c r="AO290" i="7"/>
  <c r="EO297" i="7"/>
  <c r="CB298" i="7"/>
  <c r="CW298" i="7" s="1"/>
  <c r="CL294" i="7"/>
  <c r="DG294" i="7" s="1"/>
  <c r="EM293" i="7"/>
  <c r="DO292" i="7"/>
  <c r="DQ292" i="7"/>
  <c r="EA290" i="7"/>
  <c r="DZ290" i="7"/>
  <c r="DW289" i="7"/>
  <c r="EB289" i="7"/>
  <c r="DX289" i="7"/>
  <c r="EF294" i="7"/>
  <c r="EC294" i="7"/>
  <c r="AX293" i="7"/>
  <c r="AW293" i="7"/>
  <c r="AZ293" i="7"/>
  <c r="DK292" i="7"/>
  <c r="AY293" i="7"/>
  <c r="AU293" i="7"/>
  <c r="BB293" i="7"/>
  <c r="AV293" i="7"/>
  <c r="BC293" i="7"/>
  <c r="AT293" i="7"/>
  <c r="DP292" i="7"/>
  <c r="DP293" i="7" s="1"/>
  <c r="M294" i="7"/>
  <c r="AT294" i="7" s="1"/>
  <c r="DV294" i="7"/>
  <c r="BX327" i="7"/>
  <c r="CS327" i="7" s="1"/>
  <c r="BY327" i="7"/>
  <c r="CT327" i="7" s="1"/>
  <c r="BW329" i="7"/>
  <c r="CR329" i="7" s="1"/>
  <c r="DL292" i="7"/>
  <c r="DN292" i="7"/>
  <c r="BD291" i="7"/>
  <c r="DM292" i="7"/>
  <c r="BF291" i="7"/>
  <c r="DR292" i="7"/>
  <c r="DJ292" i="7"/>
  <c r="AF292" i="7"/>
  <c r="AI292" i="7" s="1"/>
  <c r="CM318" i="7"/>
  <c r="DH318" i="7" s="1"/>
  <c r="CC312" i="7"/>
  <c r="CX312" i="7" s="1"/>
  <c r="G286" i="7"/>
  <c r="BK95" i="7"/>
  <c r="F95" i="7"/>
  <c r="BJ95" i="7"/>
  <c r="BL95" i="7"/>
  <c r="BT298" i="7"/>
  <c r="CO298" i="7" s="1"/>
  <c r="BV296" i="7"/>
  <c r="CQ296" i="7" s="1"/>
  <c r="CI297" i="7"/>
  <c r="DD297" i="7" s="1"/>
  <c r="DS296" i="7"/>
  <c r="P296" i="7" s="1"/>
  <c r="CA290" i="7"/>
  <c r="CV290" i="7" s="1"/>
  <c r="BO288" i="7"/>
  <c r="CG291" i="7"/>
  <c r="DB291" i="7" s="1"/>
  <c r="BZ292" i="7"/>
  <c r="CU292" i="7" s="1"/>
  <c r="CD294" i="7"/>
  <c r="CY294" i="7" s="1"/>
  <c r="CF296" i="7"/>
  <c r="DA296" i="7" s="1"/>
  <c r="BN290" i="7"/>
  <c r="CH291" i="7"/>
  <c r="DC291" i="7" s="1"/>
  <c r="BQ287" i="7"/>
  <c r="H287" i="7" s="1"/>
  <c r="DI288" i="7"/>
  <c r="BP288" i="7" s="1"/>
  <c r="BD292" i="7"/>
  <c r="BE292" i="7"/>
  <c r="BS295" i="7"/>
  <c r="CN295" i="7" s="1"/>
  <c r="AH293" i="7"/>
  <c r="AG293" i="7"/>
  <c r="AF293" i="7"/>
  <c r="AI293" i="7" s="1"/>
  <c r="BU306" i="7"/>
  <c r="CP306" i="7" s="1"/>
  <c r="CE299" i="7"/>
  <c r="CZ299" i="7" s="1"/>
  <c r="CJ330" i="7"/>
  <c r="DE330" i="7" s="1"/>
  <c r="EN292" i="7" l="1"/>
  <c r="CK297" i="7"/>
  <c r="DF297" i="7" s="1"/>
  <c r="EO298" i="7"/>
  <c r="AO291" i="7"/>
  <c r="AM299" i="7"/>
  <c r="AN296" i="7"/>
  <c r="CB299" i="7"/>
  <c r="CW299" i="7" s="1"/>
  <c r="CL295" i="7"/>
  <c r="DG295" i="7" s="1"/>
  <c r="EM294" i="7"/>
  <c r="DQ293" i="7"/>
  <c r="DR293" i="7"/>
  <c r="DN293" i="7"/>
  <c r="DJ293" i="7"/>
  <c r="DL293" i="7"/>
  <c r="DK293" i="7"/>
  <c r="AX294" i="7"/>
  <c r="DZ291" i="7"/>
  <c r="EA291" i="7"/>
  <c r="DW290" i="7"/>
  <c r="EB290" i="7"/>
  <c r="DX290" i="7"/>
  <c r="EC295" i="7"/>
  <c r="EF295" i="7"/>
  <c r="DO293" i="7"/>
  <c r="BA294" i="7"/>
  <c r="DP294" i="7" s="1"/>
  <c r="AZ294" i="7"/>
  <c r="BB294" i="7"/>
  <c r="BC294" i="7"/>
  <c r="AW294" i="7"/>
  <c r="AU294" i="7"/>
  <c r="M295" i="7"/>
  <c r="AV295" i="7" s="1"/>
  <c r="DV295" i="7"/>
  <c r="AV294" i="7"/>
  <c r="AY294" i="7"/>
  <c r="BY328" i="7"/>
  <c r="CT328" i="7" s="1"/>
  <c r="BX328" i="7"/>
  <c r="CS328" i="7" s="1"/>
  <c r="BW330" i="7"/>
  <c r="CR330" i="7" s="1"/>
  <c r="DM293" i="7"/>
  <c r="BF292" i="7"/>
  <c r="CM319" i="7"/>
  <c r="DH319" i="7" s="1"/>
  <c r="CC313" i="7"/>
  <c r="CX313" i="7" s="1"/>
  <c r="G287" i="7"/>
  <c r="BM95" i="7"/>
  <c r="BV297" i="7"/>
  <c r="CQ297" i="7" s="1"/>
  <c r="BT299" i="7"/>
  <c r="CO299" i="7" s="1"/>
  <c r="DS297" i="7"/>
  <c r="P297" i="7" s="1"/>
  <c r="CI298" i="7"/>
  <c r="DD298" i="7" s="1"/>
  <c r="BO289" i="7"/>
  <c r="CA291" i="7"/>
  <c r="CV291" i="7" s="1"/>
  <c r="CG292" i="7"/>
  <c r="DB292" i="7" s="1"/>
  <c r="BZ293" i="7"/>
  <c r="CU293" i="7" s="1"/>
  <c r="CD295" i="7"/>
  <c r="CY295" i="7" s="1"/>
  <c r="BQ288" i="7"/>
  <c r="H288" i="7" s="1"/>
  <c r="DI289" i="7"/>
  <c r="BP289" i="7" s="1"/>
  <c r="CF297" i="7"/>
  <c r="DA297" i="7" s="1"/>
  <c r="CH292" i="7"/>
  <c r="DC292" i="7" s="1"/>
  <c r="BN291" i="7"/>
  <c r="BS296" i="7"/>
  <c r="CN296" i="7" s="1"/>
  <c r="BD293" i="7"/>
  <c r="BE293" i="7"/>
  <c r="BF293" i="7"/>
  <c r="AF294" i="7"/>
  <c r="AI294" i="7" s="1"/>
  <c r="BU307" i="7"/>
  <c r="CP307" i="7" s="1"/>
  <c r="CE300" i="7"/>
  <c r="CZ300" i="7" s="1"/>
  <c r="CJ331" i="7"/>
  <c r="DE331" i="7" s="1"/>
  <c r="EO299" i="7" l="1"/>
  <c r="CK298" i="7"/>
  <c r="DF298" i="7" s="1"/>
  <c r="AO292" i="7"/>
  <c r="AM300" i="7"/>
  <c r="AN297" i="7"/>
  <c r="EN293" i="7"/>
  <c r="DM294" i="7"/>
  <c r="CB300" i="7"/>
  <c r="CW300" i="7" s="1"/>
  <c r="DK294" i="7"/>
  <c r="CL296" i="7"/>
  <c r="DG296" i="7" s="1"/>
  <c r="EM295" i="7"/>
  <c r="DQ294" i="7"/>
  <c r="DJ294" i="7"/>
  <c r="DR294" i="7"/>
  <c r="DO294" i="7"/>
  <c r="DW291" i="7"/>
  <c r="EB291" i="7"/>
  <c r="DX291" i="7"/>
  <c r="EC296" i="7"/>
  <c r="EF296" i="7"/>
  <c r="DZ292" i="7"/>
  <c r="EA292" i="7"/>
  <c r="N96" i="7"/>
  <c r="D85" i="32"/>
  <c r="DL294" i="7"/>
  <c r="AU295" i="7"/>
  <c r="AY295" i="7"/>
  <c r="AZ295" i="7"/>
  <c r="AT295" i="7"/>
  <c r="BA295" i="7"/>
  <c r="BB295" i="7"/>
  <c r="AW295" i="7"/>
  <c r="BC295" i="7"/>
  <c r="AX295" i="7"/>
  <c r="M296" i="7"/>
  <c r="BB296" i="7" s="1"/>
  <c r="DV296" i="7"/>
  <c r="BX329" i="7"/>
  <c r="CS329" i="7" s="1"/>
  <c r="BY329" i="7"/>
  <c r="CT329" i="7" s="1"/>
  <c r="BW331" i="7"/>
  <c r="CR331" i="7" s="1"/>
  <c r="AG294" i="7"/>
  <c r="AH294" i="7"/>
  <c r="DN294" i="7"/>
  <c r="CM320" i="7"/>
  <c r="DH320" i="7" s="1"/>
  <c r="CC314" i="7"/>
  <c r="CX314" i="7" s="1"/>
  <c r="G288" i="7"/>
  <c r="B95" i="7"/>
  <c r="DS298" i="7"/>
  <c r="P298" i="7" s="1"/>
  <c r="CI299" i="7"/>
  <c r="DD299" i="7" s="1"/>
  <c r="BT300" i="7"/>
  <c r="CO300" i="7" s="1"/>
  <c r="BV298" i="7"/>
  <c r="CQ298" i="7" s="1"/>
  <c r="CA292" i="7"/>
  <c r="CV292" i="7" s="1"/>
  <c r="BO290" i="7"/>
  <c r="CG293" i="7"/>
  <c r="DB293" i="7" s="1"/>
  <c r="BZ294" i="7"/>
  <c r="CU294" i="7" s="1"/>
  <c r="CD296" i="7"/>
  <c r="CY296" i="7" s="1"/>
  <c r="BQ289" i="7"/>
  <c r="H289" i="7" s="1"/>
  <c r="DI290" i="7"/>
  <c r="BP290" i="7" s="1"/>
  <c r="CF298" i="7"/>
  <c r="DA298" i="7" s="1"/>
  <c r="BN292" i="7"/>
  <c r="CH293" i="7"/>
  <c r="DC293" i="7" s="1"/>
  <c r="BS297" i="7"/>
  <c r="CN297" i="7" s="1"/>
  <c r="AF295" i="7"/>
  <c r="AI295" i="7" s="1"/>
  <c r="BU308" i="7"/>
  <c r="CP308" i="7" s="1"/>
  <c r="CE301" i="7"/>
  <c r="CZ301" i="7" s="1"/>
  <c r="CJ332" i="7"/>
  <c r="DE332" i="7" s="1"/>
  <c r="AN298" i="7" l="1"/>
  <c r="EN294" i="7"/>
  <c r="AO293" i="7"/>
  <c r="EO300" i="7"/>
  <c r="CK299" i="7"/>
  <c r="DF299" i="7" s="1"/>
  <c r="AM301" i="7"/>
  <c r="DK295" i="7"/>
  <c r="CB301" i="7"/>
  <c r="CW301" i="7" s="1"/>
  <c r="F85" i="32"/>
  <c r="G85" i="32" s="1"/>
  <c r="P85" i="32" s="1"/>
  <c r="Q85" i="32" s="1"/>
  <c r="AP96" i="7"/>
  <c r="BG96" i="7" s="1"/>
  <c r="AQ96" i="7"/>
  <c r="BH96" i="7" s="1"/>
  <c r="AR96" i="7"/>
  <c r="BI96" i="7" s="1"/>
  <c r="DJ295" i="7"/>
  <c r="CL297" i="7"/>
  <c r="DG297" i="7" s="1"/>
  <c r="EM296" i="7"/>
  <c r="EF297" i="7"/>
  <c r="EC297" i="7"/>
  <c r="DZ293" i="7"/>
  <c r="EA293" i="7"/>
  <c r="EB292" i="7"/>
  <c r="DW292" i="7"/>
  <c r="DX292" i="7"/>
  <c r="AX296" i="7"/>
  <c r="AL96" i="7"/>
  <c r="E96" i="7" s="1"/>
  <c r="AT296" i="7"/>
  <c r="AK96" i="7"/>
  <c r="D96" i="7" s="1"/>
  <c r="AJ96" i="7"/>
  <c r="C96" i="7" s="1"/>
  <c r="BA296" i="7"/>
  <c r="AW296" i="7"/>
  <c r="AY296" i="7"/>
  <c r="BC296" i="7"/>
  <c r="AZ296" i="7"/>
  <c r="AU296" i="7"/>
  <c r="DJ296" i="7" s="1"/>
  <c r="AV296" i="7"/>
  <c r="M297" i="7"/>
  <c r="AZ297" i="7" s="1"/>
  <c r="DV297" i="7"/>
  <c r="BY330" i="7"/>
  <c r="CT330" i="7" s="1"/>
  <c r="BX330" i="7"/>
  <c r="CS330" i="7" s="1"/>
  <c r="BW332" i="7"/>
  <c r="CR332" i="7" s="1"/>
  <c r="BE294" i="7"/>
  <c r="DO295" i="7"/>
  <c r="DR295" i="7"/>
  <c r="AH295" i="7"/>
  <c r="AG295" i="7"/>
  <c r="BD294" i="7"/>
  <c r="DP295" i="7"/>
  <c r="DQ295" i="7"/>
  <c r="DL295" i="7"/>
  <c r="BF294" i="7"/>
  <c r="DM295" i="7"/>
  <c r="DN295" i="7"/>
  <c r="CM321" i="7"/>
  <c r="DH321" i="7" s="1"/>
  <c r="CC315" i="7"/>
  <c r="CX315" i="7" s="1"/>
  <c r="G289" i="7"/>
  <c r="BT301" i="7"/>
  <c r="CO301" i="7" s="1"/>
  <c r="CI300" i="7"/>
  <c r="DD300" i="7" s="1"/>
  <c r="DS299" i="7"/>
  <c r="P299" i="7" s="1"/>
  <c r="BV299" i="7"/>
  <c r="CQ299" i="7" s="1"/>
  <c r="BO291" i="7"/>
  <c r="CA293" i="7"/>
  <c r="CV293" i="7" s="1"/>
  <c r="CG294" i="7"/>
  <c r="DB294" i="7" s="1"/>
  <c r="BZ295" i="7"/>
  <c r="CU295" i="7" s="1"/>
  <c r="CD297" i="7"/>
  <c r="CY297" i="7" s="1"/>
  <c r="CF299" i="7"/>
  <c r="DA299" i="7" s="1"/>
  <c r="CH294" i="7"/>
  <c r="DC294" i="7" s="1"/>
  <c r="BN293" i="7"/>
  <c r="BQ290" i="7"/>
  <c r="H290" i="7" s="1"/>
  <c r="DI291" i="7"/>
  <c r="BP291" i="7" s="1"/>
  <c r="BS298" i="7"/>
  <c r="CN298" i="7" s="1"/>
  <c r="AF296" i="7"/>
  <c r="AI296" i="7" s="1"/>
  <c r="AG296" i="7"/>
  <c r="BU309" i="7"/>
  <c r="CP309" i="7" s="1"/>
  <c r="CE302" i="7"/>
  <c r="CZ302" i="7" s="1"/>
  <c r="CJ333" i="7"/>
  <c r="DE333" i="7" s="1"/>
  <c r="DK296" i="7" l="1"/>
  <c r="EN295" i="7"/>
  <c r="AO294" i="7"/>
  <c r="AM302" i="7"/>
  <c r="AN299" i="7"/>
  <c r="EO301" i="7"/>
  <c r="CK300" i="7"/>
  <c r="DF300" i="7" s="1"/>
  <c r="CB302" i="7"/>
  <c r="CW302" i="7" s="1"/>
  <c r="CL298" i="7"/>
  <c r="DG298" i="7" s="1"/>
  <c r="EM297" i="7"/>
  <c r="DP296" i="7"/>
  <c r="EB293" i="7"/>
  <c r="DX293" i="7"/>
  <c r="DW293" i="7"/>
  <c r="EF298" i="7"/>
  <c r="EC298" i="7"/>
  <c r="DZ294" i="7"/>
  <c r="EA294" i="7"/>
  <c r="BC297" i="7"/>
  <c r="AW297" i="7"/>
  <c r="AU297" i="7"/>
  <c r="AV297" i="7"/>
  <c r="DK297" i="7" s="1"/>
  <c r="AT297" i="7"/>
  <c r="AX297" i="7"/>
  <c r="BA297" i="7"/>
  <c r="M298" i="7"/>
  <c r="AU298" i="7" s="1"/>
  <c r="DV298" i="7"/>
  <c r="AY297" i="7"/>
  <c r="BB297" i="7"/>
  <c r="BX331" i="7"/>
  <c r="CS331" i="7" s="1"/>
  <c r="BY331" i="7"/>
  <c r="CT331" i="7" s="1"/>
  <c r="BW333" i="7"/>
  <c r="CR333" i="7" s="1"/>
  <c r="DO296" i="7"/>
  <c r="DO297" i="7" s="1"/>
  <c r="DQ296" i="7"/>
  <c r="DL296" i="7"/>
  <c r="BF295" i="7"/>
  <c r="BE295" i="7"/>
  <c r="AH296" i="7"/>
  <c r="DR296" i="7"/>
  <c r="DN296" i="7"/>
  <c r="BD295" i="7"/>
  <c r="DM296" i="7"/>
  <c r="CM322" i="7"/>
  <c r="DH322" i="7" s="1"/>
  <c r="CC316" i="7"/>
  <c r="CX316" i="7" s="1"/>
  <c r="G290" i="7"/>
  <c r="BL96" i="7"/>
  <c r="BK96" i="7"/>
  <c r="F96" i="7"/>
  <c r="BJ96" i="7"/>
  <c r="BV300" i="7"/>
  <c r="CQ300" i="7" s="1"/>
  <c r="DS300" i="7"/>
  <c r="P300" i="7" s="1"/>
  <c r="CI301" i="7"/>
  <c r="DD301" i="7" s="1"/>
  <c r="BT302" i="7"/>
  <c r="CO302" i="7" s="1"/>
  <c r="BO292" i="7"/>
  <c r="CA294" i="7"/>
  <c r="CV294" i="7" s="1"/>
  <c r="CG295" i="7"/>
  <c r="DB295" i="7" s="1"/>
  <c r="BZ296" i="7"/>
  <c r="CU296" i="7" s="1"/>
  <c r="CD298" i="7"/>
  <c r="CY298" i="7" s="1"/>
  <c r="BQ291" i="7"/>
  <c r="H291" i="7" s="1"/>
  <c r="DI292" i="7"/>
  <c r="BP292" i="7" s="1"/>
  <c r="BN294" i="7"/>
  <c r="CH295" i="7"/>
  <c r="DC295" i="7" s="1"/>
  <c r="CF300" i="7"/>
  <c r="DA300" i="7" s="1"/>
  <c r="BS299" i="7"/>
  <c r="CN299" i="7" s="1"/>
  <c r="AF297" i="7"/>
  <c r="AI297" i="7" s="1"/>
  <c r="AH297" i="7"/>
  <c r="AG297" i="7"/>
  <c r="BU310" i="7"/>
  <c r="CP310" i="7" s="1"/>
  <c r="CE303" i="7"/>
  <c r="CZ303" i="7" s="1"/>
  <c r="CJ334" i="7"/>
  <c r="DE334" i="7" s="1"/>
  <c r="DM297" i="7" l="1"/>
  <c r="CK301" i="7"/>
  <c r="DF301" i="7" s="1"/>
  <c r="AN300" i="7"/>
  <c r="AM303" i="7"/>
  <c r="EN296" i="7"/>
  <c r="EO302" i="7"/>
  <c r="AO295" i="7"/>
  <c r="CB303" i="7"/>
  <c r="CW303" i="7" s="1"/>
  <c r="CL299" i="7"/>
  <c r="DG299" i="7" s="1"/>
  <c r="EM298" i="7"/>
  <c r="DR297" i="7"/>
  <c r="EC299" i="7"/>
  <c r="EF299" i="7"/>
  <c r="DZ295" i="7"/>
  <c r="EA295" i="7"/>
  <c r="EB294" i="7"/>
  <c r="DX294" i="7"/>
  <c r="DW294" i="7"/>
  <c r="AY298" i="7"/>
  <c r="AW298" i="7"/>
  <c r="AZ298" i="7"/>
  <c r="DO298" i="7" s="1"/>
  <c r="AX298" i="7"/>
  <c r="BC298" i="7"/>
  <c r="DR298" i="7" s="1"/>
  <c r="AT298" i="7"/>
  <c r="BA298" i="7"/>
  <c r="BB298" i="7"/>
  <c r="M299" i="7"/>
  <c r="AW299" i="7" s="1"/>
  <c r="DV299" i="7"/>
  <c r="DQ297" i="7"/>
  <c r="AV298" i="7"/>
  <c r="DK298" i="7" s="1"/>
  <c r="BY332" i="7"/>
  <c r="CT332" i="7" s="1"/>
  <c r="BX332" i="7"/>
  <c r="CS332" i="7" s="1"/>
  <c r="BW334" i="7"/>
  <c r="CR334" i="7" s="1"/>
  <c r="DL297" i="7"/>
  <c r="BD296" i="7"/>
  <c r="BF296" i="7"/>
  <c r="DN297" i="7"/>
  <c r="BE296" i="7"/>
  <c r="DP297" i="7"/>
  <c r="DJ297" i="7"/>
  <c r="CM323" i="7"/>
  <c r="DH323" i="7" s="1"/>
  <c r="CC317" i="7"/>
  <c r="CX317" i="7" s="1"/>
  <c r="G291" i="7"/>
  <c r="BM96" i="7"/>
  <c r="BT303" i="7"/>
  <c r="CO303" i="7" s="1"/>
  <c r="DS301" i="7"/>
  <c r="P301" i="7" s="1"/>
  <c r="CI302" i="7"/>
  <c r="DD302" i="7" s="1"/>
  <c r="BV301" i="7"/>
  <c r="CQ301" i="7" s="1"/>
  <c r="CA295" i="7"/>
  <c r="CV295" i="7" s="1"/>
  <c r="BO293" i="7"/>
  <c r="CG296" i="7"/>
  <c r="DB296" i="7" s="1"/>
  <c r="BZ297" i="7"/>
  <c r="CU297" i="7" s="1"/>
  <c r="CD299" i="7"/>
  <c r="CY299" i="7" s="1"/>
  <c r="CF301" i="7"/>
  <c r="DA301" i="7" s="1"/>
  <c r="BQ292" i="7"/>
  <c r="H292" i="7" s="1"/>
  <c r="DI293" i="7"/>
  <c r="BP293" i="7" s="1"/>
  <c r="CH296" i="7"/>
  <c r="DC296" i="7" s="1"/>
  <c r="BN295" i="7"/>
  <c r="AG298" i="7"/>
  <c r="BS300" i="7"/>
  <c r="CN300" i="7" s="1"/>
  <c r="BU311" i="7"/>
  <c r="CP311" i="7" s="1"/>
  <c r="CE304" i="7"/>
  <c r="CZ304" i="7" s="1"/>
  <c r="CJ335" i="7"/>
  <c r="DE335" i="7" s="1"/>
  <c r="AN301" i="7" l="1"/>
  <c r="EO303" i="7"/>
  <c r="EN297" i="7"/>
  <c r="CK302" i="7"/>
  <c r="DF302" i="7" s="1"/>
  <c r="AM304" i="7"/>
  <c r="AO296" i="7"/>
  <c r="DP298" i="7"/>
  <c r="CB304" i="7"/>
  <c r="CW304" i="7" s="1"/>
  <c r="CL300" i="7"/>
  <c r="DG300" i="7" s="1"/>
  <c r="EM299" i="7"/>
  <c r="EA296" i="7"/>
  <c r="DZ296" i="7"/>
  <c r="EB295" i="7"/>
  <c r="DX295" i="7"/>
  <c r="DW295" i="7"/>
  <c r="EF300" i="7"/>
  <c r="EC300" i="7"/>
  <c r="N97" i="7"/>
  <c r="D86" i="32"/>
  <c r="AT299" i="7"/>
  <c r="BC299" i="7"/>
  <c r="DR299" i="7" s="1"/>
  <c r="AX299" i="7"/>
  <c r="BA299" i="7"/>
  <c r="AU299" i="7"/>
  <c r="AZ299" i="7"/>
  <c r="DO299" i="7" s="1"/>
  <c r="DL298" i="7"/>
  <c r="BB299" i="7"/>
  <c r="AV299" i="7"/>
  <c r="DQ298" i="7"/>
  <c r="M300" i="7"/>
  <c r="AX300" i="7" s="1"/>
  <c r="DV300" i="7"/>
  <c r="AY299" i="7"/>
  <c r="BX333" i="7"/>
  <c r="CS333" i="7" s="1"/>
  <c r="BY333" i="7"/>
  <c r="CT333" i="7" s="1"/>
  <c r="BW335" i="7"/>
  <c r="CR335" i="7" s="1"/>
  <c r="BE297" i="7"/>
  <c r="BD297" i="7"/>
  <c r="BF297" i="7"/>
  <c r="DM298" i="7"/>
  <c r="DN298" i="7"/>
  <c r="AH298" i="7"/>
  <c r="DJ298" i="7"/>
  <c r="AF298" i="7"/>
  <c r="AI298" i="7" s="1"/>
  <c r="CM324" i="7"/>
  <c r="DH324" i="7" s="1"/>
  <c r="CC318" i="7"/>
  <c r="CX318" i="7" s="1"/>
  <c r="G292" i="7"/>
  <c r="B96" i="7"/>
  <c r="BV302" i="7"/>
  <c r="CQ302" i="7" s="1"/>
  <c r="BT304" i="7"/>
  <c r="CO304" i="7" s="1"/>
  <c r="DS302" i="7"/>
  <c r="P302" i="7" s="1"/>
  <c r="CI303" i="7"/>
  <c r="DD303" i="7" s="1"/>
  <c r="CA296" i="7"/>
  <c r="CV296" i="7" s="1"/>
  <c r="BO294" i="7"/>
  <c r="CG297" i="7"/>
  <c r="DB297" i="7" s="1"/>
  <c r="BZ298" i="7"/>
  <c r="CU298" i="7" s="1"/>
  <c r="CD300" i="7"/>
  <c r="CY300" i="7" s="1"/>
  <c r="CF302" i="7"/>
  <c r="DA302" i="7" s="1"/>
  <c r="CH297" i="7"/>
  <c r="DC297" i="7" s="1"/>
  <c r="BN296" i="7"/>
  <c r="DI294" i="7"/>
  <c r="BP294" i="7" s="1"/>
  <c r="BQ293" i="7"/>
  <c r="H293" i="7" s="1"/>
  <c r="AH299" i="7"/>
  <c r="BS301" i="7"/>
  <c r="CN301" i="7" s="1"/>
  <c r="BU312" i="7"/>
  <c r="CP312" i="7" s="1"/>
  <c r="CE305" i="7"/>
  <c r="CZ305" i="7" s="1"/>
  <c r="CJ336" i="7"/>
  <c r="DE336" i="7" s="1"/>
  <c r="AO297" i="7" l="1"/>
  <c r="AM305" i="7"/>
  <c r="AN302" i="7"/>
  <c r="EO304" i="7"/>
  <c r="CK303" i="7"/>
  <c r="DF303" i="7" s="1"/>
  <c r="EN298" i="7"/>
  <c r="CB305" i="7"/>
  <c r="CW305" i="7" s="1"/>
  <c r="F86" i="32"/>
  <c r="G86" i="32" s="1"/>
  <c r="P86" i="32" s="1"/>
  <c r="Q86" i="32" s="1"/>
  <c r="AQ97" i="7"/>
  <c r="BH97" i="7" s="1"/>
  <c r="AR97" i="7"/>
  <c r="BI97" i="7" s="1"/>
  <c r="AP97" i="7"/>
  <c r="BG97" i="7" s="1"/>
  <c r="DK299" i="7"/>
  <c r="CL301" i="7"/>
  <c r="DG301" i="7" s="1"/>
  <c r="EM300" i="7"/>
  <c r="AT300" i="7"/>
  <c r="AJ97" i="7"/>
  <c r="C97" i="7" s="1"/>
  <c r="EF301" i="7"/>
  <c r="EC301" i="7"/>
  <c r="DW296" i="7"/>
  <c r="DX296" i="7"/>
  <c r="EB296" i="7"/>
  <c r="DZ297" i="7"/>
  <c r="EA297" i="7"/>
  <c r="AL97" i="7"/>
  <c r="E97" i="7" s="1"/>
  <c r="AK97" i="7"/>
  <c r="D97" i="7" s="1"/>
  <c r="BA300" i="7"/>
  <c r="AW300" i="7"/>
  <c r="AY300" i="7"/>
  <c r="AZ300" i="7"/>
  <c r="DO300" i="7" s="1"/>
  <c r="AU300" i="7"/>
  <c r="BC300" i="7"/>
  <c r="DR300" i="7" s="1"/>
  <c r="AV300" i="7"/>
  <c r="BB300" i="7"/>
  <c r="M301" i="7"/>
  <c r="AZ301" i="7" s="1"/>
  <c r="DV301" i="7"/>
  <c r="BY334" i="7"/>
  <c r="CT334" i="7" s="1"/>
  <c r="BX334" i="7"/>
  <c r="CS334" i="7" s="1"/>
  <c r="BW336" i="7"/>
  <c r="CR336" i="7" s="1"/>
  <c r="DM299" i="7"/>
  <c r="BE298" i="7"/>
  <c r="DQ299" i="7"/>
  <c r="AG299" i="7"/>
  <c r="BD298" i="7"/>
  <c r="DJ299" i="7"/>
  <c r="AF299" i="7"/>
  <c r="AI299" i="7" s="1"/>
  <c r="DP299" i="7"/>
  <c r="DL299" i="7"/>
  <c r="DN299" i="7"/>
  <c r="BF298" i="7"/>
  <c r="CM325" i="7"/>
  <c r="DH325" i="7" s="1"/>
  <c r="CC319" i="7"/>
  <c r="CX319" i="7" s="1"/>
  <c r="G293" i="7"/>
  <c r="DS303" i="7"/>
  <c r="P303" i="7" s="1"/>
  <c r="CI304" i="7"/>
  <c r="DD304" i="7" s="1"/>
  <c r="BT305" i="7"/>
  <c r="CO305" i="7" s="1"/>
  <c r="BV303" i="7"/>
  <c r="CQ303" i="7" s="1"/>
  <c r="CA297" i="7"/>
  <c r="CV297" i="7" s="1"/>
  <c r="BO295" i="7"/>
  <c r="CG298" i="7"/>
  <c r="DB298" i="7" s="1"/>
  <c r="BZ299" i="7"/>
  <c r="CU299" i="7" s="1"/>
  <c r="CD301" i="7"/>
  <c r="CY301" i="7" s="1"/>
  <c r="BN297" i="7"/>
  <c r="CH298" i="7"/>
  <c r="DC298" i="7" s="1"/>
  <c r="CF303" i="7"/>
  <c r="DA303" i="7" s="1"/>
  <c r="BQ294" i="7"/>
  <c r="H294" i="7" s="1"/>
  <c r="DI295" i="7"/>
  <c r="BP295" i="7" s="1"/>
  <c r="BS302" i="7"/>
  <c r="CN302" i="7" s="1"/>
  <c r="BU313" i="7"/>
  <c r="CP313" i="7" s="1"/>
  <c r="CE306" i="7"/>
  <c r="CZ306" i="7" s="1"/>
  <c r="CJ337" i="7"/>
  <c r="DE337" i="7" s="1"/>
  <c r="AN303" i="7" l="1"/>
  <c r="EN299" i="7"/>
  <c r="AM306" i="7"/>
  <c r="AO298" i="7"/>
  <c r="EO305" i="7"/>
  <c r="CK304" i="7"/>
  <c r="DF304" i="7" s="1"/>
  <c r="CB306" i="7"/>
  <c r="CW306" i="7" s="1"/>
  <c r="CL302" i="7"/>
  <c r="DG302" i="7" s="1"/>
  <c r="EM301" i="7"/>
  <c r="DZ298" i="7"/>
  <c r="EA298" i="7"/>
  <c r="EB297" i="7"/>
  <c r="DX297" i="7"/>
  <c r="DW297" i="7"/>
  <c r="EF302" i="7"/>
  <c r="EC302" i="7"/>
  <c r="DK300" i="7"/>
  <c r="DQ300" i="7"/>
  <c r="AX301" i="7"/>
  <c r="AW301" i="7"/>
  <c r="AV301" i="7"/>
  <c r="AU301" i="7"/>
  <c r="AT301" i="7"/>
  <c r="BC301" i="7"/>
  <c r="BA301" i="7"/>
  <c r="M302" i="7"/>
  <c r="AU302" i="7" s="1"/>
  <c r="DV302" i="7"/>
  <c r="AY301" i="7"/>
  <c r="BB301" i="7"/>
  <c r="BX335" i="7"/>
  <c r="CS335" i="7" s="1"/>
  <c r="BY335" i="7"/>
  <c r="CT335" i="7" s="1"/>
  <c r="BW337" i="7"/>
  <c r="CR337" i="7" s="1"/>
  <c r="DJ300" i="7"/>
  <c r="DN300" i="7"/>
  <c r="BF299" i="7"/>
  <c r="AG300" i="7"/>
  <c r="BE299" i="7"/>
  <c r="DL300" i="7"/>
  <c r="AH300" i="7"/>
  <c r="DP300" i="7"/>
  <c r="AF300" i="7"/>
  <c r="AI300" i="7" s="1"/>
  <c r="DM300" i="7"/>
  <c r="BD299" i="7"/>
  <c r="CM326" i="7"/>
  <c r="DH326" i="7" s="1"/>
  <c r="CC320" i="7"/>
  <c r="CX320" i="7" s="1"/>
  <c r="G294" i="7"/>
  <c r="DO301" i="7" s="1"/>
  <c r="F97" i="7"/>
  <c r="BJ97" i="7"/>
  <c r="BL97" i="7"/>
  <c r="BK97" i="7"/>
  <c r="BT306" i="7"/>
  <c r="CO306" i="7" s="1"/>
  <c r="DS304" i="7"/>
  <c r="P304" i="7" s="1"/>
  <c r="CI305" i="7"/>
  <c r="DD305" i="7" s="1"/>
  <c r="BV304" i="7"/>
  <c r="CQ304" i="7" s="1"/>
  <c r="BO296" i="7"/>
  <c r="CA298" i="7"/>
  <c r="CV298" i="7" s="1"/>
  <c r="CG299" i="7"/>
  <c r="DB299" i="7" s="1"/>
  <c r="BZ300" i="7"/>
  <c r="CU300" i="7" s="1"/>
  <c r="CD302" i="7"/>
  <c r="CY302" i="7" s="1"/>
  <c r="BN298" i="7"/>
  <c r="CH299" i="7"/>
  <c r="DC299" i="7" s="1"/>
  <c r="BQ295" i="7"/>
  <c r="H295" i="7" s="1"/>
  <c r="DI296" i="7"/>
  <c r="BP296" i="7" s="1"/>
  <c r="CF304" i="7"/>
  <c r="DA304" i="7" s="1"/>
  <c r="BS303" i="7"/>
  <c r="CN303" i="7" s="1"/>
  <c r="BU314" i="7"/>
  <c r="CP314" i="7" s="1"/>
  <c r="CE307" i="7"/>
  <c r="CZ307" i="7" s="1"/>
  <c r="CJ338" i="7"/>
  <c r="DE338" i="7" s="1"/>
  <c r="CK305" i="7" l="1"/>
  <c r="DF305" i="7" s="1"/>
  <c r="EN300" i="7"/>
  <c r="AO299" i="7"/>
  <c r="AN304" i="7"/>
  <c r="AM307" i="7"/>
  <c r="EO306" i="7"/>
  <c r="CB307" i="7"/>
  <c r="CW307" i="7" s="1"/>
  <c r="CL303" i="7"/>
  <c r="DG303" i="7" s="1"/>
  <c r="EM302" i="7"/>
  <c r="EC303" i="7"/>
  <c r="EF303" i="7"/>
  <c r="EA299" i="7"/>
  <c r="DZ299" i="7"/>
  <c r="DW298" i="7"/>
  <c r="EB298" i="7"/>
  <c r="DX298" i="7"/>
  <c r="AV302" i="7"/>
  <c r="BB302" i="7"/>
  <c r="AW302" i="7"/>
  <c r="AY302" i="7"/>
  <c r="AZ302" i="7"/>
  <c r="DO302" i="7" s="1"/>
  <c r="AX302" i="7"/>
  <c r="BC302" i="7"/>
  <c r="AT302" i="7"/>
  <c r="M303" i="7"/>
  <c r="AV303" i="7" s="1"/>
  <c r="DV303" i="7"/>
  <c r="BA302" i="7"/>
  <c r="BY336" i="7"/>
  <c r="CT336" i="7" s="1"/>
  <c r="BX336" i="7"/>
  <c r="CS336" i="7" s="1"/>
  <c r="BW338" i="7"/>
  <c r="CR338" i="7" s="1"/>
  <c r="BF300" i="7"/>
  <c r="DR301" i="7"/>
  <c r="BE300" i="7"/>
  <c r="DK301" i="7"/>
  <c r="AF301" i="7"/>
  <c r="AI301" i="7" s="1"/>
  <c r="DJ301" i="7"/>
  <c r="AG301" i="7"/>
  <c r="AH301" i="7"/>
  <c r="DL301" i="7"/>
  <c r="DP301" i="7"/>
  <c r="DQ301" i="7"/>
  <c r="BD300" i="7"/>
  <c r="DM301" i="7"/>
  <c r="DN301" i="7"/>
  <c r="CM327" i="7"/>
  <c r="DH327" i="7" s="1"/>
  <c r="CC321" i="7"/>
  <c r="CX321" i="7" s="1"/>
  <c r="G295" i="7"/>
  <c r="BM97" i="7"/>
  <c r="BV305" i="7"/>
  <c r="CQ305" i="7" s="1"/>
  <c r="CI306" i="7"/>
  <c r="DD306" i="7" s="1"/>
  <c r="DS305" i="7"/>
  <c r="P305" i="7" s="1"/>
  <c r="BT307" i="7"/>
  <c r="CO307" i="7" s="1"/>
  <c r="BO297" i="7"/>
  <c r="CA299" i="7"/>
  <c r="CV299" i="7" s="1"/>
  <c r="CG300" i="7"/>
  <c r="DB300" i="7" s="1"/>
  <c r="BZ301" i="7"/>
  <c r="CU301" i="7" s="1"/>
  <c r="CD303" i="7"/>
  <c r="CY303" i="7" s="1"/>
  <c r="DI297" i="7"/>
  <c r="BP297" i="7" s="1"/>
  <c r="BQ296" i="7"/>
  <c r="H296" i="7" s="1"/>
  <c r="CF305" i="7"/>
  <c r="DA305" i="7" s="1"/>
  <c r="BN299" i="7"/>
  <c r="CH300" i="7"/>
  <c r="DC300" i="7" s="1"/>
  <c r="BS304" i="7"/>
  <c r="CN304" i="7" s="1"/>
  <c r="BU315" i="7"/>
  <c r="CP315" i="7" s="1"/>
  <c r="CE308" i="7"/>
  <c r="CZ308" i="7" s="1"/>
  <c r="CJ339" i="7"/>
  <c r="DE339" i="7" s="1"/>
  <c r="AM308" i="7" l="1"/>
  <c r="AN305" i="7"/>
  <c r="EN301" i="7"/>
  <c r="EO307" i="7"/>
  <c r="AO300" i="7"/>
  <c r="CK306" i="7"/>
  <c r="DF306" i="7" s="1"/>
  <c r="CB308" i="7"/>
  <c r="CW308" i="7" s="1"/>
  <c r="CL304" i="7"/>
  <c r="DG304" i="7" s="1"/>
  <c r="EM303" i="7"/>
  <c r="DQ302" i="7"/>
  <c r="AW303" i="7"/>
  <c r="EB299" i="7"/>
  <c r="DX299" i="7"/>
  <c r="DW299" i="7"/>
  <c r="EF304" i="7"/>
  <c r="EC304" i="7"/>
  <c r="DZ300" i="7"/>
  <c r="EA300" i="7"/>
  <c r="N98" i="7"/>
  <c r="D87" i="32"/>
  <c r="BB303" i="7"/>
  <c r="AY303" i="7"/>
  <c r="BA303" i="7"/>
  <c r="BC303" i="7"/>
  <c r="AT303" i="7"/>
  <c r="AZ303" i="7"/>
  <c r="DO303" i="7" s="1"/>
  <c r="M304" i="7"/>
  <c r="AU304" i="7" s="1"/>
  <c r="DV304" i="7"/>
  <c r="AU303" i="7"/>
  <c r="AX303" i="7"/>
  <c r="BX337" i="7"/>
  <c r="CS337" i="7" s="1"/>
  <c r="BY337" i="7"/>
  <c r="CT337" i="7" s="1"/>
  <c r="BW339" i="7"/>
  <c r="CR339" i="7" s="1"/>
  <c r="DP302" i="7"/>
  <c r="BD301" i="7"/>
  <c r="DK302" i="7"/>
  <c r="DK303" i="7" s="1"/>
  <c r="BF301" i="7"/>
  <c r="BE301" i="7"/>
  <c r="DM302" i="7"/>
  <c r="AH302" i="7"/>
  <c r="DL302" i="7"/>
  <c r="AG302" i="7"/>
  <c r="DN302" i="7"/>
  <c r="DR302" i="7"/>
  <c r="DJ302" i="7"/>
  <c r="AF302" i="7"/>
  <c r="AI302" i="7" s="1"/>
  <c r="CM328" i="7"/>
  <c r="DH328" i="7" s="1"/>
  <c r="CC322" i="7"/>
  <c r="CX322" i="7" s="1"/>
  <c r="G296" i="7"/>
  <c r="B97" i="7"/>
  <c r="BT308" i="7"/>
  <c r="CO308" i="7" s="1"/>
  <c r="DS306" i="7"/>
  <c r="P306" i="7" s="1"/>
  <c r="CI307" i="7"/>
  <c r="DD307" i="7" s="1"/>
  <c r="BV306" i="7"/>
  <c r="CQ306" i="7" s="1"/>
  <c r="CA300" i="7"/>
  <c r="CV300" i="7" s="1"/>
  <c r="BO298" i="7"/>
  <c r="CG301" i="7"/>
  <c r="DB301" i="7" s="1"/>
  <c r="BZ302" i="7"/>
  <c r="CU302" i="7" s="1"/>
  <c r="CD304" i="7"/>
  <c r="CY304" i="7" s="1"/>
  <c r="BN300" i="7"/>
  <c r="CH301" i="7"/>
  <c r="DC301" i="7" s="1"/>
  <c r="CF306" i="7"/>
  <c r="DA306" i="7" s="1"/>
  <c r="BQ297" i="7"/>
  <c r="H297" i="7" s="1"/>
  <c r="DI298" i="7"/>
  <c r="BP298" i="7" s="1"/>
  <c r="BS305" i="7"/>
  <c r="CN305" i="7" s="1"/>
  <c r="AH303" i="7"/>
  <c r="AF303" i="7"/>
  <c r="AI303" i="7" s="1"/>
  <c r="AG303" i="7"/>
  <c r="BU316" i="7"/>
  <c r="CP316" i="7" s="1"/>
  <c r="CE309" i="7"/>
  <c r="CZ309" i="7" s="1"/>
  <c r="CJ340" i="7"/>
  <c r="DE340" i="7" s="1"/>
  <c r="EN302" i="7" l="1"/>
  <c r="AO301" i="7"/>
  <c r="CK307" i="7"/>
  <c r="DF307" i="7" s="1"/>
  <c r="AN306" i="7"/>
  <c r="AM309" i="7"/>
  <c r="EO308" i="7"/>
  <c r="CB309" i="7"/>
  <c r="CW309" i="7" s="1"/>
  <c r="DL303" i="7"/>
  <c r="F87" i="32"/>
  <c r="G87" i="32" s="1"/>
  <c r="P87" i="32" s="1"/>
  <c r="Q87" i="32" s="1"/>
  <c r="AR98" i="7"/>
  <c r="BI98" i="7" s="1"/>
  <c r="AP98" i="7"/>
  <c r="BG98" i="7" s="1"/>
  <c r="AQ98" i="7"/>
  <c r="BH98" i="7" s="1"/>
  <c r="CL305" i="7"/>
  <c r="DG305" i="7" s="1"/>
  <c r="EM304" i="7"/>
  <c r="DQ303" i="7"/>
  <c r="EF305" i="7"/>
  <c r="EC305" i="7"/>
  <c r="DZ301" i="7"/>
  <c r="EA301" i="7"/>
  <c r="EB300" i="7"/>
  <c r="DX300" i="7"/>
  <c r="DW300" i="7"/>
  <c r="AL98" i="7"/>
  <c r="E98" i="7" s="1"/>
  <c r="DN303" i="7"/>
  <c r="DP303" i="7"/>
  <c r="AV304" i="7"/>
  <c r="DK304" i="7" s="1"/>
  <c r="AK98" i="7"/>
  <c r="D98" i="7" s="1"/>
  <c r="AJ98" i="7"/>
  <c r="C98" i="7" s="1"/>
  <c r="BB304" i="7"/>
  <c r="BA304" i="7"/>
  <c r="BC304" i="7"/>
  <c r="AX304" i="7"/>
  <c r="AW304" i="7"/>
  <c r="AY304" i="7"/>
  <c r="AT304" i="7"/>
  <c r="M305" i="7"/>
  <c r="AZ305" i="7" s="1"/>
  <c r="DV305" i="7"/>
  <c r="DM303" i="7"/>
  <c r="AZ304" i="7"/>
  <c r="BY338" i="7"/>
  <c r="CT338" i="7" s="1"/>
  <c r="BX338" i="7"/>
  <c r="CS338" i="7" s="1"/>
  <c r="BW340" i="7"/>
  <c r="CR340" i="7" s="1"/>
  <c r="BF302" i="7"/>
  <c r="BD302" i="7"/>
  <c r="DJ303" i="7"/>
  <c r="DJ304" i="7" s="1"/>
  <c r="BE302" i="7"/>
  <c r="DR303" i="7"/>
  <c r="CM329" i="7"/>
  <c r="DH329" i="7" s="1"/>
  <c r="CC323" i="7"/>
  <c r="CX323" i="7" s="1"/>
  <c r="G297" i="7"/>
  <c r="BV307" i="7"/>
  <c r="CQ307" i="7" s="1"/>
  <c r="CI308" i="7"/>
  <c r="DD308" i="7" s="1"/>
  <c r="DS307" i="7"/>
  <c r="P307" i="7" s="1"/>
  <c r="BT309" i="7"/>
  <c r="CO309" i="7" s="1"/>
  <c r="BO299" i="7"/>
  <c r="CA301" i="7"/>
  <c r="CV301" i="7" s="1"/>
  <c r="CG302" i="7"/>
  <c r="DB302" i="7" s="1"/>
  <c r="BZ303" i="7"/>
  <c r="CU303" i="7" s="1"/>
  <c r="CD305" i="7"/>
  <c r="CY305" i="7" s="1"/>
  <c r="BQ298" i="7"/>
  <c r="H298" i="7" s="1"/>
  <c r="DI299" i="7"/>
  <c r="BP299" i="7" s="1"/>
  <c r="CF307" i="7"/>
  <c r="DA307" i="7" s="1"/>
  <c r="CH302" i="7"/>
  <c r="DC302" i="7" s="1"/>
  <c r="BN301" i="7"/>
  <c r="BD303" i="7"/>
  <c r="BE303" i="7"/>
  <c r="BF303" i="7"/>
  <c r="AH304" i="7"/>
  <c r="AF304" i="7"/>
  <c r="AI304" i="7" s="1"/>
  <c r="AG304" i="7"/>
  <c r="BS306" i="7"/>
  <c r="CN306" i="7" s="1"/>
  <c r="BU317" i="7"/>
  <c r="CP317" i="7" s="1"/>
  <c r="CE310" i="7"/>
  <c r="CZ310" i="7" s="1"/>
  <c r="CJ341" i="7"/>
  <c r="DE341" i="7" s="1"/>
  <c r="AN307" i="7" l="1"/>
  <c r="EO309" i="7"/>
  <c r="AM310" i="7"/>
  <c r="AO302" i="7"/>
  <c r="EN303" i="7"/>
  <c r="CK308" i="7"/>
  <c r="DF308" i="7" s="1"/>
  <c r="DL304" i="7"/>
  <c r="CB310" i="7"/>
  <c r="CW310" i="7" s="1"/>
  <c r="DP304" i="7"/>
  <c r="DQ304" i="7"/>
  <c r="DN304" i="7"/>
  <c r="CL306" i="7"/>
  <c r="DG306" i="7" s="1"/>
  <c r="EM305" i="7"/>
  <c r="DO304" i="7"/>
  <c r="EF306" i="7"/>
  <c r="EC306" i="7"/>
  <c r="EB301" i="7"/>
  <c r="DX301" i="7"/>
  <c r="DW301" i="7"/>
  <c r="EA302" i="7"/>
  <c r="DZ302" i="7"/>
  <c r="DM304" i="7"/>
  <c r="AX305" i="7"/>
  <c r="BA305" i="7"/>
  <c r="BC305" i="7"/>
  <c r="AW305" i="7"/>
  <c r="AT305" i="7"/>
  <c r="AU305" i="7"/>
  <c r="DJ305" i="7" s="1"/>
  <c r="AV305" i="7"/>
  <c r="DK305" i="7" s="1"/>
  <c r="AY305" i="7"/>
  <c r="BB305" i="7"/>
  <c r="M306" i="7"/>
  <c r="AU306" i="7" s="1"/>
  <c r="DV306" i="7"/>
  <c r="BX339" i="7"/>
  <c r="CS339" i="7" s="1"/>
  <c r="BY339" i="7"/>
  <c r="CT339" i="7" s="1"/>
  <c r="BW341" i="7"/>
  <c r="CR341" i="7" s="1"/>
  <c r="DR304" i="7"/>
  <c r="CM330" i="7"/>
  <c r="DH330" i="7" s="1"/>
  <c r="CC324" i="7"/>
  <c r="CX324" i="7" s="1"/>
  <c r="G298" i="7"/>
  <c r="BK98" i="7"/>
  <c r="BJ98" i="7"/>
  <c r="F98" i="7"/>
  <c r="BL98" i="7"/>
  <c r="DS308" i="7"/>
  <c r="P308" i="7" s="1"/>
  <c r="CI309" i="7"/>
  <c r="DD309" i="7" s="1"/>
  <c r="BT310" i="7"/>
  <c r="CO310" i="7" s="1"/>
  <c r="BV308" i="7"/>
  <c r="CQ308" i="7" s="1"/>
  <c r="BO300" i="7"/>
  <c r="CA302" i="7"/>
  <c r="CV302" i="7" s="1"/>
  <c r="CG303" i="7"/>
  <c r="DB303" i="7" s="1"/>
  <c r="BZ304" i="7"/>
  <c r="CU304" i="7" s="1"/>
  <c r="CD306" i="7"/>
  <c r="CY306" i="7" s="1"/>
  <c r="BN302" i="7"/>
  <c r="CH303" i="7"/>
  <c r="DC303" i="7" s="1"/>
  <c r="BQ299" i="7"/>
  <c r="H299" i="7" s="1"/>
  <c r="DI300" i="7"/>
  <c r="BP300" i="7" s="1"/>
  <c r="CF308" i="7"/>
  <c r="DA308" i="7" s="1"/>
  <c r="AH305" i="7"/>
  <c r="AG305" i="7"/>
  <c r="AF305" i="7"/>
  <c r="AI305" i="7" s="1"/>
  <c r="BS307" i="7"/>
  <c r="CN307" i="7" s="1"/>
  <c r="BD304" i="7"/>
  <c r="BE304" i="7"/>
  <c r="BF304" i="7"/>
  <c r="BU318" i="7"/>
  <c r="CP318" i="7" s="1"/>
  <c r="CE311" i="7"/>
  <c r="CZ311" i="7" s="1"/>
  <c r="CJ342" i="7"/>
  <c r="DE342" i="7" s="1"/>
  <c r="DL305" i="7" l="1"/>
  <c r="CK309" i="7"/>
  <c r="DF309" i="7" s="1"/>
  <c r="EN304" i="7"/>
  <c r="AN308" i="7"/>
  <c r="AM311" i="7"/>
  <c r="AO303" i="7"/>
  <c r="EO310" i="7"/>
  <c r="CB311" i="7"/>
  <c r="CW311" i="7" s="1"/>
  <c r="DN305" i="7"/>
  <c r="DP305" i="7"/>
  <c r="DQ305" i="7"/>
  <c r="DO305" i="7"/>
  <c r="CL307" i="7"/>
  <c r="DG307" i="7" s="1"/>
  <c r="EM306" i="7"/>
  <c r="DM305" i="7"/>
  <c r="EC307" i="7"/>
  <c r="EF307" i="7"/>
  <c r="EB302" i="7"/>
  <c r="DX302" i="7"/>
  <c r="DW302" i="7"/>
  <c r="EA303" i="7"/>
  <c r="DZ303" i="7"/>
  <c r="AX306" i="7"/>
  <c r="BB306" i="7"/>
  <c r="AT306" i="7"/>
  <c r="DR305" i="7"/>
  <c r="BA306" i="7"/>
  <c r="AZ306" i="7"/>
  <c r="BC306" i="7"/>
  <c r="AW306" i="7"/>
  <c r="AY306" i="7"/>
  <c r="M307" i="7"/>
  <c r="AZ307" i="7" s="1"/>
  <c r="DV307" i="7"/>
  <c r="AV306" i="7"/>
  <c r="DK306" i="7" s="1"/>
  <c r="BY340" i="7"/>
  <c r="CT340" i="7" s="1"/>
  <c r="BX340" i="7"/>
  <c r="CS340" i="7" s="1"/>
  <c r="BW342" i="7"/>
  <c r="CR342" i="7" s="1"/>
  <c r="CM331" i="7"/>
  <c r="DH331" i="7" s="1"/>
  <c r="CC325" i="7"/>
  <c r="CX325" i="7" s="1"/>
  <c r="G299" i="7"/>
  <c r="BM98" i="7"/>
  <c r="BT311" i="7"/>
  <c r="CO311" i="7" s="1"/>
  <c r="BV309" i="7"/>
  <c r="CQ309" i="7" s="1"/>
  <c r="CI310" i="7"/>
  <c r="DD310" i="7" s="1"/>
  <c r="DS309" i="7"/>
  <c r="P309" i="7" s="1"/>
  <c r="BO301" i="7"/>
  <c r="CA303" i="7"/>
  <c r="CV303" i="7" s="1"/>
  <c r="CG304" i="7"/>
  <c r="DB304" i="7" s="1"/>
  <c r="BZ305" i="7"/>
  <c r="CU305" i="7" s="1"/>
  <c r="CD307" i="7"/>
  <c r="CY307" i="7" s="1"/>
  <c r="BQ300" i="7"/>
  <c r="H300" i="7" s="1"/>
  <c r="DI301" i="7"/>
  <c r="BP301" i="7" s="1"/>
  <c r="CF309" i="7"/>
  <c r="DA309" i="7" s="1"/>
  <c r="CH304" i="7"/>
  <c r="DC304" i="7" s="1"/>
  <c r="BN303" i="7"/>
  <c r="BS308" i="7"/>
  <c r="CN308" i="7" s="1"/>
  <c r="AG306" i="7"/>
  <c r="AF306" i="7"/>
  <c r="AI306" i="7" s="1"/>
  <c r="AH306" i="7"/>
  <c r="DJ306" i="7"/>
  <c r="BE305" i="7"/>
  <c r="BD305" i="7"/>
  <c r="BF305" i="7"/>
  <c r="BU319" i="7"/>
  <c r="CP319" i="7" s="1"/>
  <c r="CE312" i="7"/>
  <c r="CZ312" i="7" s="1"/>
  <c r="CJ343" i="7"/>
  <c r="DE343" i="7" s="1"/>
  <c r="DL306" i="7" l="1"/>
  <c r="EO311" i="7"/>
  <c r="AN309" i="7"/>
  <c r="EN305" i="7"/>
  <c r="AM312" i="7"/>
  <c r="AO304" i="7"/>
  <c r="CK310" i="7"/>
  <c r="DF310" i="7" s="1"/>
  <c r="DN306" i="7"/>
  <c r="CB312" i="7"/>
  <c r="CW312" i="7" s="1"/>
  <c r="DQ306" i="7"/>
  <c r="DP306" i="7"/>
  <c r="DM306" i="7"/>
  <c r="CL308" i="7"/>
  <c r="DG308" i="7" s="1"/>
  <c r="EM307" i="7"/>
  <c r="DZ304" i="7"/>
  <c r="EA304" i="7"/>
  <c r="EC308" i="7"/>
  <c r="EF308" i="7"/>
  <c r="EB303" i="7"/>
  <c r="DX303" i="7"/>
  <c r="DW303" i="7"/>
  <c r="AV307" i="7"/>
  <c r="N99" i="7"/>
  <c r="D88" i="32"/>
  <c r="DR306" i="7"/>
  <c r="DO306" i="7"/>
  <c r="AT307" i="7"/>
  <c r="BB307" i="7"/>
  <c r="AU307" i="7"/>
  <c r="AX307" i="7"/>
  <c r="BC307" i="7"/>
  <c r="BA307" i="7"/>
  <c r="AY307" i="7"/>
  <c r="AW307" i="7"/>
  <c r="M308" i="7"/>
  <c r="AX308" i="7" s="1"/>
  <c r="DV308" i="7"/>
  <c r="BX341" i="7"/>
  <c r="CS341" i="7" s="1"/>
  <c r="BY341" i="7"/>
  <c r="CT341" i="7" s="1"/>
  <c r="BW343" i="7"/>
  <c r="CR343" i="7" s="1"/>
  <c r="CM332" i="7"/>
  <c r="DH332" i="7" s="1"/>
  <c r="CC326" i="7"/>
  <c r="CX326" i="7" s="1"/>
  <c r="G300" i="7"/>
  <c r="B98" i="7"/>
  <c r="BV310" i="7"/>
  <c r="CQ310" i="7" s="1"/>
  <c r="CI311" i="7"/>
  <c r="DD311" i="7" s="1"/>
  <c r="DS310" i="7"/>
  <c r="P310" i="7" s="1"/>
  <c r="BT312" i="7"/>
  <c r="CO312" i="7" s="1"/>
  <c r="BO302" i="7"/>
  <c r="CA304" i="7"/>
  <c r="CV304" i="7" s="1"/>
  <c r="CG305" i="7"/>
  <c r="DB305" i="7" s="1"/>
  <c r="BZ306" i="7"/>
  <c r="CU306" i="7" s="1"/>
  <c r="CD308" i="7"/>
  <c r="CY308" i="7" s="1"/>
  <c r="DI302" i="7"/>
  <c r="BP302" i="7" s="1"/>
  <c r="BQ301" i="7"/>
  <c r="H301" i="7" s="1"/>
  <c r="CF310" i="7"/>
  <c r="DA310" i="7" s="1"/>
  <c r="CH305" i="7"/>
  <c r="DC305" i="7" s="1"/>
  <c r="BN304" i="7"/>
  <c r="BF306" i="7"/>
  <c r="BD306" i="7"/>
  <c r="BE306" i="7"/>
  <c r="BS309" i="7"/>
  <c r="CN309" i="7" s="1"/>
  <c r="BU320" i="7"/>
  <c r="CP320" i="7" s="1"/>
  <c r="CE313" i="7"/>
  <c r="CZ313" i="7" s="1"/>
  <c r="CJ344" i="7"/>
  <c r="DE344" i="7" s="1"/>
  <c r="DN307" i="7" l="1"/>
  <c r="EN306" i="7"/>
  <c r="AO305" i="7"/>
  <c r="CK311" i="7"/>
  <c r="DF311" i="7" s="1"/>
  <c r="AM313" i="7"/>
  <c r="AN310" i="7"/>
  <c r="EO312" i="7"/>
  <c r="DP307" i="7"/>
  <c r="CB313" i="7"/>
  <c r="CW313" i="7" s="1"/>
  <c r="F88" i="32"/>
  <c r="G88" i="32" s="1"/>
  <c r="P88" i="32" s="1"/>
  <c r="Q88" i="32" s="1"/>
  <c r="AP99" i="7"/>
  <c r="BG99" i="7" s="1"/>
  <c r="AQ99" i="7"/>
  <c r="BH99" i="7" s="1"/>
  <c r="AR99" i="7"/>
  <c r="BI99" i="7" s="1"/>
  <c r="CL309" i="7"/>
  <c r="DG309" i="7" s="1"/>
  <c r="EM308" i="7"/>
  <c r="DO307" i="7"/>
  <c r="EF309" i="7"/>
  <c r="EC309" i="7"/>
  <c r="DW304" i="7"/>
  <c r="EB304" i="7"/>
  <c r="DX304" i="7"/>
  <c r="DZ305" i="7"/>
  <c r="EA305" i="7"/>
  <c r="AY308" i="7"/>
  <c r="DN308" i="7" s="1"/>
  <c r="AK99" i="7"/>
  <c r="D99" i="7" s="1"/>
  <c r="AL99" i="7"/>
  <c r="E99" i="7" s="1"/>
  <c r="AJ99" i="7"/>
  <c r="C99" i="7" s="1"/>
  <c r="BB308" i="7"/>
  <c r="AV308" i="7"/>
  <c r="AW308" i="7"/>
  <c r="AT308" i="7"/>
  <c r="AZ308" i="7"/>
  <c r="AU308" i="7"/>
  <c r="M309" i="7"/>
  <c r="BA309" i="7" s="1"/>
  <c r="DV309" i="7"/>
  <c r="BA308" i="7"/>
  <c r="BC308" i="7"/>
  <c r="BY342" i="7"/>
  <c r="CT342" i="7" s="1"/>
  <c r="BX342" i="7"/>
  <c r="CS342" i="7" s="1"/>
  <c r="BW344" i="7"/>
  <c r="CR344" i="7" s="1"/>
  <c r="DL307" i="7"/>
  <c r="DJ307" i="7"/>
  <c r="DM307" i="7"/>
  <c r="DK307" i="7"/>
  <c r="AF307" i="7"/>
  <c r="AI307" i="7" s="1"/>
  <c r="AH307" i="7"/>
  <c r="DR307" i="7"/>
  <c r="DQ307" i="7"/>
  <c r="AG307" i="7"/>
  <c r="CM333" i="7"/>
  <c r="DH333" i="7" s="1"/>
  <c r="CC327" i="7"/>
  <c r="CX327" i="7" s="1"/>
  <c r="G301" i="7"/>
  <c r="CI312" i="7"/>
  <c r="DD312" i="7" s="1"/>
  <c r="DS311" i="7"/>
  <c r="P311" i="7" s="1"/>
  <c r="BT313" i="7"/>
  <c r="CO313" i="7" s="1"/>
  <c r="BV311" i="7"/>
  <c r="CQ311" i="7" s="1"/>
  <c r="BO303" i="7"/>
  <c r="CA305" i="7"/>
  <c r="CV305" i="7" s="1"/>
  <c r="CG306" i="7"/>
  <c r="DB306" i="7" s="1"/>
  <c r="BZ307" i="7"/>
  <c r="CU307" i="7" s="1"/>
  <c r="CD309" i="7"/>
  <c r="CY309" i="7" s="1"/>
  <c r="BQ302" i="7"/>
  <c r="H302" i="7" s="1"/>
  <c r="DI303" i="7"/>
  <c r="BP303" i="7" s="1"/>
  <c r="CF311" i="7"/>
  <c r="DA311" i="7" s="1"/>
  <c r="CH306" i="7"/>
  <c r="DC306" i="7" s="1"/>
  <c r="BN305" i="7"/>
  <c r="AH308" i="7"/>
  <c r="AG308" i="7"/>
  <c r="BS310" i="7"/>
  <c r="CN310" i="7" s="1"/>
  <c r="BU321" i="7"/>
  <c r="CP321" i="7" s="1"/>
  <c r="CE314" i="7"/>
  <c r="CZ314" i="7" s="1"/>
  <c r="CJ345" i="7"/>
  <c r="DE345" i="7" s="1"/>
  <c r="AM314" i="7" l="1"/>
  <c r="AO306" i="7"/>
  <c r="EO313" i="7"/>
  <c r="AN311" i="7"/>
  <c r="EN307" i="7"/>
  <c r="CK312" i="7"/>
  <c r="DF312" i="7" s="1"/>
  <c r="DP308" i="7"/>
  <c r="CB314" i="7"/>
  <c r="CW314" i="7" s="1"/>
  <c r="CL310" i="7"/>
  <c r="DG310" i="7" s="1"/>
  <c r="EM309" i="7"/>
  <c r="DK308" i="7"/>
  <c r="DJ308" i="7"/>
  <c r="EB305" i="7"/>
  <c r="DW305" i="7"/>
  <c r="DX305" i="7"/>
  <c r="DZ306" i="7"/>
  <c r="EA306" i="7"/>
  <c r="EF310" i="7"/>
  <c r="EC310" i="7"/>
  <c r="AV309" i="7"/>
  <c r="AY309" i="7"/>
  <c r="DN309" i="7" s="1"/>
  <c r="BB309" i="7"/>
  <c r="AT309" i="7"/>
  <c r="AX309" i="7"/>
  <c r="AZ309" i="7"/>
  <c r="BC309" i="7"/>
  <c r="AW309" i="7"/>
  <c r="DR308" i="7"/>
  <c r="M310" i="7"/>
  <c r="AT310" i="7" s="1"/>
  <c r="DV310" i="7"/>
  <c r="AU309" i="7"/>
  <c r="BX343" i="7"/>
  <c r="CS343" i="7" s="1"/>
  <c r="BY343" i="7"/>
  <c r="CT343" i="7" s="1"/>
  <c r="BW345" i="7"/>
  <c r="CR345" i="7" s="1"/>
  <c r="DL308" i="7"/>
  <c r="BF307" i="7"/>
  <c r="DM308" i="7"/>
  <c r="DO308" i="7"/>
  <c r="BD307" i="7"/>
  <c r="BE307" i="7"/>
  <c r="AF308" i="7"/>
  <c r="AI308" i="7" s="1"/>
  <c r="DQ308" i="7"/>
  <c r="CM334" i="7"/>
  <c r="DH334" i="7" s="1"/>
  <c r="CC328" i="7"/>
  <c r="CX328" i="7" s="1"/>
  <c r="G302" i="7"/>
  <c r="BK99" i="7"/>
  <c r="BJ99" i="7"/>
  <c r="F99" i="7"/>
  <c r="BL99" i="7"/>
  <c r="BT314" i="7"/>
  <c r="CO314" i="7" s="1"/>
  <c r="BV312" i="7"/>
  <c r="CQ312" i="7" s="1"/>
  <c r="DS312" i="7"/>
  <c r="P312" i="7" s="1"/>
  <c r="CI313" i="7"/>
  <c r="DD313" i="7" s="1"/>
  <c r="CA306" i="7"/>
  <c r="CV306" i="7" s="1"/>
  <c r="BO304" i="7"/>
  <c r="CG307" i="7"/>
  <c r="DB307" i="7" s="1"/>
  <c r="BZ308" i="7"/>
  <c r="CU308" i="7" s="1"/>
  <c r="CD310" i="7"/>
  <c r="CY310" i="7" s="1"/>
  <c r="DI304" i="7"/>
  <c r="BP304" i="7" s="1"/>
  <c r="BQ303" i="7"/>
  <c r="H303" i="7" s="1"/>
  <c r="CH307" i="7"/>
  <c r="DC307" i="7" s="1"/>
  <c r="BN306" i="7"/>
  <c r="CF312" i="7"/>
  <c r="DA312" i="7" s="1"/>
  <c r="AG309" i="7"/>
  <c r="AH309" i="7"/>
  <c r="DP309" i="7"/>
  <c r="AF309" i="7"/>
  <c r="AI309" i="7" s="1"/>
  <c r="BS311" i="7"/>
  <c r="CN311" i="7" s="1"/>
  <c r="BF308" i="7"/>
  <c r="BU322" i="7"/>
  <c r="CP322" i="7" s="1"/>
  <c r="CE315" i="7"/>
  <c r="CZ315" i="7" s="1"/>
  <c r="CJ346" i="7"/>
  <c r="DE346" i="7" s="1"/>
  <c r="EO314" i="7" l="1"/>
  <c r="EN308" i="7"/>
  <c r="CK313" i="7"/>
  <c r="DF313" i="7" s="1"/>
  <c r="AO307" i="7"/>
  <c r="AM315" i="7"/>
  <c r="AN312" i="7"/>
  <c r="CB315" i="7"/>
  <c r="CW315" i="7" s="1"/>
  <c r="CL311" i="7"/>
  <c r="DG311" i="7" s="1"/>
  <c r="EM310" i="7"/>
  <c r="DK309" i="7"/>
  <c r="DQ309" i="7"/>
  <c r="DR309" i="7"/>
  <c r="DL309" i="7"/>
  <c r="DJ309" i="7"/>
  <c r="EC311" i="7"/>
  <c r="EF311" i="7"/>
  <c r="EA307" i="7"/>
  <c r="DZ307" i="7"/>
  <c r="EB306" i="7"/>
  <c r="DX306" i="7"/>
  <c r="DW306" i="7"/>
  <c r="DM309" i="7"/>
  <c r="BC310" i="7"/>
  <c r="BB310" i="7"/>
  <c r="BA310" i="7"/>
  <c r="DP310" i="7" s="1"/>
  <c r="AZ310" i="7"/>
  <c r="AX310" i="7"/>
  <c r="AW310" i="7"/>
  <c r="AU310" i="7"/>
  <c r="AV310" i="7"/>
  <c r="AY310" i="7"/>
  <c r="M311" i="7"/>
  <c r="AW311" i="7" s="1"/>
  <c r="DV311" i="7"/>
  <c r="BY344" i="7"/>
  <c r="CT344" i="7" s="1"/>
  <c r="BX344" i="7"/>
  <c r="CS344" i="7" s="1"/>
  <c r="BW346" i="7"/>
  <c r="CR346" i="7" s="1"/>
  <c r="DO309" i="7"/>
  <c r="BE308" i="7"/>
  <c r="BD308" i="7"/>
  <c r="CM335" i="7"/>
  <c r="DH335" i="7" s="1"/>
  <c r="CC329" i="7"/>
  <c r="CX329" i="7" s="1"/>
  <c r="G303" i="7"/>
  <c r="BM99" i="7"/>
  <c r="DS313" i="7"/>
  <c r="P313" i="7" s="1"/>
  <c r="CI314" i="7"/>
  <c r="DD314" i="7" s="1"/>
  <c r="BV313" i="7"/>
  <c r="CQ313" i="7" s="1"/>
  <c r="BT315" i="7"/>
  <c r="CO315" i="7" s="1"/>
  <c r="BO305" i="7"/>
  <c r="CA307" i="7"/>
  <c r="CV307" i="7" s="1"/>
  <c r="CG308" i="7"/>
  <c r="DB308" i="7" s="1"/>
  <c r="BZ309" i="7"/>
  <c r="CU309" i="7" s="1"/>
  <c r="CD311" i="7"/>
  <c r="CY311" i="7" s="1"/>
  <c r="BQ304" i="7"/>
  <c r="H304" i="7" s="1"/>
  <c r="DI305" i="7"/>
  <c r="BP305" i="7" s="1"/>
  <c r="CF313" i="7"/>
  <c r="DA313" i="7" s="1"/>
  <c r="BN307" i="7"/>
  <c r="CH308" i="7"/>
  <c r="DC308" i="7" s="1"/>
  <c r="AF310" i="7"/>
  <c r="AI310" i="7" s="1"/>
  <c r="BS312" i="7"/>
  <c r="CN312" i="7" s="1"/>
  <c r="BE309" i="7"/>
  <c r="BF309" i="7"/>
  <c r="BD309" i="7"/>
  <c r="BU323" i="7"/>
  <c r="CP323" i="7" s="1"/>
  <c r="CE316" i="7"/>
  <c r="CZ316" i="7" s="1"/>
  <c r="CJ347" i="7"/>
  <c r="DE347" i="7" s="1"/>
  <c r="AO308" i="7" l="1"/>
  <c r="AM316" i="7"/>
  <c r="AN313" i="7"/>
  <c r="EN309" i="7"/>
  <c r="EO315" i="7"/>
  <c r="CK314" i="7"/>
  <c r="DF314" i="7" s="1"/>
  <c r="CB316" i="7"/>
  <c r="CW316" i="7" s="1"/>
  <c r="CL312" i="7"/>
  <c r="DG312" i="7" s="1"/>
  <c r="EM311" i="7"/>
  <c r="DO310" i="7"/>
  <c r="EC312" i="7"/>
  <c r="EF312" i="7"/>
  <c r="DZ308" i="7"/>
  <c r="EA308" i="7"/>
  <c r="EB307" i="7"/>
  <c r="DX307" i="7"/>
  <c r="DW307" i="7"/>
  <c r="AZ311" i="7"/>
  <c r="N100" i="7"/>
  <c r="D89" i="32"/>
  <c r="AV311" i="7"/>
  <c r="AU311" i="7"/>
  <c r="BB311" i="7"/>
  <c r="AX311" i="7"/>
  <c r="AT311" i="7"/>
  <c r="BC311" i="7"/>
  <c r="BA311" i="7"/>
  <c r="DP311" i="7" s="1"/>
  <c r="M312" i="7"/>
  <c r="AX312" i="7" s="1"/>
  <c r="DV312" i="7"/>
  <c r="AY311" i="7"/>
  <c r="BX345" i="7"/>
  <c r="CS345" i="7" s="1"/>
  <c r="BY345" i="7"/>
  <c r="CT345" i="7" s="1"/>
  <c r="BW347" i="7"/>
  <c r="CR347" i="7" s="1"/>
  <c r="DR310" i="7"/>
  <c r="DQ310" i="7"/>
  <c r="DL310" i="7"/>
  <c r="AG310" i="7"/>
  <c r="DN310" i="7"/>
  <c r="DK310" i="7"/>
  <c r="DJ310" i="7"/>
  <c r="DM310" i="7"/>
  <c r="AH310" i="7"/>
  <c r="CM336" i="7"/>
  <c r="DH336" i="7" s="1"/>
  <c r="CC330" i="7"/>
  <c r="CX330" i="7" s="1"/>
  <c r="G304" i="7"/>
  <c r="B99" i="7"/>
  <c r="BV314" i="7"/>
  <c r="CQ314" i="7" s="1"/>
  <c r="BT316" i="7"/>
  <c r="CO316" i="7" s="1"/>
  <c r="CI315" i="7"/>
  <c r="DD315" i="7" s="1"/>
  <c r="DS314" i="7"/>
  <c r="P314" i="7" s="1"/>
  <c r="CA308" i="7"/>
  <c r="CV308" i="7" s="1"/>
  <c r="BO306" i="7"/>
  <c r="CG309" i="7"/>
  <c r="DB309" i="7" s="1"/>
  <c r="BZ310" i="7"/>
  <c r="CU310" i="7" s="1"/>
  <c r="CD312" i="7"/>
  <c r="CY312" i="7" s="1"/>
  <c r="CF314" i="7"/>
  <c r="DA314" i="7" s="1"/>
  <c r="BN308" i="7"/>
  <c r="CH309" i="7"/>
  <c r="DC309" i="7" s="1"/>
  <c r="DI306" i="7"/>
  <c r="BP306" i="7" s="1"/>
  <c r="BQ305" i="7"/>
  <c r="H305" i="7" s="1"/>
  <c r="BS313" i="7"/>
  <c r="CN313" i="7" s="1"/>
  <c r="AF311" i="7"/>
  <c r="AI311" i="7" s="1"/>
  <c r="AH311" i="7"/>
  <c r="BD310" i="7"/>
  <c r="BU324" i="7"/>
  <c r="CP324" i="7" s="1"/>
  <c r="CE317" i="7"/>
  <c r="CZ317" i="7" s="1"/>
  <c r="CJ348" i="7"/>
  <c r="DE348" i="7" s="1"/>
  <c r="EN310" i="7" l="1"/>
  <c r="AO309" i="7"/>
  <c r="CK315" i="7"/>
  <c r="DF315" i="7" s="1"/>
  <c r="AN314" i="7"/>
  <c r="AM317" i="7"/>
  <c r="EO316" i="7"/>
  <c r="CB317" i="7"/>
  <c r="CW317" i="7" s="1"/>
  <c r="F89" i="32"/>
  <c r="G89" i="32" s="1"/>
  <c r="P89" i="32" s="1"/>
  <c r="Q89" i="32" s="1"/>
  <c r="AP100" i="7"/>
  <c r="BG100" i="7" s="1"/>
  <c r="AQ100" i="7"/>
  <c r="BH100" i="7" s="1"/>
  <c r="AR100" i="7"/>
  <c r="BI100" i="7" s="1"/>
  <c r="CL313" i="7"/>
  <c r="DG313" i="7" s="1"/>
  <c r="EM312" i="7"/>
  <c r="EF313" i="7"/>
  <c r="EC313" i="7"/>
  <c r="DZ309" i="7"/>
  <c r="EA309" i="7"/>
  <c r="DW308" i="7"/>
  <c r="DX308" i="7"/>
  <c r="EB308" i="7"/>
  <c r="AT312" i="7"/>
  <c r="DK311" i="7"/>
  <c r="AK100" i="7"/>
  <c r="D100" i="7" s="1"/>
  <c r="AJ100" i="7"/>
  <c r="C100" i="7" s="1"/>
  <c r="AL100" i="7"/>
  <c r="E100" i="7" s="1"/>
  <c r="DQ311" i="7"/>
  <c r="AV312" i="7"/>
  <c r="AU312" i="7"/>
  <c r="AW312" i="7"/>
  <c r="AY312" i="7"/>
  <c r="AZ312" i="7"/>
  <c r="BB312" i="7"/>
  <c r="BA312" i="7"/>
  <c r="DP312" i="7" s="1"/>
  <c r="BC312" i="7"/>
  <c r="M313" i="7"/>
  <c r="AW313" i="7" s="1"/>
  <c r="DV313" i="7"/>
  <c r="BY346" i="7"/>
  <c r="CT346" i="7" s="1"/>
  <c r="BX346" i="7"/>
  <c r="CS346" i="7" s="1"/>
  <c r="BW348" i="7"/>
  <c r="CR348" i="7" s="1"/>
  <c r="DL311" i="7"/>
  <c r="DJ311" i="7"/>
  <c r="BF310" i="7"/>
  <c r="DM311" i="7"/>
  <c r="DM312" i="7" s="1"/>
  <c r="DN311" i="7"/>
  <c r="DO311" i="7"/>
  <c r="BE310" i="7"/>
  <c r="DR311" i="7"/>
  <c r="AG311" i="7"/>
  <c r="CM337" i="7"/>
  <c r="DH337" i="7" s="1"/>
  <c r="CC331" i="7"/>
  <c r="CX331" i="7" s="1"/>
  <c r="G305" i="7"/>
  <c r="BT317" i="7"/>
  <c r="CO317" i="7" s="1"/>
  <c r="CI316" i="7"/>
  <c r="DD316" i="7" s="1"/>
  <c r="DS315" i="7"/>
  <c r="P315" i="7" s="1"/>
  <c r="BV315" i="7"/>
  <c r="CQ315" i="7" s="1"/>
  <c r="BO307" i="7"/>
  <c r="CA309" i="7"/>
  <c r="CV309" i="7" s="1"/>
  <c r="CG310" i="7"/>
  <c r="DB310" i="7" s="1"/>
  <c r="BZ311" i="7"/>
  <c r="CU311" i="7" s="1"/>
  <c r="CD313" i="7"/>
  <c r="CY313" i="7" s="1"/>
  <c r="BQ306" i="7"/>
  <c r="H306" i="7" s="1"/>
  <c r="DI307" i="7"/>
  <c r="BP307" i="7" s="1"/>
  <c r="CH310" i="7"/>
  <c r="DC310" i="7" s="1"/>
  <c r="BN309" i="7"/>
  <c r="CF315" i="7"/>
  <c r="DA315" i="7" s="1"/>
  <c r="BS314" i="7"/>
  <c r="CN314" i="7" s="1"/>
  <c r="AG312" i="7"/>
  <c r="AF312" i="7"/>
  <c r="AI312" i="7" s="1"/>
  <c r="AH312" i="7"/>
  <c r="BU325" i="7"/>
  <c r="CP325" i="7" s="1"/>
  <c r="CE318" i="7"/>
  <c r="CZ318" i="7" s="1"/>
  <c r="CJ349" i="7"/>
  <c r="DE349" i="7" s="1"/>
  <c r="AO310" i="7" l="1"/>
  <c r="AN315" i="7"/>
  <c r="EO317" i="7"/>
  <c r="AM318" i="7"/>
  <c r="EN311" i="7"/>
  <c r="CK316" i="7"/>
  <c r="DF316" i="7" s="1"/>
  <c r="CB318" i="7"/>
  <c r="CW318" i="7" s="1"/>
  <c r="DQ312" i="7"/>
  <c r="CL314" i="7"/>
  <c r="DG314" i="7" s="1"/>
  <c r="EM313" i="7"/>
  <c r="DJ312" i="7"/>
  <c r="AV313" i="7"/>
  <c r="EF314" i="7"/>
  <c r="EC314" i="7"/>
  <c r="DZ310" i="7"/>
  <c r="EA310" i="7"/>
  <c r="EB309" i="7"/>
  <c r="DX309" i="7"/>
  <c r="DW309" i="7"/>
  <c r="AY313" i="7"/>
  <c r="DL312" i="7"/>
  <c r="DN312" i="7"/>
  <c r="DR312" i="7"/>
  <c r="AZ313" i="7"/>
  <c r="BC313" i="7"/>
  <c r="BB313" i="7"/>
  <c r="AT313" i="7"/>
  <c r="AX313" i="7"/>
  <c r="BA313" i="7"/>
  <c r="M314" i="7"/>
  <c r="AX314" i="7" s="1"/>
  <c r="DV314" i="7"/>
  <c r="AU313" i="7"/>
  <c r="BX347" i="7"/>
  <c r="CS347" i="7" s="1"/>
  <c r="BY347" i="7"/>
  <c r="CT347" i="7" s="1"/>
  <c r="BW349" i="7"/>
  <c r="CR349" i="7" s="1"/>
  <c r="BF311" i="7"/>
  <c r="DO312" i="7"/>
  <c r="BD311" i="7"/>
  <c r="DK312" i="7"/>
  <c r="BE311" i="7"/>
  <c r="CM338" i="7"/>
  <c r="DH338" i="7" s="1"/>
  <c r="CC332" i="7"/>
  <c r="CX332" i="7" s="1"/>
  <c r="G306" i="7"/>
  <c r="BL100" i="7"/>
  <c r="F100" i="7"/>
  <c r="BJ100" i="7"/>
  <c r="BK100" i="7"/>
  <c r="CI317" i="7"/>
  <c r="DD317" i="7" s="1"/>
  <c r="DS316" i="7"/>
  <c r="P316" i="7" s="1"/>
  <c r="BV316" i="7"/>
  <c r="CQ316" i="7" s="1"/>
  <c r="BT318" i="7"/>
  <c r="CO318" i="7" s="1"/>
  <c r="BO308" i="7"/>
  <c r="CA310" i="7"/>
  <c r="CV310" i="7" s="1"/>
  <c r="CG311" i="7"/>
  <c r="DB311" i="7" s="1"/>
  <c r="BZ312" i="7"/>
  <c r="CU312" i="7" s="1"/>
  <c r="CD314" i="7"/>
  <c r="CY314" i="7" s="1"/>
  <c r="BN310" i="7"/>
  <c r="CH311" i="7"/>
  <c r="DC311" i="7" s="1"/>
  <c r="BQ307" i="7"/>
  <c r="H307" i="7" s="1"/>
  <c r="DI308" i="7"/>
  <c r="BP308" i="7" s="1"/>
  <c r="CF316" i="7"/>
  <c r="DA316" i="7" s="1"/>
  <c r="BS315" i="7"/>
  <c r="CN315" i="7" s="1"/>
  <c r="BU326" i="7"/>
  <c r="CP326" i="7" s="1"/>
  <c r="CE319" i="7"/>
  <c r="CZ319" i="7" s="1"/>
  <c r="CJ350" i="7"/>
  <c r="DE350" i="7" s="1"/>
  <c r="AO311" i="7" l="1"/>
  <c r="AN316" i="7"/>
  <c r="CK317" i="7"/>
  <c r="DF317" i="7" s="1"/>
  <c r="AM319" i="7"/>
  <c r="EN312" i="7"/>
  <c r="EO318" i="7"/>
  <c r="CB319" i="7"/>
  <c r="CW319" i="7" s="1"/>
  <c r="CL315" i="7"/>
  <c r="DG315" i="7" s="1"/>
  <c r="EM314" i="7"/>
  <c r="AT314" i="7"/>
  <c r="EC315" i="7"/>
  <c r="EF315" i="7"/>
  <c r="EA311" i="7"/>
  <c r="DZ311" i="7"/>
  <c r="EB310" i="7"/>
  <c r="DX310" i="7"/>
  <c r="DW310" i="7"/>
  <c r="BA314" i="7"/>
  <c r="AY314" i="7"/>
  <c r="AU314" i="7"/>
  <c r="AZ314" i="7"/>
  <c r="AV314" i="7"/>
  <c r="BB314" i="7"/>
  <c r="AW314" i="7"/>
  <c r="BC314" i="7"/>
  <c r="M315" i="7"/>
  <c r="BA315" i="7" s="1"/>
  <c r="DV315" i="7"/>
  <c r="BY348" i="7"/>
  <c r="CT348" i="7" s="1"/>
  <c r="BX348" i="7"/>
  <c r="CS348" i="7" s="1"/>
  <c r="BW350" i="7"/>
  <c r="CR350" i="7" s="1"/>
  <c r="DO313" i="7"/>
  <c r="BE312" i="7"/>
  <c r="BD312" i="7"/>
  <c r="BF312" i="7"/>
  <c r="DJ313" i="7"/>
  <c r="DQ313" i="7"/>
  <c r="DL313" i="7"/>
  <c r="DK313" i="7"/>
  <c r="DM313" i="7"/>
  <c r="DM314" i="7" s="1"/>
  <c r="AG313" i="7"/>
  <c r="AH313" i="7"/>
  <c r="DR313" i="7"/>
  <c r="DN313" i="7"/>
  <c r="DP313" i="7"/>
  <c r="AF313" i="7"/>
  <c r="AI313" i="7" s="1"/>
  <c r="CM339" i="7"/>
  <c r="DH339" i="7" s="1"/>
  <c r="CC333" i="7"/>
  <c r="CX333" i="7" s="1"/>
  <c r="G307" i="7"/>
  <c r="BM100" i="7"/>
  <c r="BV317" i="7"/>
  <c r="CQ317" i="7" s="1"/>
  <c r="BT319" i="7"/>
  <c r="CO319" i="7" s="1"/>
  <c r="DS317" i="7"/>
  <c r="P317" i="7" s="1"/>
  <c r="CI318" i="7"/>
  <c r="DD318" i="7" s="1"/>
  <c r="CA311" i="7"/>
  <c r="CV311" i="7" s="1"/>
  <c r="BO309" i="7"/>
  <c r="CG312" i="7"/>
  <c r="DB312" i="7" s="1"/>
  <c r="BZ313" i="7"/>
  <c r="CU313" i="7" s="1"/>
  <c r="CD315" i="7"/>
  <c r="CY315" i="7" s="1"/>
  <c r="CF317" i="7"/>
  <c r="DA317" i="7" s="1"/>
  <c r="BN311" i="7"/>
  <c r="CH312" i="7"/>
  <c r="DC312" i="7" s="1"/>
  <c r="BQ308" i="7"/>
  <c r="H308" i="7" s="1"/>
  <c r="DI309" i="7"/>
  <c r="BP309" i="7" s="1"/>
  <c r="AF314" i="7"/>
  <c r="AI314" i="7" s="1"/>
  <c r="BS316" i="7"/>
  <c r="CN316" i="7" s="1"/>
  <c r="BU327" i="7"/>
  <c r="CP327" i="7" s="1"/>
  <c r="CE320" i="7"/>
  <c r="CZ320" i="7" s="1"/>
  <c r="CJ351" i="7"/>
  <c r="DE351" i="7" s="1"/>
  <c r="EN313" i="7" l="1"/>
  <c r="AO312" i="7"/>
  <c r="AM320" i="7"/>
  <c r="AN317" i="7"/>
  <c r="EO319" i="7"/>
  <c r="CK318" i="7"/>
  <c r="DF318" i="7" s="1"/>
  <c r="CB320" i="7"/>
  <c r="CW320" i="7" s="1"/>
  <c r="CL316" i="7"/>
  <c r="DG316" i="7" s="1"/>
  <c r="EM315" i="7"/>
  <c r="EF316" i="7"/>
  <c r="EC316" i="7"/>
  <c r="DZ312" i="7"/>
  <c r="EA312" i="7"/>
  <c r="EB311" i="7"/>
  <c r="DX311" i="7"/>
  <c r="DW311" i="7"/>
  <c r="AW315" i="7"/>
  <c r="AZ315" i="7"/>
  <c r="AX315" i="7"/>
  <c r="DM315" i="7" s="1"/>
  <c r="N101" i="7"/>
  <c r="D90" i="32"/>
  <c r="DO314" i="7"/>
  <c r="BC315" i="7"/>
  <c r="AU315" i="7"/>
  <c r="AY315" i="7"/>
  <c r="BB315" i="7"/>
  <c r="AV315" i="7"/>
  <c r="AT315" i="7"/>
  <c r="M316" i="7"/>
  <c r="AX316" i="7" s="1"/>
  <c r="DV316" i="7"/>
  <c r="BX349" i="7"/>
  <c r="CS349" i="7" s="1"/>
  <c r="BY349" i="7"/>
  <c r="CT349" i="7" s="1"/>
  <c r="BW351" i="7"/>
  <c r="CR351" i="7" s="1"/>
  <c r="DJ314" i="7"/>
  <c r="BE313" i="7"/>
  <c r="BF313" i="7"/>
  <c r="DQ314" i="7"/>
  <c r="DL314" i="7"/>
  <c r="BD313" i="7"/>
  <c r="AH314" i="7"/>
  <c r="DN314" i="7"/>
  <c r="DK314" i="7"/>
  <c r="DR314" i="7"/>
  <c r="DP314" i="7"/>
  <c r="DP315" i="7" s="1"/>
  <c r="AG314" i="7"/>
  <c r="CM340" i="7"/>
  <c r="DH340" i="7" s="1"/>
  <c r="CC334" i="7"/>
  <c r="CX334" i="7" s="1"/>
  <c r="G308" i="7"/>
  <c r="B100" i="7"/>
  <c r="DS318" i="7"/>
  <c r="P318" i="7" s="1"/>
  <c r="CI319" i="7"/>
  <c r="DD319" i="7" s="1"/>
  <c r="BT320" i="7"/>
  <c r="CO320" i="7" s="1"/>
  <c r="BV318" i="7"/>
  <c r="CQ318" i="7" s="1"/>
  <c r="CA312" i="7"/>
  <c r="CV312" i="7" s="1"/>
  <c r="BO310" i="7"/>
  <c r="CG313" i="7"/>
  <c r="DB313" i="7" s="1"/>
  <c r="BZ314" i="7"/>
  <c r="CU314" i="7" s="1"/>
  <c r="CD316" i="7"/>
  <c r="CY316" i="7" s="1"/>
  <c r="DI310" i="7"/>
  <c r="BP310" i="7" s="1"/>
  <c r="BQ309" i="7"/>
  <c r="H309" i="7" s="1"/>
  <c r="BN312" i="7"/>
  <c r="CH313" i="7"/>
  <c r="DC313" i="7" s="1"/>
  <c r="CF318" i="7"/>
  <c r="DA318" i="7" s="1"/>
  <c r="AF315" i="7"/>
  <c r="AI315" i="7" s="1"/>
  <c r="AH315" i="7"/>
  <c r="BS317" i="7"/>
  <c r="CN317" i="7" s="1"/>
  <c r="BU328" i="7"/>
  <c r="CP328" i="7" s="1"/>
  <c r="CE321" i="7"/>
  <c r="CZ321" i="7" s="1"/>
  <c r="CJ352" i="7"/>
  <c r="DE352" i="7" s="1"/>
  <c r="EN314" i="7" l="1"/>
  <c r="CK319" i="7"/>
  <c r="DF319" i="7" s="1"/>
  <c r="AM321" i="7"/>
  <c r="AO313" i="7"/>
  <c r="EO320" i="7"/>
  <c r="AN318" i="7"/>
  <c r="CB321" i="7"/>
  <c r="CW321" i="7" s="1"/>
  <c r="F90" i="32"/>
  <c r="G90" i="32" s="1"/>
  <c r="P90" i="32" s="1"/>
  <c r="Q90" i="32" s="1"/>
  <c r="AQ101" i="7"/>
  <c r="BH101" i="7" s="1"/>
  <c r="AR101" i="7"/>
  <c r="BI101" i="7" s="1"/>
  <c r="AP101" i="7"/>
  <c r="BG101" i="7" s="1"/>
  <c r="DR315" i="7"/>
  <c r="CL317" i="7"/>
  <c r="DG317" i="7" s="1"/>
  <c r="EM316" i="7"/>
  <c r="AK101" i="7"/>
  <c r="D101" i="7" s="1"/>
  <c r="EB312" i="7"/>
  <c r="DW312" i="7"/>
  <c r="DX312" i="7"/>
  <c r="DZ313" i="7"/>
  <c r="EA313" i="7"/>
  <c r="EF317" i="7"/>
  <c r="EC317" i="7"/>
  <c r="AJ101" i="7"/>
  <c r="C101" i="7" s="1"/>
  <c r="AL101" i="7"/>
  <c r="E101" i="7" s="1"/>
  <c r="BB316" i="7"/>
  <c r="AW316" i="7"/>
  <c r="AT316" i="7"/>
  <c r="AV316" i="7"/>
  <c r="AZ316" i="7"/>
  <c r="AU316" i="7"/>
  <c r="AY316" i="7"/>
  <c r="M317" i="7"/>
  <c r="BA317" i="7" s="1"/>
  <c r="DV317" i="7"/>
  <c r="BA316" i="7"/>
  <c r="BC316" i="7"/>
  <c r="BY350" i="7"/>
  <c r="CT350" i="7" s="1"/>
  <c r="BX350" i="7"/>
  <c r="CS350" i="7" s="1"/>
  <c r="BW352" i="7"/>
  <c r="CR352" i="7" s="1"/>
  <c r="DQ315" i="7"/>
  <c r="DL315" i="7"/>
  <c r="DK315" i="7"/>
  <c r="DN315" i="7"/>
  <c r="BE314" i="7"/>
  <c r="BD315" i="7"/>
  <c r="DO315" i="7"/>
  <c r="BD314" i="7"/>
  <c r="BF314" i="7"/>
  <c r="DJ315" i="7"/>
  <c r="AG315" i="7"/>
  <c r="CM341" i="7"/>
  <c r="DH341" i="7" s="1"/>
  <c r="CC335" i="7"/>
  <c r="CX335" i="7" s="1"/>
  <c r="G309" i="7"/>
  <c r="BT321" i="7"/>
  <c r="CO321" i="7" s="1"/>
  <c r="DS319" i="7"/>
  <c r="P319" i="7" s="1"/>
  <c r="CI320" i="7"/>
  <c r="DD320" i="7" s="1"/>
  <c r="BV319" i="7"/>
  <c r="CQ319" i="7" s="1"/>
  <c r="BO311" i="7"/>
  <c r="CA313" i="7"/>
  <c r="CV313" i="7" s="1"/>
  <c r="CG314" i="7"/>
  <c r="DB314" i="7" s="1"/>
  <c r="BZ315" i="7"/>
  <c r="CU315" i="7" s="1"/>
  <c r="CD317" i="7"/>
  <c r="CY317" i="7" s="1"/>
  <c r="CH314" i="7"/>
  <c r="DC314" i="7" s="1"/>
  <c r="BN313" i="7"/>
  <c r="BQ310" i="7"/>
  <c r="H310" i="7" s="1"/>
  <c r="DI311" i="7"/>
  <c r="BP311" i="7" s="1"/>
  <c r="CF319" i="7"/>
  <c r="DA319" i="7" s="1"/>
  <c r="BE315" i="7"/>
  <c r="BS318" i="7"/>
  <c r="CN318" i="7" s="1"/>
  <c r="BU329" i="7"/>
  <c r="CP329" i="7" s="1"/>
  <c r="CE322" i="7"/>
  <c r="CZ322" i="7" s="1"/>
  <c r="CJ353" i="7"/>
  <c r="DE353" i="7" s="1"/>
  <c r="EO321" i="7" l="1"/>
  <c r="CK320" i="7"/>
  <c r="DF320" i="7" s="1"/>
  <c r="AN319" i="7"/>
  <c r="EN315" i="7"/>
  <c r="AM322" i="7"/>
  <c r="AO314" i="7"/>
  <c r="CB322" i="7"/>
  <c r="CW322" i="7" s="1"/>
  <c r="CL318" i="7"/>
  <c r="DG318" i="7" s="1"/>
  <c r="EM317" i="7"/>
  <c r="DZ314" i="7"/>
  <c r="EA314" i="7"/>
  <c r="EF318" i="7"/>
  <c r="EC318" i="7"/>
  <c r="EB313" i="7"/>
  <c r="DX313" i="7"/>
  <c r="DW313" i="7"/>
  <c r="AY317" i="7"/>
  <c r="AT317" i="7"/>
  <c r="AX317" i="7"/>
  <c r="AW317" i="7"/>
  <c r="AU317" i="7"/>
  <c r="AZ317" i="7"/>
  <c r="BB317" i="7"/>
  <c r="AV317" i="7"/>
  <c r="M318" i="7"/>
  <c r="AT318" i="7" s="1"/>
  <c r="DV318" i="7"/>
  <c r="BC317" i="7"/>
  <c r="BX351" i="7"/>
  <c r="CS351" i="7" s="1"/>
  <c r="BY351" i="7"/>
  <c r="CT351" i="7" s="1"/>
  <c r="BW353" i="7"/>
  <c r="CR353" i="7" s="1"/>
  <c r="BF315" i="7"/>
  <c r="DO316" i="7"/>
  <c r="DL316" i="7"/>
  <c r="AF316" i="7"/>
  <c r="AI316" i="7" s="1"/>
  <c r="DJ316" i="7"/>
  <c r="AG316" i="7"/>
  <c r="DP316" i="7"/>
  <c r="DK316" i="7"/>
  <c r="DM316" i="7"/>
  <c r="DQ316" i="7"/>
  <c r="AH316" i="7"/>
  <c r="DR316" i="7"/>
  <c r="DN316" i="7"/>
  <c r="CM342" i="7"/>
  <c r="DH342" i="7" s="1"/>
  <c r="CC336" i="7"/>
  <c r="CX336" i="7" s="1"/>
  <c r="G310" i="7"/>
  <c r="F101" i="7"/>
  <c r="BJ101" i="7"/>
  <c r="BL101" i="7"/>
  <c r="BK101" i="7"/>
  <c r="BV320" i="7"/>
  <c r="CQ320" i="7" s="1"/>
  <c r="BT322" i="7"/>
  <c r="CO322" i="7" s="1"/>
  <c r="CI321" i="7"/>
  <c r="DD321" i="7" s="1"/>
  <c r="DS320" i="7"/>
  <c r="P320" i="7" s="1"/>
  <c r="BO312" i="7"/>
  <c r="CA314" i="7"/>
  <c r="CV314" i="7" s="1"/>
  <c r="CG315" i="7"/>
  <c r="DB315" i="7" s="1"/>
  <c r="BZ316" i="7"/>
  <c r="CU316" i="7" s="1"/>
  <c r="CD318" i="7"/>
  <c r="CY318" i="7" s="1"/>
  <c r="BQ311" i="7"/>
  <c r="H311" i="7" s="1"/>
  <c r="DI312" i="7"/>
  <c r="BP312" i="7" s="1"/>
  <c r="CH315" i="7"/>
  <c r="DC315" i="7" s="1"/>
  <c r="BN314" i="7"/>
  <c r="CF320" i="7"/>
  <c r="DA320" i="7" s="1"/>
  <c r="AH317" i="7"/>
  <c r="BS319" i="7"/>
  <c r="CN319" i="7" s="1"/>
  <c r="BU330" i="7"/>
  <c r="CP330" i="7" s="1"/>
  <c r="CE323" i="7"/>
  <c r="CZ323" i="7" s="1"/>
  <c r="CJ354" i="7"/>
  <c r="DE354" i="7" s="1"/>
  <c r="AO315" i="7" l="1"/>
  <c r="CK321" i="7"/>
  <c r="DF321" i="7" s="1"/>
  <c r="EO322" i="7"/>
  <c r="EN316" i="7"/>
  <c r="AM323" i="7"/>
  <c r="AN320" i="7"/>
  <c r="CB323" i="7"/>
  <c r="CW323" i="7" s="1"/>
  <c r="CL319" i="7"/>
  <c r="DG319" i="7" s="1"/>
  <c r="EM318" i="7"/>
  <c r="DL317" i="7"/>
  <c r="DQ317" i="7"/>
  <c r="BB318" i="7"/>
  <c r="DN317" i="7"/>
  <c r="EA315" i="7"/>
  <c r="DZ315" i="7"/>
  <c r="EB314" i="7"/>
  <c r="DX314" i="7"/>
  <c r="DW314" i="7"/>
  <c r="EC319" i="7"/>
  <c r="EF319" i="7"/>
  <c r="AV318" i="7"/>
  <c r="AZ318" i="7"/>
  <c r="BA318" i="7"/>
  <c r="AU318" i="7"/>
  <c r="AY318" i="7"/>
  <c r="AW318" i="7"/>
  <c r="BC318" i="7"/>
  <c r="AX318" i="7"/>
  <c r="M319" i="7"/>
  <c r="AZ319" i="7" s="1"/>
  <c r="DV319" i="7"/>
  <c r="BY352" i="7"/>
  <c r="CT352" i="7" s="1"/>
  <c r="BX352" i="7"/>
  <c r="CS352" i="7" s="1"/>
  <c r="BW354" i="7"/>
  <c r="CR354" i="7" s="1"/>
  <c r="DO317" i="7"/>
  <c r="DP317" i="7"/>
  <c r="BF316" i="7"/>
  <c r="BE316" i="7"/>
  <c r="DR317" i="7"/>
  <c r="BD316" i="7"/>
  <c r="DK317" i="7"/>
  <c r="AG317" i="7"/>
  <c r="DM317" i="7"/>
  <c r="AF317" i="7"/>
  <c r="AI317" i="7" s="1"/>
  <c r="DJ317" i="7"/>
  <c r="CM343" i="7"/>
  <c r="DH343" i="7" s="1"/>
  <c r="CC337" i="7"/>
  <c r="CX337" i="7" s="1"/>
  <c r="G311" i="7"/>
  <c r="BM101" i="7"/>
  <c r="BT323" i="7"/>
  <c r="CO323" i="7" s="1"/>
  <c r="CI322" i="7"/>
  <c r="DD322" i="7" s="1"/>
  <c r="DS321" i="7"/>
  <c r="P321" i="7" s="1"/>
  <c r="BV321" i="7"/>
  <c r="CQ321" i="7" s="1"/>
  <c r="CA315" i="7"/>
  <c r="CV315" i="7" s="1"/>
  <c r="BO313" i="7"/>
  <c r="CG316" i="7"/>
  <c r="DB316" i="7" s="1"/>
  <c r="BZ317" i="7"/>
  <c r="CU317" i="7" s="1"/>
  <c r="CD319" i="7"/>
  <c r="CY319" i="7" s="1"/>
  <c r="BN315" i="7"/>
  <c r="CH316" i="7"/>
  <c r="DC316" i="7" s="1"/>
  <c r="CF321" i="7"/>
  <c r="DA321" i="7" s="1"/>
  <c r="DI313" i="7"/>
  <c r="BP313" i="7" s="1"/>
  <c r="BQ312" i="7"/>
  <c r="H312" i="7" s="1"/>
  <c r="AH318" i="7"/>
  <c r="BS320" i="7"/>
  <c r="CN320" i="7" s="1"/>
  <c r="BU331" i="7"/>
  <c r="CP331" i="7" s="1"/>
  <c r="CE324" i="7"/>
  <c r="CZ324" i="7" s="1"/>
  <c r="CJ355" i="7"/>
  <c r="DE355" i="7" s="1"/>
  <c r="AM324" i="7" l="1"/>
  <c r="EO323" i="7"/>
  <c r="CK322" i="7"/>
  <c r="DF322" i="7" s="1"/>
  <c r="AN321" i="7"/>
  <c r="EN317" i="7"/>
  <c r="AO316" i="7"/>
  <c r="CB324" i="7"/>
  <c r="CW324" i="7" s="1"/>
  <c r="CL320" i="7"/>
  <c r="DG320" i="7" s="1"/>
  <c r="EM319" i="7"/>
  <c r="DP318" i="7"/>
  <c r="DO318" i="7"/>
  <c r="DO319" i="7" s="1"/>
  <c r="EF320" i="7"/>
  <c r="EC320" i="7"/>
  <c r="EA316" i="7"/>
  <c r="DZ316" i="7"/>
  <c r="EB315" i="7"/>
  <c r="DX315" i="7"/>
  <c r="DW315" i="7"/>
  <c r="N102" i="7"/>
  <c r="D91" i="32"/>
  <c r="DJ318" i="7"/>
  <c r="AT319" i="7"/>
  <c r="BA319" i="7"/>
  <c r="AU319" i="7"/>
  <c r="AX319" i="7"/>
  <c r="AV319" i="7"/>
  <c r="AY319" i="7"/>
  <c r="AW319" i="7"/>
  <c r="M320" i="7"/>
  <c r="BB320" i="7" s="1"/>
  <c r="DV320" i="7"/>
  <c r="BC319" i="7"/>
  <c r="BB319" i="7"/>
  <c r="BX353" i="7"/>
  <c r="CS353" i="7" s="1"/>
  <c r="BY353" i="7"/>
  <c r="CT353" i="7" s="1"/>
  <c r="BW355" i="7"/>
  <c r="CR355" i="7" s="1"/>
  <c r="DK318" i="7"/>
  <c r="BF317" i="7"/>
  <c r="DM318" i="7"/>
  <c r="BE317" i="7"/>
  <c r="BD317" i="7"/>
  <c r="AF318" i="7"/>
  <c r="AI318" i="7" s="1"/>
  <c r="DQ318" i="7"/>
  <c r="DL318" i="7"/>
  <c r="AG318" i="7"/>
  <c r="DR318" i="7"/>
  <c r="DN318" i="7"/>
  <c r="CM344" i="7"/>
  <c r="DH344" i="7" s="1"/>
  <c r="CC338" i="7"/>
  <c r="CX338" i="7" s="1"/>
  <c r="G312" i="7"/>
  <c r="B101" i="7"/>
  <c r="CI323" i="7"/>
  <c r="DD323" i="7" s="1"/>
  <c r="DS322" i="7"/>
  <c r="P322" i="7" s="1"/>
  <c r="BV322" i="7"/>
  <c r="CQ322" i="7" s="1"/>
  <c r="BT324" i="7"/>
  <c r="CO324" i="7" s="1"/>
  <c r="BO314" i="7"/>
  <c r="CA316" i="7"/>
  <c r="CV316" i="7" s="1"/>
  <c r="CG317" i="7"/>
  <c r="DB317" i="7" s="1"/>
  <c r="BZ318" i="7"/>
  <c r="CU318" i="7" s="1"/>
  <c r="CD320" i="7"/>
  <c r="CY320" i="7" s="1"/>
  <c r="CF322" i="7"/>
  <c r="DA322" i="7" s="1"/>
  <c r="CH317" i="7"/>
  <c r="DC317" i="7" s="1"/>
  <c r="BN316" i="7"/>
  <c r="DI314" i="7"/>
  <c r="BP314" i="7" s="1"/>
  <c r="BQ313" i="7"/>
  <c r="H313" i="7" s="1"/>
  <c r="BE318" i="7"/>
  <c r="AF319" i="7"/>
  <c r="AI319" i="7" s="1"/>
  <c r="BS321" i="7"/>
  <c r="CN321" i="7" s="1"/>
  <c r="BU332" i="7"/>
  <c r="CP332" i="7" s="1"/>
  <c r="CE325" i="7"/>
  <c r="CZ325" i="7" s="1"/>
  <c r="CJ356" i="7"/>
  <c r="DE356" i="7" s="1"/>
  <c r="AN322" i="7" l="1"/>
  <c r="AO317" i="7"/>
  <c r="AM325" i="7"/>
  <c r="EN318" i="7"/>
  <c r="EO324" i="7"/>
  <c r="CK323" i="7"/>
  <c r="DF323" i="7" s="1"/>
  <c r="CB325" i="7"/>
  <c r="CW325" i="7" s="1"/>
  <c r="F91" i="32"/>
  <c r="G91" i="32" s="1"/>
  <c r="P91" i="32" s="1"/>
  <c r="Q91" i="32" s="1"/>
  <c r="AR102" i="7"/>
  <c r="BI102" i="7" s="1"/>
  <c r="AP102" i="7"/>
  <c r="BG102" i="7" s="1"/>
  <c r="AQ102" i="7"/>
  <c r="BH102" i="7" s="1"/>
  <c r="CL321" i="7"/>
  <c r="DG321" i="7" s="1"/>
  <c r="EM320" i="7"/>
  <c r="EF321" i="7"/>
  <c r="EC321" i="7"/>
  <c r="DX316" i="7"/>
  <c r="EB316" i="7"/>
  <c r="DW316" i="7"/>
  <c r="EA317" i="7"/>
  <c r="DZ317" i="7"/>
  <c r="DK319" i="7"/>
  <c r="AL102" i="7"/>
  <c r="E102" i="7" s="1"/>
  <c r="AK102" i="7"/>
  <c r="D102" i="7" s="1"/>
  <c r="AJ102" i="7"/>
  <c r="C102" i="7" s="1"/>
  <c r="BA320" i="7"/>
  <c r="BC320" i="7"/>
  <c r="AX320" i="7"/>
  <c r="AZ320" i="7"/>
  <c r="AY320" i="7"/>
  <c r="AT320" i="7"/>
  <c r="M321" i="7"/>
  <c r="AW321" i="7" s="1"/>
  <c r="DV321" i="7"/>
  <c r="AW320" i="7"/>
  <c r="AU320" i="7"/>
  <c r="AV320" i="7"/>
  <c r="BY354" i="7"/>
  <c r="CT354" i="7" s="1"/>
  <c r="BX354" i="7"/>
  <c r="CS354" i="7" s="1"/>
  <c r="BW356" i="7"/>
  <c r="CR356" i="7" s="1"/>
  <c r="DR319" i="7"/>
  <c r="BF318" i="7"/>
  <c r="DN319" i="7"/>
  <c r="DP319" i="7"/>
  <c r="AH319" i="7"/>
  <c r="DM319" i="7"/>
  <c r="DL319" i="7"/>
  <c r="AG319" i="7"/>
  <c r="DJ319" i="7"/>
  <c r="DQ319" i="7"/>
  <c r="BD318" i="7"/>
  <c r="CM345" i="7"/>
  <c r="DH345" i="7" s="1"/>
  <c r="CC339" i="7"/>
  <c r="CX339" i="7" s="1"/>
  <c r="G313" i="7"/>
  <c r="BT325" i="7"/>
  <c r="CO325" i="7" s="1"/>
  <c r="CI324" i="7"/>
  <c r="DD324" i="7" s="1"/>
  <c r="DS323" i="7"/>
  <c r="P323" i="7" s="1"/>
  <c r="BV323" i="7"/>
  <c r="CQ323" i="7" s="1"/>
  <c r="BO315" i="7"/>
  <c r="CA317" i="7"/>
  <c r="CV317" i="7" s="1"/>
  <c r="CG318" i="7"/>
  <c r="DB318" i="7" s="1"/>
  <c r="BZ319" i="7"/>
  <c r="CU319" i="7" s="1"/>
  <c r="CD321" i="7"/>
  <c r="CY321" i="7" s="1"/>
  <c r="DI315" i="7"/>
  <c r="BP315" i="7" s="1"/>
  <c r="BQ314" i="7"/>
  <c r="H314" i="7" s="1"/>
  <c r="CF323" i="7"/>
  <c r="DA323" i="7" s="1"/>
  <c r="BN317" i="7"/>
  <c r="CH318" i="7"/>
  <c r="DC318" i="7" s="1"/>
  <c r="BS322" i="7"/>
  <c r="CN322" i="7" s="1"/>
  <c r="AG320" i="7"/>
  <c r="AH320" i="7"/>
  <c r="AF320" i="7"/>
  <c r="AI320" i="7" s="1"/>
  <c r="BU333" i="7"/>
  <c r="CP333" i="7" s="1"/>
  <c r="CE326" i="7"/>
  <c r="CZ326" i="7" s="1"/>
  <c r="CJ357" i="7"/>
  <c r="DE357" i="7" s="1"/>
  <c r="EO325" i="7" l="1"/>
  <c r="CK324" i="7"/>
  <c r="DF324" i="7" s="1"/>
  <c r="AM326" i="7"/>
  <c r="AN323" i="7"/>
  <c r="EN319" i="7"/>
  <c r="AO318" i="7"/>
  <c r="CB326" i="7"/>
  <c r="CW326" i="7" s="1"/>
  <c r="CL322" i="7"/>
  <c r="DG322" i="7" s="1"/>
  <c r="EM321" i="7"/>
  <c r="DR320" i="7"/>
  <c r="DN320" i="7"/>
  <c r="DK320" i="7"/>
  <c r="EA318" i="7"/>
  <c r="DZ318" i="7"/>
  <c r="EB317" i="7"/>
  <c r="DX317" i="7"/>
  <c r="DW317" i="7"/>
  <c r="EF322" i="7"/>
  <c r="EC322" i="7"/>
  <c r="AY321" i="7"/>
  <c r="BB321" i="7"/>
  <c r="AZ321" i="7"/>
  <c r="BC321" i="7"/>
  <c r="AT321" i="7"/>
  <c r="AV321" i="7"/>
  <c r="M322" i="7"/>
  <c r="AU322" i="7" s="1"/>
  <c r="DV322" i="7"/>
  <c r="AU321" i="7"/>
  <c r="BA321" i="7"/>
  <c r="DJ320" i="7"/>
  <c r="AX321" i="7"/>
  <c r="BX355" i="7"/>
  <c r="CS355" i="7" s="1"/>
  <c r="BY355" i="7"/>
  <c r="CT355" i="7" s="1"/>
  <c r="BW357" i="7"/>
  <c r="CR357" i="7" s="1"/>
  <c r="DL320" i="7"/>
  <c r="BF319" i="7"/>
  <c r="DP320" i="7"/>
  <c r="BE319" i="7"/>
  <c r="DQ320" i="7"/>
  <c r="DO320" i="7"/>
  <c r="DM320" i="7"/>
  <c r="BD319" i="7"/>
  <c r="CM346" i="7"/>
  <c r="DH346" i="7" s="1"/>
  <c r="CC340" i="7"/>
  <c r="CX340" i="7" s="1"/>
  <c r="G314" i="7"/>
  <c r="BK102" i="7"/>
  <c r="BJ102" i="7"/>
  <c r="F102" i="7"/>
  <c r="BL102" i="7"/>
  <c r="DS324" i="7"/>
  <c r="P324" i="7" s="1"/>
  <c r="CI325" i="7"/>
  <c r="DD325" i="7" s="1"/>
  <c r="BV324" i="7"/>
  <c r="CQ324" i="7" s="1"/>
  <c r="BT326" i="7"/>
  <c r="CO326" i="7" s="1"/>
  <c r="BO316" i="7"/>
  <c r="CA318" i="7"/>
  <c r="CV318" i="7" s="1"/>
  <c r="CG319" i="7"/>
  <c r="DB319" i="7" s="1"/>
  <c r="BZ320" i="7"/>
  <c r="CU320" i="7" s="1"/>
  <c r="CD322" i="7"/>
  <c r="CY322" i="7" s="1"/>
  <c r="BN318" i="7"/>
  <c r="CH319" i="7"/>
  <c r="DC319" i="7" s="1"/>
  <c r="CF324" i="7"/>
  <c r="DA324" i="7" s="1"/>
  <c r="DI316" i="7"/>
  <c r="BP316" i="7" s="1"/>
  <c r="BQ315" i="7"/>
  <c r="H315" i="7" s="1"/>
  <c r="BD320" i="7"/>
  <c r="BE320" i="7"/>
  <c r="BF320" i="7"/>
  <c r="AF321" i="7"/>
  <c r="AI321" i="7" s="1"/>
  <c r="AH321" i="7"/>
  <c r="AG321" i="7"/>
  <c r="BS323" i="7"/>
  <c r="CN323" i="7" s="1"/>
  <c r="BU334" i="7"/>
  <c r="CP334" i="7" s="1"/>
  <c r="CE327" i="7"/>
  <c r="CZ327" i="7" s="1"/>
  <c r="CJ358" i="7"/>
  <c r="DE358" i="7" s="1"/>
  <c r="AN324" i="7" l="1"/>
  <c r="EN320" i="7"/>
  <c r="EO326" i="7"/>
  <c r="CK325" i="7"/>
  <c r="DF325" i="7" s="1"/>
  <c r="AO319" i="7"/>
  <c r="AM327" i="7"/>
  <c r="CB327" i="7"/>
  <c r="CW327" i="7" s="1"/>
  <c r="DN321" i="7"/>
  <c r="CL323" i="7"/>
  <c r="DG323" i="7" s="1"/>
  <c r="EM322" i="7"/>
  <c r="DK321" i="7"/>
  <c r="DP321" i="7"/>
  <c r="DJ321" i="7"/>
  <c r="EC323" i="7"/>
  <c r="EF323" i="7"/>
  <c r="DW318" i="7"/>
  <c r="EB318" i="7"/>
  <c r="DX318" i="7"/>
  <c r="DZ319" i="7"/>
  <c r="EA319" i="7"/>
  <c r="AX322" i="7"/>
  <c r="AT322" i="7"/>
  <c r="BB322" i="7"/>
  <c r="AV322" i="7"/>
  <c r="AZ322" i="7"/>
  <c r="BC322" i="7"/>
  <c r="AW322" i="7"/>
  <c r="AY322" i="7"/>
  <c r="DN322" i="7" s="1"/>
  <c r="BA322" i="7"/>
  <c r="M323" i="7"/>
  <c r="AV323" i="7" s="1"/>
  <c r="DV323" i="7"/>
  <c r="BY356" i="7"/>
  <c r="CT356" i="7" s="1"/>
  <c r="BX356" i="7"/>
  <c r="CS356" i="7" s="1"/>
  <c r="BW358" i="7"/>
  <c r="CR358" i="7" s="1"/>
  <c r="DL321" i="7"/>
  <c r="DO321" i="7"/>
  <c r="DM321" i="7"/>
  <c r="DR321" i="7"/>
  <c r="DQ321" i="7"/>
  <c r="CM347" i="7"/>
  <c r="DH347" i="7" s="1"/>
  <c r="CC341" i="7"/>
  <c r="CX341" i="7" s="1"/>
  <c r="G315" i="7"/>
  <c r="BM102" i="7"/>
  <c r="BT327" i="7"/>
  <c r="CO327" i="7" s="1"/>
  <c r="CI326" i="7"/>
  <c r="DD326" i="7" s="1"/>
  <c r="DS325" i="7"/>
  <c r="P325" i="7" s="1"/>
  <c r="BV325" i="7"/>
  <c r="CQ325" i="7" s="1"/>
  <c r="BO317" i="7"/>
  <c r="CA319" i="7"/>
  <c r="CV319" i="7" s="1"/>
  <c r="CG320" i="7"/>
  <c r="DB320" i="7" s="1"/>
  <c r="BZ321" i="7"/>
  <c r="CU321" i="7" s="1"/>
  <c r="CD323" i="7"/>
  <c r="CY323" i="7" s="1"/>
  <c r="BN319" i="7"/>
  <c r="CH320" i="7"/>
  <c r="DC320" i="7" s="1"/>
  <c r="CF325" i="7"/>
  <c r="DA325" i="7" s="1"/>
  <c r="BQ316" i="7"/>
  <c r="H316" i="7" s="1"/>
  <c r="DI317" i="7"/>
  <c r="BP317" i="7" s="1"/>
  <c r="AH322" i="7"/>
  <c r="BS324" i="7"/>
  <c r="CN324" i="7" s="1"/>
  <c r="BU335" i="7"/>
  <c r="CP335" i="7" s="1"/>
  <c r="CE328" i="7"/>
  <c r="CZ328" i="7" s="1"/>
  <c r="CJ359" i="7"/>
  <c r="DE359" i="7" s="1"/>
  <c r="AO320" i="7" l="1"/>
  <c r="CK326" i="7"/>
  <c r="DF326" i="7" s="1"/>
  <c r="EO327" i="7"/>
  <c r="AM328" i="7"/>
  <c r="AN325" i="7"/>
  <c r="EN321" i="7"/>
  <c r="CB328" i="7"/>
  <c r="CW328" i="7" s="1"/>
  <c r="CL324" i="7"/>
  <c r="DG324" i="7" s="1"/>
  <c r="EM323" i="7"/>
  <c r="EC324" i="7"/>
  <c r="EF324" i="7"/>
  <c r="DZ320" i="7"/>
  <c r="EA320" i="7"/>
  <c r="EB319" i="7"/>
  <c r="DX319" i="7"/>
  <c r="DW319" i="7"/>
  <c r="AZ323" i="7"/>
  <c r="AT323" i="7"/>
  <c r="N103" i="7"/>
  <c r="D92" i="32"/>
  <c r="DL322" i="7"/>
  <c r="AY323" i="7"/>
  <c r="AU323" i="7"/>
  <c r="BA323" i="7"/>
  <c r="BB323" i="7"/>
  <c r="AW323" i="7"/>
  <c r="BC323" i="7"/>
  <c r="AX323" i="7"/>
  <c r="M324" i="7"/>
  <c r="BB324" i="7" s="1"/>
  <c r="DV324" i="7"/>
  <c r="BX357" i="7"/>
  <c r="CS357" i="7" s="1"/>
  <c r="BY357" i="7"/>
  <c r="CT357" i="7" s="1"/>
  <c r="BW359" i="7"/>
  <c r="CR359" i="7" s="1"/>
  <c r="DO322" i="7"/>
  <c r="DR322" i="7"/>
  <c r="BD321" i="7"/>
  <c r="DQ322" i="7"/>
  <c r="DK322" i="7"/>
  <c r="BF321" i="7"/>
  <c r="DM322" i="7"/>
  <c r="DJ322" i="7"/>
  <c r="AF322" i="7"/>
  <c r="AI322" i="7" s="1"/>
  <c r="BE321" i="7"/>
  <c r="DP322" i="7"/>
  <c r="AG322" i="7"/>
  <c r="BF322" i="7"/>
  <c r="CM348" i="7"/>
  <c r="DH348" i="7" s="1"/>
  <c r="CC342" i="7"/>
  <c r="CX342" i="7" s="1"/>
  <c r="G316" i="7"/>
  <c r="B102" i="7"/>
  <c r="CI327" i="7"/>
  <c r="DD327" i="7" s="1"/>
  <c r="DS326" i="7"/>
  <c r="P326" i="7" s="1"/>
  <c r="BV326" i="7"/>
  <c r="CQ326" i="7" s="1"/>
  <c r="BT328" i="7"/>
  <c r="CO328" i="7" s="1"/>
  <c r="CA320" i="7"/>
  <c r="CV320" i="7" s="1"/>
  <c r="BO318" i="7"/>
  <c r="CG321" i="7"/>
  <c r="DB321" i="7" s="1"/>
  <c r="BZ322" i="7"/>
  <c r="CU322" i="7" s="1"/>
  <c r="CD324" i="7"/>
  <c r="CY324" i="7" s="1"/>
  <c r="DI318" i="7"/>
  <c r="BP318" i="7" s="1"/>
  <c r="BQ317" i="7"/>
  <c r="H317" i="7" s="1"/>
  <c r="BN320" i="7"/>
  <c r="CH321" i="7"/>
  <c r="DC321" i="7" s="1"/>
  <c r="CF326" i="7"/>
  <c r="DA326" i="7" s="1"/>
  <c r="AH323" i="7"/>
  <c r="BS325" i="7"/>
  <c r="CN325" i="7" s="1"/>
  <c r="BU336" i="7"/>
  <c r="CP336" i="7" s="1"/>
  <c r="CE329" i="7"/>
  <c r="CZ329" i="7" s="1"/>
  <c r="CJ360" i="7"/>
  <c r="DE360" i="7" s="1"/>
  <c r="EO328" i="7" l="1"/>
  <c r="AO321" i="7"/>
  <c r="CK327" i="7"/>
  <c r="DF327" i="7" s="1"/>
  <c r="EN322" i="7"/>
  <c r="AM329" i="7"/>
  <c r="AN326" i="7"/>
  <c r="CB329" i="7"/>
  <c r="CW329" i="7" s="1"/>
  <c r="F92" i="32"/>
  <c r="G92" i="32" s="1"/>
  <c r="P92" i="32" s="1"/>
  <c r="Q92" i="32" s="1"/>
  <c r="AP103" i="7"/>
  <c r="BG103" i="7" s="1"/>
  <c r="AQ103" i="7"/>
  <c r="BH103" i="7" s="1"/>
  <c r="AR103" i="7"/>
  <c r="BI103" i="7" s="1"/>
  <c r="CL325" i="7"/>
  <c r="DG325" i="7" s="1"/>
  <c r="EM324" i="7"/>
  <c r="EF325" i="7"/>
  <c r="EC325" i="7"/>
  <c r="EB320" i="7"/>
  <c r="DX320" i="7"/>
  <c r="DW320" i="7"/>
  <c r="DZ321" i="7"/>
  <c r="EA321" i="7"/>
  <c r="AJ103" i="7"/>
  <c r="C103" i="7" s="1"/>
  <c r="AL103" i="7"/>
  <c r="E103" i="7" s="1"/>
  <c r="AK103" i="7"/>
  <c r="D103" i="7" s="1"/>
  <c r="DP323" i="7"/>
  <c r="BC324" i="7"/>
  <c r="AY324" i="7"/>
  <c r="AZ324" i="7"/>
  <c r="AT324" i="7"/>
  <c r="BA324" i="7"/>
  <c r="AX324" i="7"/>
  <c r="AW324" i="7"/>
  <c r="AU324" i="7"/>
  <c r="M325" i="7"/>
  <c r="AV325" i="7" s="1"/>
  <c r="DV325" i="7"/>
  <c r="AV324" i="7"/>
  <c r="BY358" i="7"/>
  <c r="CT358" i="7" s="1"/>
  <c r="BX358" i="7"/>
  <c r="CS358" i="7" s="1"/>
  <c r="BW360" i="7"/>
  <c r="CR360" i="7" s="1"/>
  <c r="DO323" i="7"/>
  <c r="AF323" i="7"/>
  <c r="AI323" i="7" s="1"/>
  <c r="DQ323" i="7"/>
  <c r="DQ324" i="7" s="1"/>
  <c r="DL323" i="7"/>
  <c r="AG323" i="7"/>
  <c r="DM323" i="7"/>
  <c r="DN323" i="7"/>
  <c r="DK323" i="7"/>
  <c r="BE322" i="7"/>
  <c r="BD322" i="7"/>
  <c r="DR323" i="7"/>
  <c r="DJ323" i="7"/>
  <c r="BD323" i="7"/>
  <c r="CM349" i="7"/>
  <c r="DH349" i="7" s="1"/>
  <c r="CC343" i="7"/>
  <c r="CX343" i="7" s="1"/>
  <c r="G317" i="7"/>
  <c r="BT329" i="7"/>
  <c r="CO329" i="7" s="1"/>
  <c r="BV327" i="7"/>
  <c r="CQ327" i="7" s="1"/>
  <c r="CI328" i="7"/>
  <c r="DD328" i="7" s="1"/>
  <c r="DS327" i="7"/>
  <c r="P327" i="7" s="1"/>
  <c r="CA321" i="7"/>
  <c r="CV321" i="7" s="1"/>
  <c r="BO319" i="7"/>
  <c r="CG322" i="7"/>
  <c r="DB322" i="7" s="1"/>
  <c r="BZ323" i="7"/>
  <c r="CU323" i="7" s="1"/>
  <c r="CD325" i="7"/>
  <c r="CY325" i="7" s="1"/>
  <c r="CH322" i="7"/>
  <c r="DC322" i="7" s="1"/>
  <c r="BN321" i="7"/>
  <c r="CF327" i="7"/>
  <c r="DA327" i="7" s="1"/>
  <c r="BQ318" i="7"/>
  <c r="H318" i="7" s="1"/>
  <c r="DI319" i="7"/>
  <c r="BP319" i="7" s="1"/>
  <c r="AF324" i="7"/>
  <c r="AI324" i="7" s="1"/>
  <c r="AH324" i="7"/>
  <c r="BS326" i="7"/>
  <c r="CN326" i="7" s="1"/>
  <c r="BU337" i="7"/>
  <c r="CP337" i="7" s="1"/>
  <c r="CE330" i="7"/>
  <c r="CZ330" i="7" s="1"/>
  <c r="CJ361" i="7"/>
  <c r="DE361" i="7" s="1"/>
  <c r="AM330" i="7" l="1"/>
  <c r="EO329" i="7"/>
  <c r="AO322" i="7"/>
  <c r="AN327" i="7"/>
  <c r="EN323" i="7"/>
  <c r="CK328" i="7"/>
  <c r="DF328" i="7" s="1"/>
  <c r="CB330" i="7"/>
  <c r="CW330" i="7" s="1"/>
  <c r="DR324" i="7"/>
  <c r="CL326" i="7"/>
  <c r="DG326" i="7" s="1"/>
  <c r="EM325" i="7"/>
  <c r="DN324" i="7"/>
  <c r="DP324" i="7"/>
  <c r="DM324" i="7"/>
  <c r="EB321" i="7"/>
  <c r="DW321" i="7"/>
  <c r="DX321" i="7"/>
  <c r="EA322" i="7"/>
  <c r="DZ322" i="7"/>
  <c r="EF326" i="7"/>
  <c r="EC326" i="7"/>
  <c r="DL324" i="7"/>
  <c r="BC325" i="7"/>
  <c r="BA325" i="7"/>
  <c r="AY325" i="7"/>
  <c r="AW325" i="7"/>
  <c r="BB325" i="7"/>
  <c r="DQ325" i="7" s="1"/>
  <c r="DJ324" i="7"/>
  <c r="AU325" i="7"/>
  <c r="AZ325" i="7"/>
  <c r="AX325" i="7"/>
  <c r="AT325" i="7"/>
  <c r="M326" i="7"/>
  <c r="BB326" i="7" s="1"/>
  <c r="DV326" i="7"/>
  <c r="BX359" i="7"/>
  <c r="CS359" i="7" s="1"/>
  <c r="BY359" i="7"/>
  <c r="CT359" i="7" s="1"/>
  <c r="BW361" i="7"/>
  <c r="CR361" i="7" s="1"/>
  <c r="DO324" i="7"/>
  <c r="BF323" i="7"/>
  <c r="DK324" i="7"/>
  <c r="BE323" i="7"/>
  <c r="AG324" i="7"/>
  <c r="CM350" i="7"/>
  <c r="DH350" i="7" s="1"/>
  <c r="CC344" i="7"/>
  <c r="CX344" i="7" s="1"/>
  <c r="G318" i="7"/>
  <c r="BK103" i="7"/>
  <c r="BJ103" i="7"/>
  <c r="F103" i="7"/>
  <c r="BL103" i="7"/>
  <c r="BV328" i="7"/>
  <c r="CQ328" i="7" s="1"/>
  <c r="DS328" i="7"/>
  <c r="P328" i="7" s="1"/>
  <c r="CI329" i="7"/>
  <c r="DD329" i="7" s="1"/>
  <c r="BT330" i="7"/>
  <c r="CO330" i="7" s="1"/>
  <c r="CA322" i="7"/>
  <c r="CV322" i="7" s="1"/>
  <c r="BO320" i="7"/>
  <c r="CG323" i="7"/>
  <c r="DB323" i="7" s="1"/>
  <c r="BZ324" i="7"/>
  <c r="CU324" i="7" s="1"/>
  <c r="CD326" i="7"/>
  <c r="CY326" i="7" s="1"/>
  <c r="BQ319" i="7"/>
  <c r="H319" i="7" s="1"/>
  <c r="DI320" i="7"/>
  <c r="BP320" i="7" s="1"/>
  <c r="CF328" i="7"/>
  <c r="DA328" i="7" s="1"/>
  <c r="CH323" i="7"/>
  <c r="DC323" i="7" s="1"/>
  <c r="BN322" i="7"/>
  <c r="BS327" i="7"/>
  <c r="CN327" i="7" s="1"/>
  <c r="AH325" i="7"/>
  <c r="AF325" i="7"/>
  <c r="AI325" i="7" s="1"/>
  <c r="AG325" i="7"/>
  <c r="BD324" i="7"/>
  <c r="BE324" i="7"/>
  <c r="BF324" i="7"/>
  <c r="BU338" i="7"/>
  <c r="CP338" i="7" s="1"/>
  <c r="CE331" i="7"/>
  <c r="CZ331" i="7" s="1"/>
  <c r="CJ362" i="7"/>
  <c r="DE362" i="7" s="1"/>
  <c r="CK329" i="7" l="1"/>
  <c r="DF329" i="7" s="1"/>
  <c r="EO330" i="7"/>
  <c r="AN328" i="7"/>
  <c r="EN324" i="7"/>
  <c r="AM331" i="7"/>
  <c r="AO323" i="7"/>
  <c r="CB331" i="7"/>
  <c r="CW331" i="7" s="1"/>
  <c r="DR325" i="7"/>
  <c r="DM325" i="7"/>
  <c r="CL327" i="7"/>
  <c r="DG327" i="7" s="1"/>
  <c r="EM326" i="7"/>
  <c r="DN325" i="7"/>
  <c r="DP325" i="7"/>
  <c r="DJ325" i="7"/>
  <c r="AX326" i="7"/>
  <c r="DL325" i="7"/>
  <c r="EC327" i="7"/>
  <c r="EF327" i="7"/>
  <c r="EA323" i="7"/>
  <c r="DZ323" i="7"/>
  <c r="EB322" i="7"/>
  <c r="DX322" i="7"/>
  <c r="DW322" i="7"/>
  <c r="AT326" i="7"/>
  <c r="AV326" i="7"/>
  <c r="AW326" i="7"/>
  <c r="BC326" i="7"/>
  <c r="BA326" i="7"/>
  <c r="AU326" i="7"/>
  <c r="AY326" i="7"/>
  <c r="AZ326" i="7"/>
  <c r="M327" i="7"/>
  <c r="AV327" i="7" s="1"/>
  <c r="DV327" i="7"/>
  <c r="BY360" i="7"/>
  <c r="CT360" i="7" s="1"/>
  <c r="BX360" i="7"/>
  <c r="CS360" i="7" s="1"/>
  <c r="BW362" i="7"/>
  <c r="CR362" i="7" s="1"/>
  <c r="DO325" i="7"/>
  <c r="DK325" i="7"/>
  <c r="CM351" i="7"/>
  <c r="DH351" i="7" s="1"/>
  <c r="CC345" i="7"/>
  <c r="CX345" i="7" s="1"/>
  <c r="G319" i="7"/>
  <c r="BM103" i="7"/>
  <c r="BT331" i="7"/>
  <c r="CO331" i="7" s="1"/>
  <c r="BV329" i="7"/>
  <c r="CQ329" i="7" s="1"/>
  <c r="CI330" i="7"/>
  <c r="DD330" i="7" s="1"/>
  <c r="DS329" i="7"/>
  <c r="P329" i="7" s="1"/>
  <c r="CA323" i="7"/>
  <c r="CV323" i="7" s="1"/>
  <c r="BO321" i="7"/>
  <c r="CG324" i="7"/>
  <c r="DB324" i="7" s="1"/>
  <c r="BZ325" i="7"/>
  <c r="CU325" i="7" s="1"/>
  <c r="CD327" i="7"/>
  <c r="CY327" i="7" s="1"/>
  <c r="CF329" i="7"/>
  <c r="DA329" i="7" s="1"/>
  <c r="CH324" i="7"/>
  <c r="DC324" i="7" s="1"/>
  <c r="BN323" i="7"/>
  <c r="DI321" i="7"/>
  <c r="BP321" i="7" s="1"/>
  <c r="BQ320" i="7"/>
  <c r="H320" i="7" s="1"/>
  <c r="BS328" i="7"/>
  <c r="CN328" i="7" s="1"/>
  <c r="AG326" i="7"/>
  <c r="DQ326" i="7"/>
  <c r="AF326" i="7"/>
  <c r="AI326" i="7" s="1"/>
  <c r="AH326" i="7"/>
  <c r="BE325" i="7"/>
  <c r="BF325" i="7"/>
  <c r="BD325" i="7"/>
  <c r="BU339" i="7"/>
  <c r="CP339" i="7" s="1"/>
  <c r="CE332" i="7"/>
  <c r="CZ332" i="7" s="1"/>
  <c r="CJ363" i="7"/>
  <c r="DE363" i="7" s="1"/>
  <c r="EN325" i="7" l="1"/>
  <c r="AO324" i="7"/>
  <c r="AM332" i="7"/>
  <c r="AN329" i="7"/>
  <c r="EO331" i="7"/>
  <c r="CK330" i="7"/>
  <c r="DF330" i="7" s="1"/>
  <c r="CB332" i="7"/>
  <c r="CW332" i="7" s="1"/>
  <c r="DM326" i="7"/>
  <c r="CL328" i="7"/>
  <c r="DG328" i="7" s="1"/>
  <c r="EM327" i="7"/>
  <c r="DJ326" i="7"/>
  <c r="DP326" i="7"/>
  <c r="DL326" i="7"/>
  <c r="DK326" i="7"/>
  <c r="EB323" i="7"/>
  <c r="DX323" i="7"/>
  <c r="DW323" i="7"/>
  <c r="EC328" i="7"/>
  <c r="EF328" i="7"/>
  <c r="DZ324" i="7"/>
  <c r="EA324" i="7"/>
  <c r="N104" i="7"/>
  <c r="D93" i="32"/>
  <c r="AZ327" i="7"/>
  <c r="AT327" i="7"/>
  <c r="AY327" i="7"/>
  <c r="AW327" i="7"/>
  <c r="BB327" i="7"/>
  <c r="DQ327" i="7" s="1"/>
  <c r="AU327" i="7"/>
  <c r="BA327" i="7"/>
  <c r="M328" i="7"/>
  <c r="AU328" i="7" s="1"/>
  <c r="DV328" i="7"/>
  <c r="BC327" i="7"/>
  <c r="AX327" i="7"/>
  <c r="BX361" i="7"/>
  <c r="CS361" i="7" s="1"/>
  <c r="BY361" i="7"/>
  <c r="CT361" i="7" s="1"/>
  <c r="BW363" i="7"/>
  <c r="CR363" i="7" s="1"/>
  <c r="DR326" i="7"/>
  <c r="DN326" i="7"/>
  <c r="DO326" i="7"/>
  <c r="CM352" i="7"/>
  <c r="DH352" i="7" s="1"/>
  <c r="CC346" i="7"/>
  <c r="CX346" i="7" s="1"/>
  <c r="G320" i="7"/>
  <c r="B103" i="7"/>
  <c r="BV330" i="7"/>
  <c r="CQ330" i="7" s="1"/>
  <c r="BT332" i="7"/>
  <c r="CO332" i="7" s="1"/>
  <c r="CI331" i="7"/>
  <c r="DD331" i="7" s="1"/>
  <c r="DS330" i="7"/>
  <c r="P330" i="7" s="1"/>
  <c r="BO322" i="7"/>
  <c r="CA324" i="7"/>
  <c r="CV324" i="7" s="1"/>
  <c r="CG325" i="7"/>
  <c r="DB325" i="7" s="1"/>
  <c r="BZ326" i="7"/>
  <c r="CU326" i="7" s="1"/>
  <c r="CD328" i="7"/>
  <c r="CY328" i="7" s="1"/>
  <c r="BQ321" i="7"/>
  <c r="H321" i="7" s="1"/>
  <c r="DI322" i="7"/>
  <c r="BP322" i="7" s="1"/>
  <c r="BN324" i="7"/>
  <c r="CH325" i="7"/>
  <c r="DC325" i="7" s="1"/>
  <c r="CF330" i="7"/>
  <c r="DA330" i="7" s="1"/>
  <c r="BE326" i="7"/>
  <c r="AG327" i="7"/>
  <c r="AF327" i="7"/>
  <c r="AI327" i="7" s="1"/>
  <c r="BS329" i="7"/>
  <c r="CN329" i="7" s="1"/>
  <c r="BU340" i="7"/>
  <c r="CP340" i="7" s="1"/>
  <c r="CE333" i="7"/>
  <c r="CZ333" i="7" s="1"/>
  <c r="CJ364" i="7"/>
  <c r="DE364" i="7" s="1"/>
  <c r="EO332" i="7" l="1"/>
  <c r="CK331" i="7"/>
  <c r="DF331" i="7" s="1"/>
  <c r="AM333" i="7"/>
  <c r="EN326" i="7"/>
  <c r="AN330" i="7"/>
  <c r="AO325" i="7"/>
  <c r="DM327" i="7"/>
  <c r="CB333" i="7"/>
  <c r="CW333" i="7" s="1"/>
  <c r="F93" i="32"/>
  <c r="G93" i="32" s="1"/>
  <c r="P93" i="32" s="1"/>
  <c r="Q93" i="32" s="1"/>
  <c r="AP104" i="7"/>
  <c r="BG104" i="7" s="1"/>
  <c r="AQ104" i="7"/>
  <c r="BH104" i="7" s="1"/>
  <c r="AR104" i="7"/>
  <c r="BI104" i="7" s="1"/>
  <c r="DJ327" i="7"/>
  <c r="DJ328" i="7" s="1"/>
  <c r="DP327" i="7"/>
  <c r="CL329" i="7"/>
  <c r="DG329" i="7" s="1"/>
  <c r="EM328" i="7"/>
  <c r="DK327" i="7"/>
  <c r="DO327" i="7"/>
  <c r="AL104" i="7"/>
  <c r="E104" i="7" s="1"/>
  <c r="DZ325" i="7"/>
  <c r="EA325" i="7"/>
  <c r="EF329" i="7"/>
  <c r="EC329" i="7"/>
  <c r="EB324" i="7"/>
  <c r="DW324" i="7"/>
  <c r="DX324" i="7"/>
  <c r="AK104" i="7"/>
  <c r="D104" i="7" s="1"/>
  <c r="AJ104" i="7"/>
  <c r="C104" i="7" s="1"/>
  <c r="AV328" i="7"/>
  <c r="BC328" i="7"/>
  <c r="AY328" i="7"/>
  <c r="BA328" i="7"/>
  <c r="AT328" i="7"/>
  <c r="AZ328" i="7"/>
  <c r="BB328" i="7"/>
  <c r="DQ328" i="7" s="1"/>
  <c r="AX328" i="7"/>
  <c r="M329" i="7"/>
  <c r="BA329" i="7" s="1"/>
  <c r="DV329" i="7"/>
  <c r="AW328" i="7"/>
  <c r="DR327" i="7"/>
  <c r="BY362" i="7"/>
  <c r="CT362" i="7" s="1"/>
  <c r="BX362" i="7"/>
  <c r="CS362" i="7" s="1"/>
  <c r="BW364" i="7"/>
  <c r="CR364" i="7" s="1"/>
  <c r="BD326" i="7"/>
  <c r="BF326" i="7"/>
  <c r="AH327" i="7"/>
  <c r="DN327" i="7"/>
  <c r="DL327" i="7"/>
  <c r="CM353" i="7"/>
  <c r="DH353" i="7" s="1"/>
  <c r="CC347" i="7"/>
  <c r="CX347" i="7" s="1"/>
  <c r="G321" i="7"/>
  <c r="BT333" i="7"/>
  <c r="CO333" i="7" s="1"/>
  <c r="DS331" i="7"/>
  <c r="P331" i="7" s="1"/>
  <c r="CI332" i="7"/>
  <c r="DD332" i="7" s="1"/>
  <c r="BV331" i="7"/>
  <c r="CQ331" i="7" s="1"/>
  <c r="BO323" i="7"/>
  <c r="CA325" i="7"/>
  <c r="CV325" i="7" s="1"/>
  <c r="CG326" i="7"/>
  <c r="DB326" i="7" s="1"/>
  <c r="BZ327" i="7"/>
  <c r="CU327" i="7" s="1"/>
  <c r="CD329" i="7"/>
  <c r="CY329" i="7" s="1"/>
  <c r="CF331" i="7"/>
  <c r="DA331" i="7" s="1"/>
  <c r="BN325" i="7"/>
  <c r="CH326" i="7"/>
  <c r="DC326" i="7" s="1"/>
  <c r="BQ322" i="7"/>
  <c r="H322" i="7" s="1"/>
  <c r="DI323" i="7"/>
  <c r="BP323" i="7" s="1"/>
  <c r="BS330" i="7"/>
  <c r="CN330" i="7" s="1"/>
  <c r="BF327" i="7"/>
  <c r="BU341" i="7"/>
  <c r="CP341" i="7" s="1"/>
  <c r="CE334" i="7"/>
  <c r="CZ334" i="7" s="1"/>
  <c r="CJ365" i="7"/>
  <c r="DE365" i="7" s="1"/>
  <c r="AO326" i="7" l="1"/>
  <c r="AM334" i="7"/>
  <c r="AN331" i="7"/>
  <c r="CK332" i="7"/>
  <c r="DF332" i="7" s="1"/>
  <c r="EO333" i="7"/>
  <c r="EN327" i="7"/>
  <c r="DM328" i="7"/>
  <c r="CB334" i="7"/>
  <c r="CW334" i="7" s="1"/>
  <c r="DP328" i="7"/>
  <c r="CL330" i="7"/>
  <c r="DG330" i="7" s="1"/>
  <c r="EM329" i="7"/>
  <c r="DO328" i="7"/>
  <c r="DR328" i="7"/>
  <c r="EF330" i="7"/>
  <c r="EC330" i="7"/>
  <c r="EB325" i="7"/>
  <c r="DX325" i="7"/>
  <c r="DW325" i="7"/>
  <c r="DZ326" i="7"/>
  <c r="EA326" i="7"/>
  <c r="DN328" i="7"/>
  <c r="BC329" i="7"/>
  <c r="AW329" i="7"/>
  <c r="AX329" i="7"/>
  <c r="AZ329" i="7"/>
  <c r="AY329" i="7"/>
  <c r="AT329" i="7"/>
  <c r="BB329" i="7"/>
  <c r="AV329" i="7"/>
  <c r="M330" i="7"/>
  <c r="AU330" i="7" s="1"/>
  <c r="DV330" i="7"/>
  <c r="AU329" i="7"/>
  <c r="DL328" i="7"/>
  <c r="BX363" i="7"/>
  <c r="CS363" i="7" s="1"/>
  <c r="BY363" i="7"/>
  <c r="CT363" i="7" s="1"/>
  <c r="BW365" i="7"/>
  <c r="CR365" i="7" s="1"/>
  <c r="BE327" i="7"/>
  <c r="BD327" i="7"/>
  <c r="DK328" i="7"/>
  <c r="AH328" i="7"/>
  <c r="AF328" i="7"/>
  <c r="AI328" i="7" s="1"/>
  <c r="AG328" i="7"/>
  <c r="CM354" i="7"/>
  <c r="DH354" i="7" s="1"/>
  <c r="CC348" i="7"/>
  <c r="CX348" i="7" s="1"/>
  <c r="G322" i="7"/>
  <c r="F104" i="7"/>
  <c r="BJ104" i="7"/>
  <c r="BL104" i="7"/>
  <c r="BK104" i="7"/>
  <c r="BV332" i="7"/>
  <c r="CQ332" i="7" s="1"/>
  <c r="CI333" i="7"/>
  <c r="DD333" i="7" s="1"/>
  <c r="DS332" i="7"/>
  <c r="P332" i="7" s="1"/>
  <c r="BT334" i="7"/>
  <c r="CO334" i="7" s="1"/>
  <c r="CA326" i="7"/>
  <c r="CV326" i="7" s="1"/>
  <c r="BO324" i="7"/>
  <c r="CG327" i="7"/>
  <c r="DB327" i="7" s="1"/>
  <c r="BZ328" i="7"/>
  <c r="CU328" i="7" s="1"/>
  <c r="CD330" i="7"/>
  <c r="CY330" i="7" s="1"/>
  <c r="DI324" i="7"/>
  <c r="BP324" i="7" s="1"/>
  <c r="BQ323" i="7"/>
  <c r="H323" i="7" s="1"/>
  <c r="CF332" i="7"/>
  <c r="DA332" i="7" s="1"/>
  <c r="CH327" i="7"/>
  <c r="DC327" i="7" s="1"/>
  <c r="BN326" i="7"/>
  <c r="BS331" i="7"/>
  <c r="CN331" i="7" s="1"/>
  <c r="BD328" i="7"/>
  <c r="BE328" i="7"/>
  <c r="BF328" i="7"/>
  <c r="BU342" i="7"/>
  <c r="CP342" i="7" s="1"/>
  <c r="CE335" i="7"/>
  <c r="CZ335" i="7" s="1"/>
  <c r="CJ366" i="7"/>
  <c r="DE366" i="7" s="1"/>
  <c r="AM335" i="7" l="1"/>
  <c r="AN332" i="7"/>
  <c r="EN328" i="7"/>
  <c r="EO334" i="7"/>
  <c r="CK333" i="7"/>
  <c r="DF333" i="7" s="1"/>
  <c r="AO327" i="7"/>
  <c r="CB335" i="7"/>
  <c r="CW335" i="7" s="1"/>
  <c r="CL331" i="7"/>
  <c r="DG331" i="7" s="1"/>
  <c r="EM330" i="7"/>
  <c r="DX326" i="7"/>
  <c r="EB326" i="7"/>
  <c r="DW326" i="7"/>
  <c r="EC331" i="7"/>
  <c r="EF331" i="7"/>
  <c r="EA327" i="7"/>
  <c r="DZ327" i="7"/>
  <c r="AV330" i="7"/>
  <c r="AZ330" i="7"/>
  <c r="AX330" i="7"/>
  <c r="AY330" i="7"/>
  <c r="DO329" i="7"/>
  <c r="AW330" i="7"/>
  <c r="BB330" i="7"/>
  <c r="BC330" i="7"/>
  <c r="AT330" i="7"/>
  <c r="BA330" i="7"/>
  <c r="M331" i="7"/>
  <c r="AZ331" i="7" s="1"/>
  <c r="DV331" i="7"/>
  <c r="BY364" i="7"/>
  <c r="CT364" i="7" s="1"/>
  <c r="BX364" i="7"/>
  <c r="CS364" i="7" s="1"/>
  <c r="BW366" i="7"/>
  <c r="CR366" i="7" s="1"/>
  <c r="DM329" i="7"/>
  <c r="DJ329" i="7"/>
  <c r="DJ330" i="7" s="1"/>
  <c r="AH329" i="7"/>
  <c r="DL329" i="7"/>
  <c r="DK329" i="7"/>
  <c r="DN329" i="7"/>
  <c r="DR329" i="7"/>
  <c r="DP329" i="7"/>
  <c r="AG329" i="7"/>
  <c r="AF329" i="7"/>
  <c r="AI329" i="7" s="1"/>
  <c r="DQ329" i="7"/>
  <c r="CM355" i="7"/>
  <c r="DH355" i="7" s="1"/>
  <c r="CC349" i="7"/>
  <c r="CX349" i="7" s="1"/>
  <c r="G323" i="7"/>
  <c r="BM104" i="7"/>
  <c r="BT335" i="7"/>
  <c r="CO335" i="7" s="1"/>
  <c r="DS333" i="7"/>
  <c r="P333" i="7" s="1"/>
  <c r="CI334" i="7"/>
  <c r="DD334" i="7" s="1"/>
  <c r="BV333" i="7"/>
  <c r="CQ333" i="7" s="1"/>
  <c r="CA327" i="7"/>
  <c r="CV327" i="7" s="1"/>
  <c r="BO325" i="7"/>
  <c r="CG328" i="7"/>
  <c r="DB328" i="7" s="1"/>
  <c r="BZ329" i="7"/>
  <c r="CU329" i="7" s="1"/>
  <c r="CD331" i="7"/>
  <c r="CY331" i="7" s="1"/>
  <c r="CF333" i="7"/>
  <c r="DA333" i="7" s="1"/>
  <c r="DI325" i="7"/>
  <c r="BP325" i="7" s="1"/>
  <c r="BQ324" i="7"/>
  <c r="H324" i="7" s="1"/>
  <c r="BN327" i="7"/>
  <c r="CH328" i="7"/>
  <c r="DC328" i="7" s="1"/>
  <c r="AG330" i="7"/>
  <c r="AF330" i="7"/>
  <c r="AI330" i="7" s="1"/>
  <c r="AH330" i="7"/>
  <c r="BS332" i="7"/>
  <c r="CN332" i="7" s="1"/>
  <c r="BU343" i="7"/>
  <c r="CP343" i="7" s="1"/>
  <c r="CE336" i="7"/>
  <c r="CZ336" i="7" s="1"/>
  <c r="CJ367" i="7"/>
  <c r="DE367" i="7" s="1"/>
  <c r="AM336" i="7" l="1"/>
  <c r="AO328" i="7"/>
  <c r="EN329" i="7"/>
  <c r="AN333" i="7"/>
  <c r="EO335" i="7"/>
  <c r="CK334" i="7"/>
  <c r="DF334" i="7" s="1"/>
  <c r="CB336" i="7"/>
  <c r="CW336" i="7" s="1"/>
  <c r="CL332" i="7"/>
  <c r="DG332" i="7" s="1"/>
  <c r="EM331" i="7"/>
  <c r="DM330" i="7"/>
  <c r="DN330" i="7"/>
  <c r="DK330" i="7"/>
  <c r="EB327" i="7"/>
  <c r="DX327" i="7"/>
  <c r="DW327" i="7"/>
  <c r="EF332" i="7"/>
  <c r="EC332" i="7"/>
  <c r="DZ328" i="7"/>
  <c r="EA328" i="7"/>
  <c r="DL330" i="7"/>
  <c r="N105" i="7"/>
  <c r="D94" i="32"/>
  <c r="DO330" i="7"/>
  <c r="AY331" i="7"/>
  <c r="AW331" i="7"/>
  <c r="BC331" i="7"/>
  <c r="BB331" i="7"/>
  <c r="AV331" i="7"/>
  <c r="DK331" i="7" s="1"/>
  <c r="AU331" i="7"/>
  <c r="DJ331" i="7" s="1"/>
  <c r="AX331" i="7"/>
  <c r="DM331" i="7" s="1"/>
  <c r="AT331" i="7"/>
  <c r="BA331" i="7"/>
  <c r="M332" i="7"/>
  <c r="AX332" i="7" s="1"/>
  <c r="DV332" i="7"/>
  <c r="BX365" i="7"/>
  <c r="CS365" i="7" s="1"/>
  <c r="BY365" i="7"/>
  <c r="CT365" i="7" s="1"/>
  <c r="BW367" i="7"/>
  <c r="CR367" i="7" s="1"/>
  <c r="BE329" i="7"/>
  <c r="DQ330" i="7"/>
  <c r="BF329" i="7"/>
  <c r="DP330" i="7"/>
  <c r="BD329" i="7"/>
  <c r="DR330" i="7"/>
  <c r="CM356" i="7"/>
  <c r="DH356" i="7" s="1"/>
  <c r="CC350" i="7"/>
  <c r="CX350" i="7" s="1"/>
  <c r="G324" i="7"/>
  <c r="B104" i="7"/>
  <c r="BV334" i="7"/>
  <c r="CQ334" i="7" s="1"/>
  <c r="BT336" i="7"/>
  <c r="CO336" i="7" s="1"/>
  <c r="DS334" i="7"/>
  <c r="P334" i="7" s="1"/>
  <c r="CI335" i="7"/>
  <c r="DD335" i="7" s="1"/>
  <c r="BO326" i="7"/>
  <c r="CA328" i="7"/>
  <c r="CV328" i="7" s="1"/>
  <c r="CG329" i="7"/>
  <c r="DB329" i="7" s="1"/>
  <c r="BZ330" i="7"/>
  <c r="CU330" i="7" s="1"/>
  <c r="CD332" i="7"/>
  <c r="CY332" i="7" s="1"/>
  <c r="CF334" i="7"/>
  <c r="DA334" i="7" s="1"/>
  <c r="CH329" i="7"/>
  <c r="DC329" i="7" s="1"/>
  <c r="BN328" i="7"/>
  <c r="BQ325" i="7"/>
  <c r="H325" i="7" s="1"/>
  <c r="DI326" i="7"/>
  <c r="BP326" i="7" s="1"/>
  <c r="AG331" i="7"/>
  <c r="AF331" i="7"/>
  <c r="AI331" i="7" s="1"/>
  <c r="AH331" i="7"/>
  <c r="BS333" i="7"/>
  <c r="CN333" i="7" s="1"/>
  <c r="BF330" i="7"/>
  <c r="BD330" i="7"/>
  <c r="BE330" i="7"/>
  <c r="BU344" i="7"/>
  <c r="CP344" i="7" s="1"/>
  <c r="CE337" i="7"/>
  <c r="CZ337" i="7" s="1"/>
  <c r="CJ368" i="7"/>
  <c r="DE368" i="7" s="1"/>
  <c r="AM337" i="7" l="1"/>
  <c r="AN334" i="7"/>
  <c r="EO336" i="7"/>
  <c r="CK335" i="7"/>
  <c r="DF335" i="7" s="1"/>
  <c r="AO329" i="7"/>
  <c r="EN330" i="7"/>
  <c r="CB337" i="7"/>
  <c r="CW337" i="7" s="1"/>
  <c r="F94" i="32"/>
  <c r="G94" i="32" s="1"/>
  <c r="P94" i="32" s="1"/>
  <c r="Q94" i="32" s="1"/>
  <c r="AQ105" i="7"/>
  <c r="BH105" i="7" s="1"/>
  <c r="AR105" i="7"/>
  <c r="BI105" i="7" s="1"/>
  <c r="AP105" i="7"/>
  <c r="BG105" i="7" s="1"/>
  <c r="CL333" i="7"/>
  <c r="DG333" i="7" s="1"/>
  <c r="EM332" i="7"/>
  <c r="DN331" i="7"/>
  <c r="DO331" i="7"/>
  <c r="DL331" i="7"/>
  <c r="EA329" i="7"/>
  <c r="DZ329" i="7"/>
  <c r="EF333" i="7"/>
  <c r="EC333" i="7"/>
  <c r="DW328" i="7"/>
  <c r="EB328" i="7"/>
  <c r="DX328" i="7"/>
  <c r="AJ105" i="7"/>
  <c r="C105" i="7" s="1"/>
  <c r="AL105" i="7"/>
  <c r="E105" i="7" s="1"/>
  <c r="AK105" i="7"/>
  <c r="D105" i="7" s="1"/>
  <c r="DR331" i="7"/>
  <c r="DQ331" i="7"/>
  <c r="AV332" i="7"/>
  <c r="AT332" i="7"/>
  <c r="AY332" i="7"/>
  <c r="AW332" i="7"/>
  <c r="BB332" i="7"/>
  <c r="AZ332" i="7"/>
  <c r="AU332" i="7"/>
  <c r="M333" i="7"/>
  <c r="BA333" i="7" s="1"/>
  <c r="DV333" i="7"/>
  <c r="BA332" i="7"/>
  <c r="BC332" i="7"/>
  <c r="BY366" i="7"/>
  <c r="CT366" i="7" s="1"/>
  <c r="BX366" i="7"/>
  <c r="CS366" i="7" s="1"/>
  <c r="BW368" i="7"/>
  <c r="CR368" i="7" s="1"/>
  <c r="DP331" i="7"/>
  <c r="BD331" i="7"/>
  <c r="CM357" i="7"/>
  <c r="DH357" i="7" s="1"/>
  <c r="CC351" i="7"/>
  <c r="CX351" i="7" s="1"/>
  <c r="G325" i="7"/>
  <c r="CI336" i="7"/>
  <c r="DD336" i="7" s="1"/>
  <c r="DS335" i="7"/>
  <c r="P335" i="7" s="1"/>
  <c r="BT337" i="7"/>
  <c r="CO337" i="7" s="1"/>
  <c r="BV335" i="7"/>
  <c r="CQ335" i="7" s="1"/>
  <c r="CA329" i="7"/>
  <c r="CV329" i="7" s="1"/>
  <c r="BO327" i="7"/>
  <c r="CG330" i="7"/>
  <c r="DB330" i="7" s="1"/>
  <c r="BZ331" i="7"/>
  <c r="CU331" i="7" s="1"/>
  <c r="CD333" i="7"/>
  <c r="CY333" i="7" s="1"/>
  <c r="BQ326" i="7"/>
  <c r="H326" i="7" s="1"/>
  <c r="DI327" i="7"/>
  <c r="BP327" i="7" s="1"/>
  <c r="CH330" i="7"/>
  <c r="DC330" i="7" s="1"/>
  <c r="BN329" i="7"/>
  <c r="CF335" i="7"/>
  <c r="DA335" i="7" s="1"/>
  <c r="DM332" i="7"/>
  <c r="AH332" i="7"/>
  <c r="AG332" i="7"/>
  <c r="AF332" i="7"/>
  <c r="AI332" i="7" s="1"/>
  <c r="BS334" i="7"/>
  <c r="CN334" i="7" s="1"/>
  <c r="BU345" i="7"/>
  <c r="CP345" i="7" s="1"/>
  <c r="CE338" i="7"/>
  <c r="CZ338" i="7" s="1"/>
  <c r="CJ369" i="7"/>
  <c r="DE369" i="7" s="1"/>
  <c r="AO330" i="7" l="1"/>
  <c r="AN335" i="7"/>
  <c r="CK336" i="7"/>
  <c r="DF336" i="7" s="1"/>
  <c r="EO337" i="7"/>
  <c r="AM338" i="7"/>
  <c r="EN331" i="7"/>
  <c r="CB338" i="7"/>
  <c r="CW338" i="7" s="1"/>
  <c r="DO332" i="7"/>
  <c r="DN332" i="7"/>
  <c r="CL334" i="7"/>
  <c r="DG334" i="7" s="1"/>
  <c r="EM333" i="7"/>
  <c r="DK332" i="7"/>
  <c r="DZ330" i="7"/>
  <c r="EA330" i="7"/>
  <c r="EF334" i="7"/>
  <c r="EC334" i="7"/>
  <c r="DW329" i="7"/>
  <c r="EB329" i="7"/>
  <c r="DX329" i="7"/>
  <c r="AY333" i="7"/>
  <c r="AT333" i="7"/>
  <c r="AX333" i="7"/>
  <c r="AZ333" i="7"/>
  <c r="BC333" i="7"/>
  <c r="AW333" i="7"/>
  <c r="BB333" i="7"/>
  <c r="AV333" i="7"/>
  <c r="AU333" i="7"/>
  <c r="M334" i="7"/>
  <c r="BB334" i="7" s="1"/>
  <c r="DV334" i="7"/>
  <c r="BX367" i="7"/>
  <c r="CS367" i="7" s="1"/>
  <c r="BY367" i="7"/>
  <c r="CT367" i="7" s="1"/>
  <c r="BW369" i="7"/>
  <c r="CR369" i="7" s="1"/>
  <c r="BF331" i="7"/>
  <c r="BE331" i="7"/>
  <c r="DR332" i="7"/>
  <c r="DP332" i="7"/>
  <c r="DP333" i="7" s="1"/>
  <c r="DL332" i="7"/>
  <c r="DJ332" i="7"/>
  <c r="DQ332" i="7"/>
  <c r="CM358" i="7"/>
  <c r="DH358" i="7" s="1"/>
  <c r="CC352" i="7"/>
  <c r="CX352" i="7" s="1"/>
  <c r="G326" i="7"/>
  <c r="F105" i="7"/>
  <c r="BJ105" i="7"/>
  <c r="BL105" i="7"/>
  <c r="BK105" i="7"/>
  <c r="BT338" i="7"/>
  <c r="CO338" i="7" s="1"/>
  <c r="BV336" i="7"/>
  <c r="CQ336" i="7" s="1"/>
  <c r="DS336" i="7"/>
  <c r="P336" i="7" s="1"/>
  <c r="CI337" i="7"/>
  <c r="DD337" i="7" s="1"/>
  <c r="CA330" i="7"/>
  <c r="CV330" i="7" s="1"/>
  <c r="BO328" i="7"/>
  <c r="CG331" i="7"/>
  <c r="DB331" i="7" s="1"/>
  <c r="BZ332" i="7"/>
  <c r="CU332" i="7" s="1"/>
  <c r="CD334" i="7"/>
  <c r="CY334" i="7" s="1"/>
  <c r="CF336" i="7"/>
  <c r="DA336" i="7" s="1"/>
  <c r="BN330" i="7"/>
  <c r="CH331" i="7"/>
  <c r="DC331" i="7" s="1"/>
  <c r="BQ327" i="7"/>
  <c r="H327" i="7" s="1"/>
  <c r="DI328" i="7"/>
  <c r="BP328" i="7" s="1"/>
  <c r="AG333" i="7"/>
  <c r="AH333" i="7"/>
  <c r="DM333" i="7"/>
  <c r="AF333" i="7"/>
  <c r="AI333" i="7" s="1"/>
  <c r="BS335" i="7"/>
  <c r="CN335" i="7" s="1"/>
  <c r="BU346" i="7"/>
  <c r="CP346" i="7" s="1"/>
  <c r="CE339" i="7"/>
  <c r="CZ339" i="7" s="1"/>
  <c r="CJ370" i="7"/>
  <c r="DE370" i="7" s="1"/>
  <c r="AO331" i="7" l="1"/>
  <c r="AN336" i="7"/>
  <c r="AM339" i="7"/>
  <c r="EO338" i="7"/>
  <c r="EN332" i="7"/>
  <c r="CK337" i="7"/>
  <c r="DF337" i="7" s="1"/>
  <c r="CB339" i="7"/>
  <c r="CW339" i="7" s="1"/>
  <c r="DN333" i="7"/>
  <c r="DK333" i="7"/>
  <c r="CL335" i="7"/>
  <c r="DG335" i="7" s="1"/>
  <c r="EM334" i="7"/>
  <c r="EC335" i="7"/>
  <c r="EF335" i="7"/>
  <c r="DZ331" i="7"/>
  <c r="EA331" i="7"/>
  <c r="EB330" i="7"/>
  <c r="DX330" i="7"/>
  <c r="DW330" i="7"/>
  <c r="DR333" i="7"/>
  <c r="AV334" i="7"/>
  <c r="AY334" i="7"/>
  <c r="AT334" i="7"/>
  <c r="AW334" i="7"/>
  <c r="BC334" i="7"/>
  <c r="AX334" i="7"/>
  <c r="DM334" i="7" s="1"/>
  <c r="BA334" i="7"/>
  <c r="DP334" i="7" s="1"/>
  <c r="AU334" i="7"/>
  <c r="AZ334" i="7"/>
  <c r="M335" i="7"/>
  <c r="AZ335" i="7" s="1"/>
  <c r="DV335" i="7"/>
  <c r="BY368" i="7"/>
  <c r="CT368" i="7" s="1"/>
  <c r="BX368" i="7"/>
  <c r="CS368" i="7" s="1"/>
  <c r="BW370" i="7"/>
  <c r="CR370" i="7" s="1"/>
  <c r="DL333" i="7"/>
  <c r="DQ333" i="7"/>
  <c r="DQ334" i="7" s="1"/>
  <c r="BE332" i="7"/>
  <c r="DO333" i="7"/>
  <c r="BD332" i="7"/>
  <c r="DJ333" i="7"/>
  <c r="BF332" i="7"/>
  <c r="CM359" i="7"/>
  <c r="DH359" i="7" s="1"/>
  <c r="CC353" i="7"/>
  <c r="CX353" i="7" s="1"/>
  <c r="G327" i="7"/>
  <c r="BM105" i="7"/>
  <c r="BV337" i="7"/>
  <c r="CQ337" i="7" s="1"/>
  <c r="CI338" i="7"/>
  <c r="DD338" i="7" s="1"/>
  <c r="DS337" i="7"/>
  <c r="P337" i="7" s="1"/>
  <c r="BT339" i="7"/>
  <c r="CO339" i="7" s="1"/>
  <c r="BO329" i="7"/>
  <c r="CA331" i="7"/>
  <c r="CV331" i="7" s="1"/>
  <c r="CG332" i="7"/>
  <c r="DB332" i="7" s="1"/>
  <c r="BZ333" i="7"/>
  <c r="CU333" i="7" s="1"/>
  <c r="CD335" i="7"/>
  <c r="CY335" i="7" s="1"/>
  <c r="CF337" i="7"/>
  <c r="DA337" i="7" s="1"/>
  <c r="BQ328" i="7"/>
  <c r="H328" i="7" s="1"/>
  <c r="DI329" i="7"/>
  <c r="BP329" i="7" s="1"/>
  <c r="CH332" i="7"/>
  <c r="DC332" i="7" s="1"/>
  <c r="BN331" i="7"/>
  <c r="BS336" i="7"/>
  <c r="CN336" i="7" s="1"/>
  <c r="BE333" i="7"/>
  <c r="BF333" i="7"/>
  <c r="BD333" i="7"/>
  <c r="AF334" i="7"/>
  <c r="AI334" i="7" s="1"/>
  <c r="AH334" i="7"/>
  <c r="BU347" i="7"/>
  <c r="CP347" i="7" s="1"/>
  <c r="CE340" i="7"/>
  <c r="CZ340" i="7" s="1"/>
  <c r="CJ371" i="7"/>
  <c r="DE371" i="7" s="1"/>
  <c r="AN337" i="7" l="1"/>
  <c r="EN333" i="7"/>
  <c r="EO339" i="7"/>
  <c r="CK338" i="7"/>
  <c r="DF338" i="7" s="1"/>
  <c r="AM340" i="7"/>
  <c r="AO332" i="7"/>
  <c r="CB340" i="7"/>
  <c r="CW340" i="7" s="1"/>
  <c r="DN334" i="7"/>
  <c r="CL336" i="7"/>
  <c r="DG336" i="7" s="1"/>
  <c r="EM335" i="7"/>
  <c r="DR334" i="7"/>
  <c r="EA332" i="7"/>
  <c r="DZ332" i="7"/>
  <c r="DX331" i="7"/>
  <c r="DW331" i="7"/>
  <c r="EB331" i="7"/>
  <c r="EF336" i="7"/>
  <c r="EC336" i="7"/>
  <c r="N106" i="7"/>
  <c r="D95" i="32"/>
  <c r="DL334" i="7"/>
  <c r="BB335" i="7"/>
  <c r="BA335" i="7"/>
  <c r="AU335" i="7"/>
  <c r="AW335" i="7"/>
  <c r="AX335" i="7"/>
  <c r="AY335" i="7"/>
  <c r="AV335" i="7"/>
  <c r="M336" i="7"/>
  <c r="AX336" i="7" s="1"/>
  <c r="DV336" i="7"/>
  <c r="BC335" i="7"/>
  <c r="AT335" i="7"/>
  <c r="BX369" i="7"/>
  <c r="CS369" i="7" s="1"/>
  <c r="BY369" i="7"/>
  <c r="CT369" i="7" s="1"/>
  <c r="BW371" i="7"/>
  <c r="CR371" i="7" s="1"/>
  <c r="DO334" i="7"/>
  <c r="AG334" i="7"/>
  <c r="DJ334" i="7"/>
  <c r="DK334" i="7"/>
  <c r="CM360" i="7"/>
  <c r="DH360" i="7" s="1"/>
  <c r="CC354" i="7"/>
  <c r="CX354" i="7" s="1"/>
  <c r="G328" i="7"/>
  <c r="B105" i="7"/>
  <c r="CI339" i="7"/>
  <c r="DD339" i="7" s="1"/>
  <c r="DS338" i="7"/>
  <c r="P338" i="7" s="1"/>
  <c r="BT340" i="7"/>
  <c r="CO340" i="7" s="1"/>
  <c r="BV338" i="7"/>
  <c r="CQ338" i="7" s="1"/>
  <c r="BO330" i="7"/>
  <c r="CA332" i="7"/>
  <c r="CV332" i="7" s="1"/>
  <c r="CG333" i="7"/>
  <c r="DB333" i="7" s="1"/>
  <c r="BZ334" i="7"/>
  <c r="CU334" i="7" s="1"/>
  <c r="CD336" i="7"/>
  <c r="CY336" i="7" s="1"/>
  <c r="DI330" i="7"/>
  <c r="BP330" i="7" s="1"/>
  <c r="BQ329" i="7"/>
  <c r="H329" i="7" s="1"/>
  <c r="CF338" i="7"/>
  <c r="DA338" i="7" s="1"/>
  <c r="BN332" i="7"/>
  <c r="CH333" i="7"/>
  <c r="DC333" i="7" s="1"/>
  <c r="BS337" i="7"/>
  <c r="CN337" i="7" s="1"/>
  <c r="BU348" i="7"/>
  <c r="CP348" i="7" s="1"/>
  <c r="CE341" i="7"/>
  <c r="CZ341" i="7" s="1"/>
  <c r="CJ372" i="7"/>
  <c r="DE372" i="7" s="1"/>
  <c r="EO340" i="7" l="1"/>
  <c r="CK339" i="7"/>
  <c r="DF339" i="7" s="1"/>
  <c r="AO333" i="7"/>
  <c r="AM341" i="7"/>
  <c r="AN338" i="7"/>
  <c r="EN334" i="7"/>
  <c r="CB341" i="7"/>
  <c r="CW341" i="7" s="1"/>
  <c r="F95" i="32"/>
  <c r="G95" i="32" s="1"/>
  <c r="P95" i="32" s="1"/>
  <c r="Q95" i="32" s="1"/>
  <c r="AR106" i="7"/>
  <c r="BI106" i="7" s="1"/>
  <c r="AP106" i="7"/>
  <c r="BG106" i="7" s="1"/>
  <c r="AQ106" i="7"/>
  <c r="BH106" i="7" s="1"/>
  <c r="CL337" i="7"/>
  <c r="DG337" i="7" s="1"/>
  <c r="EM336" i="7"/>
  <c r="EA333" i="7"/>
  <c r="DZ333" i="7"/>
  <c r="DW332" i="7"/>
  <c r="DX332" i="7"/>
  <c r="EB332" i="7"/>
  <c r="EF337" i="7"/>
  <c r="EC337" i="7"/>
  <c r="DO335" i="7"/>
  <c r="AT336" i="7"/>
  <c r="AW336" i="7"/>
  <c r="AJ106" i="7"/>
  <c r="C106" i="7" s="1"/>
  <c r="AL106" i="7"/>
  <c r="E106" i="7" s="1"/>
  <c r="AK106" i="7"/>
  <c r="D106" i="7" s="1"/>
  <c r="AV336" i="7"/>
  <c r="AY336" i="7"/>
  <c r="BA336" i="7"/>
  <c r="AU336" i="7"/>
  <c r="AZ336" i="7"/>
  <c r="BB336" i="7"/>
  <c r="BC336" i="7"/>
  <c r="M337" i="7"/>
  <c r="AZ337" i="7" s="1"/>
  <c r="DV337" i="7"/>
  <c r="BY370" i="7"/>
  <c r="CT370" i="7" s="1"/>
  <c r="BX370" i="7"/>
  <c r="CS370" i="7" s="1"/>
  <c r="BW372" i="7"/>
  <c r="CR372" i="7" s="1"/>
  <c r="DR335" i="7"/>
  <c r="DN335" i="7"/>
  <c r="BE334" i="7"/>
  <c r="DL335" i="7"/>
  <c r="AG335" i="7"/>
  <c r="DP335" i="7"/>
  <c r="AH335" i="7"/>
  <c r="BD334" i="7"/>
  <c r="DK335" i="7"/>
  <c r="DJ335" i="7"/>
  <c r="DQ335" i="7"/>
  <c r="BD335" i="7"/>
  <c r="DM335" i="7"/>
  <c r="AF335" i="7"/>
  <c r="AI335" i="7" s="1"/>
  <c r="BF334" i="7"/>
  <c r="CM361" i="7"/>
  <c r="DH361" i="7" s="1"/>
  <c r="CC355" i="7"/>
  <c r="CX355" i="7" s="1"/>
  <c r="G329" i="7"/>
  <c r="BT341" i="7"/>
  <c r="CO341" i="7" s="1"/>
  <c r="BV339" i="7"/>
  <c r="CQ339" i="7" s="1"/>
  <c r="DS339" i="7"/>
  <c r="P339" i="7" s="1"/>
  <c r="CI340" i="7"/>
  <c r="DD340" i="7" s="1"/>
  <c r="BO331" i="7"/>
  <c r="CA333" i="7"/>
  <c r="CV333" i="7" s="1"/>
  <c r="CG334" i="7"/>
  <c r="DB334" i="7" s="1"/>
  <c r="BZ335" i="7"/>
  <c r="CU335" i="7" s="1"/>
  <c r="CD337" i="7"/>
  <c r="CY337" i="7" s="1"/>
  <c r="BQ330" i="7"/>
  <c r="H330" i="7" s="1"/>
  <c r="DI331" i="7"/>
  <c r="BP331" i="7" s="1"/>
  <c r="CF339" i="7"/>
  <c r="DA339" i="7" s="1"/>
  <c r="BN333" i="7"/>
  <c r="CH334" i="7"/>
  <c r="DC334" i="7" s="1"/>
  <c r="AF336" i="7"/>
  <c r="AI336" i="7" s="1"/>
  <c r="BS338" i="7"/>
  <c r="CN338" i="7" s="1"/>
  <c r="BU349" i="7"/>
  <c r="CP349" i="7" s="1"/>
  <c r="CE342" i="7"/>
  <c r="CZ342" i="7" s="1"/>
  <c r="CJ373" i="7"/>
  <c r="DE373" i="7" s="1"/>
  <c r="AM342" i="7" l="1"/>
  <c r="EO341" i="7"/>
  <c r="CK340" i="7"/>
  <c r="DF340" i="7" s="1"/>
  <c r="AN339" i="7"/>
  <c r="EN335" i="7"/>
  <c r="AO334" i="7"/>
  <c r="CB342" i="7"/>
  <c r="CW342" i="7" s="1"/>
  <c r="CL338" i="7"/>
  <c r="DG338" i="7" s="1"/>
  <c r="EM337" i="7"/>
  <c r="DP336" i="7"/>
  <c r="DN336" i="7"/>
  <c r="EA334" i="7"/>
  <c r="DZ334" i="7"/>
  <c r="EF338" i="7"/>
  <c r="EC338" i="7"/>
  <c r="DW333" i="7"/>
  <c r="EB333" i="7"/>
  <c r="DX333" i="7"/>
  <c r="DO336" i="7"/>
  <c r="DQ336" i="7"/>
  <c r="AX337" i="7"/>
  <c r="BA337" i="7"/>
  <c r="DP337" i="7" s="1"/>
  <c r="AW337" i="7"/>
  <c r="AU337" i="7"/>
  <c r="BC337" i="7"/>
  <c r="AV337" i="7"/>
  <c r="AT337" i="7"/>
  <c r="M338" i="7"/>
  <c r="AU338" i="7" s="1"/>
  <c r="DV338" i="7"/>
  <c r="AY337" i="7"/>
  <c r="BB337" i="7"/>
  <c r="BX371" i="7"/>
  <c r="CS371" i="7" s="1"/>
  <c r="BY371" i="7"/>
  <c r="CT371" i="7" s="1"/>
  <c r="BW373" i="7"/>
  <c r="CR373" i="7" s="1"/>
  <c r="DL336" i="7"/>
  <c r="BF335" i="7"/>
  <c r="DM336" i="7"/>
  <c r="AG336" i="7"/>
  <c r="DK336" i="7"/>
  <c r="BE335" i="7"/>
  <c r="DR336" i="7"/>
  <c r="DJ336" i="7"/>
  <c r="AH336" i="7"/>
  <c r="CM362" i="7"/>
  <c r="DH362" i="7" s="1"/>
  <c r="CC356" i="7"/>
  <c r="CX356" i="7" s="1"/>
  <c r="G330" i="7"/>
  <c r="BK106" i="7"/>
  <c r="BJ106" i="7"/>
  <c r="F106" i="7"/>
  <c r="BL106" i="7"/>
  <c r="BV340" i="7"/>
  <c r="CQ340" i="7" s="1"/>
  <c r="DS340" i="7"/>
  <c r="P340" i="7" s="1"/>
  <c r="CI341" i="7"/>
  <c r="DD341" i="7" s="1"/>
  <c r="BT342" i="7"/>
  <c r="CO342" i="7" s="1"/>
  <c r="BO332" i="7"/>
  <c r="CA334" i="7"/>
  <c r="CV334" i="7" s="1"/>
  <c r="CG335" i="7"/>
  <c r="DB335" i="7" s="1"/>
  <c r="BZ336" i="7"/>
  <c r="CU336" i="7" s="1"/>
  <c r="CD338" i="7"/>
  <c r="CY338" i="7" s="1"/>
  <c r="BN334" i="7"/>
  <c r="CH335" i="7"/>
  <c r="DC335" i="7" s="1"/>
  <c r="CF340" i="7"/>
  <c r="DA340" i="7" s="1"/>
  <c r="BQ331" i="7"/>
  <c r="H331" i="7" s="1"/>
  <c r="DI332" i="7"/>
  <c r="BP332" i="7" s="1"/>
  <c r="AF337" i="7"/>
  <c r="AI337" i="7" s="1"/>
  <c r="AH337" i="7"/>
  <c r="AG337" i="7"/>
  <c r="BS339" i="7"/>
  <c r="CN339" i="7" s="1"/>
  <c r="BU350" i="7"/>
  <c r="CP350" i="7" s="1"/>
  <c r="CE343" i="7"/>
  <c r="CZ343" i="7" s="1"/>
  <c r="CJ374" i="7"/>
  <c r="DE374" i="7" s="1"/>
  <c r="AM343" i="7" l="1"/>
  <c r="AN340" i="7"/>
  <c r="EO342" i="7"/>
  <c r="EN336" i="7"/>
  <c r="AO335" i="7"/>
  <c r="CK341" i="7"/>
  <c r="DF341" i="7" s="1"/>
  <c r="CB343" i="7"/>
  <c r="CW343" i="7" s="1"/>
  <c r="DO337" i="7"/>
  <c r="DN337" i="7"/>
  <c r="CL339" i="7"/>
  <c r="DG339" i="7" s="1"/>
  <c r="EM338" i="7"/>
  <c r="DQ337" i="7"/>
  <c r="EA335" i="7"/>
  <c r="DZ335" i="7"/>
  <c r="DW334" i="7"/>
  <c r="EB334" i="7"/>
  <c r="DX334" i="7"/>
  <c r="EC339" i="7"/>
  <c r="EF339" i="7"/>
  <c r="DR337" i="7"/>
  <c r="AW338" i="7"/>
  <c r="BC338" i="7"/>
  <c r="AT338" i="7"/>
  <c r="AZ338" i="7"/>
  <c r="DL337" i="7"/>
  <c r="AY338" i="7"/>
  <c r="AV338" i="7"/>
  <c r="BB338" i="7"/>
  <c r="AX338" i="7"/>
  <c r="M339" i="7"/>
  <c r="AV339" i="7" s="1"/>
  <c r="DV339" i="7"/>
  <c r="BA338" i="7"/>
  <c r="BY372" i="7"/>
  <c r="CT372" i="7" s="1"/>
  <c r="BX372" i="7"/>
  <c r="CS372" i="7" s="1"/>
  <c r="BW374" i="7"/>
  <c r="CR374" i="7" s="1"/>
  <c r="DM337" i="7"/>
  <c r="BE336" i="7"/>
  <c r="DJ337" i="7"/>
  <c r="BD336" i="7"/>
  <c r="DK337" i="7"/>
  <c r="BF336" i="7"/>
  <c r="CM363" i="7"/>
  <c r="DH363" i="7" s="1"/>
  <c r="CC357" i="7"/>
  <c r="CX357" i="7" s="1"/>
  <c r="G331" i="7"/>
  <c r="BM106" i="7"/>
  <c r="BT343" i="7"/>
  <c r="CO343" i="7" s="1"/>
  <c r="DS341" i="7"/>
  <c r="P341" i="7" s="1"/>
  <c r="CI342" i="7"/>
  <c r="DD342" i="7" s="1"/>
  <c r="BV341" i="7"/>
  <c r="CQ341" i="7" s="1"/>
  <c r="BO333" i="7"/>
  <c r="CA335" i="7"/>
  <c r="CV335" i="7" s="1"/>
  <c r="CG336" i="7"/>
  <c r="DB336" i="7" s="1"/>
  <c r="BZ337" i="7"/>
  <c r="CU337" i="7" s="1"/>
  <c r="CD339" i="7"/>
  <c r="CY339" i="7" s="1"/>
  <c r="BN335" i="7"/>
  <c r="CH336" i="7"/>
  <c r="DC336" i="7" s="1"/>
  <c r="BQ332" i="7"/>
  <c r="H332" i="7" s="1"/>
  <c r="DI333" i="7"/>
  <c r="BP333" i="7" s="1"/>
  <c r="CF341" i="7"/>
  <c r="DA341" i="7" s="1"/>
  <c r="BS340" i="7"/>
  <c r="CN340" i="7" s="1"/>
  <c r="BU351" i="7"/>
  <c r="CP351" i="7" s="1"/>
  <c r="CE344" i="7"/>
  <c r="CZ344" i="7" s="1"/>
  <c r="CJ375" i="7"/>
  <c r="DE375" i="7" s="1"/>
  <c r="AM344" i="7" l="1"/>
  <c r="EN337" i="7"/>
  <c r="AO336" i="7"/>
  <c r="EO343" i="7"/>
  <c r="CK342" i="7"/>
  <c r="DF342" i="7" s="1"/>
  <c r="AN341" i="7"/>
  <c r="CB344" i="7"/>
  <c r="CW344" i="7" s="1"/>
  <c r="CL340" i="7"/>
  <c r="DG340" i="7" s="1"/>
  <c r="EM339" i="7"/>
  <c r="DZ336" i="7"/>
  <c r="EA336" i="7"/>
  <c r="EB335" i="7"/>
  <c r="DX335" i="7"/>
  <c r="DW335" i="7"/>
  <c r="EC340" i="7"/>
  <c r="EF340" i="7"/>
  <c r="DO338" i="7"/>
  <c r="AW339" i="7"/>
  <c r="N107" i="7"/>
  <c r="D96" i="32"/>
  <c r="BB339" i="7"/>
  <c r="AY339" i="7"/>
  <c r="BA339" i="7"/>
  <c r="BC339" i="7"/>
  <c r="AT339" i="7"/>
  <c r="AZ339" i="7"/>
  <c r="M340" i="7"/>
  <c r="AT340" i="7" s="1"/>
  <c r="DV340" i="7"/>
  <c r="AU339" i="7"/>
  <c r="AX339" i="7"/>
  <c r="BX373" i="7"/>
  <c r="CS373" i="7" s="1"/>
  <c r="BY373" i="7"/>
  <c r="CT373" i="7" s="1"/>
  <c r="BW375" i="7"/>
  <c r="CR375" i="7" s="1"/>
  <c r="BE337" i="7"/>
  <c r="BD337" i="7"/>
  <c r="BF337" i="7"/>
  <c r="DJ338" i="7"/>
  <c r="DQ338" i="7"/>
  <c r="DM338" i="7"/>
  <c r="AF338" i="7"/>
  <c r="AI338" i="7" s="1"/>
  <c r="DN338" i="7"/>
  <c r="DL338" i="7"/>
  <c r="DP338" i="7"/>
  <c r="AH338" i="7"/>
  <c r="BF338" i="7"/>
  <c r="DK338" i="7"/>
  <c r="DR338" i="7"/>
  <c r="AG338" i="7"/>
  <c r="CM364" i="7"/>
  <c r="DH364" i="7" s="1"/>
  <c r="CC358" i="7"/>
  <c r="CX358" i="7" s="1"/>
  <c r="G332" i="7"/>
  <c r="B106" i="7"/>
  <c r="BV342" i="7"/>
  <c r="CQ342" i="7" s="1"/>
  <c r="BT344" i="7"/>
  <c r="CO344" i="7" s="1"/>
  <c r="DS342" i="7"/>
  <c r="P342" i="7" s="1"/>
  <c r="CI343" i="7"/>
  <c r="DD343" i="7" s="1"/>
  <c r="CA336" i="7"/>
  <c r="CV336" i="7" s="1"/>
  <c r="BO334" i="7"/>
  <c r="CG337" i="7"/>
  <c r="DB337" i="7" s="1"/>
  <c r="BZ338" i="7"/>
  <c r="CU338" i="7" s="1"/>
  <c r="CD340" i="7"/>
  <c r="CY340" i="7" s="1"/>
  <c r="BN336" i="7"/>
  <c r="CH337" i="7"/>
  <c r="DC337" i="7" s="1"/>
  <c r="CF342" i="7"/>
  <c r="DA342" i="7" s="1"/>
  <c r="BQ333" i="7"/>
  <c r="H333" i="7" s="1"/>
  <c r="DI334" i="7"/>
  <c r="BP334" i="7" s="1"/>
  <c r="BS341" i="7"/>
  <c r="CN341" i="7" s="1"/>
  <c r="BU352" i="7"/>
  <c r="CP352" i="7" s="1"/>
  <c r="CE345" i="7"/>
  <c r="CZ345" i="7" s="1"/>
  <c r="CJ376" i="7"/>
  <c r="DE376" i="7" s="1"/>
  <c r="AN342" i="7" l="1"/>
  <c r="EN338" i="7"/>
  <c r="EO344" i="7"/>
  <c r="AM345" i="7"/>
  <c r="AO337" i="7"/>
  <c r="CK343" i="7"/>
  <c r="DF343" i="7" s="1"/>
  <c r="CB345" i="7"/>
  <c r="CW345" i="7" s="1"/>
  <c r="F96" i="32"/>
  <c r="G96" i="32" s="1"/>
  <c r="P96" i="32" s="1"/>
  <c r="Q96" i="32" s="1"/>
  <c r="AP107" i="7"/>
  <c r="BG107" i="7" s="1"/>
  <c r="AQ107" i="7"/>
  <c r="BH107" i="7" s="1"/>
  <c r="AR107" i="7"/>
  <c r="BI107" i="7" s="1"/>
  <c r="AL107" i="7"/>
  <c r="E107" i="7" s="1"/>
  <c r="CL341" i="7"/>
  <c r="DG341" i="7" s="1"/>
  <c r="EM340" i="7"/>
  <c r="DZ337" i="7"/>
  <c r="EA337" i="7"/>
  <c r="DX336" i="7"/>
  <c r="EB336" i="7"/>
  <c r="DW336" i="7"/>
  <c r="EF341" i="7"/>
  <c r="EC341" i="7"/>
  <c r="AU340" i="7"/>
  <c r="AJ107" i="7"/>
  <c r="C107" i="7" s="1"/>
  <c r="AK107" i="7"/>
  <c r="D107" i="7" s="1"/>
  <c r="AZ340" i="7"/>
  <c r="AV340" i="7"/>
  <c r="BB340" i="7"/>
  <c r="DO339" i="7"/>
  <c r="M341" i="7"/>
  <c r="AZ341" i="7" s="1"/>
  <c r="DV341" i="7"/>
  <c r="BA340" i="7"/>
  <c r="BC340" i="7"/>
  <c r="AX340" i="7"/>
  <c r="AW340" i="7"/>
  <c r="AY340" i="7"/>
  <c r="BY374" i="7"/>
  <c r="CT374" i="7" s="1"/>
  <c r="BX374" i="7"/>
  <c r="CS374" i="7" s="1"/>
  <c r="BW376" i="7"/>
  <c r="CR376" i="7" s="1"/>
  <c r="BD338" i="7"/>
  <c r="BE338" i="7"/>
  <c r="DP339" i="7"/>
  <c r="DQ339" i="7"/>
  <c r="DR339" i="7"/>
  <c r="AF339" i="7"/>
  <c r="AI339" i="7" s="1"/>
  <c r="DN339" i="7"/>
  <c r="DL339" i="7"/>
  <c r="DM339" i="7"/>
  <c r="DJ339" i="7"/>
  <c r="DK339" i="7"/>
  <c r="AG339" i="7"/>
  <c r="AH339" i="7"/>
  <c r="CM365" i="7"/>
  <c r="DH365" i="7" s="1"/>
  <c r="CC359" i="7"/>
  <c r="CX359" i="7" s="1"/>
  <c r="G333" i="7"/>
  <c r="DS343" i="7"/>
  <c r="P343" i="7" s="1"/>
  <c r="CI344" i="7"/>
  <c r="DD344" i="7" s="1"/>
  <c r="BT345" i="7"/>
  <c r="CO345" i="7" s="1"/>
  <c r="BV343" i="7"/>
  <c r="CQ343" i="7" s="1"/>
  <c r="BO335" i="7"/>
  <c r="CA337" i="7"/>
  <c r="CV337" i="7" s="1"/>
  <c r="CG338" i="7"/>
  <c r="DB338" i="7" s="1"/>
  <c r="BZ339" i="7"/>
  <c r="CU339" i="7" s="1"/>
  <c r="CD341" i="7"/>
  <c r="CY341" i="7" s="1"/>
  <c r="DI335" i="7"/>
  <c r="BP335" i="7" s="1"/>
  <c r="BQ334" i="7"/>
  <c r="H334" i="7" s="1"/>
  <c r="BN337" i="7"/>
  <c r="CH338" i="7"/>
  <c r="DC338" i="7" s="1"/>
  <c r="CF343" i="7"/>
  <c r="DA343" i="7" s="1"/>
  <c r="AF340" i="7"/>
  <c r="AI340" i="7" s="1"/>
  <c r="AG340" i="7"/>
  <c r="AH340" i="7"/>
  <c r="BS342" i="7"/>
  <c r="CN342" i="7" s="1"/>
  <c r="BU353" i="7"/>
  <c r="CP353" i="7" s="1"/>
  <c r="CE346" i="7"/>
  <c r="CZ346" i="7" s="1"/>
  <c r="CJ377" i="7"/>
  <c r="DE377" i="7" s="1"/>
  <c r="EN339" i="7" l="1"/>
  <c r="AO338" i="7"/>
  <c r="EO345" i="7"/>
  <c r="CK344" i="7"/>
  <c r="DF344" i="7" s="1"/>
  <c r="AN343" i="7"/>
  <c r="AM346" i="7"/>
  <c r="CB346" i="7"/>
  <c r="CW346" i="7" s="1"/>
  <c r="CL342" i="7"/>
  <c r="DG342" i="7" s="1"/>
  <c r="EM341" i="7"/>
  <c r="AV341" i="7"/>
  <c r="EF342" i="7"/>
  <c r="EC342" i="7"/>
  <c r="EA338" i="7"/>
  <c r="DZ338" i="7"/>
  <c r="EB337" i="7"/>
  <c r="DX337" i="7"/>
  <c r="DW337" i="7"/>
  <c r="AX341" i="7"/>
  <c r="DQ340" i="7"/>
  <c r="AU341" i="7"/>
  <c r="AT341" i="7"/>
  <c r="BA341" i="7"/>
  <c r="DO340" i="7"/>
  <c r="BC341" i="7"/>
  <c r="AW341" i="7"/>
  <c r="AY341" i="7"/>
  <c r="BB341" i="7"/>
  <c r="DP340" i="7"/>
  <c r="M342" i="7"/>
  <c r="AU342" i="7" s="1"/>
  <c r="DV342" i="7"/>
  <c r="BX375" i="7"/>
  <c r="CS375" i="7" s="1"/>
  <c r="BY375" i="7"/>
  <c r="CT375" i="7" s="1"/>
  <c r="BW377" i="7"/>
  <c r="CR377" i="7" s="1"/>
  <c r="DL340" i="7"/>
  <c r="DK340" i="7"/>
  <c r="DM340" i="7"/>
  <c r="BF339" i="7"/>
  <c r="DR340" i="7"/>
  <c r="DN340" i="7"/>
  <c r="BE339" i="7"/>
  <c r="DJ340" i="7"/>
  <c r="BD339" i="7"/>
  <c r="CM366" i="7"/>
  <c r="DH366" i="7" s="1"/>
  <c r="CC360" i="7"/>
  <c r="CX360" i="7" s="1"/>
  <c r="G334" i="7"/>
  <c r="BK107" i="7"/>
  <c r="BJ107" i="7"/>
  <c r="F107" i="7"/>
  <c r="BL107" i="7"/>
  <c r="BV344" i="7"/>
  <c r="CQ344" i="7" s="1"/>
  <c r="CI345" i="7"/>
  <c r="DD345" i="7" s="1"/>
  <c r="DS344" i="7"/>
  <c r="P344" i="7" s="1"/>
  <c r="BT346" i="7"/>
  <c r="CO346" i="7" s="1"/>
  <c r="BO336" i="7"/>
  <c r="CA338" i="7"/>
  <c r="CV338" i="7" s="1"/>
  <c r="CG339" i="7"/>
  <c r="DB339" i="7" s="1"/>
  <c r="BZ340" i="7"/>
  <c r="CU340" i="7" s="1"/>
  <c r="CD342" i="7"/>
  <c r="CY342" i="7" s="1"/>
  <c r="CF344" i="7"/>
  <c r="DA344" i="7" s="1"/>
  <c r="CH339" i="7"/>
  <c r="DC339" i="7" s="1"/>
  <c r="BN338" i="7"/>
  <c r="DI336" i="7"/>
  <c r="BP336" i="7" s="1"/>
  <c r="BQ335" i="7"/>
  <c r="H335" i="7" s="1"/>
  <c r="BS343" i="7"/>
  <c r="CN343" i="7" s="1"/>
  <c r="AG341" i="7"/>
  <c r="BU354" i="7"/>
  <c r="CP354" i="7" s="1"/>
  <c r="CE347" i="7"/>
  <c r="CZ347" i="7" s="1"/>
  <c r="CJ378" i="7"/>
  <c r="DE378" i="7" s="1"/>
  <c r="EN340" i="7" l="1"/>
  <c r="EO346" i="7"/>
  <c r="CK345" i="7"/>
  <c r="DF345" i="7" s="1"/>
  <c r="AO339" i="7"/>
  <c r="AM347" i="7"/>
  <c r="AN344" i="7"/>
  <c r="CB347" i="7"/>
  <c r="CW347" i="7" s="1"/>
  <c r="DQ341" i="7"/>
  <c r="CL343" i="7"/>
  <c r="DG343" i="7" s="1"/>
  <c r="EM342" i="7"/>
  <c r="DW338" i="7"/>
  <c r="DX338" i="7"/>
  <c r="EB338" i="7"/>
  <c r="EF343" i="7"/>
  <c r="EC343" i="7"/>
  <c r="EA339" i="7"/>
  <c r="DZ339" i="7"/>
  <c r="BB342" i="7"/>
  <c r="AT342" i="7"/>
  <c r="BA342" i="7"/>
  <c r="AY342" i="7"/>
  <c r="AZ342" i="7"/>
  <c r="AW342" i="7"/>
  <c r="BC342" i="7"/>
  <c r="AX342" i="7"/>
  <c r="M343" i="7"/>
  <c r="AV343" i="7" s="1"/>
  <c r="DV343" i="7"/>
  <c r="AV342" i="7"/>
  <c r="BY376" i="7"/>
  <c r="CT376" i="7" s="1"/>
  <c r="BX376" i="7"/>
  <c r="CS376" i="7" s="1"/>
  <c r="BW378" i="7"/>
  <c r="CR378" i="7" s="1"/>
  <c r="DK341" i="7"/>
  <c r="BE340" i="7"/>
  <c r="BD340" i="7"/>
  <c r="DO341" i="7"/>
  <c r="DR341" i="7"/>
  <c r="DM341" i="7"/>
  <c r="DN341" i="7"/>
  <c r="DP341" i="7"/>
  <c r="DJ341" i="7"/>
  <c r="DL341" i="7"/>
  <c r="AH341" i="7"/>
  <c r="AF341" i="7"/>
  <c r="AI341" i="7" s="1"/>
  <c r="BF340" i="7"/>
  <c r="CM367" i="7"/>
  <c r="DH367" i="7" s="1"/>
  <c r="CC361" i="7"/>
  <c r="CX361" i="7" s="1"/>
  <c r="G335" i="7"/>
  <c r="BM107" i="7"/>
  <c r="CI346" i="7"/>
  <c r="DD346" i="7" s="1"/>
  <c r="DS345" i="7"/>
  <c r="P345" i="7" s="1"/>
  <c r="BT347" i="7"/>
  <c r="CO347" i="7" s="1"/>
  <c r="BV345" i="7"/>
  <c r="CQ345" i="7" s="1"/>
  <c r="BO337" i="7"/>
  <c r="CA339" i="7"/>
  <c r="CV339" i="7" s="1"/>
  <c r="CG340" i="7"/>
  <c r="DB340" i="7" s="1"/>
  <c r="BZ341" i="7"/>
  <c r="CU341" i="7" s="1"/>
  <c r="CD343" i="7"/>
  <c r="CY343" i="7" s="1"/>
  <c r="BN339" i="7"/>
  <c r="CH340" i="7"/>
  <c r="DC340" i="7" s="1"/>
  <c r="BQ336" i="7"/>
  <c r="H336" i="7" s="1"/>
  <c r="DI337" i="7"/>
  <c r="BP337" i="7" s="1"/>
  <c r="CF345" i="7"/>
  <c r="DA345" i="7" s="1"/>
  <c r="BS344" i="7"/>
  <c r="CN344" i="7" s="1"/>
  <c r="BU355" i="7"/>
  <c r="CP355" i="7" s="1"/>
  <c r="CE348" i="7"/>
  <c r="CZ348" i="7" s="1"/>
  <c r="CJ379" i="7"/>
  <c r="DE379" i="7" s="1"/>
  <c r="AN345" i="7" l="1"/>
  <c r="AM348" i="7"/>
  <c r="EN341" i="7"/>
  <c r="AO340" i="7"/>
  <c r="EO347" i="7"/>
  <c r="CK346" i="7"/>
  <c r="DF346" i="7" s="1"/>
  <c r="CB348" i="7"/>
  <c r="CW348" i="7" s="1"/>
  <c r="CL344" i="7"/>
  <c r="DG344" i="7" s="1"/>
  <c r="EM343" i="7"/>
  <c r="EC344" i="7"/>
  <c r="EF344" i="7"/>
  <c r="EA340" i="7"/>
  <c r="DZ340" i="7"/>
  <c r="EB339" i="7"/>
  <c r="DX339" i="7"/>
  <c r="DW339" i="7"/>
  <c r="N108" i="7"/>
  <c r="D97" i="32"/>
  <c r="BA343" i="7"/>
  <c r="AT343" i="7"/>
  <c r="AY343" i="7"/>
  <c r="AW343" i="7"/>
  <c r="M344" i="7"/>
  <c r="AX344" i="7" s="1"/>
  <c r="DV344" i="7"/>
  <c r="AU343" i="7"/>
  <c r="BB343" i="7"/>
  <c r="AZ343" i="7"/>
  <c r="BC343" i="7"/>
  <c r="AX343" i="7"/>
  <c r="BX377" i="7"/>
  <c r="CS377" i="7" s="1"/>
  <c r="BY377" i="7"/>
  <c r="CT377" i="7" s="1"/>
  <c r="BW379" i="7"/>
  <c r="CR379" i="7" s="1"/>
  <c r="DO342" i="7"/>
  <c r="BF341" i="7"/>
  <c r="BD341" i="7"/>
  <c r="DM342" i="7"/>
  <c r="DN342" i="7"/>
  <c r="DP342" i="7"/>
  <c r="AG342" i="7"/>
  <c r="AH342" i="7"/>
  <c r="BE341" i="7"/>
  <c r="DJ342" i="7"/>
  <c r="DL342" i="7"/>
  <c r="AF342" i="7"/>
  <c r="AI342" i="7" s="1"/>
  <c r="DK342" i="7"/>
  <c r="DR342" i="7"/>
  <c r="DQ342" i="7"/>
  <c r="CM368" i="7"/>
  <c r="DH368" i="7" s="1"/>
  <c r="CC362" i="7"/>
  <c r="CX362" i="7" s="1"/>
  <c r="G336" i="7"/>
  <c r="B107" i="7"/>
  <c r="BV346" i="7"/>
  <c r="CQ346" i="7" s="1"/>
  <c r="BT348" i="7"/>
  <c r="CO348" i="7" s="1"/>
  <c r="CI347" i="7"/>
  <c r="DD347" i="7" s="1"/>
  <c r="DS346" i="7"/>
  <c r="P346" i="7" s="1"/>
  <c r="BO338" i="7"/>
  <c r="CA340" i="7"/>
  <c r="CV340" i="7" s="1"/>
  <c r="CG341" i="7"/>
  <c r="DB341" i="7" s="1"/>
  <c r="BZ342" i="7"/>
  <c r="CU342" i="7" s="1"/>
  <c r="CD344" i="7"/>
  <c r="CY344" i="7" s="1"/>
  <c r="CF346" i="7"/>
  <c r="DA346" i="7" s="1"/>
  <c r="CH341" i="7"/>
  <c r="DC341" i="7" s="1"/>
  <c r="BN340" i="7"/>
  <c r="DI338" i="7"/>
  <c r="BP338" i="7" s="1"/>
  <c r="BQ337" i="7"/>
  <c r="H337" i="7" s="1"/>
  <c r="BS345" i="7"/>
  <c r="CN345" i="7" s="1"/>
  <c r="AF343" i="7"/>
  <c r="AI343" i="7" s="1"/>
  <c r="AH343" i="7"/>
  <c r="AG343" i="7"/>
  <c r="BU356" i="7"/>
  <c r="CP356" i="7" s="1"/>
  <c r="CE349" i="7"/>
  <c r="CZ349" i="7" s="1"/>
  <c r="CJ380" i="7"/>
  <c r="DE380" i="7" s="1"/>
  <c r="AN346" i="7" l="1"/>
  <c r="AO341" i="7"/>
  <c r="EO348" i="7"/>
  <c r="CK347" i="7"/>
  <c r="DF347" i="7" s="1"/>
  <c r="AM349" i="7"/>
  <c r="EN342" i="7"/>
  <c r="CB349" i="7"/>
  <c r="CW349" i="7" s="1"/>
  <c r="F97" i="32"/>
  <c r="G97" i="32" s="1"/>
  <c r="P97" i="32" s="1"/>
  <c r="Q97" i="32" s="1"/>
  <c r="AP108" i="7"/>
  <c r="BG108" i="7" s="1"/>
  <c r="AQ108" i="7"/>
  <c r="BH108" i="7" s="1"/>
  <c r="AR108" i="7"/>
  <c r="BI108" i="7" s="1"/>
  <c r="CL345" i="7"/>
  <c r="DG345" i="7" s="1"/>
  <c r="EM344" i="7"/>
  <c r="AT344" i="7"/>
  <c r="DZ341" i="7"/>
  <c r="EA341" i="7"/>
  <c r="DX340" i="7"/>
  <c r="EB340" i="7"/>
  <c r="DW340" i="7"/>
  <c r="EF345" i="7"/>
  <c r="EC345" i="7"/>
  <c r="AL108" i="7"/>
  <c r="E108" i="7" s="1"/>
  <c r="AK108" i="7"/>
  <c r="D108" i="7" s="1"/>
  <c r="AJ108" i="7"/>
  <c r="C108" i="7" s="1"/>
  <c r="DM343" i="7"/>
  <c r="DN343" i="7"/>
  <c r="AZ344" i="7"/>
  <c r="AV344" i="7"/>
  <c r="AY344" i="7"/>
  <c r="BA344" i="7"/>
  <c r="AU344" i="7"/>
  <c r="DL343" i="7"/>
  <c r="AW344" i="7"/>
  <c r="BB344" i="7"/>
  <c r="M345" i="7"/>
  <c r="AZ345" i="7" s="1"/>
  <c r="DV345" i="7"/>
  <c r="BC344" i="7"/>
  <c r="BY378" i="7"/>
  <c r="CT378" i="7" s="1"/>
  <c r="BX378" i="7"/>
  <c r="CS378" i="7" s="1"/>
  <c r="BW380" i="7"/>
  <c r="CR380" i="7" s="1"/>
  <c r="DO343" i="7"/>
  <c r="DK343" i="7"/>
  <c r="DP343" i="7"/>
  <c r="BE342" i="7"/>
  <c r="BD342" i="7"/>
  <c r="DJ343" i="7"/>
  <c r="BF342" i="7"/>
  <c r="DQ343" i="7"/>
  <c r="DR343" i="7"/>
  <c r="CM369" i="7"/>
  <c r="DH369" i="7" s="1"/>
  <c r="CC363" i="7"/>
  <c r="CX363" i="7" s="1"/>
  <c r="G337" i="7"/>
  <c r="BT349" i="7"/>
  <c r="CO349" i="7" s="1"/>
  <c r="BV347" i="7"/>
  <c r="CQ347" i="7" s="1"/>
  <c r="DS347" i="7"/>
  <c r="P347" i="7" s="1"/>
  <c r="CI348" i="7"/>
  <c r="DD348" i="7" s="1"/>
  <c r="CA341" i="7"/>
  <c r="CV341" i="7" s="1"/>
  <c r="BO339" i="7"/>
  <c r="CG342" i="7"/>
  <c r="DB342" i="7" s="1"/>
  <c r="BZ343" i="7"/>
  <c r="CU343" i="7" s="1"/>
  <c r="CD345" i="7"/>
  <c r="CY345" i="7" s="1"/>
  <c r="BN341" i="7"/>
  <c r="CH342" i="7"/>
  <c r="DC342" i="7" s="1"/>
  <c r="CF347" i="7"/>
  <c r="DA347" i="7" s="1"/>
  <c r="BQ338" i="7"/>
  <c r="H338" i="7" s="1"/>
  <c r="DI339" i="7"/>
  <c r="BP339" i="7" s="1"/>
  <c r="BS346" i="7"/>
  <c r="CN346" i="7" s="1"/>
  <c r="BD343" i="7"/>
  <c r="BE343" i="7"/>
  <c r="BF343" i="7"/>
  <c r="AF344" i="7"/>
  <c r="AI344" i="7" s="1"/>
  <c r="AG344" i="7"/>
  <c r="BU357" i="7"/>
  <c r="CP357" i="7" s="1"/>
  <c r="CE350" i="7"/>
  <c r="CZ350" i="7" s="1"/>
  <c r="CJ381" i="7"/>
  <c r="DE381" i="7" s="1"/>
  <c r="AM350" i="7" l="1"/>
  <c r="EO349" i="7"/>
  <c r="CK348" i="7"/>
  <c r="DF348" i="7" s="1"/>
  <c r="AN347" i="7"/>
  <c r="EN343" i="7"/>
  <c r="AO342" i="7"/>
  <c r="CB350" i="7"/>
  <c r="CW350" i="7" s="1"/>
  <c r="CL346" i="7"/>
  <c r="DG346" i="7" s="1"/>
  <c r="EM345" i="7"/>
  <c r="EF346" i="7"/>
  <c r="EC346" i="7"/>
  <c r="DZ342" i="7"/>
  <c r="EA342" i="7"/>
  <c r="EB341" i="7"/>
  <c r="DX341" i="7"/>
  <c r="DW341" i="7"/>
  <c r="DK344" i="7"/>
  <c r="DP344" i="7"/>
  <c r="AV345" i="7"/>
  <c r="AX345" i="7"/>
  <c r="DL344" i="7"/>
  <c r="AT345" i="7"/>
  <c r="BC345" i="7"/>
  <c r="BA345" i="7"/>
  <c r="AU345" i="7"/>
  <c r="AW345" i="7"/>
  <c r="AY345" i="7"/>
  <c r="BB345" i="7"/>
  <c r="M346" i="7"/>
  <c r="AU346" i="7" s="1"/>
  <c r="DV346" i="7"/>
  <c r="BX379" i="7"/>
  <c r="CS379" i="7" s="1"/>
  <c r="BY379" i="7"/>
  <c r="CT379" i="7" s="1"/>
  <c r="BW381" i="7"/>
  <c r="CR381" i="7" s="1"/>
  <c r="DQ344" i="7"/>
  <c r="DR344" i="7"/>
  <c r="DJ344" i="7"/>
  <c r="DM344" i="7"/>
  <c r="AH344" i="7"/>
  <c r="DO344" i="7"/>
  <c r="DN344" i="7"/>
  <c r="CM370" i="7"/>
  <c r="DH370" i="7" s="1"/>
  <c r="CC364" i="7"/>
  <c r="CX364" i="7" s="1"/>
  <c r="G338" i="7"/>
  <c r="BL108" i="7"/>
  <c r="BK108" i="7"/>
  <c r="F108" i="7"/>
  <c r="BJ108" i="7"/>
  <c r="BV348" i="7"/>
  <c r="CQ348" i="7" s="1"/>
  <c r="DS348" i="7"/>
  <c r="P348" i="7" s="1"/>
  <c r="CI349" i="7"/>
  <c r="DD349" i="7" s="1"/>
  <c r="BT350" i="7"/>
  <c r="CO350" i="7" s="1"/>
  <c r="BO340" i="7"/>
  <c r="CA342" i="7"/>
  <c r="CV342" i="7" s="1"/>
  <c r="CG343" i="7"/>
  <c r="DB343" i="7" s="1"/>
  <c r="BZ344" i="7"/>
  <c r="CU344" i="7" s="1"/>
  <c r="CD346" i="7"/>
  <c r="CY346" i="7" s="1"/>
  <c r="BQ339" i="7"/>
  <c r="H339" i="7" s="1"/>
  <c r="DI340" i="7"/>
  <c r="BP340" i="7" s="1"/>
  <c r="CF348" i="7"/>
  <c r="DA348" i="7" s="1"/>
  <c r="BN342" i="7"/>
  <c r="CH343" i="7"/>
  <c r="DC343" i="7" s="1"/>
  <c r="AF345" i="7"/>
  <c r="AI345" i="7" s="1"/>
  <c r="AH345" i="7"/>
  <c r="AG345" i="7"/>
  <c r="BS347" i="7"/>
  <c r="CN347" i="7" s="1"/>
  <c r="BU358" i="7"/>
  <c r="CP358" i="7" s="1"/>
  <c r="CE351" i="7"/>
  <c r="CZ351" i="7" s="1"/>
  <c r="CJ382" i="7"/>
  <c r="DE382" i="7" s="1"/>
  <c r="AO343" i="7" l="1"/>
  <c r="AM351" i="7"/>
  <c r="AN348" i="7"/>
  <c r="EN344" i="7"/>
  <c r="EO350" i="7"/>
  <c r="CK349" i="7"/>
  <c r="DF349" i="7" s="1"/>
  <c r="CB351" i="7"/>
  <c r="CW351" i="7" s="1"/>
  <c r="DP345" i="7"/>
  <c r="CL347" i="7"/>
  <c r="DG347" i="7" s="1"/>
  <c r="EM346" i="7"/>
  <c r="DK345" i="7"/>
  <c r="EB342" i="7"/>
  <c r="DX342" i="7"/>
  <c r="DW342" i="7"/>
  <c r="EF347" i="7"/>
  <c r="EC347" i="7"/>
  <c r="DZ343" i="7"/>
  <c r="EA343" i="7"/>
  <c r="DQ345" i="7"/>
  <c r="DL345" i="7"/>
  <c r="DR345" i="7"/>
  <c r="AW346" i="7"/>
  <c r="BC346" i="7"/>
  <c r="AT346" i="7"/>
  <c r="BA346" i="7"/>
  <c r="AY346" i="7"/>
  <c r="AZ346" i="7"/>
  <c r="AX346" i="7"/>
  <c r="AV346" i="7"/>
  <c r="BB346" i="7"/>
  <c r="M347" i="7"/>
  <c r="AZ347" i="7" s="1"/>
  <c r="DV347" i="7"/>
  <c r="BY380" i="7"/>
  <c r="CT380" i="7" s="1"/>
  <c r="BX380" i="7"/>
  <c r="CS380" i="7" s="1"/>
  <c r="BW382" i="7"/>
  <c r="CR382" i="7" s="1"/>
  <c r="DM345" i="7"/>
  <c r="DJ345" i="7"/>
  <c r="DJ346" i="7" s="1"/>
  <c r="DN345" i="7"/>
  <c r="BE344" i="7"/>
  <c r="BF344" i="7"/>
  <c r="BD344" i="7"/>
  <c r="DO345" i="7"/>
  <c r="CM371" i="7"/>
  <c r="DH371" i="7" s="1"/>
  <c r="CC365" i="7"/>
  <c r="CX365" i="7" s="1"/>
  <c r="G339" i="7"/>
  <c r="BM108" i="7"/>
  <c r="BT351" i="7"/>
  <c r="CO351" i="7" s="1"/>
  <c r="CI350" i="7"/>
  <c r="DD350" i="7" s="1"/>
  <c r="DS349" i="7"/>
  <c r="P349" i="7" s="1"/>
  <c r="BV349" i="7"/>
  <c r="CQ349" i="7" s="1"/>
  <c r="CA343" i="7"/>
  <c r="CV343" i="7" s="1"/>
  <c r="BO341" i="7"/>
  <c r="CG344" i="7"/>
  <c r="DB344" i="7" s="1"/>
  <c r="BZ345" i="7"/>
  <c r="CU345" i="7" s="1"/>
  <c r="CD347" i="7"/>
  <c r="CY347" i="7" s="1"/>
  <c r="BQ340" i="7"/>
  <c r="H340" i="7" s="1"/>
  <c r="DI341" i="7"/>
  <c r="BP341" i="7" s="1"/>
  <c r="CH344" i="7"/>
  <c r="DC344" i="7" s="1"/>
  <c r="BN343" i="7"/>
  <c r="CF349" i="7"/>
  <c r="DA349" i="7" s="1"/>
  <c r="BS348" i="7"/>
  <c r="CN348" i="7" s="1"/>
  <c r="AG346" i="7"/>
  <c r="AF346" i="7"/>
  <c r="AI346" i="7" s="1"/>
  <c r="AH346" i="7"/>
  <c r="BE345" i="7"/>
  <c r="BF345" i="7"/>
  <c r="BD345" i="7"/>
  <c r="BU359" i="7"/>
  <c r="CP359" i="7" s="1"/>
  <c r="CE352" i="7"/>
  <c r="CZ352" i="7" s="1"/>
  <c r="CJ383" i="7"/>
  <c r="DE383" i="7" s="1"/>
  <c r="EN345" i="7" l="1"/>
  <c r="AM352" i="7"/>
  <c r="AO344" i="7"/>
  <c r="CK350" i="7"/>
  <c r="DF350" i="7" s="1"/>
  <c r="AN349" i="7"/>
  <c r="EO351" i="7"/>
  <c r="CB352" i="7"/>
  <c r="CW352" i="7" s="1"/>
  <c r="DP346" i="7"/>
  <c r="DK346" i="7"/>
  <c r="CL348" i="7"/>
  <c r="DG348" i="7" s="1"/>
  <c r="EM347" i="7"/>
  <c r="DL346" i="7"/>
  <c r="EF348" i="7"/>
  <c r="EC348" i="7"/>
  <c r="DZ344" i="7"/>
  <c r="EA344" i="7"/>
  <c r="DX343" i="7"/>
  <c r="DW343" i="7"/>
  <c r="EB343" i="7"/>
  <c r="N109" i="7"/>
  <c r="D98" i="32"/>
  <c r="DN346" i="7"/>
  <c r="AV347" i="7"/>
  <c r="AW347" i="7"/>
  <c r="BA347" i="7"/>
  <c r="AU347" i="7"/>
  <c r="AT347" i="7"/>
  <c r="AY347" i="7"/>
  <c r="AX347" i="7"/>
  <c r="DM346" i="7"/>
  <c r="M348" i="7"/>
  <c r="AU348" i="7" s="1"/>
  <c r="DV348" i="7"/>
  <c r="BC347" i="7"/>
  <c r="BB347" i="7"/>
  <c r="BX381" i="7"/>
  <c r="CS381" i="7" s="1"/>
  <c r="BY381" i="7"/>
  <c r="CT381" i="7" s="1"/>
  <c r="BW383" i="7"/>
  <c r="CR383" i="7" s="1"/>
  <c r="DO346" i="7"/>
  <c r="DR346" i="7"/>
  <c r="DQ346" i="7"/>
  <c r="BE346" i="7"/>
  <c r="CM372" i="7"/>
  <c r="DH372" i="7" s="1"/>
  <c r="CC366" i="7"/>
  <c r="CX366" i="7" s="1"/>
  <c r="G340" i="7"/>
  <c r="B108" i="7"/>
  <c r="BV350" i="7"/>
  <c r="CQ350" i="7" s="1"/>
  <c r="CI351" i="7"/>
  <c r="DD351" i="7" s="1"/>
  <c r="DS350" i="7"/>
  <c r="P350" i="7" s="1"/>
  <c r="BT352" i="7"/>
  <c r="CO352" i="7" s="1"/>
  <c r="CA344" i="7"/>
  <c r="CV344" i="7" s="1"/>
  <c r="BO342" i="7"/>
  <c r="CG345" i="7"/>
  <c r="DB345" i="7" s="1"/>
  <c r="BZ346" i="7"/>
  <c r="CU346" i="7" s="1"/>
  <c r="CD348" i="7"/>
  <c r="CY348" i="7" s="1"/>
  <c r="CF350" i="7"/>
  <c r="DA350" i="7" s="1"/>
  <c r="BN344" i="7"/>
  <c r="CH345" i="7"/>
  <c r="DC345" i="7" s="1"/>
  <c r="BQ341" i="7"/>
  <c r="H341" i="7" s="1"/>
  <c r="DI342" i="7"/>
  <c r="BP342" i="7" s="1"/>
  <c r="BS349" i="7"/>
  <c r="CN349" i="7" s="1"/>
  <c r="BU360" i="7"/>
  <c r="CP360" i="7" s="1"/>
  <c r="CE353" i="7"/>
  <c r="CZ353" i="7" s="1"/>
  <c r="CJ384" i="7"/>
  <c r="DE384" i="7" s="1"/>
  <c r="AM353" i="7" l="1"/>
  <c r="EN346" i="7"/>
  <c r="EO352" i="7"/>
  <c r="CK351" i="7"/>
  <c r="DF351" i="7" s="1"/>
  <c r="AO345" i="7"/>
  <c r="AN350" i="7"/>
  <c r="CB353" i="7"/>
  <c r="CW353" i="7" s="1"/>
  <c r="F98" i="32"/>
  <c r="G98" i="32" s="1"/>
  <c r="P98" i="32" s="1"/>
  <c r="Q98" i="32" s="1"/>
  <c r="AQ109" i="7"/>
  <c r="BH109" i="7" s="1"/>
  <c r="AR109" i="7"/>
  <c r="BI109" i="7" s="1"/>
  <c r="AP109" i="7"/>
  <c r="BG109" i="7" s="1"/>
  <c r="CL349" i="7"/>
  <c r="DG349" i="7" s="1"/>
  <c r="EM348" i="7"/>
  <c r="AK109" i="7"/>
  <c r="D109" i="7" s="1"/>
  <c r="DZ345" i="7"/>
  <c r="EA345" i="7"/>
  <c r="EB344" i="7"/>
  <c r="DW344" i="7"/>
  <c r="DX344" i="7"/>
  <c r="EF349" i="7"/>
  <c r="EC349" i="7"/>
  <c r="AL109" i="7"/>
  <c r="E109" i="7" s="1"/>
  <c r="DO347" i="7"/>
  <c r="BB348" i="7"/>
  <c r="AJ109" i="7"/>
  <c r="C109" i="7" s="1"/>
  <c r="BA348" i="7"/>
  <c r="AW348" i="7"/>
  <c r="AV348" i="7"/>
  <c r="AY348" i="7"/>
  <c r="AX348" i="7"/>
  <c r="BC348" i="7"/>
  <c r="AT348" i="7"/>
  <c r="M349" i="7"/>
  <c r="AZ349" i="7" s="1"/>
  <c r="DV349" i="7"/>
  <c r="AZ348" i="7"/>
  <c r="BY382" i="7"/>
  <c r="CT382" i="7" s="1"/>
  <c r="BX382" i="7"/>
  <c r="CS382" i="7" s="1"/>
  <c r="BW384" i="7"/>
  <c r="CR384" i="7" s="1"/>
  <c r="BD346" i="7"/>
  <c r="DL347" i="7"/>
  <c r="AH347" i="7"/>
  <c r="AG347" i="7"/>
  <c r="DM347" i="7"/>
  <c r="DQ347" i="7"/>
  <c r="DR347" i="7"/>
  <c r="DK347" i="7"/>
  <c r="BF346" i="7"/>
  <c r="DN347" i="7"/>
  <c r="DJ347" i="7"/>
  <c r="AF347" i="7"/>
  <c r="AI347" i="7" s="1"/>
  <c r="DP347" i="7"/>
  <c r="CM373" i="7"/>
  <c r="DH373" i="7" s="1"/>
  <c r="CC367" i="7"/>
  <c r="CX367" i="7" s="1"/>
  <c r="G341" i="7"/>
  <c r="CI352" i="7"/>
  <c r="DD352" i="7" s="1"/>
  <c r="DS351" i="7"/>
  <c r="P351" i="7" s="1"/>
  <c r="BT353" i="7"/>
  <c r="CO353" i="7" s="1"/>
  <c r="BV351" i="7"/>
  <c r="CQ351" i="7" s="1"/>
  <c r="BO343" i="7"/>
  <c r="CA345" i="7"/>
  <c r="CV345" i="7" s="1"/>
  <c r="CG346" i="7"/>
  <c r="DB346" i="7" s="1"/>
  <c r="BZ347" i="7"/>
  <c r="CU347" i="7" s="1"/>
  <c r="CD349" i="7"/>
  <c r="CY349" i="7" s="1"/>
  <c r="CF351" i="7"/>
  <c r="DA351" i="7" s="1"/>
  <c r="DI343" i="7"/>
  <c r="BP343" i="7" s="1"/>
  <c r="BQ342" i="7"/>
  <c r="H342" i="7" s="1"/>
  <c r="CH346" i="7"/>
  <c r="DC346" i="7" s="1"/>
  <c r="BN345" i="7"/>
  <c r="AH348" i="7"/>
  <c r="AF348" i="7"/>
  <c r="AI348" i="7" s="1"/>
  <c r="BS350" i="7"/>
  <c r="CN350" i="7" s="1"/>
  <c r="BU361" i="7"/>
  <c r="CP361" i="7" s="1"/>
  <c r="CE354" i="7"/>
  <c r="CZ354" i="7" s="1"/>
  <c r="CJ385" i="7"/>
  <c r="DE385" i="7" s="1"/>
  <c r="EN347" i="7" l="1"/>
  <c r="AM354" i="7"/>
  <c r="AO346" i="7"/>
  <c r="EO353" i="7"/>
  <c r="CK352" i="7"/>
  <c r="DF352" i="7" s="1"/>
  <c r="AN351" i="7"/>
  <c r="CB354" i="7"/>
  <c r="CW354" i="7" s="1"/>
  <c r="DP348" i="7"/>
  <c r="DM348" i="7"/>
  <c r="CL350" i="7"/>
  <c r="DG350" i="7" s="1"/>
  <c r="EM349" i="7"/>
  <c r="DQ348" i="7"/>
  <c r="AV349" i="7"/>
  <c r="EA346" i="7"/>
  <c r="DZ346" i="7"/>
  <c r="EF350" i="7"/>
  <c r="EC350" i="7"/>
  <c r="EB345" i="7"/>
  <c r="DX345" i="7"/>
  <c r="DW345" i="7"/>
  <c r="DK348" i="7"/>
  <c r="AX349" i="7"/>
  <c r="AT349" i="7"/>
  <c r="BC349" i="7"/>
  <c r="BA349" i="7"/>
  <c r="AU349" i="7"/>
  <c r="AW349" i="7"/>
  <c r="AY349" i="7"/>
  <c r="BB349" i="7"/>
  <c r="M350" i="7"/>
  <c r="AX350" i="7" s="1"/>
  <c r="DV350" i="7"/>
  <c r="BX383" i="7"/>
  <c r="CS383" i="7" s="1"/>
  <c r="BY383" i="7"/>
  <c r="CT383" i="7" s="1"/>
  <c r="BW385" i="7"/>
  <c r="CR385" i="7" s="1"/>
  <c r="DL348" i="7"/>
  <c r="BF347" i="7"/>
  <c r="DJ348" i="7"/>
  <c r="DR348" i="7"/>
  <c r="AG348" i="7"/>
  <c r="DN348" i="7"/>
  <c r="BE347" i="7"/>
  <c r="DO348" i="7"/>
  <c r="BD347" i="7"/>
  <c r="CM374" i="7"/>
  <c r="DH374" i="7" s="1"/>
  <c r="CC368" i="7"/>
  <c r="CX368" i="7" s="1"/>
  <c r="G342" i="7"/>
  <c r="BK109" i="7"/>
  <c r="F109" i="7"/>
  <c r="BJ109" i="7"/>
  <c r="BL109" i="7"/>
  <c r="BV352" i="7"/>
  <c r="CQ352" i="7" s="1"/>
  <c r="BT354" i="7"/>
  <c r="CO354" i="7" s="1"/>
  <c r="DS352" i="7"/>
  <c r="P352" i="7" s="1"/>
  <c r="CI353" i="7"/>
  <c r="DD353" i="7" s="1"/>
  <c r="BO344" i="7"/>
  <c r="CA346" i="7"/>
  <c r="CV346" i="7" s="1"/>
  <c r="CG347" i="7"/>
  <c r="DB347" i="7" s="1"/>
  <c r="BZ348" i="7"/>
  <c r="CU348" i="7" s="1"/>
  <c r="CD350" i="7"/>
  <c r="CY350" i="7" s="1"/>
  <c r="BQ343" i="7"/>
  <c r="H343" i="7" s="1"/>
  <c r="DI344" i="7"/>
  <c r="BP344" i="7" s="1"/>
  <c r="BN346" i="7"/>
  <c r="CH347" i="7"/>
  <c r="DC347" i="7" s="1"/>
  <c r="CF352" i="7"/>
  <c r="DA352" i="7" s="1"/>
  <c r="BD348" i="7"/>
  <c r="AF349" i="7"/>
  <c r="AI349" i="7" s="1"/>
  <c r="AH349" i="7"/>
  <c r="AG349" i="7"/>
  <c r="BS351" i="7"/>
  <c r="CN351" i="7" s="1"/>
  <c r="BU362" i="7"/>
  <c r="CP362" i="7" s="1"/>
  <c r="CE355" i="7"/>
  <c r="CZ355" i="7" s="1"/>
  <c r="CJ386" i="7"/>
  <c r="DE386" i="7" s="1"/>
  <c r="AO347" i="7" l="1"/>
  <c r="EN348" i="7"/>
  <c r="DR349" i="7"/>
  <c r="AN352" i="7"/>
  <c r="EO354" i="7"/>
  <c r="AM355" i="7"/>
  <c r="CK353" i="7"/>
  <c r="DF353" i="7" s="1"/>
  <c r="CB355" i="7"/>
  <c r="CW355" i="7" s="1"/>
  <c r="DK349" i="7"/>
  <c r="DM349" i="7"/>
  <c r="DM350" i="7" s="1"/>
  <c r="CL351" i="7"/>
  <c r="DG351" i="7" s="1"/>
  <c r="EM350" i="7"/>
  <c r="DJ349" i="7"/>
  <c r="DQ349" i="7"/>
  <c r="DZ347" i="7"/>
  <c r="EA347" i="7"/>
  <c r="EF351" i="7"/>
  <c r="EC351" i="7"/>
  <c r="EB346" i="7"/>
  <c r="DW346" i="7"/>
  <c r="DX346" i="7"/>
  <c r="BB350" i="7"/>
  <c r="DQ350" i="7" s="1"/>
  <c r="AT350" i="7"/>
  <c r="BA350" i="7"/>
  <c r="AY350" i="7"/>
  <c r="AV350" i="7"/>
  <c r="AZ350" i="7"/>
  <c r="AU350" i="7"/>
  <c r="M351" i="7"/>
  <c r="AW351" i="7" s="1"/>
  <c r="DV351" i="7"/>
  <c r="AW350" i="7"/>
  <c r="BC350" i="7"/>
  <c r="BY384" i="7"/>
  <c r="CT384" i="7" s="1"/>
  <c r="BX384" i="7"/>
  <c r="CS384" i="7" s="1"/>
  <c r="BW386" i="7"/>
  <c r="CR386" i="7" s="1"/>
  <c r="DL349" i="7"/>
  <c r="BF348" i="7"/>
  <c r="BE348" i="7"/>
  <c r="DP349" i="7"/>
  <c r="DN349" i="7"/>
  <c r="DO349" i="7"/>
  <c r="CM375" i="7"/>
  <c r="DH375" i="7" s="1"/>
  <c r="CC369" i="7"/>
  <c r="CX369" i="7" s="1"/>
  <c r="G343" i="7"/>
  <c r="BM109" i="7"/>
  <c r="BT355" i="7"/>
  <c r="CO355" i="7" s="1"/>
  <c r="CI354" i="7"/>
  <c r="DD354" i="7" s="1"/>
  <c r="DS353" i="7"/>
  <c r="P353" i="7" s="1"/>
  <c r="BV353" i="7"/>
  <c r="CQ353" i="7" s="1"/>
  <c r="BO345" i="7"/>
  <c r="CA347" i="7"/>
  <c r="CV347" i="7" s="1"/>
  <c r="CG348" i="7"/>
  <c r="DB348" i="7" s="1"/>
  <c r="BZ349" i="7"/>
  <c r="CU349" i="7" s="1"/>
  <c r="CD351" i="7"/>
  <c r="CY351" i="7" s="1"/>
  <c r="CH348" i="7"/>
  <c r="DC348" i="7" s="1"/>
  <c r="BN347" i="7"/>
  <c r="DI345" i="7"/>
  <c r="BP345" i="7" s="1"/>
  <c r="BQ344" i="7"/>
  <c r="H344" i="7" s="1"/>
  <c r="CF353" i="7"/>
  <c r="DA353" i="7" s="1"/>
  <c r="AF350" i="7"/>
  <c r="AI350" i="7" s="1"/>
  <c r="BS352" i="7"/>
  <c r="CN352" i="7" s="1"/>
  <c r="BU363" i="7"/>
  <c r="CP363" i="7" s="1"/>
  <c r="CE356" i="7"/>
  <c r="CZ356" i="7" s="1"/>
  <c r="CJ387" i="7"/>
  <c r="DE387" i="7" s="1"/>
  <c r="EO355" i="7" l="1"/>
  <c r="EN349" i="7"/>
  <c r="AO348" i="7"/>
  <c r="CK354" i="7"/>
  <c r="DF354" i="7" s="1"/>
  <c r="AM356" i="7"/>
  <c r="AN353" i="7"/>
  <c r="CB356" i="7"/>
  <c r="CW356" i="7" s="1"/>
  <c r="CL352" i="7"/>
  <c r="DG352" i="7" s="1"/>
  <c r="EM351" i="7"/>
  <c r="DP350" i="7"/>
  <c r="DJ350" i="7"/>
  <c r="DZ348" i="7"/>
  <c r="EA348" i="7"/>
  <c r="EF352" i="7"/>
  <c r="EC352" i="7"/>
  <c r="DX347" i="7"/>
  <c r="DW347" i="7"/>
  <c r="EB347" i="7"/>
  <c r="N110" i="7"/>
  <c r="D99" i="32"/>
  <c r="AT351" i="7"/>
  <c r="AX351" i="7"/>
  <c r="DM351" i="7" s="1"/>
  <c r="AU351" i="7"/>
  <c r="BC351" i="7"/>
  <c r="BA351" i="7"/>
  <c r="AZ351" i="7"/>
  <c r="BB351" i="7"/>
  <c r="DQ351" i="7" s="1"/>
  <c r="AV351" i="7"/>
  <c r="DL350" i="7"/>
  <c r="AY351" i="7"/>
  <c r="M352" i="7"/>
  <c r="AX352" i="7" s="1"/>
  <c r="DV352" i="7"/>
  <c r="BX385" i="7"/>
  <c r="CS385" i="7" s="1"/>
  <c r="BY385" i="7"/>
  <c r="CT385" i="7" s="1"/>
  <c r="BW387" i="7"/>
  <c r="CR387" i="7" s="1"/>
  <c r="DO350" i="7"/>
  <c r="BD349" i="7"/>
  <c r="BF349" i="7"/>
  <c r="BE349" i="7"/>
  <c r="AH350" i="7"/>
  <c r="DN350" i="7"/>
  <c r="DK350" i="7"/>
  <c r="AG350" i="7"/>
  <c r="DR350" i="7"/>
  <c r="CM376" i="7"/>
  <c r="DH376" i="7" s="1"/>
  <c r="CC370" i="7"/>
  <c r="CX370" i="7" s="1"/>
  <c r="G344" i="7"/>
  <c r="B109" i="7"/>
  <c r="CI355" i="7"/>
  <c r="DD355" i="7" s="1"/>
  <c r="DS354" i="7"/>
  <c r="P354" i="7" s="1"/>
  <c r="BV354" i="7"/>
  <c r="CQ354" i="7" s="1"/>
  <c r="BT356" i="7"/>
  <c r="CO356" i="7" s="1"/>
  <c r="CA348" i="7"/>
  <c r="CV348" i="7" s="1"/>
  <c r="BO346" i="7"/>
  <c r="CG349" i="7"/>
  <c r="DB349" i="7" s="1"/>
  <c r="BZ350" i="7"/>
  <c r="CU350" i="7" s="1"/>
  <c r="CD352" i="7"/>
  <c r="CY352" i="7" s="1"/>
  <c r="DI346" i="7"/>
  <c r="BP346" i="7" s="1"/>
  <c r="BQ345" i="7"/>
  <c r="H345" i="7" s="1"/>
  <c r="CF354" i="7"/>
  <c r="DA354" i="7" s="1"/>
  <c r="CH349" i="7"/>
  <c r="DC349" i="7" s="1"/>
  <c r="BN348" i="7"/>
  <c r="BS353" i="7"/>
  <c r="CN353" i="7" s="1"/>
  <c r="AG351" i="7"/>
  <c r="AF351" i="7"/>
  <c r="AI351" i="7" s="1"/>
  <c r="AH351" i="7"/>
  <c r="BU364" i="7"/>
  <c r="CP364" i="7" s="1"/>
  <c r="CE357" i="7"/>
  <c r="CZ357" i="7" s="1"/>
  <c r="CJ388" i="7"/>
  <c r="DE388" i="7" s="1"/>
  <c r="CK355" i="7" l="1"/>
  <c r="DF355" i="7" s="1"/>
  <c r="AN354" i="7"/>
  <c r="EN350" i="7"/>
  <c r="EO356" i="7"/>
  <c r="AM357" i="7"/>
  <c r="AO349" i="7"/>
  <c r="CB357" i="7"/>
  <c r="CW357" i="7" s="1"/>
  <c r="F99" i="32"/>
  <c r="G99" i="32" s="1"/>
  <c r="P99" i="32" s="1"/>
  <c r="Q99" i="32" s="1"/>
  <c r="AR110" i="7"/>
  <c r="BI110" i="7" s="1"/>
  <c r="AP110" i="7"/>
  <c r="BG110" i="7" s="1"/>
  <c r="AQ110" i="7"/>
  <c r="BH110" i="7" s="1"/>
  <c r="CL353" i="7"/>
  <c r="DG353" i="7" s="1"/>
  <c r="EM352" i="7"/>
  <c r="DP351" i="7"/>
  <c r="DL351" i="7"/>
  <c r="AK110" i="7"/>
  <c r="D110" i="7" s="1"/>
  <c r="EF353" i="7"/>
  <c r="EC353" i="7"/>
  <c r="EA349" i="7"/>
  <c r="DZ349" i="7"/>
  <c r="EB348" i="7"/>
  <c r="DW348" i="7"/>
  <c r="DX348" i="7"/>
  <c r="AJ110" i="7"/>
  <c r="C110" i="7" s="1"/>
  <c r="AL110" i="7"/>
  <c r="E110" i="7" s="1"/>
  <c r="DK351" i="7"/>
  <c r="AU352" i="7"/>
  <c r="AW352" i="7"/>
  <c r="AT352" i="7"/>
  <c r="AZ352" i="7"/>
  <c r="BB352" i="7"/>
  <c r="DN351" i="7"/>
  <c r="AV352" i="7"/>
  <c r="AY352" i="7"/>
  <c r="M353" i="7"/>
  <c r="BA353" i="7" s="1"/>
  <c r="DV353" i="7"/>
  <c r="BA352" i="7"/>
  <c r="BC352" i="7"/>
  <c r="BY386" i="7"/>
  <c r="CT386" i="7" s="1"/>
  <c r="BX386" i="7"/>
  <c r="CS386" i="7" s="1"/>
  <c r="BW388" i="7"/>
  <c r="CR388" i="7" s="1"/>
  <c r="BE350" i="7"/>
  <c r="BD350" i="7"/>
  <c r="BF350" i="7"/>
  <c r="DO351" i="7"/>
  <c r="DR351" i="7"/>
  <c r="DJ351" i="7"/>
  <c r="BD351" i="7"/>
  <c r="CM377" i="7"/>
  <c r="DH377" i="7" s="1"/>
  <c r="CC371" i="7"/>
  <c r="CX371" i="7" s="1"/>
  <c r="G345" i="7"/>
  <c r="BV355" i="7"/>
  <c r="CQ355" i="7" s="1"/>
  <c r="BT357" i="7"/>
  <c r="CO357" i="7" s="1"/>
  <c r="CI356" i="7"/>
  <c r="DD356" i="7" s="1"/>
  <c r="DS355" i="7"/>
  <c r="P355" i="7" s="1"/>
  <c r="CA349" i="7"/>
  <c r="CV349" i="7" s="1"/>
  <c r="BO347" i="7"/>
  <c r="CG350" i="7"/>
  <c r="DB350" i="7" s="1"/>
  <c r="BZ351" i="7"/>
  <c r="CU351" i="7" s="1"/>
  <c r="CD353" i="7"/>
  <c r="CY353" i="7" s="1"/>
  <c r="CF355" i="7"/>
  <c r="DA355" i="7" s="1"/>
  <c r="DI347" i="7"/>
  <c r="BP347" i="7" s="1"/>
  <c r="BQ346" i="7"/>
  <c r="H346" i="7" s="1"/>
  <c r="BN349" i="7"/>
  <c r="CH350" i="7"/>
  <c r="DC350" i="7" s="1"/>
  <c r="AH352" i="7"/>
  <c r="DM352" i="7"/>
  <c r="AF352" i="7"/>
  <c r="AI352" i="7" s="1"/>
  <c r="BS354" i="7"/>
  <c r="CN354" i="7" s="1"/>
  <c r="BU365" i="7"/>
  <c r="CP365" i="7" s="1"/>
  <c r="CE358" i="7"/>
  <c r="CZ358" i="7" s="1"/>
  <c r="CJ389" i="7"/>
  <c r="DE389" i="7" s="1"/>
  <c r="AN355" i="7" l="1"/>
  <c r="EO357" i="7"/>
  <c r="AO350" i="7"/>
  <c r="AM358" i="7"/>
  <c r="EN351" i="7"/>
  <c r="CK356" i="7"/>
  <c r="DF356" i="7" s="1"/>
  <c r="CB358" i="7"/>
  <c r="CW358" i="7" s="1"/>
  <c r="CL354" i="7"/>
  <c r="DG354" i="7" s="1"/>
  <c r="EM353" i="7"/>
  <c r="DJ352" i="7"/>
  <c r="EA350" i="7"/>
  <c r="DZ350" i="7"/>
  <c r="DW349" i="7"/>
  <c r="EB349" i="7"/>
  <c r="DX349" i="7"/>
  <c r="EF354" i="7"/>
  <c r="EC354" i="7"/>
  <c r="AY353" i="7"/>
  <c r="AT353" i="7"/>
  <c r="DR352" i="7"/>
  <c r="BC353" i="7"/>
  <c r="AW353" i="7"/>
  <c r="AX353" i="7"/>
  <c r="AZ353" i="7"/>
  <c r="BB353" i="7"/>
  <c r="AV353" i="7"/>
  <c r="AU353" i="7"/>
  <c r="M354" i="7"/>
  <c r="BB354" i="7" s="1"/>
  <c r="DV354" i="7"/>
  <c r="BX387" i="7"/>
  <c r="CS387" i="7" s="1"/>
  <c r="BY387" i="7"/>
  <c r="CT387" i="7" s="1"/>
  <c r="BW389" i="7"/>
  <c r="CR389" i="7" s="1"/>
  <c r="BE351" i="7"/>
  <c r="DO352" i="7"/>
  <c r="DP352" i="7"/>
  <c r="DQ352" i="7"/>
  <c r="BF351" i="7"/>
  <c r="DK352" i="7"/>
  <c r="DL352" i="7"/>
  <c r="AG352" i="7"/>
  <c r="DN352" i="7"/>
  <c r="CM378" i="7"/>
  <c r="DH378" i="7" s="1"/>
  <c r="CC372" i="7"/>
  <c r="CX372" i="7" s="1"/>
  <c r="G346" i="7"/>
  <c r="F110" i="7"/>
  <c r="BJ110" i="7"/>
  <c r="BL110" i="7"/>
  <c r="BK110" i="7"/>
  <c r="BT358" i="7"/>
  <c r="CO358" i="7" s="1"/>
  <c r="DS356" i="7"/>
  <c r="P356" i="7" s="1"/>
  <c r="CI357" i="7"/>
  <c r="DD357" i="7" s="1"/>
  <c r="BV356" i="7"/>
  <c r="CQ356" i="7" s="1"/>
  <c r="CA350" i="7"/>
  <c r="CV350" i="7" s="1"/>
  <c r="BO348" i="7"/>
  <c r="CG351" i="7"/>
  <c r="DB351" i="7" s="1"/>
  <c r="BZ352" i="7"/>
  <c r="CU352" i="7" s="1"/>
  <c r="CD354" i="7"/>
  <c r="CY354" i="7" s="1"/>
  <c r="CH351" i="7"/>
  <c r="DC351" i="7" s="1"/>
  <c r="BN350" i="7"/>
  <c r="BQ347" i="7"/>
  <c r="H347" i="7" s="1"/>
  <c r="DI348" i="7"/>
  <c r="BP348" i="7" s="1"/>
  <c r="CF356" i="7"/>
  <c r="DA356" i="7" s="1"/>
  <c r="BS355" i="7"/>
  <c r="CN355" i="7" s="1"/>
  <c r="BU366" i="7"/>
  <c r="CP366" i="7" s="1"/>
  <c r="CE359" i="7"/>
  <c r="CZ359" i="7" s="1"/>
  <c r="CJ390" i="7"/>
  <c r="DE390" i="7" s="1"/>
  <c r="AM359" i="7" l="1"/>
  <c r="EO358" i="7"/>
  <c r="CK357" i="7"/>
  <c r="DF357" i="7" s="1"/>
  <c r="AN356" i="7"/>
  <c r="EN352" i="7"/>
  <c r="AO351" i="7"/>
  <c r="CB359" i="7"/>
  <c r="CW359" i="7" s="1"/>
  <c r="CL355" i="7"/>
  <c r="DG355" i="7" s="1"/>
  <c r="EM354" i="7"/>
  <c r="DZ351" i="7"/>
  <c r="EA351" i="7"/>
  <c r="EF355" i="7"/>
  <c r="EC355" i="7"/>
  <c r="DW350" i="7"/>
  <c r="EB350" i="7"/>
  <c r="DX350" i="7"/>
  <c r="AW354" i="7"/>
  <c r="BC354" i="7"/>
  <c r="AX354" i="7"/>
  <c r="AV354" i="7"/>
  <c r="AY354" i="7"/>
  <c r="AT354" i="7"/>
  <c r="BA354" i="7"/>
  <c r="AU354" i="7"/>
  <c r="AZ354" i="7"/>
  <c r="M355" i="7"/>
  <c r="AV355" i="7" s="1"/>
  <c r="DV355" i="7"/>
  <c r="BY388" i="7"/>
  <c r="CT388" i="7" s="1"/>
  <c r="BX388" i="7"/>
  <c r="CS388" i="7" s="1"/>
  <c r="BW390" i="7"/>
  <c r="CR390" i="7" s="1"/>
  <c r="DO353" i="7"/>
  <c r="BF352" i="7"/>
  <c r="DM353" i="7"/>
  <c r="BE352" i="7"/>
  <c r="DR353" i="7"/>
  <c r="DJ353" i="7"/>
  <c r="AF353" i="7"/>
  <c r="AI353" i="7" s="1"/>
  <c r="DL353" i="7"/>
  <c r="DK353" i="7"/>
  <c r="DN353" i="7"/>
  <c r="BD352" i="7"/>
  <c r="DP353" i="7"/>
  <c r="AH353" i="7"/>
  <c r="AG353" i="7"/>
  <c r="DQ353" i="7"/>
  <c r="CM379" i="7"/>
  <c r="DH379" i="7" s="1"/>
  <c r="CC373" i="7"/>
  <c r="CX373" i="7" s="1"/>
  <c r="G347" i="7"/>
  <c r="BM110" i="7"/>
  <c r="CI358" i="7"/>
  <c r="DD358" i="7" s="1"/>
  <c r="DS357" i="7"/>
  <c r="P357" i="7" s="1"/>
  <c r="BV357" i="7"/>
  <c r="CQ357" i="7" s="1"/>
  <c r="BT359" i="7"/>
  <c r="CO359" i="7" s="1"/>
  <c r="CA351" i="7"/>
  <c r="CV351" i="7" s="1"/>
  <c r="BO349" i="7"/>
  <c r="CG352" i="7"/>
  <c r="DB352" i="7" s="1"/>
  <c r="BZ353" i="7"/>
  <c r="CU353" i="7" s="1"/>
  <c r="CD355" i="7"/>
  <c r="CY355" i="7" s="1"/>
  <c r="DI349" i="7"/>
  <c r="BP349" i="7" s="1"/>
  <c r="BQ348" i="7"/>
  <c r="H348" i="7" s="1"/>
  <c r="BN351" i="7"/>
  <c r="CH352" i="7"/>
  <c r="DC352" i="7" s="1"/>
  <c r="CF357" i="7"/>
  <c r="DA357" i="7" s="1"/>
  <c r="BS356" i="7"/>
  <c r="CN356" i="7" s="1"/>
  <c r="AH354" i="7"/>
  <c r="AF354" i="7"/>
  <c r="AI354" i="7" s="1"/>
  <c r="AG354" i="7"/>
  <c r="BU367" i="7"/>
  <c r="CP367" i="7" s="1"/>
  <c r="CE360" i="7"/>
  <c r="CZ360" i="7" s="1"/>
  <c r="CJ391" i="7"/>
  <c r="DE391" i="7" s="1"/>
  <c r="AM360" i="7" l="1"/>
  <c r="EN353" i="7"/>
  <c r="EO359" i="7"/>
  <c r="AO352" i="7"/>
  <c r="AN357" i="7"/>
  <c r="CK358" i="7"/>
  <c r="DF358" i="7" s="1"/>
  <c r="CB360" i="7"/>
  <c r="CW360" i="7" s="1"/>
  <c r="DM354" i="7"/>
  <c r="CL356" i="7"/>
  <c r="DG356" i="7" s="1"/>
  <c r="EM355" i="7"/>
  <c r="DW351" i="7"/>
  <c r="EB351" i="7"/>
  <c r="DX351" i="7"/>
  <c r="EC356" i="7"/>
  <c r="EF356" i="7"/>
  <c r="DZ352" i="7"/>
  <c r="EA352" i="7"/>
  <c r="DO354" i="7"/>
  <c r="N111" i="7"/>
  <c r="D100" i="32"/>
  <c r="AZ355" i="7"/>
  <c r="DN354" i="7"/>
  <c r="AT355" i="7"/>
  <c r="BB355" i="7"/>
  <c r="AY355" i="7"/>
  <c r="BC355" i="7"/>
  <c r="BA355" i="7"/>
  <c r="AW355" i="7"/>
  <c r="AU355" i="7"/>
  <c r="AX355" i="7"/>
  <c r="M356" i="7"/>
  <c r="AU356" i="7" s="1"/>
  <c r="DV356" i="7"/>
  <c r="BX389" i="7"/>
  <c r="CS389" i="7" s="1"/>
  <c r="BY389" i="7"/>
  <c r="CT389" i="7" s="1"/>
  <c r="BW391" i="7"/>
  <c r="CR391" i="7" s="1"/>
  <c r="BE353" i="7"/>
  <c r="DK354" i="7"/>
  <c r="BF353" i="7"/>
  <c r="BD353" i="7"/>
  <c r="DR354" i="7"/>
  <c r="DJ354" i="7"/>
  <c r="DL354" i="7"/>
  <c r="DP354" i="7"/>
  <c r="DQ354" i="7"/>
  <c r="CM380" i="7"/>
  <c r="DH380" i="7" s="1"/>
  <c r="CC374" i="7"/>
  <c r="CX374" i="7" s="1"/>
  <c r="G348" i="7"/>
  <c r="B110" i="7"/>
  <c r="BT360" i="7"/>
  <c r="CO360" i="7" s="1"/>
  <c r="DS358" i="7"/>
  <c r="P358" i="7" s="1"/>
  <c r="CI359" i="7"/>
  <c r="DD359" i="7" s="1"/>
  <c r="BV358" i="7"/>
  <c r="CQ358" i="7" s="1"/>
  <c r="CA352" i="7"/>
  <c r="CV352" i="7" s="1"/>
  <c r="BO350" i="7"/>
  <c r="CG353" i="7"/>
  <c r="DB353" i="7" s="1"/>
  <c r="BZ354" i="7"/>
  <c r="CU354" i="7" s="1"/>
  <c r="CD356" i="7"/>
  <c r="CY356" i="7" s="1"/>
  <c r="CF358" i="7"/>
  <c r="DA358" i="7" s="1"/>
  <c r="BN352" i="7"/>
  <c r="CH353" i="7"/>
  <c r="DC353" i="7" s="1"/>
  <c r="DI350" i="7"/>
  <c r="BP350" i="7" s="1"/>
  <c r="BQ349" i="7"/>
  <c r="H349" i="7" s="1"/>
  <c r="BE354" i="7"/>
  <c r="BS357" i="7"/>
  <c r="CN357" i="7" s="1"/>
  <c r="BU368" i="7"/>
  <c r="CP368" i="7" s="1"/>
  <c r="CE361" i="7"/>
  <c r="CZ361" i="7" s="1"/>
  <c r="CJ392" i="7"/>
  <c r="DE392" i="7" s="1"/>
  <c r="EO360" i="7" l="1"/>
  <c r="CK359" i="7"/>
  <c r="DF359" i="7" s="1"/>
  <c r="AM361" i="7"/>
  <c r="EN354" i="7"/>
  <c r="DR355" i="7"/>
  <c r="AN358" i="7"/>
  <c r="AO353" i="7"/>
  <c r="CB361" i="7"/>
  <c r="CW361" i="7" s="1"/>
  <c r="DM355" i="7"/>
  <c r="F100" i="32"/>
  <c r="G100" i="32" s="1"/>
  <c r="P100" i="32" s="1"/>
  <c r="Q100" i="32" s="1"/>
  <c r="AP111" i="7"/>
  <c r="BG111" i="7" s="1"/>
  <c r="AQ111" i="7"/>
  <c r="BH111" i="7" s="1"/>
  <c r="AR111" i="7"/>
  <c r="BI111" i="7" s="1"/>
  <c r="CL357" i="7"/>
  <c r="DG357" i="7" s="1"/>
  <c r="EM356" i="7"/>
  <c r="AK111" i="7"/>
  <c r="D111" i="7" s="1"/>
  <c r="DO355" i="7"/>
  <c r="EF357" i="7"/>
  <c r="EC357" i="7"/>
  <c r="DZ353" i="7"/>
  <c r="EA353" i="7"/>
  <c r="DW352" i="7"/>
  <c r="DX352" i="7"/>
  <c r="EB352" i="7"/>
  <c r="AJ111" i="7"/>
  <c r="C111" i="7" s="1"/>
  <c r="AL111" i="7"/>
  <c r="E111" i="7" s="1"/>
  <c r="AV356" i="7"/>
  <c r="BB356" i="7"/>
  <c r="AX356" i="7"/>
  <c r="DM356" i="7" s="1"/>
  <c r="AW356" i="7"/>
  <c r="BC356" i="7"/>
  <c r="AT356" i="7"/>
  <c r="BA356" i="7"/>
  <c r="AY356" i="7"/>
  <c r="AZ356" i="7"/>
  <c r="M357" i="7"/>
  <c r="AZ357" i="7" s="1"/>
  <c r="DV357" i="7"/>
  <c r="BY390" i="7"/>
  <c r="CT390" i="7" s="1"/>
  <c r="BX390" i="7"/>
  <c r="CS390" i="7" s="1"/>
  <c r="BW392" i="7"/>
  <c r="CR392" i="7" s="1"/>
  <c r="DK355" i="7"/>
  <c r="BF354" i="7"/>
  <c r="DL355" i="7"/>
  <c r="BD354" i="7"/>
  <c r="DP355" i="7"/>
  <c r="DJ355" i="7"/>
  <c r="AF355" i="7"/>
  <c r="AI355" i="7" s="1"/>
  <c r="DQ355" i="7"/>
  <c r="AH355" i="7"/>
  <c r="AG355" i="7"/>
  <c r="DN355" i="7"/>
  <c r="CM381" i="7"/>
  <c r="DH381" i="7" s="1"/>
  <c r="CC375" i="7"/>
  <c r="CX375" i="7" s="1"/>
  <c r="G349" i="7"/>
  <c r="BV359" i="7"/>
  <c r="CQ359" i="7" s="1"/>
  <c r="CI360" i="7"/>
  <c r="DD360" i="7" s="1"/>
  <c r="DS359" i="7"/>
  <c r="P359" i="7" s="1"/>
  <c r="BT361" i="7"/>
  <c r="CO361" i="7" s="1"/>
  <c r="CA353" i="7"/>
  <c r="CV353" i="7" s="1"/>
  <c r="BO351" i="7"/>
  <c r="CG354" i="7"/>
  <c r="DB354" i="7" s="1"/>
  <c r="BZ355" i="7"/>
  <c r="CU355" i="7" s="1"/>
  <c r="CD357" i="7"/>
  <c r="CY357" i="7" s="1"/>
  <c r="BQ350" i="7"/>
  <c r="H350" i="7" s="1"/>
  <c r="DI351" i="7"/>
  <c r="BP351" i="7" s="1"/>
  <c r="BN353" i="7"/>
  <c r="CH354" i="7"/>
  <c r="DC354" i="7" s="1"/>
  <c r="CF359" i="7"/>
  <c r="DA359" i="7" s="1"/>
  <c r="BS358" i="7"/>
  <c r="CN358" i="7" s="1"/>
  <c r="AF356" i="7"/>
  <c r="AI356" i="7" s="1"/>
  <c r="AG356" i="7"/>
  <c r="AH356" i="7"/>
  <c r="BU369" i="7"/>
  <c r="CP369" i="7" s="1"/>
  <c r="CE362" i="7"/>
  <c r="CZ362" i="7" s="1"/>
  <c r="CJ393" i="7"/>
  <c r="DE393" i="7" s="1"/>
  <c r="DR356" i="7" l="1"/>
  <c r="AM362" i="7"/>
  <c r="EN355" i="7"/>
  <c r="AO354" i="7"/>
  <c r="CK360" i="7"/>
  <c r="DF360" i="7" s="1"/>
  <c r="AN359" i="7"/>
  <c r="EO361" i="7"/>
  <c r="DK356" i="7"/>
  <c r="CB362" i="7"/>
  <c r="CW362" i="7" s="1"/>
  <c r="DQ356" i="7"/>
  <c r="CL358" i="7"/>
  <c r="DG358" i="7" s="1"/>
  <c r="EM357" i="7"/>
  <c r="DO356" i="7"/>
  <c r="EF358" i="7"/>
  <c r="EC358" i="7"/>
  <c r="EB353" i="7"/>
  <c r="DX353" i="7"/>
  <c r="DW353" i="7"/>
  <c r="EA354" i="7"/>
  <c r="DZ354" i="7"/>
  <c r="DL356" i="7"/>
  <c r="BC357" i="7"/>
  <c r="BA357" i="7"/>
  <c r="AX357" i="7"/>
  <c r="DM357" i="7" s="1"/>
  <c r="AW357" i="7"/>
  <c r="AT357" i="7"/>
  <c r="AU357" i="7"/>
  <c r="AV357" i="7"/>
  <c r="DN356" i="7"/>
  <c r="AY357" i="7"/>
  <c r="BB357" i="7"/>
  <c r="M358" i="7"/>
  <c r="AU358" i="7" s="1"/>
  <c r="DV358" i="7"/>
  <c r="BX391" i="7"/>
  <c r="CS391" i="7" s="1"/>
  <c r="BY391" i="7"/>
  <c r="CT391" i="7" s="1"/>
  <c r="BW393" i="7"/>
  <c r="CR393" i="7" s="1"/>
  <c r="DP356" i="7"/>
  <c r="BF355" i="7"/>
  <c r="DJ356" i="7"/>
  <c r="BE355" i="7"/>
  <c r="BD355" i="7"/>
  <c r="CM382" i="7"/>
  <c r="DH382" i="7" s="1"/>
  <c r="CC376" i="7"/>
  <c r="CX376" i="7" s="1"/>
  <c r="G350" i="7"/>
  <c r="BL111" i="7"/>
  <c r="BK111" i="7"/>
  <c r="F111" i="7"/>
  <c r="BJ111" i="7"/>
  <c r="CI361" i="7"/>
  <c r="DD361" i="7" s="1"/>
  <c r="DS360" i="7"/>
  <c r="P360" i="7" s="1"/>
  <c r="BT362" i="7"/>
  <c r="CO362" i="7" s="1"/>
  <c r="BV360" i="7"/>
  <c r="CQ360" i="7" s="1"/>
  <c r="BO352" i="7"/>
  <c r="CA354" i="7"/>
  <c r="CV354" i="7" s="1"/>
  <c r="CG355" i="7"/>
  <c r="DB355" i="7" s="1"/>
  <c r="BZ356" i="7"/>
  <c r="CU356" i="7" s="1"/>
  <c r="CD358" i="7"/>
  <c r="CY358" i="7" s="1"/>
  <c r="CH355" i="7"/>
  <c r="DC355" i="7" s="1"/>
  <c r="BN354" i="7"/>
  <c r="DI352" i="7"/>
  <c r="BP352" i="7" s="1"/>
  <c r="BQ351" i="7"/>
  <c r="H351" i="7" s="1"/>
  <c r="CF360" i="7"/>
  <c r="DA360" i="7" s="1"/>
  <c r="BS359" i="7"/>
  <c r="CN359" i="7" s="1"/>
  <c r="BD356" i="7"/>
  <c r="BE356" i="7"/>
  <c r="BF356" i="7"/>
  <c r="BU370" i="7"/>
  <c r="CP370" i="7" s="1"/>
  <c r="CE363" i="7"/>
  <c r="CZ363" i="7" s="1"/>
  <c r="CJ394" i="7"/>
  <c r="DE394" i="7" s="1"/>
  <c r="AN360" i="7" l="1"/>
  <c r="CK361" i="7"/>
  <c r="DF361" i="7" s="1"/>
  <c r="AO355" i="7"/>
  <c r="EO362" i="7"/>
  <c r="AM363" i="7"/>
  <c r="EN356" i="7"/>
  <c r="CB363" i="7"/>
  <c r="CW363" i="7" s="1"/>
  <c r="CL359" i="7"/>
  <c r="DG359" i="7" s="1"/>
  <c r="EM358" i="7"/>
  <c r="DN357" i="7"/>
  <c r="DX354" i="7"/>
  <c r="EB354" i="7"/>
  <c r="DW354" i="7"/>
  <c r="EF359" i="7"/>
  <c r="EC359" i="7"/>
  <c r="EA355" i="7"/>
  <c r="DZ355" i="7"/>
  <c r="DK357" i="7"/>
  <c r="BC358" i="7"/>
  <c r="AT358" i="7"/>
  <c r="AX358" i="7"/>
  <c r="DM358" i="7" s="1"/>
  <c r="AW358" i="7"/>
  <c r="AY358" i="7"/>
  <c r="AZ358" i="7"/>
  <c r="BA358" i="7"/>
  <c r="BB358" i="7"/>
  <c r="M359" i="7"/>
  <c r="AZ359" i="7" s="1"/>
  <c r="DV359" i="7"/>
  <c r="AV358" i="7"/>
  <c r="BY392" i="7"/>
  <c r="CT392" i="7" s="1"/>
  <c r="BX392" i="7"/>
  <c r="CS392" i="7" s="1"/>
  <c r="BW394" i="7"/>
  <c r="CR394" i="7" s="1"/>
  <c r="DO357" i="7"/>
  <c r="AF357" i="7"/>
  <c r="AI357" i="7" s="1"/>
  <c r="DJ357" i="7"/>
  <c r="AH357" i="7"/>
  <c r="DR357" i="7"/>
  <c r="AG357" i="7"/>
  <c r="DL357" i="7"/>
  <c r="DP357" i="7"/>
  <c r="DQ357" i="7"/>
  <c r="CM383" i="7"/>
  <c r="DH383" i="7" s="1"/>
  <c r="CC377" i="7"/>
  <c r="CX377" i="7" s="1"/>
  <c r="G351" i="7"/>
  <c r="BM111" i="7"/>
  <c r="BV361" i="7"/>
  <c r="CQ361" i="7" s="1"/>
  <c r="BT363" i="7"/>
  <c r="CO363" i="7" s="1"/>
  <c r="CI362" i="7"/>
  <c r="DD362" i="7" s="1"/>
  <c r="DS361" i="7"/>
  <c r="P361" i="7" s="1"/>
  <c r="CA355" i="7"/>
  <c r="CV355" i="7" s="1"/>
  <c r="BO353" i="7"/>
  <c r="CG356" i="7"/>
  <c r="DB356" i="7" s="1"/>
  <c r="BZ357" i="7"/>
  <c r="CU357" i="7" s="1"/>
  <c r="CD359" i="7"/>
  <c r="CY359" i="7" s="1"/>
  <c r="CH356" i="7"/>
  <c r="DC356" i="7" s="1"/>
  <c r="BN355" i="7"/>
  <c r="DI353" i="7"/>
  <c r="BP353" i="7" s="1"/>
  <c r="BQ352" i="7"/>
  <c r="H352" i="7" s="1"/>
  <c r="CF361" i="7"/>
  <c r="DA361" i="7" s="1"/>
  <c r="BE357" i="7"/>
  <c r="AF358" i="7"/>
  <c r="AI358" i="7" s="1"/>
  <c r="AH358" i="7"/>
  <c r="AG358" i="7"/>
  <c r="BS360" i="7"/>
  <c r="CN360" i="7" s="1"/>
  <c r="BU371" i="7"/>
  <c r="CP371" i="7" s="1"/>
  <c r="CE364" i="7"/>
  <c r="CZ364" i="7" s="1"/>
  <c r="CJ395" i="7"/>
  <c r="DE395" i="7" s="1"/>
  <c r="EN357" i="7" l="1"/>
  <c r="CK362" i="7"/>
  <c r="DF362" i="7" s="1"/>
  <c r="AO356" i="7"/>
  <c r="AM364" i="7"/>
  <c r="AN361" i="7"/>
  <c r="EO363" i="7"/>
  <c r="CB364" i="7"/>
  <c r="CW364" i="7" s="1"/>
  <c r="CL360" i="7"/>
  <c r="DG360" i="7" s="1"/>
  <c r="EM359" i="7"/>
  <c r="DO358" i="7"/>
  <c r="DO359" i="7" s="1"/>
  <c r="DR358" i="7"/>
  <c r="AV359" i="7"/>
  <c r="DK358" i="7"/>
  <c r="DW355" i="7"/>
  <c r="EB355" i="7"/>
  <c r="DX355" i="7"/>
  <c r="EC360" i="7"/>
  <c r="EF360" i="7"/>
  <c r="DZ356" i="7"/>
  <c r="EA356" i="7"/>
  <c r="N112" i="7"/>
  <c r="D101" i="32"/>
  <c r="AY359" i="7"/>
  <c r="BC359" i="7"/>
  <c r="AX359" i="7"/>
  <c r="DM359" i="7" s="1"/>
  <c r="DQ358" i="7"/>
  <c r="BA359" i="7"/>
  <c r="AT359" i="7"/>
  <c r="AW359" i="7"/>
  <c r="AU359" i="7"/>
  <c r="BB359" i="7"/>
  <c r="M360" i="7"/>
  <c r="AU360" i="7" s="1"/>
  <c r="DV360" i="7"/>
  <c r="BX393" i="7"/>
  <c r="CS393" i="7" s="1"/>
  <c r="BY393" i="7"/>
  <c r="CT393" i="7" s="1"/>
  <c r="BW395" i="7"/>
  <c r="CR395" i="7" s="1"/>
  <c r="BF357" i="7"/>
  <c r="DJ358" i="7"/>
  <c r="BD357" i="7"/>
  <c r="DL358" i="7"/>
  <c r="DP358" i="7"/>
  <c r="DN358" i="7"/>
  <c r="CM384" i="7"/>
  <c r="DH384" i="7" s="1"/>
  <c r="CC378" i="7"/>
  <c r="CX378" i="7" s="1"/>
  <c r="G352" i="7"/>
  <c r="B111" i="7"/>
  <c r="BT364" i="7"/>
  <c r="CO364" i="7" s="1"/>
  <c r="DS362" i="7"/>
  <c r="P362" i="7" s="1"/>
  <c r="CI363" i="7"/>
  <c r="DD363" i="7" s="1"/>
  <c r="BV362" i="7"/>
  <c r="CQ362" i="7" s="1"/>
  <c r="CA356" i="7"/>
  <c r="CV356" i="7" s="1"/>
  <c r="BO354" i="7"/>
  <c r="CG357" i="7"/>
  <c r="DB357" i="7" s="1"/>
  <c r="BZ358" i="7"/>
  <c r="CU358" i="7" s="1"/>
  <c r="CD360" i="7"/>
  <c r="CY360" i="7" s="1"/>
  <c r="BQ353" i="7"/>
  <c r="H353" i="7" s="1"/>
  <c r="DI354" i="7"/>
  <c r="BP354" i="7" s="1"/>
  <c r="CF362" i="7"/>
  <c r="DA362" i="7" s="1"/>
  <c r="BN356" i="7"/>
  <c r="CH357" i="7"/>
  <c r="DC357" i="7" s="1"/>
  <c r="BS361" i="7"/>
  <c r="CN361" i="7" s="1"/>
  <c r="AG359" i="7"/>
  <c r="AH359" i="7"/>
  <c r="AF359" i="7"/>
  <c r="AI359" i="7" s="1"/>
  <c r="BU372" i="7"/>
  <c r="CP372" i="7" s="1"/>
  <c r="CE365" i="7"/>
  <c r="CZ365" i="7" s="1"/>
  <c r="CJ396" i="7"/>
  <c r="DE396" i="7" s="1"/>
  <c r="AM365" i="7" l="1"/>
  <c r="AN362" i="7"/>
  <c r="EN358" i="7"/>
  <c r="AO357" i="7"/>
  <c r="CK363" i="7"/>
  <c r="DF363" i="7" s="1"/>
  <c r="EO364" i="7"/>
  <c r="CB365" i="7"/>
  <c r="CW365" i="7" s="1"/>
  <c r="DP359" i="7"/>
  <c r="F101" i="32"/>
  <c r="G101" i="32" s="1"/>
  <c r="P101" i="32" s="1"/>
  <c r="Q101" i="32" s="1"/>
  <c r="AP112" i="7"/>
  <c r="BG112" i="7" s="1"/>
  <c r="AQ112" i="7"/>
  <c r="BH112" i="7" s="1"/>
  <c r="AR112" i="7"/>
  <c r="BI112" i="7" s="1"/>
  <c r="DN359" i="7"/>
  <c r="CL361" i="7"/>
  <c r="DG361" i="7" s="1"/>
  <c r="EM360" i="7"/>
  <c r="DK359" i="7"/>
  <c r="DR359" i="7"/>
  <c r="EF361" i="7"/>
  <c r="EC361" i="7"/>
  <c r="DZ357" i="7"/>
  <c r="EA357" i="7"/>
  <c r="DW356" i="7"/>
  <c r="DX356" i="7"/>
  <c r="EB356" i="7"/>
  <c r="AY360" i="7"/>
  <c r="AX360" i="7"/>
  <c r="DM360" i="7" s="1"/>
  <c r="AK112" i="7"/>
  <c r="D112" i="7" s="1"/>
  <c r="AJ112" i="7"/>
  <c r="C112" i="7" s="1"/>
  <c r="AL112" i="7"/>
  <c r="E112" i="7" s="1"/>
  <c r="AT360" i="7"/>
  <c r="DJ359" i="7"/>
  <c r="DJ360" i="7" s="1"/>
  <c r="DQ359" i="7"/>
  <c r="BA360" i="7"/>
  <c r="AZ360" i="7"/>
  <c r="AV360" i="7"/>
  <c r="BC360" i="7"/>
  <c r="AW360" i="7"/>
  <c r="BB360" i="7"/>
  <c r="M361" i="7"/>
  <c r="AZ361" i="7" s="1"/>
  <c r="DV361" i="7"/>
  <c r="BY394" i="7"/>
  <c r="CT394" i="7" s="1"/>
  <c r="BX394" i="7"/>
  <c r="CS394" i="7" s="1"/>
  <c r="BW396" i="7"/>
  <c r="CR396" i="7" s="1"/>
  <c r="DL359" i="7"/>
  <c r="BE358" i="7"/>
  <c r="BD358" i="7"/>
  <c r="BF358" i="7"/>
  <c r="CM385" i="7"/>
  <c r="DH385" i="7" s="1"/>
  <c r="CC379" i="7"/>
  <c r="CX379" i="7" s="1"/>
  <c r="G353" i="7"/>
  <c r="BV363" i="7"/>
  <c r="CQ363" i="7" s="1"/>
  <c r="CI364" i="7"/>
  <c r="DD364" i="7" s="1"/>
  <c r="DS363" i="7"/>
  <c r="P363" i="7" s="1"/>
  <c r="BT365" i="7"/>
  <c r="CO365" i="7" s="1"/>
  <c r="BO355" i="7"/>
  <c r="CA357" i="7"/>
  <c r="CV357" i="7" s="1"/>
  <c r="CG358" i="7"/>
  <c r="DB358" i="7" s="1"/>
  <c r="BZ359" i="7"/>
  <c r="CU359" i="7" s="1"/>
  <c r="CD361" i="7"/>
  <c r="CY361" i="7" s="1"/>
  <c r="CF363" i="7"/>
  <c r="DA363" i="7" s="1"/>
  <c r="BQ354" i="7"/>
  <c r="H354" i="7" s="1"/>
  <c r="DI355" i="7"/>
  <c r="BP355" i="7" s="1"/>
  <c r="CH358" i="7"/>
  <c r="DC358" i="7" s="1"/>
  <c r="BN357" i="7"/>
  <c r="BD359" i="7"/>
  <c r="BE359" i="7"/>
  <c r="BF359" i="7"/>
  <c r="BS362" i="7"/>
  <c r="CN362" i="7" s="1"/>
  <c r="BU373" i="7"/>
  <c r="CP373" i="7" s="1"/>
  <c r="CE366" i="7"/>
  <c r="CZ366" i="7" s="1"/>
  <c r="CJ397" i="7"/>
  <c r="DE397" i="7" s="1"/>
  <c r="EO365" i="7" l="1"/>
  <c r="AO358" i="7"/>
  <c r="AM366" i="7"/>
  <c r="AN363" i="7"/>
  <c r="EN359" i="7"/>
  <c r="CK364" i="7"/>
  <c r="DF364" i="7" s="1"/>
  <c r="CB366" i="7"/>
  <c r="CW366" i="7" s="1"/>
  <c r="DP360" i="7"/>
  <c r="CL362" i="7"/>
  <c r="DG362" i="7" s="1"/>
  <c r="EM361" i="7"/>
  <c r="EF362" i="7"/>
  <c r="EC362" i="7"/>
  <c r="DZ358" i="7"/>
  <c r="EA358" i="7"/>
  <c r="EB357" i="7"/>
  <c r="DX357" i="7"/>
  <c r="DW357" i="7"/>
  <c r="AU361" i="7"/>
  <c r="BA361" i="7"/>
  <c r="DO360" i="7"/>
  <c r="BC361" i="7"/>
  <c r="AW361" i="7"/>
  <c r="AX361" i="7"/>
  <c r="DM361" i="7" s="1"/>
  <c r="AV361" i="7"/>
  <c r="AT361" i="7"/>
  <c r="M362" i="7"/>
  <c r="AU362" i="7" s="1"/>
  <c r="DV362" i="7"/>
  <c r="AY361" i="7"/>
  <c r="BB361" i="7"/>
  <c r="BX395" i="7"/>
  <c r="CS395" i="7" s="1"/>
  <c r="BY395" i="7"/>
  <c r="CT395" i="7" s="1"/>
  <c r="BW397" i="7"/>
  <c r="CR397" i="7" s="1"/>
  <c r="DQ360" i="7"/>
  <c r="AG360" i="7"/>
  <c r="AH360" i="7"/>
  <c r="DN360" i="7"/>
  <c r="DK360" i="7"/>
  <c r="DL360" i="7"/>
  <c r="AF360" i="7"/>
  <c r="AI360" i="7" s="1"/>
  <c r="DR360" i="7"/>
  <c r="CM386" i="7"/>
  <c r="DH386" i="7" s="1"/>
  <c r="CC380" i="7"/>
  <c r="CX380" i="7" s="1"/>
  <c r="G354" i="7"/>
  <c r="BK112" i="7"/>
  <c r="BL112" i="7"/>
  <c r="F112" i="7"/>
  <c r="BJ112" i="7"/>
  <c r="DS364" i="7"/>
  <c r="P364" i="7" s="1"/>
  <c r="CI365" i="7"/>
  <c r="DD365" i="7" s="1"/>
  <c r="BT366" i="7"/>
  <c r="CO366" i="7" s="1"/>
  <c r="BV364" i="7"/>
  <c r="CQ364" i="7" s="1"/>
  <c r="CA358" i="7"/>
  <c r="CV358" i="7" s="1"/>
  <c r="BO356" i="7"/>
  <c r="CG359" i="7"/>
  <c r="DB359" i="7" s="1"/>
  <c r="BZ360" i="7"/>
  <c r="CU360" i="7" s="1"/>
  <c r="CD362" i="7"/>
  <c r="CY362" i="7" s="1"/>
  <c r="BQ355" i="7"/>
  <c r="H355" i="7" s="1"/>
  <c r="DI356" i="7"/>
  <c r="BP356" i="7" s="1"/>
  <c r="CF364" i="7"/>
  <c r="DA364" i="7" s="1"/>
  <c r="BN358" i="7"/>
  <c r="CH359" i="7"/>
  <c r="DC359" i="7" s="1"/>
  <c r="AG361" i="7"/>
  <c r="AF361" i="7"/>
  <c r="AI361" i="7" s="1"/>
  <c r="BS363" i="7"/>
  <c r="CN363" i="7" s="1"/>
  <c r="BU374" i="7"/>
  <c r="CP374" i="7" s="1"/>
  <c r="CE367" i="7"/>
  <c r="CZ367" i="7" s="1"/>
  <c r="CJ398" i="7"/>
  <c r="DE398" i="7" s="1"/>
  <c r="AO359" i="7" l="1"/>
  <c r="EO366" i="7"/>
  <c r="CK365" i="7"/>
  <c r="DF365" i="7" s="1"/>
  <c r="AM367" i="7"/>
  <c r="AN364" i="7"/>
  <c r="EN360" i="7"/>
  <c r="CB367" i="7"/>
  <c r="CW367" i="7" s="1"/>
  <c r="DP361" i="7"/>
  <c r="CL363" i="7"/>
  <c r="DG363" i="7" s="1"/>
  <c r="EM362" i="7"/>
  <c r="DL361" i="7"/>
  <c r="EF363" i="7"/>
  <c r="EC363" i="7"/>
  <c r="DZ359" i="7"/>
  <c r="EA359" i="7"/>
  <c r="EB358" i="7"/>
  <c r="DX358" i="7"/>
  <c r="DW358" i="7"/>
  <c r="AZ362" i="7"/>
  <c r="AY362" i="7"/>
  <c r="AW362" i="7"/>
  <c r="BB362" i="7"/>
  <c r="AV362" i="7"/>
  <c r="AX362" i="7"/>
  <c r="DM362" i="7" s="1"/>
  <c r="BC362" i="7"/>
  <c r="AT362" i="7"/>
  <c r="M363" i="7"/>
  <c r="AZ363" i="7" s="1"/>
  <c r="DV363" i="7"/>
  <c r="BA362" i="7"/>
  <c r="BY396" i="7"/>
  <c r="CT396" i="7" s="1"/>
  <c r="BX396" i="7"/>
  <c r="CS396" i="7" s="1"/>
  <c r="BW398" i="7"/>
  <c r="CR398" i="7" s="1"/>
  <c r="DK361" i="7"/>
  <c r="DQ361" i="7"/>
  <c r="DN361" i="7"/>
  <c r="BE360" i="7"/>
  <c r="BD360" i="7"/>
  <c r="AH361" i="7"/>
  <c r="DJ361" i="7"/>
  <c r="BF361" i="7"/>
  <c r="DO361" i="7"/>
  <c r="DR361" i="7"/>
  <c r="BF360" i="7"/>
  <c r="CM387" i="7"/>
  <c r="DH387" i="7" s="1"/>
  <c r="CC381" i="7"/>
  <c r="CX381" i="7" s="1"/>
  <c r="G355" i="7"/>
  <c r="BM112" i="7"/>
  <c r="CI366" i="7"/>
  <c r="DD366" i="7" s="1"/>
  <c r="DS365" i="7"/>
  <c r="P365" i="7" s="1"/>
  <c r="BV365" i="7"/>
  <c r="CQ365" i="7" s="1"/>
  <c r="BT367" i="7"/>
  <c r="CO367" i="7" s="1"/>
  <c r="CA359" i="7"/>
  <c r="CV359" i="7" s="1"/>
  <c r="BO357" i="7"/>
  <c r="CG360" i="7"/>
  <c r="DB360" i="7" s="1"/>
  <c r="BZ361" i="7"/>
  <c r="CU361" i="7" s="1"/>
  <c r="CD363" i="7"/>
  <c r="CY363" i="7" s="1"/>
  <c r="DI357" i="7"/>
  <c r="BP357" i="7" s="1"/>
  <c r="BQ356" i="7"/>
  <c r="H356" i="7" s="1"/>
  <c r="CF365" i="7"/>
  <c r="DA365" i="7" s="1"/>
  <c r="CH360" i="7"/>
  <c r="DC360" i="7" s="1"/>
  <c r="BN359" i="7"/>
  <c r="BS364" i="7"/>
  <c r="CN364" i="7" s="1"/>
  <c r="BU375" i="7"/>
  <c r="CP375" i="7" s="1"/>
  <c r="CE368" i="7"/>
  <c r="CZ368" i="7" s="1"/>
  <c r="CJ399" i="7"/>
  <c r="DE399" i="7" s="1"/>
  <c r="AO360" i="7" l="1"/>
  <c r="AM368" i="7"/>
  <c r="AN365" i="7"/>
  <c r="EN361" i="7"/>
  <c r="EO367" i="7"/>
  <c r="CK366" i="7"/>
  <c r="DF366" i="7" s="1"/>
  <c r="CB368" i="7"/>
  <c r="CW368" i="7" s="1"/>
  <c r="CL364" i="7"/>
  <c r="DG364" i="7" s="1"/>
  <c r="EM363" i="7"/>
  <c r="DN362" i="7"/>
  <c r="DK362" i="7"/>
  <c r="AV363" i="7"/>
  <c r="EA360" i="7"/>
  <c r="DZ360" i="7"/>
  <c r="DX359" i="7"/>
  <c r="DW359" i="7"/>
  <c r="EB359" i="7"/>
  <c r="EF364" i="7"/>
  <c r="EC364" i="7"/>
  <c r="N113" i="7"/>
  <c r="D102" i="32"/>
  <c r="AU363" i="7"/>
  <c r="AX363" i="7"/>
  <c r="DM363" i="7" s="1"/>
  <c r="AY363" i="7"/>
  <c r="BA363" i="7"/>
  <c r="BB363" i="7"/>
  <c r="AW363" i="7"/>
  <c r="BC363" i="7"/>
  <c r="AT363" i="7"/>
  <c r="M364" i="7"/>
  <c r="AU364" i="7" s="1"/>
  <c r="DV364" i="7"/>
  <c r="BX397" i="7"/>
  <c r="CS397" i="7" s="1"/>
  <c r="BY397" i="7"/>
  <c r="CT397" i="7" s="1"/>
  <c r="BW399" i="7"/>
  <c r="CR399" i="7" s="1"/>
  <c r="DR362" i="7"/>
  <c r="BE361" i="7"/>
  <c r="BD361" i="7"/>
  <c r="DO362" i="7"/>
  <c r="DP362" i="7"/>
  <c r="AH362" i="7"/>
  <c r="AF362" i="7"/>
  <c r="AI362" i="7" s="1"/>
  <c r="DL362" i="7"/>
  <c r="DJ362" i="7"/>
  <c r="AG362" i="7"/>
  <c r="DQ362" i="7"/>
  <c r="CM388" i="7"/>
  <c r="DH388" i="7" s="1"/>
  <c r="CC382" i="7"/>
  <c r="CX382" i="7" s="1"/>
  <c r="G356" i="7"/>
  <c r="B112" i="7"/>
  <c r="BT368" i="7"/>
  <c r="CO368" i="7" s="1"/>
  <c r="BV366" i="7"/>
  <c r="CQ366" i="7" s="1"/>
  <c r="CI367" i="7"/>
  <c r="DD367" i="7" s="1"/>
  <c r="DS366" i="7"/>
  <c r="P366" i="7" s="1"/>
  <c r="BO358" i="7"/>
  <c r="CA360" i="7"/>
  <c r="CV360" i="7" s="1"/>
  <c r="CG361" i="7"/>
  <c r="DB361" i="7" s="1"/>
  <c r="BZ362" i="7"/>
  <c r="CU362" i="7" s="1"/>
  <c r="CD364" i="7"/>
  <c r="CY364" i="7" s="1"/>
  <c r="BQ357" i="7"/>
  <c r="H357" i="7" s="1"/>
  <c r="DI358" i="7"/>
  <c r="BP358" i="7" s="1"/>
  <c r="CF366" i="7"/>
  <c r="DA366" i="7" s="1"/>
  <c r="CH361" i="7"/>
  <c r="DC361" i="7" s="1"/>
  <c r="BN360" i="7"/>
  <c r="AH363" i="7"/>
  <c r="AG363" i="7"/>
  <c r="BS365" i="7"/>
  <c r="CN365" i="7" s="1"/>
  <c r="BU376" i="7"/>
  <c r="CP376" i="7" s="1"/>
  <c r="CE369" i="7"/>
  <c r="CZ369" i="7" s="1"/>
  <c r="CJ400" i="7"/>
  <c r="DE400" i="7" s="1"/>
  <c r="EO368" i="7" l="1"/>
  <c r="AN366" i="7"/>
  <c r="EN362" i="7"/>
  <c r="CK367" i="7"/>
  <c r="DF367" i="7" s="1"/>
  <c r="AM369" i="7"/>
  <c r="AO361" i="7"/>
  <c r="CB369" i="7"/>
  <c r="CW369" i="7" s="1"/>
  <c r="F102" i="32"/>
  <c r="G102" i="32" s="1"/>
  <c r="P102" i="32" s="1"/>
  <c r="Q102" i="32" s="1"/>
  <c r="AQ113" i="7"/>
  <c r="BH113" i="7" s="1"/>
  <c r="AR113" i="7"/>
  <c r="BI113" i="7" s="1"/>
  <c r="AP113" i="7"/>
  <c r="BG113" i="7" s="1"/>
  <c r="CL365" i="7"/>
  <c r="DG365" i="7" s="1"/>
  <c r="EM364" i="7"/>
  <c r="DJ363" i="7"/>
  <c r="AJ113" i="7"/>
  <c r="C113" i="7" s="1"/>
  <c r="DZ361" i="7"/>
  <c r="EA361" i="7"/>
  <c r="EF365" i="7"/>
  <c r="EC365" i="7"/>
  <c r="DW360" i="7"/>
  <c r="DX360" i="7"/>
  <c r="EB360" i="7"/>
  <c r="AK113" i="7"/>
  <c r="D113" i="7" s="1"/>
  <c r="AL113" i="7"/>
  <c r="E113" i="7" s="1"/>
  <c r="BB364" i="7"/>
  <c r="AW364" i="7"/>
  <c r="AX364" i="7"/>
  <c r="DM364" i="7" s="1"/>
  <c r="AV364" i="7"/>
  <c r="BA364" i="7"/>
  <c r="BC364" i="7"/>
  <c r="AT364" i="7"/>
  <c r="AZ364" i="7"/>
  <c r="AY364" i="7"/>
  <c r="M365" i="7"/>
  <c r="AZ365" i="7" s="1"/>
  <c r="DV365" i="7"/>
  <c r="BY398" i="7"/>
  <c r="CT398" i="7" s="1"/>
  <c r="BX398" i="7"/>
  <c r="CS398" i="7" s="1"/>
  <c r="BW400" i="7"/>
  <c r="CR400" i="7" s="1"/>
  <c r="DO363" i="7"/>
  <c r="DQ363" i="7"/>
  <c r="BE362" i="7"/>
  <c r="BD362" i="7"/>
  <c r="BF362" i="7"/>
  <c r="DP363" i="7"/>
  <c r="DL363" i="7"/>
  <c r="DK363" i="7"/>
  <c r="AF363" i="7"/>
  <c r="AI363" i="7" s="1"/>
  <c r="DN363" i="7"/>
  <c r="DR363" i="7"/>
  <c r="CM389" i="7"/>
  <c r="DH389" i="7" s="1"/>
  <c r="CC383" i="7"/>
  <c r="CX383" i="7" s="1"/>
  <c r="G357" i="7"/>
  <c r="BV367" i="7"/>
  <c r="CQ367" i="7" s="1"/>
  <c r="DS367" i="7"/>
  <c r="P367" i="7" s="1"/>
  <c r="CI368" i="7"/>
  <c r="DD368" i="7" s="1"/>
  <c r="BT369" i="7"/>
  <c r="CO369" i="7" s="1"/>
  <c r="BO359" i="7"/>
  <c r="CA361" i="7"/>
  <c r="CV361" i="7" s="1"/>
  <c r="CG362" i="7"/>
  <c r="DB362" i="7" s="1"/>
  <c r="BZ363" i="7"/>
  <c r="CU363" i="7" s="1"/>
  <c r="CD365" i="7"/>
  <c r="CY365" i="7" s="1"/>
  <c r="BQ358" i="7"/>
  <c r="H358" i="7" s="1"/>
  <c r="DI359" i="7"/>
  <c r="BP359" i="7" s="1"/>
  <c r="CF367" i="7"/>
  <c r="DA367" i="7" s="1"/>
  <c r="BN361" i="7"/>
  <c r="CH362" i="7"/>
  <c r="DC362" i="7" s="1"/>
  <c r="BS366" i="7"/>
  <c r="CN366" i="7" s="1"/>
  <c r="BU377" i="7"/>
  <c r="CP377" i="7" s="1"/>
  <c r="CE370" i="7"/>
  <c r="CZ370" i="7" s="1"/>
  <c r="CJ401" i="7"/>
  <c r="DE401" i="7" s="1"/>
  <c r="AM370" i="7" l="1"/>
  <c r="CK368" i="7"/>
  <c r="DF368" i="7" s="1"/>
  <c r="AN367" i="7"/>
  <c r="EN363" i="7"/>
  <c r="EO369" i="7"/>
  <c r="AO362" i="7"/>
  <c r="CB370" i="7"/>
  <c r="CW370" i="7" s="1"/>
  <c r="CL366" i="7"/>
  <c r="DG366" i="7" s="1"/>
  <c r="EM365" i="7"/>
  <c r="DP364" i="7"/>
  <c r="DQ364" i="7"/>
  <c r="EF366" i="7"/>
  <c r="EC366" i="7"/>
  <c r="DZ362" i="7"/>
  <c r="EA362" i="7"/>
  <c r="EB361" i="7"/>
  <c r="DX361" i="7"/>
  <c r="DW361" i="7"/>
  <c r="AW365" i="7"/>
  <c r="DO364" i="7"/>
  <c r="BA365" i="7"/>
  <c r="AV365" i="7"/>
  <c r="BC365" i="7"/>
  <c r="AU365" i="7"/>
  <c r="AX365" i="7"/>
  <c r="AT365" i="7"/>
  <c r="M366" i="7"/>
  <c r="AU366" i="7" s="1"/>
  <c r="DV366" i="7"/>
  <c r="AY365" i="7"/>
  <c r="BB365" i="7"/>
  <c r="BX399" i="7"/>
  <c r="CS399" i="7" s="1"/>
  <c r="BY399" i="7"/>
  <c r="CT399" i="7" s="1"/>
  <c r="BW401" i="7"/>
  <c r="CR401" i="7" s="1"/>
  <c r="BF363" i="7"/>
  <c r="AF364" i="7"/>
  <c r="AI364" i="7" s="1"/>
  <c r="DR364" i="7"/>
  <c r="AG364" i="7"/>
  <c r="BD363" i="7"/>
  <c r="DK364" i="7"/>
  <c r="DN364" i="7"/>
  <c r="BE363" i="7"/>
  <c r="DL364" i="7"/>
  <c r="AH364" i="7"/>
  <c r="DJ364" i="7"/>
  <c r="CM390" i="7"/>
  <c r="DH390" i="7" s="1"/>
  <c r="CC384" i="7"/>
  <c r="CX384" i="7" s="1"/>
  <c r="G358" i="7"/>
  <c r="BL113" i="7"/>
  <c r="BK113" i="7"/>
  <c r="F113" i="7"/>
  <c r="BJ113" i="7"/>
  <c r="DS368" i="7"/>
  <c r="P368" i="7" s="1"/>
  <c r="CI369" i="7"/>
  <c r="DD369" i="7" s="1"/>
  <c r="BT370" i="7"/>
  <c r="CO370" i="7" s="1"/>
  <c r="BV368" i="7"/>
  <c r="CQ368" i="7" s="1"/>
  <c r="BO360" i="7"/>
  <c r="CA362" i="7"/>
  <c r="CV362" i="7" s="1"/>
  <c r="CG363" i="7"/>
  <c r="DB363" i="7" s="1"/>
  <c r="BZ364" i="7"/>
  <c r="CU364" i="7" s="1"/>
  <c r="CD366" i="7"/>
  <c r="CY366" i="7" s="1"/>
  <c r="CH363" i="7"/>
  <c r="DC363" i="7" s="1"/>
  <c r="BN362" i="7"/>
  <c r="CF368" i="7"/>
  <c r="DA368" i="7" s="1"/>
  <c r="BQ359" i="7"/>
  <c r="H359" i="7" s="1"/>
  <c r="DI360" i="7"/>
  <c r="BP360" i="7" s="1"/>
  <c r="BS367" i="7"/>
  <c r="CN367" i="7" s="1"/>
  <c r="BU378" i="7"/>
  <c r="CP378" i="7" s="1"/>
  <c r="CE371" i="7"/>
  <c r="CZ371" i="7" s="1"/>
  <c r="CJ402" i="7"/>
  <c r="DE402" i="7" s="1"/>
  <c r="CK369" i="7" l="1"/>
  <c r="DF369" i="7" s="1"/>
  <c r="AO363" i="7"/>
  <c r="EO370" i="7"/>
  <c r="AM371" i="7"/>
  <c r="AN368" i="7"/>
  <c r="EN364" i="7"/>
  <c r="CB371" i="7"/>
  <c r="CW371" i="7" s="1"/>
  <c r="CL367" i="7"/>
  <c r="DG367" i="7" s="1"/>
  <c r="EM366" i="7"/>
  <c r="DO365" i="7"/>
  <c r="EF367" i="7"/>
  <c r="EC367" i="7"/>
  <c r="EA363" i="7"/>
  <c r="DZ363" i="7"/>
  <c r="EB362" i="7"/>
  <c r="DW362" i="7"/>
  <c r="DX362" i="7"/>
  <c r="AW366" i="7"/>
  <c r="AZ366" i="7"/>
  <c r="AT366" i="7"/>
  <c r="BC366" i="7"/>
  <c r="AY366" i="7"/>
  <c r="AV366" i="7"/>
  <c r="BB366" i="7"/>
  <c r="AX366" i="7"/>
  <c r="M367" i="7"/>
  <c r="AV367" i="7" s="1"/>
  <c r="DV367" i="7"/>
  <c r="BA366" i="7"/>
  <c r="BY400" i="7"/>
  <c r="CT400" i="7" s="1"/>
  <c r="BX400" i="7"/>
  <c r="CS400" i="7" s="1"/>
  <c r="BW402" i="7"/>
  <c r="CR402" i="7" s="1"/>
  <c r="BD364" i="7"/>
  <c r="BE364" i="7"/>
  <c r="BF364" i="7"/>
  <c r="DR365" i="7"/>
  <c r="AF365" i="7"/>
  <c r="AI365" i="7" s="1"/>
  <c r="AH365" i="7"/>
  <c r="DL365" i="7"/>
  <c r="DP365" i="7"/>
  <c r="DK365" i="7"/>
  <c r="DJ365" i="7"/>
  <c r="AG365" i="7"/>
  <c r="DQ365" i="7"/>
  <c r="DM365" i="7"/>
  <c r="DN365" i="7"/>
  <c r="CM391" i="7"/>
  <c r="DH391" i="7" s="1"/>
  <c r="CC385" i="7"/>
  <c r="CX385" i="7" s="1"/>
  <c r="G359" i="7"/>
  <c r="BM113" i="7"/>
  <c r="BV369" i="7"/>
  <c r="CQ369" i="7" s="1"/>
  <c r="BT371" i="7"/>
  <c r="CO371" i="7" s="1"/>
  <c r="CI370" i="7"/>
  <c r="DD370" i="7" s="1"/>
  <c r="DS369" i="7"/>
  <c r="P369" i="7" s="1"/>
  <c r="BO361" i="7"/>
  <c r="CA363" i="7"/>
  <c r="CV363" i="7" s="1"/>
  <c r="CG364" i="7"/>
  <c r="DB364" i="7" s="1"/>
  <c r="BZ365" i="7"/>
  <c r="CU365" i="7" s="1"/>
  <c r="CD367" i="7"/>
  <c r="CY367" i="7" s="1"/>
  <c r="BQ360" i="7"/>
  <c r="H360" i="7" s="1"/>
  <c r="DI361" i="7"/>
  <c r="BP361" i="7" s="1"/>
  <c r="CF369" i="7"/>
  <c r="DA369" i="7" s="1"/>
  <c r="BN363" i="7"/>
  <c r="CH364" i="7"/>
  <c r="DC364" i="7" s="1"/>
  <c r="AF366" i="7"/>
  <c r="AI366" i="7" s="1"/>
  <c r="BS368" i="7"/>
  <c r="CN368" i="7" s="1"/>
  <c r="BU379" i="7"/>
  <c r="CP379" i="7" s="1"/>
  <c r="CE372" i="7"/>
  <c r="CZ372" i="7" s="1"/>
  <c r="CJ403" i="7"/>
  <c r="DE403" i="7" s="1"/>
  <c r="AN369" i="7" l="1"/>
  <c r="EN365" i="7"/>
  <c r="AO364" i="7"/>
  <c r="AM372" i="7"/>
  <c r="EO371" i="7"/>
  <c r="CK370" i="7"/>
  <c r="DF370" i="7" s="1"/>
  <c r="CB372" i="7"/>
  <c r="CW372" i="7" s="1"/>
  <c r="CL368" i="7"/>
  <c r="DG368" i="7" s="1"/>
  <c r="EM367" i="7"/>
  <c r="DO366" i="7"/>
  <c r="DZ364" i="7"/>
  <c r="EA364" i="7"/>
  <c r="EF368" i="7"/>
  <c r="EC368" i="7"/>
  <c r="EB363" i="7"/>
  <c r="DW363" i="7"/>
  <c r="DX363" i="7"/>
  <c r="AW367" i="7"/>
  <c r="N114" i="7"/>
  <c r="D103" i="32"/>
  <c r="DQ366" i="7"/>
  <c r="BC367" i="7"/>
  <c r="BB367" i="7"/>
  <c r="AY367" i="7"/>
  <c r="BA367" i="7"/>
  <c r="AU367" i="7"/>
  <c r="AT367" i="7"/>
  <c r="AZ367" i="7"/>
  <c r="M368" i="7"/>
  <c r="AT368" i="7" s="1"/>
  <c r="DV368" i="7"/>
  <c r="AX367" i="7"/>
  <c r="BX401" i="7"/>
  <c r="CS401" i="7" s="1"/>
  <c r="BY401" i="7"/>
  <c r="CT401" i="7" s="1"/>
  <c r="BW403" i="7"/>
  <c r="CR403" i="7" s="1"/>
  <c r="DP366" i="7"/>
  <c r="DM366" i="7"/>
  <c r="BD365" i="7"/>
  <c r="BE365" i="7"/>
  <c r="DL366" i="7"/>
  <c r="DK366" i="7"/>
  <c r="DR366" i="7"/>
  <c r="DN366" i="7"/>
  <c r="BF365" i="7"/>
  <c r="AG366" i="7"/>
  <c r="DJ366" i="7"/>
  <c r="AH366" i="7"/>
  <c r="CM392" i="7"/>
  <c r="DH392" i="7" s="1"/>
  <c r="CC386" i="7"/>
  <c r="CX386" i="7" s="1"/>
  <c r="G360" i="7"/>
  <c r="B113" i="7"/>
  <c r="BT372" i="7"/>
  <c r="CO372" i="7" s="1"/>
  <c r="BV370" i="7"/>
  <c r="CQ370" i="7" s="1"/>
  <c r="DS370" i="7"/>
  <c r="P370" i="7" s="1"/>
  <c r="CI371" i="7"/>
  <c r="DD371" i="7" s="1"/>
  <c r="CA364" i="7"/>
  <c r="CV364" i="7" s="1"/>
  <c r="BO362" i="7"/>
  <c r="CG365" i="7"/>
  <c r="DB365" i="7" s="1"/>
  <c r="BZ366" i="7"/>
  <c r="CU366" i="7" s="1"/>
  <c r="CD368" i="7"/>
  <c r="CY368" i="7" s="1"/>
  <c r="BN364" i="7"/>
  <c r="CH365" i="7"/>
  <c r="DC365" i="7" s="1"/>
  <c r="BQ361" i="7"/>
  <c r="H361" i="7" s="1"/>
  <c r="DI362" i="7"/>
  <c r="BP362" i="7" s="1"/>
  <c r="CF370" i="7"/>
  <c r="DA370" i="7" s="1"/>
  <c r="BS369" i="7"/>
  <c r="CN369" i="7" s="1"/>
  <c r="BU380" i="7"/>
  <c r="CP380" i="7" s="1"/>
  <c r="CE373" i="7"/>
  <c r="CZ373" i="7" s="1"/>
  <c r="CJ404" i="7"/>
  <c r="DE404" i="7" s="1"/>
  <c r="AO365" i="7" l="1"/>
  <c r="CK371" i="7"/>
  <c r="DF371" i="7" s="1"/>
  <c r="AN370" i="7"/>
  <c r="EN366" i="7"/>
  <c r="AM373" i="7"/>
  <c r="EO372" i="7"/>
  <c r="CB373" i="7"/>
  <c r="CW373" i="7" s="1"/>
  <c r="F103" i="32"/>
  <c r="G103" i="32" s="1"/>
  <c r="P103" i="32" s="1"/>
  <c r="Q103" i="32" s="1"/>
  <c r="AR114" i="7"/>
  <c r="BI114" i="7" s="1"/>
  <c r="AP114" i="7"/>
  <c r="BG114" i="7" s="1"/>
  <c r="AQ114" i="7"/>
  <c r="BH114" i="7" s="1"/>
  <c r="CL369" i="7"/>
  <c r="DG369" i="7" s="1"/>
  <c r="EM368" i="7"/>
  <c r="DO367" i="7"/>
  <c r="DM367" i="7"/>
  <c r="AU368" i="7"/>
  <c r="EF369" i="7"/>
  <c r="EC369" i="7"/>
  <c r="EA365" i="7"/>
  <c r="DZ365" i="7"/>
  <c r="DX364" i="7"/>
  <c r="EB364" i="7"/>
  <c r="DW364" i="7"/>
  <c r="DR367" i="7"/>
  <c r="DK367" i="7"/>
  <c r="AL114" i="7"/>
  <c r="E114" i="7" s="1"/>
  <c r="AK114" i="7"/>
  <c r="D114" i="7" s="1"/>
  <c r="AJ114" i="7"/>
  <c r="C114" i="7" s="1"/>
  <c r="DJ367" i="7"/>
  <c r="AZ368" i="7"/>
  <c r="AV368" i="7"/>
  <c r="BB368" i="7"/>
  <c r="BA368" i="7"/>
  <c r="BC368" i="7"/>
  <c r="AX368" i="7"/>
  <c r="M369" i="7"/>
  <c r="AZ369" i="7" s="1"/>
  <c r="DV369" i="7"/>
  <c r="AW368" i="7"/>
  <c r="AY368" i="7"/>
  <c r="BY402" i="7"/>
  <c r="CT402" i="7" s="1"/>
  <c r="BX402" i="7"/>
  <c r="CS402" i="7" s="1"/>
  <c r="BW404" i="7"/>
  <c r="CR404" i="7" s="1"/>
  <c r="BE366" i="7"/>
  <c r="BD366" i="7"/>
  <c r="BF366" i="7"/>
  <c r="AG367" i="7"/>
  <c r="DQ367" i="7"/>
  <c r="AH367" i="7"/>
  <c r="DL367" i="7"/>
  <c r="DP367" i="7"/>
  <c r="AF367" i="7"/>
  <c r="AI367" i="7" s="1"/>
  <c r="DN367" i="7"/>
  <c r="CM393" i="7"/>
  <c r="DH393" i="7" s="1"/>
  <c r="CC387" i="7"/>
  <c r="CX387" i="7" s="1"/>
  <c r="G361" i="7"/>
  <c r="CI372" i="7"/>
  <c r="DD372" i="7" s="1"/>
  <c r="DS371" i="7"/>
  <c r="P371" i="7" s="1"/>
  <c r="BV371" i="7"/>
  <c r="CQ371" i="7" s="1"/>
  <c r="BT373" i="7"/>
  <c r="CO373" i="7" s="1"/>
  <c r="CA365" i="7"/>
  <c r="CV365" i="7" s="1"/>
  <c r="BO363" i="7"/>
  <c r="CG366" i="7"/>
  <c r="DB366" i="7" s="1"/>
  <c r="BZ367" i="7"/>
  <c r="CU367" i="7" s="1"/>
  <c r="CD369" i="7"/>
  <c r="CY369" i="7" s="1"/>
  <c r="BQ362" i="7"/>
  <c r="H362" i="7" s="1"/>
  <c r="DI363" i="7"/>
  <c r="BP363" i="7" s="1"/>
  <c r="BN365" i="7"/>
  <c r="CH366" i="7"/>
  <c r="DC366" i="7" s="1"/>
  <c r="CF371" i="7"/>
  <c r="DA371" i="7" s="1"/>
  <c r="BS370" i="7"/>
  <c r="CN370" i="7" s="1"/>
  <c r="AG368" i="7"/>
  <c r="AF368" i="7"/>
  <c r="AI368" i="7" s="1"/>
  <c r="AH368" i="7"/>
  <c r="BU381" i="7"/>
  <c r="CP381" i="7" s="1"/>
  <c r="CE374" i="7"/>
  <c r="CZ374" i="7" s="1"/>
  <c r="CJ405" i="7"/>
  <c r="DE405" i="7" s="1"/>
  <c r="AN371" i="7" l="1"/>
  <c r="CK372" i="7"/>
  <c r="DF372" i="7" s="1"/>
  <c r="EO373" i="7"/>
  <c r="AM374" i="7"/>
  <c r="EN367" i="7"/>
  <c r="AO366" i="7"/>
  <c r="CB374" i="7"/>
  <c r="CW374" i="7" s="1"/>
  <c r="CL370" i="7"/>
  <c r="DG370" i="7" s="1"/>
  <c r="EM369" i="7"/>
  <c r="DJ368" i="7"/>
  <c r="DM368" i="7"/>
  <c r="DR368" i="7"/>
  <c r="DW365" i="7"/>
  <c r="EB365" i="7"/>
  <c r="DX365" i="7"/>
  <c r="EF370" i="7"/>
  <c r="EC370" i="7"/>
  <c r="DZ366" i="7"/>
  <c r="EA366" i="7"/>
  <c r="DO368" i="7"/>
  <c r="DN368" i="7"/>
  <c r="AU369" i="7"/>
  <c r="AX369" i="7"/>
  <c r="AT369" i="7"/>
  <c r="DQ368" i="7"/>
  <c r="AV369" i="7"/>
  <c r="BA369" i="7"/>
  <c r="BC369" i="7"/>
  <c r="AW369" i="7"/>
  <c r="AY369" i="7"/>
  <c r="BB369" i="7"/>
  <c r="DP368" i="7"/>
  <c r="M370" i="7"/>
  <c r="AX370" i="7" s="1"/>
  <c r="DV370" i="7"/>
  <c r="BX403" i="7"/>
  <c r="CS403" i="7" s="1"/>
  <c r="BY403" i="7"/>
  <c r="CT403" i="7" s="1"/>
  <c r="BW405" i="7"/>
  <c r="CR405" i="7" s="1"/>
  <c r="DL368" i="7"/>
  <c r="BD367" i="7"/>
  <c r="BF367" i="7"/>
  <c r="DK368" i="7"/>
  <c r="BE367" i="7"/>
  <c r="CM394" i="7"/>
  <c r="DH394" i="7" s="1"/>
  <c r="CC388" i="7"/>
  <c r="CX388" i="7" s="1"/>
  <c r="G362" i="7"/>
  <c r="BK114" i="7"/>
  <c r="BJ114" i="7"/>
  <c r="F114" i="7"/>
  <c r="BL114" i="7"/>
  <c r="BV372" i="7"/>
  <c r="CQ372" i="7" s="1"/>
  <c r="BT374" i="7"/>
  <c r="CO374" i="7" s="1"/>
  <c r="CI373" i="7"/>
  <c r="DD373" i="7" s="1"/>
  <c r="DS372" i="7"/>
  <c r="P372" i="7" s="1"/>
  <c r="CA366" i="7"/>
  <c r="CV366" i="7" s="1"/>
  <c r="BO364" i="7"/>
  <c r="CG367" i="7"/>
  <c r="DB367" i="7" s="1"/>
  <c r="BZ368" i="7"/>
  <c r="CU368" i="7" s="1"/>
  <c r="CD370" i="7"/>
  <c r="CY370" i="7" s="1"/>
  <c r="CH367" i="7"/>
  <c r="DC367" i="7" s="1"/>
  <c r="BN366" i="7"/>
  <c r="DI364" i="7"/>
  <c r="BP364" i="7" s="1"/>
  <c r="BQ363" i="7"/>
  <c r="H363" i="7" s="1"/>
  <c r="CF372" i="7"/>
  <c r="DA372" i="7" s="1"/>
  <c r="BS371" i="7"/>
  <c r="CN371" i="7" s="1"/>
  <c r="BU382" i="7"/>
  <c r="CP382" i="7" s="1"/>
  <c r="CE375" i="7"/>
  <c r="CZ375" i="7" s="1"/>
  <c r="CJ406" i="7"/>
  <c r="DE406" i="7" s="1"/>
  <c r="AM375" i="7" l="1"/>
  <c r="EN368" i="7"/>
  <c r="CK373" i="7"/>
  <c r="DF373" i="7" s="1"/>
  <c r="AO367" i="7"/>
  <c r="AN372" i="7"/>
  <c r="EO374" i="7"/>
  <c r="CB375" i="7"/>
  <c r="CW375" i="7" s="1"/>
  <c r="DO369" i="7"/>
  <c r="CL371" i="7"/>
  <c r="DG371" i="7" s="1"/>
  <c r="EM370" i="7"/>
  <c r="EF371" i="7"/>
  <c r="EC371" i="7"/>
  <c r="EA367" i="7"/>
  <c r="DZ367" i="7"/>
  <c r="EB366" i="7"/>
  <c r="DX366" i="7"/>
  <c r="DW366" i="7"/>
  <c r="BB370" i="7"/>
  <c r="AT370" i="7"/>
  <c r="AU370" i="7"/>
  <c r="BA370" i="7"/>
  <c r="AV370" i="7"/>
  <c r="AZ370" i="7"/>
  <c r="AY370" i="7"/>
  <c r="M371" i="7"/>
  <c r="BA371" i="7" s="1"/>
  <c r="DV371" i="7"/>
  <c r="AW370" i="7"/>
  <c r="BC370" i="7"/>
  <c r="BY404" i="7"/>
  <c r="CT404" i="7" s="1"/>
  <c r="BX404" i="7"/>
  <c r="CS404" i="7" s="1"/>
  <c r="BW406" i="7"/>
  <c r="CR406" i="7" s="1"/>
  <c r="BF368" i="7"/>
  <c r="BD368" i="7"/>
  <c r="BE368" i="7"/>
  <c r="AH369" i="7"/>
  <c r="DQ369" i="7"/>
  <c r="AF369" i="7"/>
  <c r="AI369" i="7" s="1"/>
  <c r="DL369" i="7"/>
  <c r="AG369" i="7"/>
  <c r="DR369" i="7"/>
  <c r="DM369" i="7"/>
  <c r="DM370" i="7" s="1"/>
  <c r="DP369" i="7"/>
  <c r="DJ369" i="7"/>
  <c r="DN369" i="7"/>
  <c r="DK369" i="7"/>
  <c r="CM395" i="7"/>
  <c r="DH395" i="7" s="1"/>
  <c r="CC389" i="7"/>
  <c r="CX389" i="7" s="1"/>
  <c r="G363" i="7"/>
  <c r="BM114" i="7"/>
  <c r="BT375" i="7"/>
  <c r="CO375" i="7" s="1"/>
  <c r="BV373" i="7"/>
  <c r="CQ373" i="7" s="1"/>
  <c r="DS373" i="7"/>
  <c r="P373" i="7" s="1"/>
  <c r="CI374" i="7"/>
  <c r="DD374" i="7" s="1"/>
  <c r="CA367" i="7"/>
  <c r="CV367" i="7" s="1"/>
  <c r="BO365" i="7"/>
  <c r="CG368" i="7"/>
  <c r="DB368" i="7" s="1"/>
  <c r="BZ369" i="7"/>
  <c r="CU369" i="7" s="1"/>
  <c r="CD371" i="7"/>
  <c r="CY371" i="7" s="1"/>
  <c r="DI365" i="7"/>
  <c r="BP365" i="7" s="1"/>
  <c r="BQ364" i="7"/>
  <c r="H364" i="7" s="1"/>
  <c r="BN367" i="7"/>
  <c r="CH368" i="7"/>
  <c r="DC368" i="7" s="1"/>
  <c r="CF373" i="7"/>
  <c r="DA373" i="7" s="1"/>
  <c r="AF370" i="7"/>
  <c r="AI370" i="7" s="1"/>
  <c r="AH370" i="7"/>
  <c r="AG370" i="7"/>
  <c r="BS372" i="7"/>
  <c r="CN372" i="7" s="1"/>
  <c r="BU383" i="7"/>
  <c r="CP383" i="7" s="1"/>
  <c r="CE376" i="7"/>
  <c r="CZ376" i="7" s="1"/>
  <c r="CJ407" i="7"/>
  <c r="DE407" i="7" s="1"/>
  <c r="AM376" i="7" l="1"/>
  <c r="EN369" i="7"/>
  <c r="EO375" i="7"/>
  <c r="AO368" i="7"/>
  <c r="AN373" i="7"/>
  <c r="CK374" i="7"/>
  <c r="DF374" i="7" s="1"/>
  <c r="DO370" i="7"/>
  <c r="CB376" i="7"/>
  <c r="CW376" i="7" s="1"/>
  <c r="CL372" i="7"/>
  <c r="DG372" i="7" s="1"/>
  <c r="EM371" i="7"/>
  <c r="EC372" i="7"/>
  <c r="EF372" i="7"/>
  <c r="EB367" i="7"/>
  <c r="DX367" i="7"/>
  <c r="DW367" i="7"/>
  <c r="DZ368" i="7"/>
  <c r="EA368" i="7"/>
  <c r="DN370" i="7"/>
  <c r="N115" i="7"/>
  <c r="D104" i="32"/>
  <c r="AU371" i="7"/>
  <c r="AX371" i="7"/>
  <c r="AY371" i="7"/>
  <c r="BC371" i="7"/>
  <c r="AW371" i="7"/>
  <c r="AZ371" i="7"/>
  <c r="DO371" i="7" s="1"/>
  <c r="DR370" i="7"/>
  <c r="BB371" i="7"/>
  <c r="AV371" i="7"/>
  <c r="M372" i="7"/>
  <c r="AT372" i="7" s="1"/>
  <c r="DV372" i="7"/>
  <c r="AT371" i="7"/>
  <c r="BX405" i="7"/>
  <c r="CS405" i="7" s="1"/>
  <c r="BY405" i="7"/>
  <c r="CT405" i="7" s="1"/>
  <c r="BW407" i="7"/>
  <c r="CR407" i="7" s="1"/>
  <c r="DK370" i="7"/>
  <c r="BE369" i="7"/>
  <c r="DL370" i="7"/>
  <c r="DJ370" i="7"/>
  <c r="DQ370" i="7"/>
  <c r="BD369" i="7"/>
  <c r="DP370" i="7"/>
  <c r="BF369" i="7"/>
  <c r="CM396" i="7"/>
  <c r="DH396" i="7" s="1"/>
  <c r="CC390" i="7"/>
  <c r="CX390" i="7" s="1"/>
  <c r="G364" i="7"/>
  <c r="B114" i="7"/>
  <c r="CI375" i="7"/>
  <c r="DD375" i="7" s="1"/>
  <c r="DS374" i="7"/>
  <c r="P374" i="7" s="1"/>
  <c r="BV374" i="7"/>
  <c r="CQ374" i="7" s="1"/>
  <c r="BT376" i="7"/>
  <c r="CO376" i="7" s="1"/>
  <c r="BO366" i="7"/>
  <c r="CA368" i="7"/>
  <c r="CV368" i="7" s="1"/>
  <c r="CG369" i="7"/>
  <c r="DB369" i="7" s="1"/>
  <c r="BZ370" i="7"/>
  <c r="CU370" i="7" s="1"/>
  <c r="CD372" i="7"/>
  <c r="CY372" i="7" s="1"/>
  <c r="CF374" i="7"/>
  <c r="DA374" i="7" s="1"/>
  <c r="CH369" i="7"/>
  <c r="DC369" i="7" s="1"/>
  <c r="BN368" i="7"/>
  <c r="DI366" i="7"/>
  <c r="BP366" i="7" s="1"/>
  <c r="BQ365" i="7"/>
  <c r="H365" i="7" s="1"/>
  <c r="BS373" i="7"/>
  <c r="CN373" i="7" s="1"/>
  <c r="AH371" i="7"/>
  <c r="AG371" i="7"/>
  <c r="BE370" i="7"/>
  <c r="BF370" i="7"/>
  <c r="BD370" i="7"/>
  <c r="BU384" i="7"/>
  <c r="CP384" i="7" s="1"/>
  <c r="CE377" i="7"/>
  <c r="CZ377" i="7" s="1"/>
  <c r="CJ408" i="7"/>
  <c r="DE408" i="7" s="1"/>
  <c r="AO369" i="7" l="1"/>
  <c r="AM377" i="7"/>
  <c r="AN374" i="7"/>
  <c r="CK375" i="7"/>
  <c r="DF375" i="7" s="1"/>
  <c r="EN370" i="7"/>
  <c r="EO376" i="7"/>
  <c r="CB377" i="7"/>
  <c r="CW377" i="7" s="1"/>
  <c r="F104" i="32"/>
  <c r="G104" i="32" s="1"/>
  <c r="P104" i="32" s="1"/>
  <c r="Q104" i="32" s="1"/>
  <c r="AP115" i="7"/>
  <c r="BG115" i="7" s="1"/>
  <c r="AQ115" i="7"/>
  <c r="BH115" i="7" s="1"/>
  <c r="AR115" i="7"/>
  <c r="BI115" i="7" s="1"/>
  <c r="CL373" i="7"/>
  <c r="DG373" i="7" s="1"/>
  <c r="EM372" i="7"/>
  <c r="DW368" i="7"/>
  <c r="DX368" i="7"/>
  <c r="EB368" i="7"/>
  <c r="EF373" i="7"/>
  <c r="EC373" i="7"/>
  <c r="DZ369" i="7"/>
  <c r="EA369" i="7"/>
  <c r="AJ115" i="7"/>
  <c r="C115" i="7" s="1"/>
  <c r="AL115" i="7"/>
  <c r="E115" i="7" s="1"/>
  <c r="AK115" i="7"/>
  <c r="D115" i="7" s="1"/>
  <c r="BC372" i="7"/>
  <c r="BA372" i="7"/>
  <c r="AU372" i="7"/>
  <c r="AW372" i="7"/>
  <c r="BB372" i="7"/>
  <c r="AV372" i="7"/>
  <c r="AX372" i="7"/>
  <c r="AZ372" i="7"/>
  <c r="AY372" i="7"/>
  <c r="M373" i="7"/>
  <c r="AW373" i="7" s="1"/>
  <c r="DV373" i="7"/>
  <c r="BY406" i="7"/>
  <c r="CT406" i="7" s="1"/>
  <c r="BX406" i="7"/>
  <c r="CS406" i="7" s="1"/>
  <c r="BW408" i="7"/>
  <c r="CR408" i="7" s="1"/>
  <c r="DK371" i="7"/>
  <c r="DQ371" i="7"/>
  <c r="DL371" i="7"/>
  <c r="DR371" i="7"/>
  <c r="DN371" i="7"/>
  <c r="DM371" i="7"/>
  <c r="DP371" i="7"/>
  <c r="AF371" i="7"/>
  <c r="AI371" i="7" s="1"/>
  <c r="DJ371" i="7"/>
  <c r="CM397" i="7"/>
  <c r="DH397" i="7" s="1"/>
  <c r="CC391" i="7"/>
  <c r="CX391" i="7" s="1"/>
  <c r="G365" i="7"/>
  <c r="BT377" i="7"/>
  <c r="CO377" i="7" s="1"/>
  <c r="BV375" i="7"/>
  <c r="CQ375" i="7" s="1"/>
  <c r="DS375" i="7"/>
  <c r="P375" i="7" s="1"/>
  <c r="CI376" i="7"/>
  <c r="DD376" i="7" s="1"/>
  <c r="CA369" i="7"/>
  <c r="CV369" i="7" s="1"/>
  <c r="BO367" i="7"/>
  <c r="CG370" i="7"/>
  <c r="DB370" i="7" s="1"/>
  <c r="BZ371" i="7"/>
  <c r="CU371" i="7" s="1"/>
  <c r="CD373" i="7"/>
  <c r="CY373" i="7" s="1"/>
  <c r="CF375" i="7"/>
  <c r="DA375" i="7" s="1"/>
  <c r="BN369" i="7"/>
  <c r="CH370" i="7"/>
  <c r="DC370" i="7" s="1"/>
  <c r="DI367" i="7"/>
  <c r="BP367" i="7" s="1"/>
  <c r="BQ366" i="7"/>
  <c r="H366" i="7" s="1"/>
  <c r="BS374" i="7"/>
  <c r="CN374" i="7" s="1"/>
  <c r="BU385" i="7"/>
  <c r="CP385" i="7" s="1"/>
  <c r="CE378" i="7"/>
  <c r="CZ378" i="7" s="1"/>
  <c r="CJ409" i="7"/>
  <c r="DE409" i="7" s="1"/>
  <c r="EN371" i="7" l="1"/>
  <c r="AO370" i="7"/>
  <c r="CK376" i="7"/>
  <c r="DF376" i="7" s="1"/>
  <c r="AN375" i="7"/>
  <c r="AM378" i="7"/>
  <c r="EO377" i="7"/>
  <c r="CB378" i="7"/>
  <c r="CW378" i="7" s="1"/>
  <c r="CL374" i="7"/>
  <c r="DG374" i="7" s="1"/>
  <c r="EM373" i="7"/>
  <c r="AV373" i="7"/>
  <c r="EB369" i="7"/>
  <c r="DX369" i="7"/>
  <c r="DW369" i="7"/>
  <c r="EF374" i="7"/>
  <c r="EC374" i="7"/>
  <c r="EA370" i="7"/>
  <c r="DZ370" i="7"/>
  <c r="AT373" i="7"/>
  <c r="DO372" i="7"/>
  <c r="AY373" i="7"/>
  <c r="BB373" i="7"/>
  <c r="AU373" i="7"/>
  <c r="BC373" i="7"/>
  <c r="BA373" i="7"/>
  <c r="AZ373" i="7"/>
  <c r="AX373" i="7"/>
  <c r="M374" i="7"/>
  <c r="AX374" i="7" s="1"/>
  <c r="DV374" i="7"/>
  <c r="BX407" i="7"/>
  <c r="CS407" i="7" s="1"/>
  <c r="BY407" i="7"/>
  <c r="CT407" i="7" s="1"/>
  <c r="BW409" i="7"/>
  <c r="CR409" i="7" s="1"/>
  <c r="BE371" i="7"/>
  <c r="DJ372" i="7"/>
  <c r="DM372" i="7"/>
  <c r="DL372" i="7"/>
  <c r="BF371" i="7"/>
  <c r="DR372" i="7"/>
  <c r="AG372" i="7"/>
  <c r="DK372" i="7"/>
  <c r="BD371" i="7"/>
  <c r="DQ372" i="7"/>
  <c r="DP372" i="7"/>
  <c r="AF372" i="7"/>
  <c r="AI372" i="7" s="1"/>
  <c r="DN372" i="7"/>
  <c r="AH372" i="7"/>
  <c r="CM398" i="7"/>
  <c r="DH398" i="7" s="1"/>
  <c r="CC392" i="7"/>
  <c r="CX392" i="7" s="1"/>
  <c r="G366" i="7"/>
  <c r="F115" i="7"/>
  <c r="BJ115" i="7"/>
  <c r="BK115" i="7"/>
  <c r="BL115" i="7"/>
  <c r="BV376" i="7"/>
  <c r="CQ376" i="7" s="1"/>
  <c r="CI377" i="7"/>
  <c r="DD377" i="7" s="1"/>
  <c r="DS376" i="7"/>
  <c r="P376" i="7" s="1"/>
  <c r="BT378" i="7"/>
  <c r="CO378" i="7" s="1"/>
  <c r="CA370" i="7"/>
  <c r="CV370" i="7" s="1"/>
  <c r="BO368" i="7"/>
  <c r="CG371" i="7"/>
  <c r="DB371" i="7" s="1"/>
  <c r="BZ372" i="7"/>
  <c r="CU372" i="7" s="1"/>
  <c r="CD374" i="7"/>
  <c r="CY374" i="7" s="1"/>
  <c r="BQ367" i="7"/>
  <c r="H367" i="7" s="1"/>
  <c r="DI368" i="7"/>
  <c r="BP368" i="7" s="1"/>
  <c r="CF376" i="7"/>
  <c r="DA376" i="7" s="1"/>
  <c r="BN370" i="7"/>
  <c r="CH371" i="7"/>
  <c r="DC371" i="7" s="1"/>
  <c r="BS375" i="7"/>
  <c r="CN375" i="7" s="1"/>
  <c r="BU386" i="7"/>
  <c r="CP386" i="7" s="1"/>
  <c r="CE379" i="7"/>
  <c r="CZ379" i="7" s="1"/>
  <c r="CJ410" i="7"/>
  <c r="DE410" i="7" s="1"/>
  <c r="AM379" i="7" l="1"/>
  <c r="AN376" i="7"/>
  <c r="EN372" i="7"/>
  <c r="EO378" i="7"/>
  <c r="AO371" i="7"/>
  <c r="CK377" i="7"/>
  <c r="DF377" i="7" s="1"/>
  <c r="CB379" i="7"/>
  <c r="CW379" i="7" s="1"/>
  <c r="CL375" i="7"/>
  <c r="DG375" i="7" s="1"/>
  <c r="EM374" i="7"/>
  <c r="EF375" i="7"/>
  <c r="EC375" i="7"/>
  <c r="DZ371" i="7"/>
  <c r="EA371" i="7"/>
  <c r="DW370" i="7"/>
  <c r="DX370" i="7"/>
  <c r="EB370" i="7"/>
  <c r="DO373" i="7"/>
  <c r="BB374" i="7"/>
  <c r="AT374" i="7"/>
  <c r="BA374" i="7"/>
  <c r="AV374" i="7"/>
  <c r="AZ374" i="7"/>
  <c r="AU374" i="7"/>
  <c r="AY374" i="7"/>
  <c r="M375" i="7"/>
  <c r="BA375" i="7" s="1"/>
  <c r="DV375" i="7"/>
  <c r="AW374" i="7"/>
  <c r="BC374" i="7"/>
  <c r="BY408" i="7"/>
  <c r="CT408" i="7" s="1"/>
  <c r="BX408" i="7"/>
  <c r="CS408" i="7" s="1"/>
  <c r="BW410" i="7"/>
  <c r="CR410" i="7" s="1"/>
  <c r="BE372" i="7"/>
  <c r="BF372" i="7"/>
  <c r="DP373" i="7"/>
  <c r="DL373" i="7"/>
  <c r="DQ373" i="7"/>
  <c r="AH373" i="7"/>
  <c r="DN373" i="7"/>
  <c r="BD372" i="7"/>
  <c r="DJ373" i="7"/>
  <c r="DK373" i="7"/>
  <c r="DM373" i="7"/>
  <c r="AG373" i="7"/>
  <c r="DR373" i="7"/>
  <c r="AF373" i="7"/>
  <c r="AI373" i="7" s="1"/>
  <c r="CM399" i="7"/>
  <c r="DH399" i="7" s="1"/>
  <c r="CC393" i="7"/>
  <c r="CX393" i="7" s="1"/>
  <c r="G367" i="7"/>
  <c r="BM115" i="7"/>
  <c r="DS377" i="7"/>
  <c r="P377" i="7" s="1"/>
  <c r="CI378" i="7"/>
  <c r="DD378" i="7" s="1"/>
  <c r="BT379" i="7"/>
  <c r="CO379" i="7" s="1"/>
  <c r="BV377" i="7"/>
  <c r="CQ377" i="7" s="1"/>
  <c r="BO369" i="7"/>
  <c r="CA371" i="7"/>
  <c r="CV371" i="7" s="1"/>
  <c r="CG372" i="7"/>
  <c r="DB372" i="7" s="1"/>
  <c r="BZ373" i="7"/>
  <c r="CU373" i="7" s="1"/>
  <c r="CD375" i="7"/>
  <c r="CY375" i="7" s="1"/>
  <c r="BN371" i="7"/>
  <c r="CH372" i="7"/>
  <c r="DC372" i="7" s="1"/>
  <c r="CF377" i="7"/>
  <c r="DA377" i="7" s="1"/>
  <c r="DI369" i="7"/>
  <c r="BP369" i="7" s="1"/>
  <c r="BQ368" i="7"/>
  <c r="H368" i="7" s="1"/>
  <c r="BS376" i="7"/>
  <c r="CN376" i="7" s="1"/>
  <c r="AF374" i="7"/>
  <c r="AI374" i="7" s="1"/>
  <c r="AG374" i="7"/>
  <c r="AH374" i="7"/>
  <c r="BU387" i="7"/>
  <c r="CP387" i="7" s="1"/>
  <c r="CE380" i="7"/>
  <c r="CZ380" i="7" s="1"/>
  <c r="CJ411" i="7"/>
  <c r="DE411" i="7" s="1"/>
  <c r="AM380" i="7" l="1"/>
  <c r="AN377" i="7"/>
  <c r="EN373" i="7"/>
  <c r="CK378" i="7"/>
  <c r="DF378" i="7" s="1"/>
  <c r="AO372" i="7"/>
  <c r="EO379" i="7"/>
  <c r="CB380" i="7"/>
  <c r="CW380" i="7" s="1"/>
  <c r="DJ374" i="7"/>
  <c r="CL376" i="7"/>
  <c r="DG376" i="7" s="1"/>
  <c r="EM375" i="7"/>
  <c r="EB371" i="7"/>
  <c r="DX371" i="7"/>
  <c r="DW371" i="7"/>
  <c r="EA372" i="7"/>
  <c r="DZ372" i="7"/>
  <c r="EC376" i="7"/>
  <c r="EF376" i="7"/>
  <c r="AZ375" i="7"/>
  <c r="N116" i="7"/>
  <c r="D105" i="32"/>
  <c r="BC375" i="7"/>
  <c r="AY375" i="7"/>
  <c r="AX375" i="7"/>
  <c r="AU375" i="7"/>
  <c r="AW375" i="7"/>
  <c r="DR374" i="7"/>
  <c r="AT375" i="7"/>
  <c r="AV375" i="7"/>
  <c r="M376" i="7"/>
  <c r="AX376" i="7" s="1"/>
  <c r="DV376" i="7"/>
  <c r="BB375" i="7"/>
  <c r="BX409" i="7"/>
  <c r="CS409" i="7" s="1"/>
  <c r="BY409" i="7"/>
  <c r="CT409" i="7" s="1"/>
  <c r="BW411" i="7"/>
  <c r="CR411" i="7" s="1"/>
  <c r="BD373" i="7"/>
  <c r="DN374" i="7"/>
  <c r="DL374" i="7"/>
  <c r="DK374" i="7"/>
  <c r="BE373" i="7"/>
  <c r="DM374" i="7"/>
  <c r="BF373" i="7"/>
  <c r="DP374" i="7"/>
  <c r="DQ374" i="7"/>
  <c r="DO374" i="7"/>
  <c r="CM400" i="7"/>
  <c r="DH400" i="7" s="1"/>
  <c r="CC394" i="7"/>
  <c r="CX394" i="7" s="1"/>
  <c r="G368" i="7"/>
  <c r="B115" i="7"/>
  <c r="CI379" i="7"/>
  <c r="DD379" i="7" s="1"/>
  <c r="DS378" i="7"/>
  <c r="P378" i="7" s="1"/>
  <c r="BV378" i="7"/>
  <c r="CQ378" i="7" s="1"/>
  <c r="BT380" i="7"/>
  <c r="CO380" i="7" s="1"/>
  <c r="CA372" i="7"/>
  <c r="CV372" i="7" s="1"/>
  <c r="BO370" i="7"/>
  <c r="CG373" i="7"/>
  <c r="DB373" i="7" s="1"/>
  <c r="BZ374" i="7"/>
  <c r="CU374" i="7" s="1"/>
  <c r="CD376" i="7"/>
  <c r="CY376" i="7" s="1"/>
  <c r="BQ369" i="7"/>
  <c r="H369" i="7" s="1"/>
  <c r="DI370" i="7"/>
  <c r="BP370" i="7" s="1"/>
  <c r="BN372" i="7"/>
  <c r="CH373" i="7"/>
  <c r="DC373" i="7" s="1"/>
  <c r="CF378" i="7"/>
  <c r="DA378" i="7" s="1"/>
  <c r="BS377" i="7"/>
  <c r="CN377" i="7" s="1"/>
  <c r="AH375" i="7"/>
  <c r="AF375" i="7"/>
  <c r="AI375" i="7" s="1"/>
  <c r="BU388" i="7"/>
  <c r="CP388" i="7" s="1"/>
  <c r="CE381" i="7"/>
  <c r="CZ381" i="7" s="1"/>
  <c r="CJ412" i="7"/>
  <c r="DE412" i="7" s="1"/>
  <c r="AN378" i="7" l="1"/>
  <c r="CK379" i="7"/>
  <c r="DF379" i="7" s="1"/>
  <c r="EO380" i="7"/>
  <c r="EN374" i="7"/>
  <c r="AM381" i="7"/>
  <c r="AO373" i="7"/>
  <c r="CB381" i="7"/>
  <c r="CW381" i="7" s="1"/>
  <c r="F105" i="32"/>
  <c r="AP116" i="7"/>
  <c r="BG116" i="7" s="1"/>
  <c r="AQ116" i="7"/>
  <c r="BH116" i="7" s="1"/>
  <c r="AR116" i="7"/>
  <c r="BI116" i="7" s="1"/>
  <c r="AL116" i="7"/>
  <c r="E116" i="7" s="1"/>
  <c r="CL377" i="7"/>
  <c r="DG377" i="7" s="1"/>
  <c r="EM376" i="7"/>
  <c r="DM375" i="7"/>
  <c r="AJ116" i="7"/>
  <c r="C116" i="7" s="1"/>
  <c r="AT376" i="7"/>
  <c r="DO375" i="7"/>
  <c r="EF377" i="7"/>
  <c r="EC377" i="7"/>
  <c r="EB372" i="7"/>
  <c r="DW372" i="7"/>
  <c r="DX372" i="7"/>
  <c r="DZ373" i="7"/>
  <c r="EA373" i="7"/>
  <c r="AK116" i="7"/>
  <c r="D116" i="7" s="1"/>
  <c r="DN375" i="7"/>
  <c r="G105" i="32"/>
  <c r="P105" i="32" s="1"/>
  <c r="Q105" i="32" s="1"/>
  <c r="DQ375" i="7"/>
  <c r="AW376" i="7"/>
  <c r="AY376" i="7"/>
  <c r="AZ376" i="7"/>
  <c r="AU376" i="7"/>
  <c r="AV376" i="7"/>
  <c r="BB376" i="7"/>
  <c r="BA376" i="7"/>
  <c r="BC376" i="7"/>
  <c r="M377" i="7"/>
  <c r="AV377" i="7" s="1"/>
  <c r="DV377" i="7"/>
  <c r="BY410" i="7"/>
  <c r="CT410" i="7" s="1"/>
  <c r="BX410" i="7"/>
  <c r="CS410" i="7" s="1"/>
  <c r="BW412" i="7"/>
  <c r="CR412" i="7" s="1"/>
  <c r="DK375" i="7"/>
  <c r="DP375" i="7"/>
  <c r="BF374" i="7"/>
  <c r="BE374" i="7"/>
  <c r="BD374" i="7"/>
  <c r="DR375" i="7"/>
  <c r="DJ375" i="7"/>
  <c r="AG375" i="7"/>
  <c r="DL375" i="7"/>
  <c r="CM401" i="7"/>
  <c r="DH401" i="7" s="1"/>
  <c r="CC395" i="7"/>
  <c r="CX395" i="7" s="1"/>
  <c r="G369" i="7"/>
  <c r="BV379" i="7"/>
  <c r="CQ379" i="7" s="1"/>
  <c r="BT381" i="7"/>
  <c r="CO381" i="7" s="1"/>
  <c r="CI380" i="7"/>
  <c r="DD380" i="7" s="1"/>
  <c r="DS379" i="7"/>
  <c r="P379" i="7" s="1"/>
  <c r="CA373" i="7"/>
  <c r="CV373" i="7" s="1"/>
  <c r="BO371" i="7"/>
  <c r="CG374" i="7"/>
  <c r="DB374" i="7" s="1"/>
  <c r="BZ375" i="7"/>
  <c r="CU375" i="7" s="1"/>
  <c r="CD377" i="7"/>
  <c r="CY377" i="7" s="1"/>
  <c r="CF379" i="7"/>
  <c r="DA379" i="7" s="1"/>
  <c r="CH374" i="7"/>
  <c r="DC374" i="7" s="1"/>
  <c r="BN373" i="7"/>
  <c r="BQ370" i="7"/>
  <c r="H370" i="7" s="1"/>
  <c r="DI371" i="7"/>
  <c r="BP371" i="7" s="1"/>
  <c r="BS378" i="7"/>
  <c r="CN378" i="7" s="1"/>
  <c r="BU389" i="7"/>
  <c r="CP389" i="7" s="1"/>
  <c r="CE382" i="7"/>
  <c r="CZ382" i="7" s="1"/>
  <c r="CJ413" i="7"/>
  <c r="DE413" i="7" s="1"/>
  <c r="AO374" i="7" l="1"/>
  <c r="CK380" i="7"/>
  <c r="DF380" i="7" s="1"/>
  <c r="EN375" i="7"/>
  <c r="AN379" i="7"/>
  <c r="EO381" i="7"/>
  <c r="AM382" i="7"/>
  <c r="CB382" i="7"/>
  <c r="CW382" i="7" s="1"/>
  <c r="CL378" i="7"/>
  <c r="DG378" i="7" s="1"/>
  <c r="EM377" i="7"/>
  <c r="DN376" i="7"/>
  <c r="DZ374" i="7"/>
  <c r="EA374" i="7"/>
  <c r="EF378" i="7"/>
  <c r="EC378" i="7"/>
  <c r="DW373" i="7"/>
  <c r="EB373" i="7"/>
  <c r="DX373" i="7"/>
  <c r="AZ377" i="7"/>
  <c r="AW377" i="7"/>
  <c r="DP376" i="7"/>
  <c r="DO376" i="7"/>
  <c r="AU377" i="7"/>
  <c r="BC377" i="7"/>
  <c r="AY377" i="7"/>
  <c r="BA377" i="7"/>
  <c r="BB377" i="7"/>
  <c r="AX377" i="7"/>
  <c r="AT377" i="7"/>
  <c r="M378" i="7"/>
  <c r="AU378" i="7" s="1"/>
  <c r="DV378" i="7"/>
  <c r="BX411" i="7"/>
  <c r="CS411" i="7" s="1"/>
  <c r="BY411" i="7"/>
  <c r="CT411" i="7" s="1"/>
  <c r="BW413" i="7"/>
  <c r="CR413" i="7" s="1"/>
  <c r="DR376" i="7"/>
  <c r="BE375" i="7"/>
  <c r="BF375" i="7"/>
  <c r="DJ376" i="7"/>
  <c r="BD375" i="7"/>
  <c r="AH376" i="7"/>
  <c r="AG376" i="7"/>
  <c r="AF376" i="7"/>
  <c r="AI376" i="7" s="1"/>
  <c r="DK376" i="7"/>
  <c r="DL376" i="7"/>
  <c r="DM376" i="7"/>
  <c r="DQ376" i="7"/>
  <c r="CM402" i="7"/>
  <c r="DH402" i="7" s="1"/>
  <c r="CC396" i="7"/>
  <c r="CX396" i="7" s="1"/>
  <c r="G370" i="7"/>
  <c r="BL116" i="7"/>
  <c r="BK116" i="7"/>
  <c r="F116" i="7"/>
  <c r="BJ116" i="7"/>
  <c r="BT382" i="7"/>
  <c r="CO382" i="7" s="1"/>
  <c r="BV380" i="7"/>
  <c r="CQ380" i="7" s="1"/>
  <c r="DS380" i="7"/>
  <c r="P380" i="7" s="1"/>
  <c r="CI381" i="7"/>
  <c r="DD381" i="7" s="1"/>
  <c r="BO372" i="7"/>
  <c r="CA374" i="7"/>
  <c r="CV374" i="7" s="1"/>
  <c r="CG375" i="7"/>
  <c r="DB375" i="7" s="1"/>
  <c r="BZ376" i="7"/>
  <c r="CU376" i="7" s="1"/>
  <c r="CD378" i="7"/>
  <c r="CY378" i="7" s="1"/>
  <c r="DI372" i="7"/>
  <c r="BP372" i="7" s="1"/>
  <c r="BQ371" i="7"/>
  <c r="H371" i="7" s="1"/>
  <c r="CF380" i="7"/>
  <c r="DA380" i="7" s="1"/>
  <c r="BN374" i="7"/>
  <c r="CH375" i="7"/>
  <c r="DC375" i="7" s="1"/>
  <c r="BS379" i="7"/>
  <c r="CN379" i="7" s="1"/>
  <c r="AG377" i="7"/>
  <c r="AF377" i="7"/>
  <c r="AI377" i="7" s="1"/>
  <c r="AH377" i="7"/>
  <c r="BU390" i="7"/>
  <c r="CP390" i="7" s="1"/>
  <c r="CE383" i="7"/>
  <c r="CZ383" i="7" s="1"/>
  <c r="CJ414" i="7"/>
  <c r="DE414" i="7" s="1"/>
  <c r="EO382" i="7" l="1"/>
  <c r="CK381" i="7"/>
  <c r="DF381" i="7" s="1"/>
  <c r="AM383" i="7"/>
  <c r="AN380" i="7"/>
  <c r="EN376" i="7"/>
  <c r="AO375" i="7"/>
  <c r="CB383" i="7"/>
  <c r="CW383" i="7" s="1"/>
  <c r="DN377" i="7"/>
  <c r="DL377" i="7"/>
  <c r="CL379" i="7"/>
  <c r="DG379" i="7" s="1"/>
  <c r="EM378" i="7"/>
  <c r="DP377" i="7"/>
  <c r="DO377" i="7"/>
  <c r="EA375" i="7"/>
  <c r="DZ375" i="7"/>
  <c r="DW374" i="7"/>
  <c r="EB374" i="7"/>
  <c r="DX374" i="7"/>
  <c r="EF379" i="7"/>
  <c r="EC379" i="7"/>
  <c r="BB378" i="7"/>
  <c r="AX378" i="7"/>
  <c r="DR377" i="7"/>
  <c r="DM377" i="7"/>
  <c r="AZ378" i="7"/>
  <c r="AV378" i="7"/>
  <c r="AW378" i="7"/>
  <c r="BC378" i="7"/>
  <c r="AT378" i="7"/>
  <c r="BA378" i="7"/>
  <c r="AY378" i="7"/>
  <c r="M379" i="7"/>
  <c r="AZ379" i="7" s="1"/>
  <c r="DV379" i="7"/>
  <c r="BY412" i="7"/>
  <c r="CT412" i="7" s="1"/>
  <c r="BX412" i="7"/>
  <c r="CS412" i="7" s="1"/>
  <c r="BW414" i="7"/>
  <c r="CR414" i="7" s="1"/>
  <c r="BE376" i="7"/>
  <c r="DJ377" i="7"/>
  <c r="DQ377" i="7"/>
  <c r="BF376" i="7"/>
  <c r="BD376" i="7"/>
  <c r="DK377" i="7"/>
  <c r="CM403" i="7"/>
  <c r="DH403" i="7" s="1"/>
  <c r="CC397" i="7"/>
  <c r="CX397" i="7" s="1"/>
  <c r="G371" i="7"/>
  <c r="BM116" i="7"/>
  <c r="BV381" i="7"/>
  <c r="CQ381" i="7" s="1"/>
  <c r="DS381" i="7"/>
  <c r="P381" i="7" s="1"/>
  <c r="CI382" i="7"/>
  <c r="DD382" i="7" s="1"/>
  <c r="BT383" i="7"/>
  <c r="CO383" i="7" s="1"/>
  <c r="BO373" i="7"/>
  <c r="CA375" i="7"/>
  <c r="CV375" i="7" s="1"/>
  <c r="CG376" i="7"/>
  <c r="DB376" i="7" s="1"/>
  <c r="BZ377" i="7"/>
  <c r="CU377" i="7" s="1"/>
  <c r="CD379" i="7"/>
  <c r="CY379" i="7" s="1"/>
  <c r="CF381" i="7"/>
  <c r="DA381" i="7" s="1"/>
  <c r="BN375" i="7"/>
  <c r="CH376" i="7"/>
  <c r="DC376" i="7" s="1"/>
  <c r="BQ372" i="7"/>
  <c r="H372" i="7" s="1"/>
  <c r="DI373" i="7"/>
  <c r="BP373" i="7" s="1"/>
  <c r="BS380" i="7"/>
  <c r="CN380" i="7" s="1"/>
  <c r="BF377" i="7"/>
  <c r="BD377" i="7"/>
  <c r="AH378" i="7"/>
  <c r="BU391" i="7"/>
  <c r="CP391" i="7" s="1"/>
  <c r="CE384" i="7"/>
  <c r="CZ384" i="7" s="1"/>
  <c r="CJ415" i="7"/>
  <c r="DE415" i="7" s="1"/>
  <c r="AO376" i="7" l="1"/>
  <c r="CK382" i="7"/>
  <c r="DF382" i="7" s="1"/>
  <c r="AM384" i="7"/>
  <c r="EN377" i="7"/>
  <c r="AN381" i="7"/>
  <c r="EO383" i="7"/>
  <c r="CB384" i="7"/>
  <c r="CW384" i="7" s="1"/>
  <c r="DP378" i="7"/>
  <c r="CL380" i="7"/>
  <c r="DG380" i="7" s="1"/>
  <c r="EM379" i="7"/>
  <c r="DO378" i="7"/>
  <c r="DO379" i="7" s="1"/>
  <c r="DZ376" i="7"/>
  <c r="EA376" i="7"/>
  <c r="EF380" i="7"/>
  <c r="EC380" i="7"/>
  <c r="EB375" i="7"/>
  <c r="DX375" i="7"/>
  <c r="DW375" i="7"/>
  <c r="DM378" i="7"/>
  <c r="AW379" i="7"/>
  <c r="N117" i="7"/>
  <c r="D106" i="32"/>
  <c r="AY379" i="7"/>
  <c r="AV379" i="7"/>
  <c r="AT379" i="7"/>
  <c r="AX379" i="7"/>
  <c r="AU379" i="7"/>
  <c r="BA379" i="7"/>
  <c r="DP379" i="7" s="1"/>
  <c r="M380" i="7"/>
  <c r="BB380" i="7" s="1"/>
  <c r="DV380" i="7"/>
  <c r="BC379" i="7"/>
  <c r="BB379" i="7"/>
  <c r="BX413" i="7"/>
  <c r="CS413" i="7" s="1"/>
  <c r="BY413" i="7"/>
  <c r="CT413" i="7" s="1"/>
  <c r="BW415" i="7"/>
  <c r="CR415" i="7" s="1"/>
  <c r="DK378" i="7"/>
  <c r="DQ378" i="7"/>
  <c r="BE377" i="7"/>
  <c r="DR378" i="7"/>
  <c r="DN378" i="7"/>
  <c r="DL378" i="7"/>
  <c r="AG378" i="7"/>
  <c r="AF378" i="7"/>
  <c r="AI378" i="7" s="1"/>
  <c r="DJ378" i="7"/>
  <c r="CM404" i="7"/>
  <c r="DH404" i="7" s="1"/>
  <c r="CC398" i="7"/>
  <c r="CX398" i="7" s="1"/>
  <c r="G372" i="7"/>
  <c r="B116" i="7"/>
  <c r="BT384" i="7"/>
  <c r="CO384" i="7" s="1"/>
  <c r="BV382" i="7"/>
  <c r="CQ382" i="7" s="1"/>
  <c r="DS382" i="7"/>
  <c r="P382" i="7" s="1"/>
  <c r="CI383" i="7"/>
  <c r="DD383" i="7" s="1"/>
  <c r="CA376" i="7"/>
  <c r="CV376" i="7" s="1"/>
  <c r="BO374" i="7"/>
  <c r="CG377" i="7"/>
  <c r="DB377" i="7" s="1"/>
  <c r="BZ378" i="7"/>
  <c r="CU378" i="7" s="1"/>
  <c r="CD380" i="7"/>
  <c r="CY380" i="7" s="1"/>
  <c r="BQ373" i="7"/>
  <c r="H373" i="7" s="1"/>
  <c r="DI374" i="7"/>
  <c r="BP374" i="7" s="1"/>
  <c r="CH377" i="7"/>
  <c r="DC377" i="7" s="1"/>
  <c r="BN376" i="7"/>
  <c r="CF382" i="7"/>
  <c r="DA382" i="7" s="1"/>
  <c r="AG379" i="7"/>
  <c r="AF379" i="7"/>
  <c r="AI379" i="7" s="1"/>
  <c r="AH379" i="7"/>
  <c r="BS381" i="7"/>
  <c r="CN381" i="7" s="1"/>
  <c r="BU392" i="7"/>
  <c r="CP392" i="7" s="1"/>
  <c r="CE385" i="7"/>
  <c r="CZ385" i="7" s="1"/>
  <c r="CJ416" i="7"/>
  <c r="DE416" i="7" s="1"/>
  <c r="EO384" i="7" l="1"/>
  <c r="CK383" i="7"/>
  <c r="DF383" i="7" s="1"/>
  <c r="AN382" i="7"/>
  <c r="AM385" i="7"/>
  <c r="EN378" i="7"/>
  <c r="AO377" i="7"/>
  <c r="CB385" i="7"/>
  <c r="CW385" i="7" s="1"/>
  <c r="F106" i="32"/>
  <c r="G106" i="32" s="1"/>
  <c r="P106" i="32" s="1"/>
  <c r="Q106" i="32" s="1"/>
  <c r="AQ117" i="7"/>
  <c r="BH117" i="7" s="1"/>
  <c r="AR117" i="7"/>
  <c r="BI117" i="7" s="1"/>
  <c r="AP117" i="7"/>
  <c r="BG117" i="7" s="1"/>
  <c r="CL381" i="7"/>
  <c r="DG381" i="7" s="1"/>
  <c r="EM380" i="7"/>
  <c r="DX376" i="7"/>
  <c r="EB376" i="7"/>
  <c r="DW376" i="7"/>
  <c r="EF381" i="7"/>
  <c r="EC381" i="7"/>
  <c r="DZ377" i="7"/>
  <c r="EA377" i="7"/>
  <c r="AL117" i="7"/>
  <c r="E117" i="7" s="1"/>
  <c r="AK117" i="7"/>
  <c r="D117" i="7" s="1"/>
  <c r="AJ117" i="7"/>
  <c r="C117" i="7" s="1"/>
  <c r="DK379" i="7"/>
  <c r="DJ379" i="7"/>
  <c r="AZ380" i="7"/>
  <c r="AU380" i="7"/>
  <c r="AW380" i="7"/>
  <c r="AX380" i="7"/>
  <c r="BC380" i="7"/>
  <c r="AT380" i="7"/>
  <c r="BA380" i="7"/>
  <c r="AY380" i="7"/>
  <c r="M381" i="7"/>
  <c r="AZ381" i="7" s="1"/>
  <c r="DV381" i="7"/>
  <c r="AV380" i="7"/>
  <c r="BY414" i="7"/>
  <c r="CT414" i="7" s="1"/>
  <c r="BX414" i="7"/>
  <c r="CS414" i="7" s="1"/>
  <c r="BW416" i="7"/>
  <c r="CR416" i="7" s="1"/>
  <c r="BD378" i="7"/>
  <c r="DQ379" i="7"/>
  <c r="DR379" i="7"/>
  <c r="BE378" i="7"/>
  <c r="BF378" i="7"/>
  <c r="DM379" i="7"/>
  <c r="DN379" i="7"/>
  <c r="DL379" i="7"/>
  <c r="CM405" i="7"/>
  <c r="DH405" i="7" s="1"/>
  <c r="CC399" i="7"/>
  <c r="CX399" i="7" s="1"/>
  <c r="G373" i="7"/>
  <c r="DS383" i="7"/>
  <c r="P383" i="7" s="1"/>
  <c r="CI384" i="7"/>
  <c r="DD384" i="7" s="1"/>
  <c r="BV383" i="7"/>
  <c r="CQ383" i="7" s="1"/>
  <c r="BT385" i="7"/>
  <c r="CO385" i="7" s="1"/>
  <c r="CA377" i="7"/>
  <c r="CV377" i="7" s="1"/>
  <c r="BO375" i="7"/>
  <c r="CG378" i="7"/>
  <c r="DB378" i="7" s="1"/>
  <c r="BZ379" i="7"/>
  <c r="CU379" i="7" s="1"/>
  <c r="CD381" i="7"/>
  <c r="CY381" i="7" s="1"/>
  <c r="BN377" i="7"/>
  <c r="CH378" i="7"/>
  <c r="DC378" i="7" s="1"/>
  <c r="BQ374" i="7"/>
  <c r="H374" i="7" s="1"/>
  <c r="DI375" i="7"/>
  <c r="BP375" i="7" s="1"/>
  <c r="CF383" i="7"/>
  <c r="DA383" i="7" s="1"/>
  <c r="BS382" i="7"/>
  <c r="CN382" i="7" s="1"/>
  <c r="BU393" i="7"/>
  <c r="CP393" i="7" s="1"/>
  <c r="CE386" i="7"/>
  <c r="CZ386" i="7" s="1"/>
  <c r="CJ417" i="7"/>
  <c r="DE417" i="7" s="1"/>
  <c r="AN383" i="7" l="1"/>
  <c r="CK384" i="7"/>
  <c r="DF384" i="7" s="1"/>
  <c r="AM386" i="7"/>
  <c r="AO378" i="7"/>
  <c r="EN379" i="7"/>
  <c r="EO385" i="7"/>
  <c r="CB386" i="7"/>
  <c r="CW386" i="7" s="1"/>
  <c r="CL382" i="7"/>
  <c r="DG382" i="7" s="1"/>
  <c r="EM381" i="7"/>
  <c r="DO380" i="7"/>
  <c r="EF382" i="7"/>
  <c r="EC382" i="7"/>
  <c r="EB377" i="7"/>
  <c r="DX377" i="7"/>
  <c r="DW377" i="7"/>
  <c r="EA378" i="7"/>
  <c r="DZ378" i="7"/>
  <c r="AV381" i="7"/>
  <c r="AX381" i="7"/>
  <c r="AU381" i="7"/>
  <c r="BA381" i="7"/>
  <c r="BC381" i="7"/>
  <c r="AW381" i="7"/>
  <c r="AT381" i="7"/>
  <c r="AY381" i="7"/>
  <c r="BB381" i="7"/>
  <c r="M382" i="7"/>
  <c r="BB382" i="7" s="1"/>
  <c r="DV382" i="7"/>
  <c r="BX415" i="7"/>
  <c r="CS415" i="7" s="1"/>
  <c r="BY415" i="7"/>
  <c r="CT415" i="7" s="1"/>
  <c r="BW417" i="7"/>
  <c r="CR417" i="7" s="1"/>
  <c r="BE379" i="7"/>
  <c r="BD379" i="7"/>
  <c r="BF379" i="7"/>
  <c r="DR380" i="7"/>
  <c r="DQ380" i="7"/>
  <c r="DM380" i="7"/>
  <c r="DL380" i="7"/>
  <c r="AH380" i="7"/>
  <c r="DN380" i="7"/>
  <c r="DP380" i="7"/>
  <c r="DK380" i="7"/>
  <c r="AG380" i="7"/>
  <c r="DJ380" i="7"/>
  <c r="AF380" i="7"/>
  <c r="AI380" i="7" s="1"/>
  <c r="CM406" i="7"/>
  <c r="DH406" i="7" s="1"/>
  <c r="CC400" i="7"/>
  <c r="CX400" i="7" s="1"/>
  <c r="G374" i="7"/>
  <c r="BJ117" i="7"/>
  <c r="F117" i="7"/>
  <c r="BL117" i="7"/>
  <c r="BK117" i="7"/>
  <c r="BT386" i="7"/>
  <c r="CO386" i="7" s="1"/>
  <c r="DS384" i="7"/>
  <c r="P384" i="7" s="1"/>
  <c r="CI385" i="7"/>
  <c r="DD385" i="7" s="1"/>
  <c r="BV384" i="7"/>
  <c r="CQ384" i="7" s="1"/>
  <c r="CA378" i="7"/>
  <c r="CV378" i="7" s="1"/>
  <c r="BO376" i="7"/>
  <c r="CG379" i="7"/>
  <c r="DB379" i="7" s="1"/>
  <c r="BZ380" i="7"/>
  <c r="CU380" i="7" s="1"/>
  <c r="CD382" i="7"/>
  <c r="CY382" i="7" s="1"/>
  <c r="DI376" i="7"/>
  <c r="BP376" i="7" s="1"/>
  <c r="BQ375" i="7"/>
  <c r="H375" i="7" s="1"/>
  <c r="BN378" i="7"/>
  <c r="CH379" i="7"/>
  <c r="DC379" i="7" s="1"/>
  <c r="CF384" i="7"/>
  <c r="DA384" i="7" s="1"/>
  <c r="BS383" i="7"/>
  <c r="CN383" i="7" s="1"/>
  <c r="AF381" i="7"/>
  <c r="AI381" i="7" s="1"/>
  <c r="AG381" i="7"/>
  <c r="AH381" i="7"/>
  <c r="BU394" i="7"/>
  <c r="CP394" i="7" s="1"/>
  <c r="CE387" i="7"/>
  <c r="CZ387" i="7" s="1"/>
  <c r="CJ418" i="7"/>
  <c r="DE418" i="7" s="1"/>
  <c r="EO386" i="7" l="1"/>
  <c r="CK385" i="7"/>
  <c r="DF385" i="7" s="1"/>
  <c r="AN384" i="7"/>
  <c r="EN380" i="7"/>
  <c r="AM387" i="7"/>
  <c r="AO379" i="7"/>
  <c r="CB387" i="7"/>
  <c r="CW387" i="7" s="1"/>
  <c r="DM381" i="7"/>
  <c r="CL383" i="7"/>
  <c r="DG383" i="7" s="1"/>
  <c r="EM382" i="7"/>
  <c r="DQ381" i="7"/>
  <c r="DQ382" i="7" s="1"/>
  <c r="DO381" i="7"/>
  <c r="DW378" i="7"/>
  <c r="DX378" i="7"/>
  <c r="EB378" i="7"/>
  <c r="EF383" i="7"/>
  <c r="EC383" i="7"/>
  <c r="DZ379" i="7"/>
  <c r="EA379" i="7"/>
  <c r="DR381" i="7"/>
  <c r="DN381" i="7"/>
  <c r="AW382" i="7"/>
  <c r="BC382" i="7"/>
  <c r="AX382" i="7"/>
  <c r="DM382" i="7" s="1"/>
  <c r="AV382" i="7"/>
  <c r="AY382" i="7"/>
  <c r="AT382" i="7"/>
  <c r="BA382" i="7"/>
  <c r="AU382" i="7"/>
  <c r="AZ382" i="7"/>
  <c r="M383" i="7"/>
  <c r="AZ383" i="7" s="1"/>
  <c r="DV383" i="7"/>
  <c r="BY416" i="7"/>
  <c r="CT416" i="7" s="1"/>
  <c r="BX416" i="7"/>
  <c r="CS416" i="7" s="1"/>
  <c r="BW418" i="7"/>
  <c r="CR418" i="7" s="1"/>
  <c r="DL381" i="7"/>
  <c r="DP381" i="7"/>
  <c r="DJ381" i="7"/>
  <c r="BF380" i="7"/>
  <c r="DK381" i="7"/>
  <c r="BE380" i="7"/>
  <c r="BD380" i="7"/>
  <c r="CM407" i="7"/>
  <c r="DH407" i="7" s="1"/>
  <c r="CC401" i="7"/>
  <c r="CX401" i="7" s="1"/>
  <c r="G375" i="7"/>
  <c r="BM117" i="7"/>
  <c r="DS385" i="7"/>
  <c r="P385" i="7" s="1"/>
  <c r="CI386" i="7"/>
  <c r="DD386" i="7" s="1"/>
  <c r="BV385" i="7"/>
  <c r="CQ385" i="7" s="1"/>
  <c r="BT387" i="7"/>
  <c r="CO387" i="7" s="1"/>
  <c r="BO377" i="7"/>
  <c r="CA379" i="7"/>
  <c r="CV379" i="7" s="1"/>
  <c r="CG380" i="7"/>
  <c r="DB380" i="7" s="1"/>
  <c r="BZ381" i="7"/>
  <c r="CU381" i="7" s="1"/>
  <c r="CD383" i="7"/>
  <c r="CY383" i="7" s="1"/>
  <c r="CF385" i="7"/>
  <c r="DA385" i="7" s="1"/>
  <c r="CH380" i="7"/>
  <c r="DC380" i="7" s="1"/>
  <c r="BN379" i="7"/>
  <c r="BQ376" i="7"/>
  <c r="H376" i="7" s="1"/>
  <c r="DI377" i="7"/>
  <c r="BP377" i="7" s="1"/>
  <c r="AF382" i="7"/>
  <c r="AI382" i="7" s="1"/>
  <c r="AH382" i="7"/>
  <c r="AG382" i="7"/>
  <c r="BS384" i="7"/>
  <c r="CN384" i="7" s="1"/>
  <c r="BU395" i="7"/>
  <c r="CP395" i="7" s="1"/>
  <c r="CE388" i="7"/>
  <c r="CZ388" i="7" s="1"/>
  <c r="CJ419" i="7"/>
  <c r="DE419" i="7" s="1"/>
  <c r="EO387" i="7" l="1"/>
  <c r="AO380" i="7"/>
  <c r="CK386" i="7"/>
  <c r="DF386" i="7" s="1"/>
  <c r="AN385" i="7"/>
  <c r="DL382" i="7"/>
  <c r="AM388" i="7"/>
  <c r="EN381" i="7"/>
  <c r="CB388" i="7"/>
  <c r="CW388" i="7" s="1"/>
  <c r="DN382" i="7"/>
  <c r="CL384" i="7"/>
  <c r="DG384" i="7" s="1"/>
  <c r="EM383" i="7"/>
  <c r="DO382" i="7"/>
  <c r="DR382" i="7"/>
  <c r="EF384" i="7"/>
  <c r="EC384" i="7"/>
  <c r="DZ380" i="7"/>
  <c r="EA380" i="7"/>
  <c r="EB379" i="7"/>
  <c r="DX379" i="7"/>
  <c r="DW379" i="7"/>
  <c r="BA383" i="7"/>
  <c r="N118" i="7"/>
  <c r="D107" i="32"/>
  <c r="AW383" i="7"/>
  <c r="DL383" i="7" s="1"/>
  <c r="AV383" i="7"/>
  <c r="AU383" i="7"/>
  <c r="BB383" i="7"/>
  <c r="AY383" i="7"/>
  <c r="DP382" i="7"/>
  <c r="AX383" i="7"/>
  <c r="M384" i="7"/>
  <c r="AU384" i="7" s="1"/>
  <c r="DV384" i="7"/>
  <c r="BC383" i="7"/>
  <c r="DR383" i="7" s="1"/>
  <c r="AT383" i="7"/>
  <c r="BX417" i="7"/>
  <c r="CS417" i="7" s="1"/>
  <c r="BY417" i="7"/>
  <c r="CT417" i="7" s="1"/>
  <c r="BW419" i="7"/>
  <c r="CR419" i="7" s="1"/>
  <c r="DJ382" i="7"/>
  <c r="BF381" i="7"/>
  <c r="BD381" i="7"/>
  <c r="BE381" i="7"/>
  <c r="DK382" i="7"/>
  <c r="CM408" i="7"/>
  <c r="DH408" i="7" s="1"/>
  <c r="CC402" i="7"/>
  <c r="CX402" i="7" s="1"/>
  <c r="G376" i="7"/>
  <c r="B117" i="7"/>
  <c r="BV386" i="7"/>
  <c r="CQ386" i="7" s="1"/>
  <c r="BT388" i="7"/>
  <c r="CO388" i="7" s="1"/>
  <c r="DS386" i="7"/>
  <c r="P386" i="7" s="1"/>
  <c r="CI387" i="7"/>
  <c r="DD387" i="7" s="1"/>
  <c r="BO378" i="7"/>
  <c r="CA380" i="7"/>
  <c r="CV380" i="7" s="1"/>
  <c r="CG381" i="7"/>
  <c r="DB381" i="7" s="1"/>
  <c r="BZ382" i="7"/>
  <c r="CU382" i="7" s="1"/>
  <c r="CD384" i="7"/>
  <c r="CY384" i="7" s="1"/>
  <c r="CF386" i="7"/>
  <c r="DA386" i="7" s="1"/>
  <c r="DI378" i="7"/>
  <c r="BP378" i="7" s="1"/>
  <c r="BQ377" i="7"/>
  <c r="H377" i="7" s="1"/>
  <c r="BN380" i="7"/>
  <c r="CH381" i="7"/>
  <c r="DC381" i="7" s="1"/>
  <c r="BS385" i="7"/>
  <c r="CN385" i="7" s="1"/>
  <c r="AH383" i="7"/>
  <c r="AF383" i="7"/>
  <c r="AI383" i="7" s="1"/>
  <c r="BD382" i="7"/>
  <c r="BE382" i="7"/>
  <c r="BU396" i="7"/>
  <c r="CP396" i="7" s="1"/>
  <c r="CE389" i="7"/>
  <c r="CZ389" i="7" s="1"/>
  <c r="CJ420" i="7"/>
  <c r="DE420" i="7" s="1"/>
  <c r="AO381" i="7" l="1"/>
  <c r="EN382" i="7"/>
  <c r="AN386" i="7"/>
  <c r="EO388" i="7"/>
  <c r="AM389" i="7"/>
  <c r="CK387" i="7"/>
  <c r="DF387" i="7" s="1"/>
  <c r="CB389" i="7"/>
  <c r="CW389" i="7" s="1"/>
  <c r="DP383" i="7"/>
  <c r="F107" i="32"/>
  <c r="G107" i="32" s="1"/>
  <c r="P107" i="32" s="1"/>
  <c r="Q107" i="32" s="1"/>
  <c r="AR118" i="7"/>
  <c r="BI118" i="7" s="1"/>
  <c r="AP118" i="7"/>
  <c r="BG118" i="7" s="1"/>
  <c r="AQ118" i="7"/>
  <c r="BH118" i="7" s="1"/>
  <c r="CL385" i="7"/>
  <c r="DG385" i="7" s="1"/>
  <c r="EM384" i="7"/>
  <c r="DO383" i="7"/>
  <c r="EF385" i="7"/>
  <c r="EC385" i="7"/>
  <c r="DZ381" i="7"/>
  <c r="EA381" i="7"/>
  <c r="EB380" i="7"/>
  <c r="DW380" i="7"/>
  <c r="DX380" i="7"/>
  <c r="DJ383" i="7"/>
  <c r="AL118" i="7"/>
  <c r="E118" i="7" s="1"/>
  <c r="AK118" i="7"/>
  <c r="D118" i="7" s="1"/>
  <c r="AJ118" i="7"/>
  <c r="C118" i="7" s="1"/>
  <c r="AX384" i="7"/>
  <c r="BA384" i="7"/>
  <c r="AV384" i="7"/>
  <c r="BC384" i="7"/>
  <c r="DR384" i="7" s="1"/>
  <c r="AY384" i="7"/>
  <c r="AW384" i="7"/>
  <c r="BB384" i="7"/>
  <c r="AT384" i="7"/>
  <c r="M385" i="7"/>
  <c r="AV385" i="7" s="1"/>
  <c r="DV385" i="7"/>
  <c r="AZ384" i="7"/>
  <c r="BY418" i="7"/>
  <c r="CT418" i="7" s="1"/>
  <c r="BX418" i="7"/>
  <c r="CS418" i="7" s="1"/>
  <c r="BW420" i="7"/>
  <c r="CR420" i="7" s="1"/>
  <c r="BF382" i="7"/>
  <c r="AG383" i="7"/>
  <c r="DQ383" i="7"/>
  <c r="DK383" i="7"/>
  <c r="DM383" i="7"/>
  <c r="DN383" i="7"/>
  <c r="CM409" i="7"/>
  <c r="DH409" i="7" s="1"/>
  <c r="CC403" i="7"/>
  <c r="CX403" i="7" s="1"/>
  <c r="G377" i="7"/>
  <c r="CI388" i="7"/>
  <c r="DD388" i="7" s="1"/>
  <c r="DS387" i="7"/>
  <c r="P387" i="7" s="1"/>
  <c r="BT389" i="7"/>
  <c r="CO389" i="7" s="1"/>
  <c r="BV387" i="7"/>
  <c r="CQ387" i="7" s="1"/>
  <c r="CA381" i="7"/>
  <c r="CV381" i="7" s="1"/>
  <c r="BO379" i="7"/>
  <c r="CG382" i="7"/>
  <c r="DB382" i="7" s="1"/>
  <c r="BZ383" i="7"/>
  <c r="CU383" i="7" s="1"/>
  <c r="CD385" i="7"/>
  <c r="CY385" i="7" s="1"/>
  <c r="CH382" i="7"/>
  <c r="DC382" i="7" s="1"/>
  <c r="BN381" i="7"/>
  <c r="DI379" i="7"/>
  <c r="BP379" i="7" s="1"/>
  <c r="BQ378" i="7"/>
  <c r="H378" i="7" s="1"/>
  <c r="CF387" i="7"/>
  <c r="DA387" i="7" s="1"/>
  <c r="BS386" i="7"/>
  <c r="CN386" i="7" s="1"/>
  <c r="AF384" i="7"/>
  <c r="AI384" i="7" s="1"/>
  <c r="AH384" i="7"/>
  <c r="BU397" i="7"/>
  <c r="CP397" i="7" s="1"/>
  <c r="CE390" i="7"/>
  <c r="CZ390" i="7" s="1"/>
  <c r="CJ421" i="7"/>
  <c r="DE421" i="7" s="1"/>
  <c r="EN383" i="7" l="1"/>
  <c r="CK388" i="7"/>
  <c r="DF388" i="7" s="1"/>
  <c r="AM390" i="7"/>
  <c r="AO382" i="7"/>
  <c r="EO389" i="7"/>
  <c r="AN387" i="7"/>
  <c r="CB390" i="7"/>
  <c r="CW390" i="7" s="1"/>
  <c r="DM384" i="7"/>
  <c r="CL386" i="7"/>
  <c r="DG386" i="7" s="1"/>
  <c r="EM385" i="7"/>
  <c r="DL384" i="7"/>
  <c r="EF386" i="7"/>
  <c r="EC386" i="7"/>
  <c r="DZ382" i="7"/>
  <c r="EA382" i="7"/>
  <c r="DW381" i="7"/>
  <c r="EB381" i="7"/>
  <c r="DX381" i="7"/>
  <c r="AW385" i="7"/>
  <c r="AU385" i="7"/>
  <c r="BA385" i="7"/>
  <c r="BC385" i="7"/>
  <c r="DR385" i="7" s="1"/>
  <c r="M386" i="7"/>
  <c r="AX386" i="7" s="1"/>
  <c r="DV386" i="7"/>
  <c r="AY385" i="7"/>
  <c r="BB385" i="7"/>
  <c r="AZ385" i="7"/>
  <c r="AX385" i="7"/>
  <c r="DM385" i="7" s="1"/>
  <c r="AT385" i="7"/>
  <c r="BX419" i="7"/>
  <c r="CS419" i="7" s="1"/>
  <c r="BY419" i="7"/>
  <c r="CT419" i="7" s="1"/>
  <c r="BW421" i="7"/>
  <c r="CR421" i="7" s="1"/>
  <c r="DQ384" i="7"/>
  <c r="BF383" i="7"/>
  <c r="BD383" i="7"/>
  <c r="DK384" i="7"/>
  <c r="BE383" i="7"/>
  <c r="DJ384" i="7"/>
  <c r="DN384" i="7"/>
  <c r="DO384" i="7"/>
  <c r="AG384" i="7"/>
  <c r="DP384" i="7"/>
  <c r="CM410" i="7"/>
  <c r="DH410" i="7" s="1"/>
  <c r="CC404" i="7"/>
  <c r="CX404" i="7" s="1"/>
  <c r="G378" i="7"/>
  <c r="BJ118" i="7"/>
  <c r="F118" i="7"/>
  <c r="BK118" i="7"/>
  <c r="BL118" i="7"/>
  <c r="BV388" i="7"/>
  <c r="CQ388" i="7" s="1"/>
  <c r="BT390" i="7"/>
  <c r="CO390" i="7" s="1"/>
  <c r="DS388" i="7"/>
  <c r="P388" i="7" s="1"/>
  <c r="CI389" i="7"/>
  <c r="DD389" i="7" s="1"/>
  <c r="BO380" i="7"/>
  <c r="CA382" i="7"/>
  <c r="CV382" i="7" s="1"/>
  <c r="CG383" i="7"/>
  <c r="DB383" i="7" s="1"/>
  <c r="BZ384" i="7"/>
  <c r="CU384" i="7" s="1"/>
  <c r="CD386" i="7"/>
  <c r="CY386" i="7" s="1"/>
  <c r="DI380" i="7"/>
  <c r="BP380" i="7" s="1"/>
  <c r="BQ379" i="7"/>
  <c r="H379" i="7" s="1"/>
  <c r="CF388" i="7"/>
  <c r="DA388" i="7" s="1"/>
  <c r="CH383" i="7"/>
  <c r="DC383" i="7" s="1"/>
  <c r="BN382" i="7"/>
  <c r="BD384" i="7"/>
  <c r="BS387" i="7"/>
  <c r="CN387" i="7" s="1"/>
  <c r="AF385" i="7"/>
  <c r="AI385" i="7" s="1"/>
  <c r="AH385" i="7"/>
  <c r="AG385" i="7"/>
  <c r="BU398" i="7"/>
  <c r="CP398" i="7" s="1"/>
  <c r="CE391" i="7"/>
  <c r="CZ391" i="7" s="1"/>
  <c r="CJ422" i="7"/>
  <c r="DE422" i="7" s="1"/>
  <c r="AN388" i="7" l="1"/>
  <c r="EN384" i="7"/>
  <c r="CK389" i="7"/>
  <c r="DF389" i="7" s="1"/>
  <c r="AM391" i="7"/>
  <c r="AO383" i="7"/>
  <c r="EO390" i="7"/>
  <c r="CB391" i="7"/>
  <c r="CW391" i="7" s="1"/>
  <c r="DJ385" i="7"/>
  <c r="CL387" i="7"/>
  <c r="DG387" i="7" s="1"/>
  <c r="EM386" i="7"/>
  <c r="DP385" i="7"/>
  <c r="AT386" i="7"/>
  <c r="EF387" i="7"/>
  <c r="EC387" i="7"/>
  <c r="EB382" i="7"/>
  <c r="DX382" i="7"/>
  <c r="DW382" i="7"/>
  <c r="DZ383" i="7"/>
  <c r="EA383" i="7"/>
  <c r="DQ385" i="7"/>
  <c r="BA386" i="7"/>
  <c r="AZ386" i="7"/>
  <c r="AY386" i="7"/>
  <c r="AW386" i="7"/>
  <c r="BC386" i="7"/>
  <c r="DR386" i="7" s="1"/>
  <c r="BB386" i="7"/>
  <c r="AV386" i="7"/>
  <c r="AU386" i="7"/>
  <c r="DJ386" i="7" s="1"/>
  <c r="M387" i="7"/>
  <c r="BC387" i="7" s="1"/>
  <c r="DV387" i="7"/>
  <c r="DN385" i="7"/>
  <c r="BY420" i="7"/>
  <c r="CT420" i="7" s="1"/>
  <c r="BX420" i="7"/>
  <c r="CS420" i="7" s="1"/>
  <c r="BW422" i="7"/>
  <c r="CR422" i="7" s="1"/>
  <c r="BE384" i="7"/>
  <c r="BF384" i="7"/>
  <c r="DK385" i="7"/>
  <c r="DO385" i="7"/>
  <c r="DL385" i="7"/>
  <c r="CM411" i="7"/>
  <c r="DH411" i="7" s="1"/>
  <c r="CC405" i="7"/>
  <c r="CX405" i="7" s="1"/>
  <c r="G379" i="7"/>
  <c r="BM118" i="7"/>
  <c r="BT391" i="7"/>
  <c r="CO391" i="7" s="1"/>
  <c r="CI390" i="7"/>
  <c r="DD390" i="7" s="1"/>
  <c r="DS389" i="7"/>
  <c r="P389" i="7" s="1"/>
  <c r="BV389" i="7"/>
  <c r="CQ389" i="7" s="1"/>
  <c r="CA383" i="7"/>
  <c r="CV383" i="7" s="1"/>
  <c r="BO381" i="7"/>
  <c r="CG384" i="7"/>
  <c r="DB384" i="7" s="1"/>
  <c r="BZ385" i="7"/>
  <c r="CU385" i="7" s="1"/>
  <c r="CD387" i="7"/>
  <c r="CY387" i="7" s="1"/>
  <c r="BN383" i="7"/>
  <c r="CH384" i="7"/>
  <c r="DC384" i="7" s="1"/>
  <c r="CF389" i="7"/>
  <c r="DA389" i="7" s="1"/>
  <c r="DI381" i="7"/>
  <c r="BP381" i="7" s="1"/>
  <c r="BQ380" i="7"/>
  <c r="H380" i="7" s="1"/>
  <c r="BE385" i="7"/>
  <c r="BD385" i="7"/>
  <c r="BF385" i="7"/>
  <c r="BS388" i="7"/>
  <c r="CN388" i="7" s="1"/>
  <c r="AG386" i="7"/>
  <c r="DM386" i="7"/>
  <c r="AF386" i="7"/>
  <c r="AI386" i="7" s="1"/>
  <c r="BU399" i="7"/>
  <c r="CP399" i="7" s="1"/>
  <c r="CE392" i="7"/>
  <c r="CZ392" i="7" s="1"/>
  <c r="CJ423" i="7"/>
  <c r="DE423" i="7" s="1"/>
  <c r="AM392" i="7" l="1"/>
  <c r="AO384" i="7"/>
  <c r="EO391" i="7"/>
  <c r="AN389" i="7"/>
  <c r="EN385" i="7"/>
  <c r="CK390" i="7"/>
  <c r="DF390" i="7" s="1"/>
  <c r="CB392" i="7"/>
  <c r="CW392" i="7" s="1"/>
  <c r="CL388" i="7"/>
  <c r="DG388" i="7" s="1"/>
  <c r="EM387" i="7"/>
  <c r="DP386" i="7"/>
  <c r="DQ386" i="7"/>
  <c r="DZ384" i="7"/>
  <c r="EA384" i="7"/>
  <c r="EC388" i="7"/>
  <c r="EF388" i="7"/>
  <c r="DX383" i="7"/>
  <c r="DW383" i="7"/>
  <c r="EB383" i="7"/>
  <c r="AV387" i="7"/>
  <c r="N119" i="7"/>
  <c r="D108" i="32"/>
  <c r="AY387" i="7"/>
  <c r="AW387" i="7"/>
  <c r="AU387" i="7"/>
  <c r="BB387" i="7"/>
  <c r="AX387" i="7"/>
  <c r="AT387" i="7"/>
  <c r="AZ387" i="7"/>
  <c r="BA387" i="7"/>
  <c r="M388" i="7"/>
  <c r="BB388" i="7" s="1"/>
  <c r="DV388" i="7"/>
  <c r="BX421" i="7"/>
  <c r="CS421" i="7" s="1"/>
  <c r="BY421" i="7"/>
  <c r="CT421" i="7" s="1"/>
  <c r="BW423" i="7"/>
  <c r="CR423" i="7" s="1"/>
  <c r="DK386" i="7"/>
  <c r="DO386" i="7"/>
  <c r="DL386" i="7"/>
  <c r="AH386" i="7"/>
  <c r="DN386" i="7"/>
  <c r="CM412" i="7"/>
  <c r="DH412" i="7" s="1"/>
  <c r="CC406" i="7"/>
  <c r="CX406" i="7" s="1"/>
  <c r="G380" i="7"/>
  <c r="B118" i="7"/>
  <c r="BV390" i="7"/>
  <c r="CQ390" i="7" s="1"/>
  <c r="CI391" i="7"/>
  <c r="DD391" i="7" s="1"/>
  <c r="DS390" i="7"/>
  <c r="P390" i="7" s="1"/>
  <c r="BT392" i="7"/>
  <c r="CO392" i="7" s="1"/>
  <c r="BO382" i="7"/>
  <c r="CA384" i="7"/>
  <c r="CV384" i="7" s="1"/>
  <c r="CG385" i="7"/>
  <c r="DB385" i="7" s="1"/>
  <c r="BZ386" i="7"/>
  <c r="CU386" i="7" s="1"/>
  <c r="CD388" i="7"/>
  <c r="CY388" i="7" s="1"/>
  <c r="BN384" i="7"/>
  <c r="CH385" i="7"/>
  <c r="DC385" i="7" s="1"/>
  <c r="DI382" i="7"/>
  <c r="BP382" i="7" s="1"/>
  <c r="BQ381" i="7"/>
  <c r="H381" i="7" s="1"/>
  <c r="CF390" i="7"/>
  <c r="DA390" i="7" s="1"/>
  <c r="BS389" i="7"/>
  <c r="CN389" i="7" s="1"/>
  <c r="BU400" i="7"/>
  <c r="CP400" i="7" s="1"/>
  <c r="CE393" i="7"/>
  <c r="CZ393" i="7" s="1"/>
  <c r="CJ424" i="7"/>
  <c r="DE424" i="7" s="1"/>
  <c r="AO385" i="7" l="1"/>
  <c r="CK391" i="7"/>
  <c r="DF391" i="7" s="1"/>
  <c r="AN390" i="7"/>
  <c r="AM393" i="7"/>
  <c r="EN386" i="7"/>
  <c r="EO392" i="7"/>
  <c r="CB393" i="7"/>
  <c r="CW393" i="7" s="1"/>
  <c r="F108" i="32"/>
  <c r="G108" i="32" s="1"/>
  <c r="P108" i="32" s="1"/>
  <c r="Q108" i="32" s="1"/>
  <c r="AP119" i="7"/>
  <c r="BG119" i="7" s="1"/>
  <c r="AQ119" i="7"/>
  <c r="BH119" i="7" s="1"/>
  <c r="AR119" i="7"/>
  <c r="BI119" i="7" s="1"/>
  <c r="CL389" i="7"/>
  <c r="DG389" i="7" s="1"/>
  <c r="EM388" i="7"/>
  <c r="EF389" i="7"/>
  <c r="EC389" i="7"/>
  <c r="DZ385" i="7"/>
  <c r="EA385" i="7"/>
  <c r="EB384" i="7"/>
  <c r="DW384" i="7"/>
  <c r="DX384" i="7"/>
  <c r="AJ119" i="7"/>
  <c r="C119" i="7" s="1"/>
  <c r="AL119" i="7"/>
  <c r="E119" i="7" s="1"/>
  <c r="AK119" i="7"/>
  <c r="D119" i="7" s="1"/>
  <c r="DO387" i="7"/>
  <c r="AU388" i="7"/>
  <c r="AV388" i="7"/>
  <c r="BA388" i="7"/>
  <c r="AT388" i="7"/>
  <c r="BC388" i="7"/>
  <c r="AX388" i="7"/>
  <c r="AW388" i="7"/>
  <c r="AY388" i="7"/>
  <c r="AZ388" i="7"/>
  <c r="M389" i="7"/>
  <c r="AY389" i="7" s="1"/>
  <c r="DV389" i="7"/>
  <c r="BY422" i="7"/>
  <c r="CT422" i="7" s="1"/>
  <c r="BX422" i="7"/>
  <c r="CS422" i="7" s="1"/>
  <c r="BW424" i="7"/>
  <c r="CR424" i="7" s="1"/>
  <c r="BE386" i="7"/>
  <c r="BD386" i="7"/>
  <c r="DQ387" i="7"/>
  <c r="DQ388" i="7" s="1"/>
  <c r="DL387" i="7"/>
  <c r="AG387" i="7"/>
  <c r="BF386" i="7"/>
  <c r="AH387" i="7"/>
  <c r="DN387" i="7"/>
  <c r="DK387" i="7"/>
  <c r="DJ387" i="7"/>
  <c r="DP387" i="7"/>
  <c r="AF387" i="7"/>
  <c r="AI387" i="7" s="1"/>
  <c r="DM387" i="7"/>
  <c r="DR387" i="7"/>
  <c r="CM413" i="7"/>
  <c r="DH413" i="7" s="1"/>
  <c r="CC407" i="7"/>
  <c r="CX407" i="7" s="1"/>
  <c r="G381" i="7"/>
  <c r="CI392" i="7"/>
  <c r="DD392" i="7" s="1"/>
  <c r="DS391" i="7"/>
  <c r="P391" i="7" s="1"/>
  <c r="BT393" i="7"/>
  <c r="CO393" i="7" s="1"/>
  <c r="BV391" i="7"/>
  <c r="CQ391" i="7" s="1"/>
  <c r="BO383" i="7"/>
  <c r="CA385" i="7"/>
  <c r="CV385" i="7" s="1"/>
  <c r="CG386" i="7"/>
  <c r="DB386" i="7" s="1"/>
  <c r="BZ387" i="7"/>
  <c r="CU387" i="7" s="1"/>
  <c r="CD389" i="7"/>
  <c r="CY389" i="7" s="1"/>
  <c r="DI383" i="7"/>
  <c r="BP383" i="7" s="1"/>
  <c r="BQ382" i="7"/>
  <c r="H382" i="7" s="1"/>
  <c r="CF391" i="7"/>
  <c r="DA391" i="7" s="1"/>
  <c r="CH386" i="7"/>
  <c r="DC386" i="7" s="1"/>
  <c r="BN385" i="7"/>
  <c r="BS390" i="7"/>
  <c r="CN390" i="7" s="1"/>
  <c r="AH388" i="7"/>
  <c r="AF388" i="7"/>
  <c r="AI388" i="7" s="1"/>
  <c r="AG388" i="7"/>
  <c r="BU401" i="7"/>
  <c r="CP401" i="7" s="1"/>
  <c r="CE394" i="7"/>
  <c r="CZ394" i="7" s="1"/>
  <c r="CJ425" i="7"/>
  <c r="DE425" i="7" s="1"/>
  <c r="AO386" i="7" l="1"/>
  <c r="CK392" i="7"/>
  <c r="DF392" i="7" s="1"/>
  <c r="EO393" i="7"/>
  <c r="AM394" i="7"/>
  <c r="AN391" i="7"/>
  <c r="EN387" i="7"/>
  <c r="CB394" i="7"/>
  <c r="CW394" i="7" s="1"/>
  <c r="CL390" i="7"/>
  <c r="DG390" i="7" s="1"/>
  <c r="EM389" i="7"/>
  <c r="DR388" i="7"/>
  <c r="EF390" i="7"/>
  <c r="EC390" i="7"/>
  <c r="EB385" i="7"/>
  <c r="DX385" i="7"/>
  <c r="DW385" i="7"/>
  <c r="DZ386" i="7"/>
  <c r="EA386" i="7"/>
  <c r="BC389" i="7"/>
  <c r="AT389" i="7"/>
  <c r="AZ389" i="7"/>
  <c r="AU389" i="7"/>
  <c r="BA389" i="7"/>
  <c r="AV389" i="7"/>
  <c r="AX389" i="7"/>
  <c r="BB389" i="7"/>
  <c r="AW389" i="7"/>
  <c r="M390" i="7"/>
  <c r="AX390" i="7" s="1"/>
  <c r="DV390" i="7"/>
  <c r="BX423" i="7"/>
  <c r="CS423" i="7" s="1"/>
  <c r="BY423" i="7"/>
  <c r="CT423" i="7" s="1"/>
  <c r="BW425" i="7"/>
  <c r="CR425" i="7" s="1"/>
  <c r="BF387" i="7"/>
  <c r="DP388" i="7"/>
  <c r="DL388" i="7"/>
  <c r="DK388" i="7"/>
  <c r="DJ388" i="7"/>
  <c r="DN388" i="7"/>
  <c r="BE387" i="7"/>
  <c r="DO388" i="7"/>
  <c r="DM388" i="7"/>
  <c r="BD387" i="7"/>
  <c r="CM414" i="7"/>
  <c r="DH414" i="7" s="1"/>
  <c r="CC408" i="7"/>
  <c r="CX408" i="7" s="1"/>
  <c r="G382" i="7"/>
  <c r="BK119" i="7"/>
  <c r="BJ119" i="7"/>
  <c r="F119" i="7"/>
  <c r="BL119" i="7"/>
  <c r="BT394" i="7"/>
  <c r="CO394" i="7" s="1"/>
  <c r="BV392" i="7"/>
  <c r="CQ392" i="7" s="1"/>
  <c r="DS392" i="7"/>
  <c r="P392" i="7" s="1"/>
  <c r="CI393" i="7"/>
  <c r="DD393" i="7" s="1"/>
  <c r="BO384" i="7"/>
  <c r="CA386" i="7"/>
  <c r="CV386" i="7" s="1"/>
  <c r="CG387" i="7"/>
  <c r="DB387" i="7" s="1"/>
  <c r="BZ388" i="7"/>
  <c r="CU388" i="7" s="1"/>
  <c r="CD390" i="7"/>
  <c r="CY390" i="7" s="1"/>
  <c r="CF392" i="7"/>
  <c r="DA392" i="7" s="1"/>
  <c r="CH387" i="7"/>
  <c r="DC387" i="7" s="1"/>
  <c r="BN386" i="7"/>
  <c r="DI384" i="7"/>
  <c r="BP384" i="7" s="1"/>
  <c r="BQ383" i="7"/>
  <c r="H383" i="7" s="1"/>
  <c r="BS391" i="7"/>
  <c r="CN391" i="7" s="1"/>
  <c r="BF388" i="7"/>
  <c r="BU402" i="7"/>
  <c r="CP402" i="7" s="1"/>
  <c r="CE395" i="7"/>
  <c r="CZ395" i="7" s="1"/>
  <c r="CJ426" i="7"/>
  <c r="DE426" i="7" s="1"/>
  <c r="AN392" i="7" l="1"/>
  <c r="EO394" i="7"/>
  <c r="CK393" i="7"/>
  <c r="DF393" i="7" s="1"/>
  <c r="EN388" i="7"/>
  <c r="AM395" i="7"/>
  <c r="AO387" i="7"/>
  <c r="CB395" i="7"/>
  <c r="CW395" i="7" s="1"/>
  <c r="CL391" i="7"/>
  <c r="DG391" i="7" s="1"/>
  <c r="EM390" i="7"/>
  <c r="DO389" i="7"/>
  <c r="EB386" i="7"/>
  <c r="DW386" i="7"/>
  <c r="DX386" i="7"/>
  <c r="EF391" i="7"/>
  <c r="EC391" i="7"/>
  <c r="DZ387" i="7"/>
  <c r="EA387" i="7"/>
  <c r="BA390" i="7"/>
  <c r="BB390" i="7"/>
  <c r="AV390" i="7"/>
  <c r="AT390" i="7"/>
  <c r="AZ390" i="7"/>
  <c r="AW390" i="7"/>
  <c r="AU390" i="7"/>
  <c r="M391" i="7"/>
  <c r="BA391" i="7" s="1"/>
  <c r="DV391" i="7"/>
  <c r="AY390" i="7"/>
  <c r="BC390" i="7"/>
  <c r="BY424" i="7"/>
  <c r="CT424" i="7" s="1"/>
  <c r="BX424" i="7"/>
  <c r="CS424" i="7" s="1"/>
  <c r="BW426" i="7"/>
  <c r="CR426" i="7" s="1"/>
  <c r="BD388" i="7"/>
  <c r="BE388" i="7"/>
  <c r="DJ389" i="7"/>
  <c r="DN389" i="7"/>
  <c r="DL389" i="7"/>
  <c r="AF389" i="7"/>
  <c r="AI389" i="7" s="1"/>
  <c r="DR389" i="7"/>
  <c r="DK389" i="7"/>
  <c r="DM389" i="7"/>
  <c r="DQ389" i="7"/>
  <c r="AG389" i="7"/>
  <c r="AH389" i="7"/>
  <c r="DP389" i="7"/>
  <c r="CM415" i="7"/>
  <c r="DH415" i="7" s="1"/>
  <c r="CC409" i="7"/>
  <c r="CX409" i="7" s="1"/>
  <c r="G383" i="7"/>
  <c r="BM119" i="7"/>
  <c r="BV393" i="7"/>
  <c r="CQ393" i="7" s="1"/>
  <c r="DS393" i="7"/>
  <c r="P393" i="7" s="1"/>
  <c r="CI394" i="7"/>
  <c r="DD394" i="7" s="1"/>
  <c r="BT395" i="7"/>
  <c r="CO395" i="7" s="1"/>
  <c r="BO385" i="7"/>
  <c r="CA387" i="7"/>
  <c r="CV387" i="7" s="1"/>
  <c r="CG388" i="7"/>
  <c r="DB388" i="7" s="1"/>
  <c r="BZ389" i="7"/>
  <c r="CU389" i="7" s="1"/>
  <c r="CD391" i="7"/>
  <c r="CY391" i="7" s="1"/>
  <c r="CH388" i="7"/>
  <c r="DC388" i="7" s="1"/>
  <c r="BN387" i="7"/>
  <c r="DI385" i="7"/>
  <c r="BP385" i="7" s="1"/>
  <c r="BQ384" i="7"/>
  <c r="H384" i="7" s="1"/>
  <c r="CF393" i="7"/>
  <c r="DA393" i="7" s="1"/>
  <c r="BS392" i="7"/>
  <c r="CN392" i="7" s="1"/>
  <c r="AG390" i="7"/>
  <c r="AH390" i="7"/>
  <c r="AF390" i="7"/>
  <c r="AI390" i="7" s="1"/>
  <c r="BU403" i="7"/>
  <c r="CP403" i="7" s="1"/>
  <c r="CE396" i="7"/>
  <c r="CZ396" i="7" s="1"/>
  <c r="CJ427" i="7"/>
  <c r="DE427" i="7" s="1"/>
  <c r="DJ390" i="7" l="1"/>
  <c r="AM396" i="7"/>
  <c r="EN389" i="7"/>
  <c r="EO395" i="7"/>
  <c r="AN393" i="7"/>
  <c r="AO388" i="7"/>
  <c r="CK394" i="7"/>
  <c r="DF394" i="7" s="1"/>
  <c r="CB396" i="7"/>
  <c r="CW396" i="7" s="1"/>
  <c r="CL392" i="7"/>
  <c r="DG392" i="7" s="1"/>
  <c r="EM391" i="7"/>
  <c r="EC392" i="7"/>
  <c r="EF392" i="7"/>
  <c r="EA388" i="7"/>
  <c r="DZ388" i="7"/>
  <c r="EB387" i="7"/>
  <c r="DX387" i="7"/>
  <c r="DW387" i="7"/>
  <c r="N120" i="7"/>
  <c r="D109" i="32"/>
  <c r="AV391" i="7"/>
  <c r="AT391" i="7"/>
  <c r="DO390" i="7"/>
  <c r="AW391" i="7"/>
  <c r="BC391" i="7"/>
  <c r="AY391" i="7"/>
  <c r="AU391" i="7"/>
  <c r="BB391" i="7"/>
  <c r="AZ391" i="7"/>
  <c r="DL390" i="7"/>
  <c r="M392" i="7"/>
  <c r="AX392" i="7" s="1"/>
  <c r="DV392" i="7"/>
  <c r="AX391" i="7"/>
  <c r="BX425" i="7"/>
  <c r="CS425" i="7" s="1"/>
  <c r="BY425" i="7"/>
  <c r="CT425" i="7" s="1"/>
  <c r="BW427" i="7"/>
  <c r="CR427" i="7" s="1"/>
  <c r="DR390" i="7"/>
  <c r="BE389" i="7"/>
  <c r="DQ390" i="7"/>
  <c r="DK390" i="7"/>
  <c r="DM390" i="7"/>
  <c r="DN390" i="7"/>
  <c r="BD389" i="7"/>
  <c r="DP390" i="7"/>
  <c r="BF389" i="7"/>
  <c r="CM416" i="7"/>
  <c r="DH416" i="7" s="1"/>
  <c r="CC410" i="7"/>
  <c r="CX410" i="7" s="1"/>
  <c r="G384" i="7"/>
  <c r="B119" i="7"/>
  <c r="BT396" i="7"/>
  <c r="CO396" i="7" s="1"/>
  <c r="CI395" i="7"/>
  <c r="DD395" i="7" s="1"/>
  <c r="DS394" i="7"/>
  <c r="P394" i="7" s="1"/>
  <c r="BV394" i="7"/>
  <c r="CQ394" i="7" s="1"/>
  <c r="BO386" i="7"/>
  <c r="CA388" i="7"/>
  <c r="CV388" i="7" s="1"/>
  <c r="CG389" i="7"/>
  <c r="DB389" i="7" s="1"/>
  <c r="BZ390" i="7"/>
  <c r="CU390" i="7" s="1"/>
  <c r="CD392" i="7"/>
  <c r="CY392" i="7" s="1"/>
  <c r="CF394" i="7"/>
  <c r="DA394" i="7" s="1"/>
  <c r="BQ385" i="7"/>
  <c r="H385" i="7" s="1"/>
  <c r="DI386" i="7"/>
  <c r="BP386" i="7" s="1"/>
  <c r="CH389" i="7"/>
  <c r="DC389" i="7" s="1"/>
  <c r="BN388" i="7"/>
  <c r="BS393" i="7"/>
  <c r="CN393" i="7" s="1"/>
  <c r="BU404" i="7"/>
  <c r="CP404" i="7" s="1"/>
  <c r="CE397" i="7"/>
  <c r="CZ397" i="7" s="1"/>
  <c r="CJ428" i="7"/>
  <c r="DE428" i="7" s="1"/>
  <c r="AN394" i="7" l="1"/>
  <c r="CK395" i="7"/>
  <c r="DF395" i="7" s="1"/>
  <c r="AO389" i="7"/>
  <c r="EO396" i="7"/>
  <c r="AM397" i="7"/>
  <c r="EN390" i="7"/>
  <c r="CB397" i="7"/>
  <c r="CW397" i="7" s="1"/>
  <c r="F109" i="32"/>
  <c r="G109" i="32" s="1"/>
  <c r="P109" i="32" s="1"/>
  <c r="Q109" i="32" s="1"/>
  <c r="AP120" i="7"/>
  <c r="BG120" i="7" s="1"/>
  <c r="AQ120" i="7"/>
  <c r="BH120" i="7" s="1"/>
  <c r="AR120" i="7"/>
  <c r="BI120" i="7" s="1"/>
  <c r="CL393" i="7"/>
  <c r="DG393" i="7" s="1"/>
  <c r="EM392" i="7"/>
  <c r="AT392" i="7"/>
  <c r="EF393" i="7"/>
  <c r="EC393" i="7"/>
  <c r="DW388" i="7"/>
  <c r="DX388" i="7"/>
  <c r="EB388" i="7"/>
  <c r="DZ389" i="7"/>
  <c r="EA389" i="7"/>
  <c r="AK120" i="7"/>
  <c r="D120" i="7" s="1"/>
  <c r="AJ120" i="7"/>
  <c r="C120" i="7" s="1"/>
  <c r="AL120" i="7"/>
  <c r="E120" i="7" s="1"/>
  <c r="DO391" i="7"/>
  <c r="AU392" i="7"/>
  <c r="BA392" i="7"/>
  <c r="AV392" i="7"/>
  <c r="BC392" i="7"/>
  <c r="AY392" i="7"/>
  <c r="BB392" i="7"/>
  <c r="AZ392" i="7"/>
  <c r="AW392" i="7"/>
  <c r="M393" i="7"/>
  <c r="BB393" i="7" s="1"/>
  <c r="DV393" i="7"/>
  <c r="BY426" i="7"/>
  <c r="CT426" i="7" s="1"/>
  <c r="BX426" i="7"/>
  <c r="CS426" i="7" s="1"/>
  <c r="BW428" i="7"/>
  <c r="CR428" i="7" s="1"/>
  <c r="BE390" i="7"/>
  <c r="BD390" i="7"/>
  <c r="DM391" i="7"/>
  <c r="DP391" i="7"/>
  <c r="AH391" i="7"/>
  <c r="DK391" i="7"/>
  <c r="AG391" i="7"/>
  <c r="DQ391" i="7"/>
  <c r="DR391" i="7"/>
  <c r="DN391" i="7"/>
  <c r="DL391" i="7"/>
  <c r="BF390" i="7"/>
  <c r="DJ391" i="7"/>
  <c r="AF391" i="7"/>
  <c r="AI391" i="7" s="1"/>
  <c r="CM417" i="7"/>
  <c r="DH417" i="7" s="1"/>
  <c r="CC411" i="7"/>
  <c r="CX411" i="7" s="1"/>
  <c r="G385" i="7"/>
  <c r="CI396" i="7"/>
  <c r="DD396" i="7" s="1"/>
  <c r="DS395" i="7"/>
  <c r="P395" i="7" s="1"/>
  <c r="BV395" i="7"/>
  <c r="CQ395" i="7" s="1"/>
  <c r="BT397" i="7"/>
  <c r="CO397" i="7" s="1"/>
  <c r="CA389" i="7"/>
  <c r="CV389" i="7" s="1"/>
  <c r="BO387" i="7"/>
  <c r="CG390" i="7"/>
  <c r="DB390" i="7" s="1"/>
  <c r="BZ391" i="7"/>
  <c r="CU391" i="7" s="1"/>
  <c r="CD393" i="7"/>
  <c r="CY393" i="7" s="1"/>
  <c r="CF395" i="7"/>
  <c r="DA395" i="7" s="1"/>
  <c r="BN389" i="7"/>
  <c r="CH390" i="7"/>
  <c r="DC390" i="7" s="1"/>
  <c r="DI387" i="7"/>
  <c r="BP387" i="7" s="1"/>
  <c r="BQ386" i="7"/>
  <c r="H386" i="7" s="1"/>
  <c r="BS394" i="7"/>
  <c r="CN394" i="7" s="1"/>
  <c r="BU405" i="7"/>
  <c r="CP405" i="7" s="1"/>
  <c r="CE398" i="7"/>
  <c r="CZ398" i="7" s="1"/>
  <c r="CJ429" i="7"/>
  <c r="DE429" i="7" s="1"/>
  <c r="AN395" i="7" l="1"/>
  <c r="CK396" i="7"/>
  <c r="DF396" i="7" s="1"/>
  <c r="AO390" i="7"/>
  <c r="AM398" i="7"/>
  <c r="EN391" i="7"/>
  <c r="EO397" i="7"/>
  <c r="CB398" i="7"/>
  <c r="CW398" i="7" s="1"/>
  <c r="CL394" i="7"/>
  <c r="DG394" i="7" s="1"/>
  <c r="EM393" i="7"/>
  <c r="EF394" i="7"/>
  <c r="EC394" i="7"/>
  <c r="DZ390" i="7"/>
  <c r="EA390" i="7"/>
  <c r="EB389" i="7"/>
  <c r="DX389" i="7"/>
  <c r="DW389" i="7"/>
  <c r="AZ393" i="7"/>
  <c r="AV393" i="7"/>
  <c r="DO392" i="7"/>
  <c r="AX393" i="7"/>
  <c r="BC393" i="7"/>
  <c r="AU393" i="7"/>
  <c r="AY393" i="7"/>
  <c r="BA393" i="7"/>
  <c r="AW393" i="7"/>
  <c r="AT393" i="7"/>
  <c r="M394" i="7"/>
  <c r="BB394" i="7" s="1"/>
  <c r="DV394" i="7"/>
  <c r="BX427" i="7"/>
  <c r="CS427" i="7" s="1"/>
  <c r="BY427" i="7"/>
  <c r="CT427" i="7" s="1"/>
  <c r="BW429" i="7"/>
  <c r="CR429" i="7" s="1"/>
  <c r="BD391" i="7"/>
  <c r="BE391" i="7"/>
  <c r="DR392" i="7"/>
  <c r="DP392" i="7"/>
  <c r="AG392" i="7"/>
  <c r="DL392" i="7"/>
  <c r="BF391" i="7"/>
  <c r="DQ392" i="7"/>
  <c r="DK392" i="7"/>
  <c r="DJ392" i="7"/>
  <c r="AF392" i="7"/>
  <c r="AI392" i="7" s="1"/>
  <c r="DM392" i="7"/>
  <c r="AH392" i="7"/>
  <c r="DN392" i="7"/>
  <c r="CM418" i="7"/>
  <c r="DH418" i="7" s="1"/>
  <c r="CC412" i="7"/>
  <c r="CX412" i="7" s="1"/>
  <c r="G386" i="7"/>
  <c r="BK120" i="7"/>
  <c r="BL120" i="7"/>
  <c r="F120" i="7"/>
  <c r="BJ120" i="7"/>
  <c r="BV396" i="7"/>
  <c r="CQ396" i="7" s="1"/>
  <c r="BT398" i="7"/>
  <c r="CO398" i="7" s="1"/>
  <c r="CI397" i="7"/>
  <c r="DD397" i="7" s="1"/>
  <c r="DS396" i="7"/>
  <c r="P396" i="7" s="1"/>
  <c r="CA390" i="7"/>
  <c r="CV390" i="7" s="1"/>
  <c r="BO388" i="7"/>
  <c r="CG391" i="7"/>
  <c r="DB391" i="7" s="1"/>
  <c r="BZ392" i="7"/>
  <c r="CU392" i="7" s="1"/>
  <c r="CD394" i="7"/>
  <c r="CY394" i="7" s="1"/>
  <c r="CF396" i="7"/>
  <c r="DA396" i="7" s="1"/>
  <c r="DI388" i="7"/>
  <c r="BP388" i="7" s="1"/>
  <c r="BQ387" i="7"/>
  <c r="H387" i="7" s="1"/>
  <c r="CH391" i="7"/>
  <c r="DC391" i="7" s="1"/>
  <c r="BN390" i="7"/>
  <c r="AF393" i="7"/>
  <c r="AI393" i="7" s="1"/>
  <c r="BF392" i="7"/>
  <c r="BS395" i="7"/>
  <c r="CN395" i="7" s="1"/>
  <c r="BU406" i="7"/>
  <c r="CP406" i="7" s="1"/>
  <c r="CE399" i="7"/>
  <c r="CZ399" i="7" s="1"/>
  <c r="CJ430" i="7"/>
  <c r="DE430" i="7" s="1"/>
  <c r="CK397" i="7" l="1"/>
  <c r="DF397" i="7" s="1"/>
  <c r="EO398" i="7"/>
  <c r="EN392" i="7"/>
  <c r="AN396" i="7"/>
  <c r="AM399" i="7"/>
  <c r="AO391" i="7"/>
  <c r="CB399" i="7"/>
  <c r="CW399" i="7" s="1"/>
  <c r="CL395" i="7"/>
  <c r="DG395" i="7" s="1"/>
  <c r="EM394" i="7"/>
  <c r="EA391" i="7"/>
  <c r="DZ391" i="7"/>
  <c r="EB390" i="7"/>
  <c r="DX390" i="7"/>
  <c r="DW390" i="7"/>
  <c r="EF395" i="7"/>
  <c r="EC395" i="7"/>
  <c r="DO393" i="7"/>
  <c r="AX394" i="7"/>
  <c r="AT394" i="7"/>
  <c r="AW394" i="7"/>
  <c r="AV394" i="7"/>
  <c r="DP393" i="7"/>
  <c r="AU394" i="7"/>
  <c r="AZ394" i="7"/>
  <c r="BA394" i="7"/>
  <c r="BC394" i="7"/>
  <c r="AY394" i="7"/>
  <c r="M395" i="7"/>
  <c r="AZ395" i="7" s="1"/>
  <c r="DV395" i="7"/>
  <c r="BY428" i="7"/>
  <c r="CT428" i="7" s="1"/>
  <c r="BX428" i="7"/>
  <c r="CS428" i="7" s="1"/>
  <c r="BW430" i="7"/>
  <c r="CR430" i="7" s="1"/>
  <c r="DK393" i="7"/>
  <c r="DN393" i="7"/>
  <c r="DQ393" i="7"/>
  <c r="DM393" i="7"/>
  <c r="BD392" i="7"/>
  <c r="DL393" i="7"/>
  <c r="DJ393" i="7"/>
  <c r="BE392" i="7"/>
  <c r="AG393" i="7"/>
  <c r="DR393" i="7"/>
  <c r="AH393" i="7"/>
  <c r="CM419" i="7"/>
  <c r="DH419" i="7" s="1"/>
  <c r="CC413" i="7"/>
  <c r="CX413" i="7" s="1"/>
  <c r="G387" i="7"/>
  <c r="BM120" i="7"/>
  <c r="BT399" i="7"/>
  <c r="CO399" i="7" s="1"/>
  <c r="CI398" i="7"/>
  <c r="DD398" i="7" s="1"/>
  <c r="DS397" i="7"/>
  <c r="P397" i="7" s="1"/>
  <c r="BV397" i="7"/>
  <c r="CQ397" i="7" s="1"/>
  <c r="CA391" i="7"/>
  <c r="CV391" i="7" s="1"/>
  <c r="BO389" i="7"/>
  <c r="CG392" i="7"/>
  <c r="DB392" i="7" s="1"/>
  <c r="BZ393" i="7"/>
  <c r="CU393" i="7" s="1"/>
  <c r="CD395" i="7"/>
  <c r="CY395" i="7" s="1"/>
  <c r="DI389" i="7"/>
  <c r="BP389" i="7" s="1"/>
  <c r="BQ388" i="7"/>
  <c r="H388" i="7" s="1"/>
  <c r="BN391" i="7"/>
  <c r="CH392" i="7"/>
  <c r="DC392" i="7" s="1"/>
  <c r="CF397" i="7"/>
  <c r="DA397" i="7" s="1"/>
  <c r="BS396" i="7"/>
  <c r="CN396" i="7" s="1"/>
  <c r="AG394" i="7"/>
  <c r="AH394" i="7"/>
  <c r="BU407" i="7"/>
  <c r="CP407" i="7" s="1"/>
  <c r="CE400" i="7"/>
  <c r="CZ400" i="7" s="1"/>
  <c r="CJ431" i="7"/>
  <c r="DE431" i="7" s="1"/>
  <c r="AN397" i="7" l="1"/>
  <c r="AO392" i="7"/>
  <c r="EO399" i="7"/>
  <c r="AM400" i="7"/>
  <c r="EN393" i="7"/>
  <c r="CK398" i="7"/>
  <c r="DF398" i="7" s="1"/>
  <c r="CB400" i="7"/>
  <c r="CW400" i="7" s="1"/>
  <c r="CL396" i="7"/>
  <c r="DG396" i="7" s="1"/>
  <c r="EM395" i="7"/>
  <c r="DK394" i="7"/>
  <c r="DW391" i="7"/>
  <c r="EB391" i="7"/>
  <c r="DX391" i="7"/>
  <c r="EF396" i="7"/>
  <c r="EC396" i="7"/>
  <c r="DZ392" i="7"/>
  <c r="EA392" i="7"/>
  <c r="N121" i="7"/>
  <c r="D110" i="32"/>
  <c r="DP394" i="7"/>
  <c r="AW395" i="7"/>
  <c r="AX395" i="7"/>
  <c r="AU395" i="7"/>
  <c r="AV395" i="7"/>
  <c r="AY395" i="7"/>
  <c r="BC395" i="7"/>
  <c r="BA395" i="7"/>
  <c r="M396" i="7"/>
  <c r="BB396" i="7" s="1"/>
  <c r="DV396" i="7"/>
  <c r="BB395" i="7"/>
  <c r="AT395" i="7"/>
  <c r="BX429" i="7"/>
  <c r="CS429" i="7" s="1"/>
  <c r="BY429" i="7"/>
  <c r="CT429" i="7" s="1"/>
  <c r="BW431" i="7"/>
  <c r="CR431" i="7" s="1"/>
  <c r="DL394" i="7"/>
  <c r="DQ394" i="7"/>
  <c r="BD393" i="7"/>
  <c r="DO394" i="7"/>
  <c r="DM394" i="7"/>
  <c r="DN394" i="7"/>
  <c r="BF393" i="7"/>
  <c r="DR394" i="7"/>
  <c r="DJ394" i="7"/>
  <c r="AF394" i="7"/>
  <c r="AI394" i="7" s="1"/>
  <c r="BE393" i="7"/>
  <c r="CM420" i="7"/>
  <c r="DH420" i="7" s="1"/>
  <c r="CC414" i="7"/>
  <c r="CX414" i="7" s="1"/>
  <c r="G388" i="7"/>
  <c r="B120" i="7"/>
  <c r="BV398" i="7"/>
  <c r="CQ398" i="7" s="1"/>
  <c r="DS398" i="7"/>
  <c r="P398" i="7" s="1"/>
  <c r="CI399" i="7"/>
  <c r="DD399" i="7" s="1"/>
  <c r="BT400" i="7"/>
  <c r="CO400" i="7" s="1"/>
  <c r="CA392" i="7"/>
  <c r="CV392" i="7" s="1"/>
  <c r="BO390" i="7"/>
  <c r="CG393" i="7"/>
  <c r="DB393" i="7" s="1"/>
  <c r="BZ394" i="7"/>
  <c r="CU394" i="7" s="1"/>
  <c r="CD396" i="7"/>
  <c r="CY396" i="7" s="1"/>
  <c r="CF398" i="7"/>
  <c r="DA398" i="7" s="1"/>
  <c r="CH393" i="7"/>
  <c r="DC393" i="7" s="1"/>
  <c r="BN392" i="7"/>
  <c r="BQ389" i="7"/>
  <c r="H389" i="7" s="1"/>
  <c r="DI390" i="7"/>
  <c r="BP390" i="7" s="1"/>
  <c r="BS397" i="7"/>
  <c r="CN397" i="7" s="1"/>
  <c r="BU408" i="7"/>
  <c r="CP408" i="7" s="1"/>
  <c r="CE401" i="7"/>
  <c r="CZ401" i="7" s="1"/>
  <c r="CJ432" i="7"/>
  <c r="DE432" i="7" s="1"/>
  <c r="AM401" i="7" l="1"/>
  <c r="EN394" i="7"/>
  <c r="EO400" i="7"/>
  <c r="CK399" i="7"/>
  <c r="DF399" i="7" s="1"/>
  <c r="AO393" i="7"/>
  <c r="AN398" i="7"/>
  <c r="CB401" i="7"/>
  <c r="CW401" i="7" s="1"/>
  <c r="F110" i="32"/>
  <c r="G110" i="32" s="1"/>
  <c r="P110" i="32" s="1"/>
  <c r="Q110" i="32" s="1"/>
  <c r="AQ121" i="7"/>
  <c r="BH121" i="7" s="1"/>
  <c r="AR121" i="7"/>
  <c r="BI121" i="7" s="1"/>
  <c r="AP121" i="7"/>
  <c r="BG121" i="7" s="1"/>
  <c r="CL397" i="7"/>
  <c r="DG397" i="7" s="1"/>
  <c r="EM396" i="7"/>
  <c r="DL395" i="7"/>
  <c r="DM395" i="7"/>
  <c r="DP395" i="7"/>
  <c r="EF397" i="7"/>
  <c r="EC397" i="7"/>
  <c r="DZ393" i="7"/>
  <c r="EA393" i="7"/>
  <c r="EB392" i="7"/>
  <c r="DX392" i="7"/>
  <c r="DW392" i="7"/>
  <c r="AL121" i="7"/>
  <c r="E121" i="7" s="1"/>
  <c r="AK121" i="7"/>
  <c r="D121" i="7" s="1"/>
  <c r="AJ121" i="7"/>
  <c r="C121" i="7" s="1"/>
  <c r="BC396" i="7"/>
  <c r="BA396" i="7"/>
  <c r="AY396" i="7"/>
  <c r="AW396" i="7"/>
  <c r="AX396" i="7"/>
  <c r="AV396" i="7"/>
  <c r="AU396" i="7"/>
  <c r="AT396" i="7"/>
  <c r="M397" i="7"/>
  <c r="AZ397" i="7" s="1"/>
  <c r="DV397" i="7"/>
  <c r="DQ395" i="7"/>
  <c r="AZ396" i="7"/>
  <c r="BY430" i="7"/>
  <c r="CT430" i="7" s="1"/>
  <c r="BX430" i="7"/>
  <c r="CS430" i="7" s="1"/>
  <c r="BW432" i="7"/>
  <c r="CR432" i="7" s="1"/>
  <c r="DO395" i="7"/>
  <c r="BE394" i="7"/>
  <c r="DN395" i="7"/>
  <c r="AF395" i="7"/>
  <c r="AI395" i="7" s="1"/>
  <c r="DJ395" i="7"/>
  <c r="AH395" i="7"/>
  <c r="BD394" i="7"/>
  <c r="DK395" i="7"/>
  <c r="DR395" i="7"/>
  <c r="AG395" i="7"/>
  <c r="BF394" i="7"/>
  <c r="CM421" i="7"/>
  <c r="DH421" i="7" s="1"/>
  <c r="CC415" i="7"/>
  <c r="CX415" i="7" s="1"/>
  <c r="G389" i="7"/>
  <c r="BT401" i="7"/>
  <c r="CO401" i="7" s="1"/>
  <c r="CI400" i="7"/>
  <c r="DD400" i="7" s="1"/>
  <c r="DS399" i="7"/>
  <c r="P399" i="7" s="1"/>
  <c r="BV399" i="7"/>
  <c r="CQ399" i="7" s="1"/>
  <c r="BO391" i="7"/>
  <c r="CA393" i="7"/>
  <c r="CV393" i="7" s="1"/>
  <c r="CG394" i="7"/>
  <c r="DB394" i="7" s="1"/>
  <c r="BZ395" i="7"/>
  <c r="CU395" i="7" s="1"/>
  <c r="CD397" i="7"/>
  <c r="CY397" i="7" s="1"/>
  <c r="DI391" i="7"/>
  <c r="BP391" i="7" s="1"/>
  <c r="BQ390" i="7"/>
  <c r="H390" i="7" s="1"/>
  <c r="CH394" i="7"/>
  <c r="DC394" i="7" s="1"/>
  <c r="BN393" i="7"/>
  <c r="CF399" i="7"/>
  <c r="DA399" i="7" s="1"/>
  <c r="BS398" i="7"/>
  <c r="CN398" i="7" s="1"/>
  <c r="BU409" i="7"/>
  <c r="CP409" i="7" s="1"/>
  <c r="CE402" i="7"/>
  <c r="CZ402" i="7" s="1"/>
  <c r="CJ433" i="7"/>
  <c r="DE433" i="7" s="1"/>
  <c r="AO394" i="7" l="1"/>
  <c r="AN399" i="7"/>
  <c r="CK400" i="7"/>
  <c r="DF400" i="7" s="1"/>
  <c r="AM402" i="7"/>
  <c r="EO401" i="7"/>
  <c r="EN395" i="7"/>
  <c r="CB402" i="7"/>
  <c r="CW402" i="7" s="1"/>
  <c r="CL398" i="7"/>
  <c r="DG398" i="7" s="1"/>
  <c r="EM397" i="7"/>
  <c r="EA394" i="7"/>
  <c r="DZ394" i="7"/>
  <c r="EB393" i="7"/>
  <c r="DX393" i="7"/>
  <c r="DW393" i="7"/>
  <c r="EF398" i="7"/>
  <c r="EC398" i="7"/>
  <c r="AW397" i="7"/>
  <c r="BA397" i="7"/>
  <c r="AT397" i="7"/>
  <c r="DO396" i="7"/>
  <c r="BB397" i="7"/>
  <c r="AX397" i="7"/>
  <c r="AY397" i="7"/>
  <c r="AV397" i="7"/>
  <c r="BC397" i="7"/>
  <c r="AU397" i="7"/>
  <c r="M398" i="7"/>
  <c r="AX398" i="7" s="1"/>
  <c r="DV398" i="7"/>
  <c r="BX431" i="7"/>
  <c r="CS431" i="7" s="1"/>
  <c r="BY431" i="7"/>
  <c r="CT431" i="7" s="1"/>
  <c r="BW433" i="7"/>
  <c r="CR433" i="7" s="1"/>
  <c r="BF395" i="7"/>
  <c r="BD395" i="7"/>
  <c r="BE395" i="7"/>
  <c r="AG396" i="7"/>
  <c r="DQ396" i="7"/>
  <c r="DM396" i="7"/>
  <c r="DN396" i="7"/>
  <c r="DK396" i="7"/>
  <c r="AF396" i="7"/>
  <c r="AI396" i="7" s="1"/>
  <c r="DP396" i="7"/>
  <c r="AH396" i="7"/>
  <c r="DL396" i="7"/>
  <c r="DJ396" i="7"/>
  <c r="DR396" i="7"/>
  <c r="CM422" i="7"/>
  <c r="DH422" i="7" s="1"/>
  <c r="CC416" i="7"/>
  <c r="CX416" i="7" s="1"/>
  <c r="G390" i="7"/>
  <c r="BL121" i="7"/>
  <c r="BJ121" i="7"/>
  <c r="F121" i="7"/>
  <c r="BK121" i="7"/>
  <c r="DS400" i="7"/>
  <c r="P400" i="7" s="1"/>
  <c r="CI401" i="7"/>
  <c r="DD401" i="7" s="1"/>
  <c r="BV400" i="7"/>
  <c r="CQ400" i="7" s="1"/>
  <c r="BT402" i="7"/>
  <c r="CO402" i="7" s="1"/>
  <c r="CA394" i="7"/>
  <c r="CV394" i="7" s="1"/>
  <c r="BO392" i="7"/>
  <c r="CG395" i="7"/>
  <c r="DB395" i="7" s="1"/>
  <c r="BZ396" i="7"/>
  <c r="CU396" i="7" s="1"/>
  <c r="CD398" i="7"/>
  <c r="CY398" i="7" s="1"/>
  <c r="CF400" i="7"/>
  <c r="DA400" i="7" s="1"/>
  <c r="BQ391" i="7"/>
  <c r="H391" i="7" s="1"/>
  <c r="DI392" i="7"/>
  <c r="BP392" i="7" s="1"/>
  <c r="BN394" i="7"/>
  <c r="CH395" i="7"/>
  <c r="DC395" i="7" s="1"/>
  <c r="BS399" i="7"/>
  <c r="CN399" i="7" s="1"/>
  <c r="AF397" i="7"/>
  <c r="AI397" i="7" s="1"/>
  <c r="AH397" i="7"/>
  <c r="AG397" i="7"/>
  <c r="BU410" i="7"/>
  <c r="CP410" i="7" s="1"/>
  <c r="CE403" i="7"/>
  <c r="CZ403" i="7" s="1"/>
  <c r="CJ434" i="7"/>
  <c r="DE434" i="7" s="1"/>
  <c r="AM403" i="7" l="1"/>
  <c r="EN396" i="7"/>
  <c r="EO402" i="7"/>
  <c r="DJ397" i="7"/>
  <c r="AN400" i="7"/>
  <c r="AO395" i="7"/>
  <c r="CK401" i="7"/>
  <c r="DF401" i="7" s="1"/>
  <c r="CB403" i="7"/>
  <c r="CW403" i="7" s="1"/>
  <c r="CL399" i="7"/>
  <c r="DG399" i="7" s="1"/>
  <c r="EM398" i="7"/>
  <c r="DZ395" i="7"/>
  <c r="EA395" i="7"/>
  <c r="EB394" i="7"/>
  <c r="DW394" i="7"/>
  <c r="DX394" i="7"/>
  <c r="EF399" i="7"/>
  <c r="EC399" i="7"/>
  <c r="AU398" i="7"/>
  <c r="BB398" i="7"/>
  <c r="DO397" i="7"/>
  <c r="BA398" i="7"/>
  <c r="AW398" i="7"/>
  <c r="AT398" i="7"/>
  <c r="AV398" i="7"/>
  <c r="AZ398" i="7"/>
  <c r="M399" i="7"/>
  <c r="AZ399" i="7" s="1"/>
  <c r="DV399" i="7"/>
  <c r="AY398" i="7"/>
  <c r="BC398" i="7"/>
  <c r="BY432" i="7"/>
  <c r="CT432" i="7" s="1"/>
  <c r="BX432" i="7"/>
  <c r="CS432" i="7" s="1"/>
  <c r="BW434" i="7"/>
  <c r="CR434" i="7" s="1"/>
  <c r="DM397" i="7"/>
  <c r="DP397" i="7"/>
  <c r="BE396" i="7"/>
  <c r="DQ397" i="7"/>
  <c r="DL397" i="7"/>
  <c r="BD396" i="7"/>
  <c r="DK397" i="7"/>
  <c r="DN397" i="7"/>
  <c r="DR397" i="7"/>
  <c r="BF396" i="7"/>
  <c r="CM423" i="7"/>
  <c r="DH423" i="7" s="1"/>
  <c r="CC417" i="7"/>
  <c r="CX417" i="7" s="1"/>
  <c r="G391" i="7"/>
  <c r="BM121" i="7"/>
  <c r="BT403" i="7"/>
  <c r="CO403" i="7" s="1"/>
  <c r="DS401" i="7"/>
  <c r="P401" i="7" s="1"/>
  <c r="CI402" i="7"/>
  <c r="DD402" i="7" s="1"/>
  <c r="BV401" i="7"/>
  <c r="CQ401" i="7" s="1"/>
  <c r="BO393" i="7"/>
  <c r="CA395" i="7"/>
  <c r="CV395" i="7" s="1"/>
  <c r="CG396" i="7"/>
  <c r="DB396" i="7" s="1"/>
  <c r="BZ397" i="7"/>
  <c r="CU397" i="7" s="1"/>
  <c r="CD399" i="7"/>
  <c r="CY399" i="7" s="1"/>
  <c r="BQ392" i="7"/>
  <c r="H392" i="7" s="1"/>
  <c r="DI393" i="7"/>
  <c r="BP393" i="7" s="1"/>
  <c r="CF401" i="7"/>
  <c r="DA401" i="7" s="1"/>
  <c r="BN395" i="7"/>
  <c r="CH396" i="7"/>
  <c r="DC396" i="7" s="1"/>
  <c r="AF398" i="7"/>
  <c r="AI398" i="7" s="1"/>
  <c r="AH398" i="7"/>
  <c r="BS400" i="7"/>
  <c r="CN400" i="7" s="1"/>
  <c r="BU411" i="7"/>
  <c r="CP411" i="7" s="1"/>
  <c r="CE404" i="7"/>
  <c r="CZ404" i="7" s="1"/>
  <c r="CJ435" i="7"/>
  <c r="DE435" i="7" s="1"/>
  <c r="EN397" i="7" l="1"/>
  <c r="AN401" i="7"/>
  <c r="CK402" i="7"/>
  <c r="DF402" i="7" s="1"/>
  <c r="AM404" i="7"/>
  <c r="AO396" i="7"/>
  <c r="EO403" i="7"/>
  <c r="CB404" i="7"/>
  <c r="CW404" i="7" s="1"/>
  <c r="CL400" i="7"/>
  <c r="DG400" i="7" s="1"/>
  <c r="EM399" i="7"/>
  <c r="EF400" i="7"/>
  <c r="EC400" i="7"/>
  <c r="EA396" i="7"/>
  <c r="DZ396" i="7"/>
  <c r="EB395" i="7"/>
  <c r="DX395" i="7"/>
  <c r="DW395" i="7"/>
  <c r="AV399" i="7"/>
  <c r="N122" i="7"/>
  <c r="D111" i="32"/>
  <c r="AT399" i="7"/>
  <c r="AX399" i="7"/>
  <c r="AW399" i="7"/>
  <c r="BA399" i="7"/>
  <c r="BC399" i="7"/>
  <c r="AU399" i="7"/>
  <c r="AY399" i="7"/>
  <c r="BB399" i="7"/>
  <c r="M400" i="7"/>
  <c r="AX400" i="7" s="1"/>
  <c r="DV400" i="7"/>
  <c r="BX433" i="7"/>
  <c r="CS433" i="7" s="1"/>
  <c r="BY433" i="7"/>
  <c r="CT433" i="7" s="1"/>
  <c r="BW435" i="7"/>
  <c r="CR435" i="7" s="1"/>
  <c r="DL398" i="7"/>
  <c r="DR398" i="7"/>
  <c r="DK398" i="7"/>
  <c r="BF397" i="7"/>
  <c r="BD397" i="7"/>
  <c r="BE397" i="7"/>
  <c r="DM398" i="7"/>
  <c r="DJ398" i="7"/>
  <c r="AG398" i="7"/>
  <c r="DO398" i="7"/>
  <c r="DQ398" i="7"/>
  <c r="DP398" i="7"/>
  <c r="DN398" i="7"/>
  <c r="CM424" i="7"/>
  <c r="DH424" i="7" s="1"/>
  <c r="CC418" i="7"/>
  <c r="CX418" i="7" s="1"/>
  <c r="G392" i="7"/>
  <c r="B121" i="7"/>
  <c r="CI403" i="7"/>
  <c r="DD403" i="7" s="1"/>
  <c r="DS402" i="7"/>
  <c r="P402" i="7" s="1"/>
  <c r="BV402" i="7"/>
  <c r="CQ402" i="7" s="1"/>
  <c r="BT404" i="7"/>
  <c r="CO404" i="7" s="1"/>
  <c r="CA396" i="7"/>
  <c r="CV396" i="7" s="1"/>
  <c r="BO394" i="7"/>
  <c r="CG397" i="7"/>
  <c r="DB397" i="7" s="1"/>
  <c r="BZ398" i="7"/>
  <c r="CU398" i="7" s="1"/>
  <c r="CD400" i="7"/>
  <c r="CY400" i="7" s="1"/>
  <c r="CF402" i="7"/>
  <c r="DA402" i="7" s="1"/>
  <c r="DI394" i="7"/>
  <c r="BP394" i="7" s="1"/>
  <c r="BQ393" i="7"/>
  <c r="H393" i="7" s="1"/>
  <c r="BN396" i="7"/>
  <c r="CH397" i="7"/>
  <c r="DC397" i="7" s="1"/>
  <c r="BS401" i="7"/>
  <c r="CN401" i="7" s="1"/>
  <c r="BU412" i="7"/>
  <c r="CP412" i="7" s="1"/>
  <c r="CE405" i="7"/>
  <c r="CZ405" i="7" s="1"/>
  <c r="CJ436" i="7"/>
  <c r="DE436" i="7" s="1"/>
  <c r="AM405" i="7" l="1"/>
  <c r="EN398" i="7"/>
  <c r="EO404" i="7"/>
  <c r="AO397" i="7"/>
  <c r="AN402" i="7"/>
  <c r="CK403" i="7"/>
  <c r="DF403" i="7" s="1"/>
  <c r="CB405" i="7"/>
  <c r="CW405" i="7" s="1"/>
  <c r="F111" i="32"/>
  <c r="G111" i="32" s="1"/>
  <c r="P111" i="32" s="1"/>
  <c r="Q111" i="32" s="1"/>
  <c r="AR122" i="7"/>
  <c r="BI122" i="7" s="1"/>
  <c r="AP122" i="7"/>
  <c r="BG122" i="7" s="1"/>
  <c r="AQ122" i="7"/>
  <c r="BH122" i="7" s="1"/>
  <c r="CL401" i="7"/>
  <c r="DG401" i="7" s="1"/>
  <c r="EM400" i="7"/>
  <c r="DZ397" i="7"/>
  <c r="EA397" i="7"/>
  <c r="DW396" i="7"/>
  <c r="DX396" i="7"/>
  <c r="EB396" i="7"/>
  <c r="EF401" i="7"/>
  <c r="EC401" i="7"/>
  <c r="AV400" i="7"/>
  <c r="AJ122" i="7"/>
  <c r="C122" i="7" s="1"/>
  <c r="BB400" i="7"/>
  <c r="AK122" i="7"/>
  <c r="D122" i="7" s="1"/>
  <c r="AL122" i="7"/>
  <c r="E122" i="7" s="1"/>
  <c r="AZ400" i="7"/>
  <c r="AT400" i="7"/>
  <c r="BC400" i="7"/>
  <c r="AW400" i="7"/>
  <c r="BA400" i="7"/>
  <c r="M401" i="7"/>
  <c r="BB401" i="7" s="1"/>
  <c r="DV401" i="7"/>
  <c r="AU400" i="7"/>
  <c r="AY400" i="7"/>
  <c r="BY434" i="7"/>
  <c r="CT434" i="7" s="1"/>
  <c r="BX434" i="7"/>
  <c r="CS434" i="7" s="1"/>
  <c r="BW436" i="7"/>
  <c r="CR436" i="7" s="1"/>
  <c r="DO399" i="7"/>
  <c r="BF398" i="7"/>
  <c r="BE398" i="7"/>
  <c r="DM399" i="7"/>
  <c r="AF399" i="7"/>
  <c r="AI399" i="7" s="1"/>
  <c r="DL399" i="7"/>
  <c r="BD398" i="7"/>
  <c r="AG399" i="7"/>
  <c r="DJ399" i="7"/>
  <c r="AH399" i="7"/>
  <c r="DK399" i="7"/>
  <c r="DP399" i="7"/>
  <c r="DN399" i="7"/>
  <c r="DR399" i="7"/>
  <c r="DQ399" i="7"/>
  <c r="CM425" i="7"/>
  <c r="DH425" i="7" s="1"/>
  <c r="CC419" i="7"/>
  <c r="CX419" i="7" s="1"/>
  <c r="G393" i="7"/>
  <c r="BV403" i="7"/>
  <c r="CQ403" i="7" s="1"/>
  <c r="BT405" i="7"/>
  <c r="CO405" i="7" s="1"/>
  <c r="CI404" i="7"/>
  <c r="DD404" i="7" s="1"/>
  <c r="DS403" i="7"/>
  <c r="P403" i="7" s="1"/>
  <c r="CA397" i="7"/>
  <c r="CV397" i="7" s="1"/>
  <c r="BO395" i="7"/>
  <c r="CG398" i="7"/>
  <c r="DB398" i="7" s="1"/>
  <c r="BZ399" i="7"/>
  <c r="CU399" i="7" s="1"/>
  <c r="CD401" i="7"/>
  <c r="CY401" i="7" s="1"/>
  <c r="CF403" i="7"/>
  <c r="DA403" i="7" s="1"/>
  <c r="BN397" i="7"/>
  <c r="CH398" i="7"/>
  <c r="DC398" i="7" s="1"/>
  <c r="DI395" i="7"/>
  <c r="BP395" i="7" s="1"/>
  <c r="BQ394" i="7"/>
  <c r="H394" i="7" s="1"/>
  <c r="AH400" i="7"/>
  <c r="AF400" i="7"/>
  <c r="AI400" i="7" s="1"/>
  <c r="AG400" i="7"/>
  <c r="BS402" i="7"/>
  <c r="CN402" i="7" s="1"/>
  <c r="BU413" i="7"/>
  <c r="CP413" i="7" s="1"/>
  <c r="CE406" i="7"/>
  <c r="CZ406" i="7" s="1"/>
  <c r="CJ437" i="7"/>
  <c r="DE437" i="7" s="1"/>
  <c r="AM406" i="7" l="1"/>
  <c r="AO398" i="7"/>
  <c r="AN403" i="7"/>
  <c r="EO405" i="7"/>
  <c r="CK404" i="7"/>
  <c r="DF404" i="7" s="1"/>
  <c r="EN399" i="7"/>
  <c r="CB406" i="7"/>
  <c r="CW406" i="7" s="1"/>
  <c r="DQ400" i="7"/>
  <c r="DQ401" i="7" s="1"/>
  <c r="DO400" i="7"/>
  <c r="CL402" i="7"/>
  <c r="DG402" i="7" s="1"/>
  <c r="EM401" i="7"/>
  <c r="EA398" i="7"/>
  <c r="DZ398" i="7"/>
  <c r="EF402" i="7"/>
  <c r="EC402" i="7"/>
  <c r="EB397" i="7"/>
  <c r="DX397" i="7"/>
  <c r="DW397" i="7"/>
  <c r="BA401" i="7"/>
  <c r="AZ401" i="7"/>
  <c r="BC401" i="7"/>
  <c r="AX401" i="7"/>
  <c r="AU401" i="7"/>
  <c r="AY401" i="7"/>
  <c r="AW401" i="7"/>
  <c r="AV401" i="7"/>
  <c r="M402" i="7"/>
  <c r="AX402" i="7" s="1"/>
  <c r="DV402" i="7"/>
  <c r="AT401" i="7"/>
  <c r="BX435" i="7"/>
  <c r="CS435" i="7" s="1"/>
  <c r="BY435" i="7"/>
  <c r="CT435" i="7" s="1"/>
  <c r="BW437" i="7"/>
  <c r="CR437" i="7" s="1"/>
  <c r="DK400" i="7"/>
  <c r="DN400" i="7"/>
  <c r="DM400" i="7"/>
  <c r="BF399" i="7"/>
  <c r="BE399" i="7"/>
  <c r="DR400" i="7"/>
  <c r="DP400" i="7"/>
  <c r="DJ400" i="7"/>
  <c r="DL400" i="7"/>
  <c r="BD399" i="7"/>
  <c r="CM426" i="7"/>
  <c r="DH426" i="7" s="1"/>
  <c r="CC420" i="7"/>
  <c r="CX420" i="7" s="1"/>
  <c r="G394" i="7"/>
  <c r="BJ122" i="7"/>
  <c r="F122" i="7"/>
  <c r="BK122" i="7"/>
  <c r="BL122" i="7"/>
  <c r="BT406" i="7"/>
  <c r="CO406" i="7" s="1"/>
  <c r="BV404" i="7"/>
  <c r="CQ404" i="7" s="1"/>
  <c r="CI405" i="7"/>
  <c r="DD405" i="7" s="1"/>
  <c r="DS404" i="7"/>
  <c r="P404" i="7" s="1"/>
  <c r="BO396" i="7"/>
  <c r="CA398" i="7"/>
  <c r="CV398" i="7" s="1"/>
  <c r="CG399" i="7"/>
  <c r="DB399" i="7" s="1"/>
  <c r="BZ400" i="7"/>
  <c r="CU400" i="7" s="1"/>
  <c r="CD402" i="7"/>
  <c r="CY402" i="7" s="1"/>
  <c r="DI396" i="7"/>
  <c r="BP396" i="7" s="1"/>
  <c r="BQ395" i="7"/>
  <c r="H395" i="7" s="1"/>
  <c r="CF404" i="7"/>
  <c r="DA404" i="7" s="1"/>
  <c r="BN398" i="7"/>
  <c r="CH399" i="7"/>
  <c r="DC399" i="7" s="1"/>
  <c r="BS403" i="7"/>
  <c r="CN403" i="7" s="1"/>
  <c r="AF401" i="7"/>
  <c r="AI401" i="7" s="1"/>
  <c r="AH401" i="7"/>
  <c r="AG401" i="7"/>
  <c r="BU414" i="7"/>
  <c r="CP414" i="7" s="1"/>
  <c r="CE407" i="7"/>
  <c r="CZ407" i="7" s="1"/>
  <c r="CJ438" i="7"/>
  <c r="DE438" i="7" s="1"/>
  <c r="AM407" i="7" l="1"/>
  <c r="AO399" i="7"/>
  <c r="EO406" i="7"/>
  <c r="AN404" i="7"/>
  <c r="EN400" i="7"/>
  <c r="CK405" i="7"/>
  <c r="DF405" i="7" s="1"/>
  <c r="CB407" i="7"/>
  <c r="CW407" i="7" s="1"/>
  <c r="DO401" i="7"/>
  <c r="CL403" i="7"/>
  <c r="DG403" i="7" s="1"/>
  <c r="EM402" i="7"/>
  <c r="DK401" i="7"/>
  <c r="DM401" i="7"/>
  <c r="DZ399" i="7"/>
  <c r="EA399" i="7"/>
  <c r="EB398" i="7"/>
  <c r="DX398" i="7"/>
  <c r="DW398" i="7"/>
  <c r="EF403" i="7"/>
  <c r="EC403" i="7"/>
  <c r="DR401" i="7"/>
  <c r="AT402" i="7"/>
  <c r="AY402" i="7"/>
  <c r="BC402" i="7"/>
  <c r="AU402" i="7"/>
  <c r="BA402" i="7"/>
  <c r="AW402" i="7"/>
  <c r="BB402" i="7"/>
  <c r="AV402" i="7"/>
  <c r="AZ402" i="7"/>
  <c r="M403" i="7"/>
  <c r="BC403" i="7" s="1"/>
  <c r="DV403" i="7"/>
  <c r="BY436" i="7"/>
  <c r="CT436" i="7" s="1"/>
  <c r="BX436" i="7"/>
  <c r="CS436" i="7" s="1"/>
  <c r="BW438" i="7"/>
  <c r="CR438" i="7" s="1"/>
  <c r="BF400" i="7"/>
  <c r="BD400" i="7"/>
  <c r="DJ401" i="7"/>
  <c r="DN401" i="7"/>
  <c r="DL401" i="7"/>
  <c r="DP401" i="7"/>
  <c r="BE400" i="7"/>
  <c r="CM427" i="7"/>
  <c r="DH427" i="7" s="1"/>
  <c r="CC421" i="7"/>
  <c r="CX421" i="7" s="1"/>
  <c r="G395" i="7"/>
  <c r="BM122" i="7"/>
  <c r="BV405" i="7"/>
  <c r="CQ405" i="7" s="1"/>
  <c r="DS405" i="7"/>
  <c r="P405" i="7" s="1"/>
  <c r="CI406" i="7"/>
  <c r="DD406" i="7" s="1"/>
  <c r="BT407" i="7"/>
  <c r="CO407" i="7" s="1"/>
  <c r="CA399" i="7"/>
  <c r="CV399" i="7" s="1"/>
  <c r="BO397" i="7"/>
  <c r="CG400" i="7"/>
  <c r="DB400" i="7" s="1"/>
  <c r="BZ401" i="7"/>
  <c r="CU401" i="7" s="1"/>
  <c r="CD403" i="7"/>
  <c r="CY403" i="7" s="1"/>
  <c r="BN399" i="7"/>
  <c r="CH400" i="7"/>
  <c r="DC400" i="7" s="1"/>
  <c r="CF405" i="7"/>
  <c r="DA405" i="7" s="1"/>
  <c r="DI397" i="7"/>
  <c r="BP397" i="7" s="1"/>
  <c r="BQ396" i="7"/>
  <c r="H396" i="7" s="1"/>
  <c r="BS404" i="7"/>
  <c r="CN404" i="7" s="1"/>
  <c r="BU415" i="7"/>
  <c r="CP415" i="7" s="1"/>
  <c r="CE408" i="7"/>
  <c r="CZ408" i="7" s="1"/>
  <c r="CJ439" i="7"/>
  <c r="DE439" i="7" s="1"/>
  <c r="AM408" i="7" l="1"/>
  <c r="EN401" i="7"/>
  <c r="AO400" i="7"/>
  <c r="AN405" i="7"/>
  <c r="EO407" i="7"/>
  <c r="CK406" i="7"/>
  <c r="DF406" i="7" s="1"/>
  <c r="CB408" i="7"/>
  <c r="CW408" i="7" s="1"/>
  <c r="CL404" i="7"/>
  <c r="DG404" i="7" s="1"/>
  <c r="EM403" i="7"/>
  <c r="DO402" i="7"/>
  <c r="DZ400" i="7"/>
  <c r="EA400" i="7"/>
  <c r="EB399" i="7"/>
  <c r="DX399" i="7"/>
  <c r="DW399" i="7"/>
  <c r="EC404" i="7"/>
  <c r="EF404" i="7"/>
  <c r="N123" i="7"/>
  <c r="D112" i="32"/>
  <c r="AY403" i="7"/>
  <c r="AT403" i="7"/>
  <c r="AV403" i="7"/>
  <c r="BB403" i="7"/>
  <c r="BA403" i="7"/>
  <c r="AZ403" i="7"/>
  <c r="AW403" i="7"/>
  <c r="AX403" i="7"/>
  <c r="M404" i="7"/>
  <c r="AX404" i="7" s="1"/>
  <c r="DV404" i="7"/>
  <c r="AU403" i="7"/>
  <c r="BX437" i="7"/>
  <c r="CS437" i="7" s="1"/>
  <c r="BY437" i="7"/>
  <c r="CT437" i="7" s="1"/>
  <c r="BW439" i="7"/>
  <c r="CR439" i="7" s="1"/>
  <c r="BE401" i="7"/>
  <c r="DL402" i="7"/>
  <c r="AG402" i="7"/>
  <c r="AF402" i="7"/>
  <c r="AI402" i="7" s="1"/>
  <c r="DN402" i="7"/>
  <c r="BD401" i="7"/>
  <c r="DQ402" i="7"/>
  <c r="DM402" i="7"/>
  <c r="DJ402" i="7"/>
  <c r="BF401" i="7"/>
  <c r="DK402" i="7"/>
  <c r="AH402" i="7"/>
  <c r="DR402" i="7"/>
  <c r="DR403" i="7" s="1"/>
  <c r="DP402" i="7"/>
  <c r="CM428" i="7"/>
  <c r="DH428" i="7" s="1"/>
  <c r="CC422" i="7"/>
  <c r="CX422" i="7" s="1"/>
  <c r="G396" i="7"/>
  <c r="B122" i="7"/>
  <c r="BT408" i="7"/>
  <c r="CO408" i="7" s="1"/>
  <c r="BV406" i="7"/>
  <c r="CQ406" i="7" s="1"/>
  <c r="CI407" i="7"/>
  <c r="DD407" i="7" s="1"/>
  <c r="DS406" i="7"/>
  <c r="P406" i="7" s="1"/>
  <c r="CA400" i="7"/>
  <c r="CV400" i="7" s="1"/>
  <c r="BO398" i="7"/>
  <c r="CG401" i="7"/>
  <c r="DB401" i="7" s="1"/>
  <c r="BZ402" i="7"/>
  <c r="CU402" i="7" s="1"/>
  <c r="CD404" i="7"/>
  <c r="CY404" i="7" s="1"/>
  <c r="BQ397" i="7"/>
  <c r="H397" i="7" s="1"/>
  <c r="DI398" i="7"/>
  <c r="BP398" i="7" s="1"/>
  <c r="BN400" i="7"/>
  <c r="CH401" i="7"/>
  <c r="DC401" i="7" s="1"/>
  <c r="CF406" i="7"/>
  <c r="DA406" i="7" s="1"/>
  <c r="BS405" i="7"/>
  <c r="CN405" i="7" s="1"/>
  <c r="AH403" i="7"/>
  <c r="AF403" i="7"/>
  <c r="AI403" i="7" s="1"/>
  <c r="BU416" i="7"/>
  <c r="CP416" i="7" s="1"/>
  <c r="CE409" i="7"/>
  <c r="CZ409" i="7" s="1"/>
  <c r="CJ440" i="7"/>
  <c r="DE440" i="7" s="1"/>
  <c r="AM409" i="7" l="1"/>
  <c r="AN406" i="7"/>
  <c r="CK407" i="7"/>
  <c r="DF407" i="7" s="1"/>
  <c r="EO408" i="7"/>
  <c r="AO401" i="7"/>
  <c r="EN402" i="7"/>
  <c r="CB409" i="7"/>
  <c r="CW409" i="7" s="1"/>
  <c r="F112" i="32"/>
  <c r="G112" i="32" s="1"/>
  <c r="P112" i="32" s="1"/>
  <c r="Q112" i="32" s="1"/>
  <c r="AP123" i="7"/>
  <c r="BG123" i="7" s="1"/>
  <c r="AQ123" i="7"/>
  <c r="BH123" i="7" s="1"/>
  <c r="AR123" i="7"/>
  <c r="BI123" i="7" s="1"/>
  <c r="CL405" i="7"/>
  <c r="DG405" i="7" s="1"/>
  <c r="EM404" i="7"/>
  <c r="DN403" i="7"/>
  <c r="AT404" i="7"/>
  <c r="DP403" i="7"/>
  <c r="AK123" i="7"/>
  <c r="D123" i="7" s="1"/>
  <c r="EF405" i="7"/>
  <c r="EC405" i="7"/>
  <c r="DZ401" i="7"/>
  <c r="EA401" i="7"/>
  <c r="EB400" i="7"/>
  <c r="DW400" i="7"/>
  <c r="DX400" i="7"/>
  <c r="AJ123" i="7"/>
  <c r="C123" i="7" s="1"/>
  <c r="AL123" i="7"/>
  <c r="E123" i="7" s="1"/>
  <c r="BC404" i="7"/>
  <c r="AZ404" i="7"/>
  <c r="BA404" i="7"/>
  <c r="AY404" i="7"/>
  <c r="DJ403" i="7"/>
  <c r="AV404" i="7"/>
  <c r="BB404" i="7"/>
  <c r="AW404" i="7"/>
  <c r="AU404" i="7"/>
  <c r="M405" i="7"/>
  <c r="AZ405" i="7" s="1"/>
  <c r="DV405" i="7"/>
  <c r="BY438" i="7"/>
  <c r="CT438" i="7" s="1"/>
  <c r="BX438" i="7"/>
  <c r="CS438" i="7" s="1"/>
  <c r="BW440" i="7"/>
  <c r="CR440" i="7" s="1"/>
  <c r="DL403" i="7"/>
  <c r="DQ403" i="7"/>
  <c r="DK403" i="7"/>
  <c r="AG403" i="7"/>
  <c r="BE402" i="7"/>
  <c r="DO403" i="7"/>
  <c r="BD402" i="7"/>
  <c r="DM403" i="7"/>
  <c r="BF402" i="7"/>
  <c r="CM429" i="7"/>
  <c r="DH429" i="7" s="1"/>
  <c r="CC423" i="7"/>
  <c r="CX423" i="7" s="1"/>
  <c r="G397" i="7"/>
  <c r="BV407" i="7"/>
  <c r="CQ407" i="7" s="1"/>
  <c r="BT409" i="7"/>
  <c r="CO409" i="7" s="1"/>
  <c r="DS407" i="7"/>
  <c r="P407" i="7" s="1"/>
  <c r="CI408" i="7"/>
  <c r="DD408" i="7" s="1"/>
  <c r="BO399" i="7"/>
  <c r="CA401" i="7"/>
  <c r="CV401" i="7" s="1"/>
  <c r="CG402" i="7"/>
  <c r="DB402" i="7" s="1"/>
  <c r="BZ403" i="7"/>
  <c r="CU403" i="7" s="1"/>
  <c r="CD405" i="7"/>
  <c r="CY405" i="7" s="1"/>
  <c r="CH402" i="7"/>
  <c r="DC402" i="7" s="1"/>
  <c r="BN401" i="7"/>
  <c r="CF407" i="7"/>
  <c r="DA407" i="7" s="1"/>
  <c r="DI399" i="7"/>
  <c r="BP399" i="7" s="1"/>
  <c r="BQ398" i="7"/>
  <c r="H398" i="7" s="1"/>
  <c r="BD403" i="7"/>
  <c r="BE403" i="7"/>
  <c r="BF403" i="7"/>
  <c r="BS406" i="7"/>
  <c r="CN406" i="7" s="1"/>
  <c r="BU417" i="7"/>
  <c r="CP417" i="7" s="1"/>
  <c r="CE410" i="7"/>
  <c r="CZ410" i="7" s="1"/>
  <c r="CJ441" i="7"/>
  <c r="DE441" i="7" s="1"/>
  <c r="EO409" i="7" l="1"/>
  <c r="AM410" i="7"/>
  <c r="AN407" i="7"/>
  <c r="EN403" i="7"/>
  <c r="AO402" i="7"/>
  <c r="CK408" i="7"/>
  <c r="DF408" i="7" s="1"/>
  <c r="CB410" i="7"/>
  <c r="CW410" i="7" s="1"/>
  <c r="CL406" i="7"/>
  <c r="DG406" i="7" s="1"/>
  <c r="EM405" i="7"/>
  <c r="DK404" i="7"/>
  <c r="EA402" i="7"/>
  <c r="DZ402" i="7"/>
  <c r="EF406" i="7"/>
  <c r="EC406" i="7"/>
  <c r="DX401" i="7"/>
  <c r="EB401" i="7"/>
  <c r="DW401" i="7"/>
  <c r="AY405" i="7"/>
  <c r="AT405" i="7"/>
  <c r="BC405" i="7"/>
  <c r="AW405" i="7"/>
  <c r="AV405" i="7"/>
  <c r="BA405" i="7"/>
  <c r="BB405" i="7"/>
  <c r="M406" i="7"/>
  <c r="AU406" i="7" s="1"/>
  <c r="DV406" i="7"/>
  <c r="AX405" i="7"/>
  <c r="AU405" i="7"/>
  <c r="BX439" i="7"/>
  <c r="CS439" i="7" s="1"/>
  <c r="BY439" i="7"/>
  <c r="CT439" i="7" s="1"/>
  <c r="BW441" i="7"/>
  <c r="CR441" i="7" s="1"/>
  <c r="DR404" i="7"/>
  <c r="AF404" i="7"/>
  <c r="AI404" i="7" s="1"/>
  <c r="DN404" i="7"/>
  <c r="AG404" i="7"/>
  <c r="DJ404" i="7"/>
  <c r="DL404" i="7"/>
  <c r="DO404" i="7"/>
  <c r="AH404" i="7"/>
  <c r="DP404" i="7"/>
  <c r="DQ404" i="7"/>
  <c r="DM404" i="7"/>
  <c r="CM430" i="7"/>
  <c r="DH430" i="7" s="1"/>
  <c r="CC424" i="7"/>
  <c r="CX424" i="7" s="1"/>
  <c r="G398" i="7"/>
  <c r="BK123" i="7"/>
  <c r="BJ123" i="7"/>
  <c r="F123" i="7"/>
  <c r="BL123" i="7"/>
  <c r="BT410" i="7"/>
  <c r="CO410" i="7" s="1"/>
  <c r="DS408" i="7"/>
  <c r="P408" i="7" s="1"/>
  <c r="CI409" i="7"/>
  <c r="DD409" i="7" s="1"/>
  <c r="BV408" i="7"/>
  <c r="CQ408" i="7" s="1"/>
  <c r="BO400" i="7"/>
  <c r="CA402" i="7"/>
  <c r="CV402" i="7" s="1"/>
  <c r="CG403" i="7"/>
  <c r="DB403" i="7" s="1"/>
  <c r="BZ404" i="7"/>
  <c r="CU404" i="7" s="1"/>
  <c r="CD406" i="7"/>
  <c r="CY406" i="7" s="1"/>
  <c r="DI400" i="7"/>
  <c r="BP400" i="7" s="1"/>
  <c r="BQ399" i="7"/>
  <c r="H399" i="7" s="1"/>
  <c r="BN402" i="7"/>
  <c r="CH403" i="7"/>
  <c r="DC403" i="7" s="1"/>
  <c r="CF408" i="7"/>
  <c r="DA408" i="7" s="1"/>
  <c r="AH405" i="7"/>
  <c r="AF405" i="7"/>
  <c r="AI405" i="7" s="1"/>
  <c r="BS407" i="7"/>
  <c r="CN407" i="7" s="1"/>
  <c r="BU418" i="7"/>
  <c r="CP418" i="7" s="1"/>
  <c r="CE411" i="7"/>
  <c r="CZ411" i="7" s="1"/>
  <c r="CJ442" i="7"/>
  <c r="DE442" i="7" s="1"/>
  <c r="EO410" i="7" l="1"/>
  <c r="EN404" i="7"/>
  <c r="CK409" i="7"/>
  <c r="DF409" i="7" s="1"/>
  <c r="AM411" i="7"/>
  <c r="AO403" i="7"/>
  <c r="AN408" i="7"/>
  <c r="CB411" i="7"/>
  <c r="CW411" i="7" s="1"/>
  <c r="CL407" i="7"/>
  <c r="DG407" i="7" s="1"/>
  <c r="EM406" i="7"/>
  <c r="DP405" i="7"/>
  <c r="EF407" i="7"/>
  <c r="EC407" i="7"/>
  <c r="DW402" i="7"/>
  <c r="EB402" i="7"/>
  <c r="DX402" i="7"/>
  <c r="DZ403" i="7"/>
  <c r="EA403" i="7"/>
  <c r="DL405" i="7"/>
  <c r="AT406" i="7"/>
  <c r="AY406" i="7"/>
  <c r="AW406" i="7"/>
  <c r="AV406" i="7"/>
  <c r="BC406" i="7"/>
  <c r="AZ406" i="7"/>
  <c r="BB406" i="7"/>
  <c r="AX406" i="7"/>
  <c r="M407" i="7"/>
  <c r="BA407" i="7" s="1"/>
  <c r="DV407" i="7"/>
  <c r="BA406" i="7"/>
  <c r="BY440" i="7"/>
  <c r="CT440" i="7" s="1"/>
  <c r="BX440" i="7"/>
  <c r="CS440" i="7" s="1"/>
  <c r="BW442" i="7"/>
  <c r="CR442" i="7" s="1"/>
  <c r="DO405" i="7"/>
  <c r="DR405" i="7"/>
  <c r="BD404" i="7"/>
  <c r="AG405" i="7"/>
  <c r="DK405" i="7"/>
  <c r="BF404" i="7"/>
  <c r="DN405" i="7"/>
  <c r="DJ405" i="7"/>
  <c r="BE404" i="7"/>
  <c r="DQ405" i="7"/>
  <c r="DM405" i="7"/>
  <c r="CM431" i="7"/>
  <c r="DH431" i="7" s="1"/>
  <c r="CC425" i="7"/>
  <c r="CX425" i="7" s="1"/>
  <c r="G399" i="7"/>
  <c r="BM123" i="7"/>
  <c r="DS409" i="7"/>
  <c r="P409" i="7" s="1"/>
  <c r="CI410" i="7"/>
  <c r="DD410" i="7" s="1"/>
  <c r="BV409" i="7"/>
  <c r="CQ409" i="7" s="1"/>
  <c r="BT411" i="7"/>
  <c r="CO411" i="7" s="1"/>
  <c r="CA403" i="7"/>
  <c r="CV403" i="7" s="1"/>
  <c r="BO401" i="7"/>
  <c r="CG404" i="7"/>
  <c r="DB404" i="7" s="1"/>
  <c r="BZ405" i="7"/>
  <c r="CU405" i="7" s="1"/>
  <c r="CD407" i="7"/>
  <c r="CY407" i="7" s="1"/>
  <c r="BN403" i="7"/>
  <c r="CH404" i="7"/>
  <c r="DC404" i="7" s="1"/>
  <c r="CF409" i="7"/>
  <c r="DA409" i="7" s="1"/>
  <c r="BQ400" i="7"/>
  <c r="H400" i="7" s="1"/>
  <c r="DI401" i="7"/>
  <c r="BP401" i="7" s="1"/>
  <c r="AF406" i="7"/>
  <c r="AI406" i="7" s="1"/>
  <c r="AH406" i="7"/>
  <c r="BS408" i="7"/>
  <c r="CN408" i="7" s="1"/>
  <c r="BU419" i="7"/>
  <c r="CP419" i="7" s="1"/>
  <c r="CE412" i="7"/>
  <c r="CZ412" i="7" s="1"/>
  <c r="CJ443" i="7"/>
  <c r="DE443" i="7" s="1"/>
  <c r="AO404" i="7" l="1"/>
  <c r="AM412" i="7"/>
  <c r="AN409" i="7"/>
  <c r="EN405" i="7"/>
  <c r="EO411" i="7"/>
  <c r="CK410" i="7"/>
  <c r="DF410" i="7" s="1"/>
  <c r="CB412" i="7"/>
  <c r="CW412" i="7" s="1"/>
  <c r="CL408" i="7"/>
  <c r="DG408" i="7" s="1"/>
  <c r="EM407" i="7"/>
  <c r="DN406" i="7"/>
  <c r="DL406" i="7"/>
  <c r="DZ404" i="7"/>
  <c r="EA404" i="7"/>
  <c r="EB403" i="7"/>
  <c r="DX403" i="7"/>
  <c r="DW403" i="7"/>
  <c r="EC408" i="7"/>
  <c r="EF408" i="7"/>
  <c r="N124" i="7"/>
  <c r="D113" i="32"/>
  <c r="DM406" i="7"/>
  <c r="AY407" i="7"/>
  <c r="AW407" i="7"/>
  <c r="DL407" i="7" s="1"/>
  <c r="BC407" i="7"/>
  <c r="AX407" i="7"/>
  <c r="AT407" i="7"/>
  <c r="AU407" i="7"/>
  <c r="BB407" i="7"/>
  <c r="AZ407" i="7"/>
  <c r="M408" i="7"/>
  <c r="AT408" i="7" s="1"/>
  <c r="DV408" i="7"/>
  <c r="AV407" i="7"/>
  <c r="BX441" i="7"/>
  <c r="CS441" i="7" s="1"/>
  <c r="BY441" i="7"/>
  <c r="CT441" i="7" s="1"/>
  <c r="BW443" i="7"/>
  <c r="CR443" i="7" s="1"/>
  <c r="DO406" i="7"/>
  <c r="BE405" i="7"/>
  <c r="BD405" i="7"/>
  <c r="DQ406" i="7"/>
  <c r="DP406" i="7"/>
  <c r="DP407" i="7" s="1"/>
  <c r="DK406" i="7"/>
  <c r="BF405" i="7"/>
  <c r="DJ406" i="7"/>
  <c r="DR406" i="7"/>
  <c r="AG406" i="7"/>
  <c r="CM432" i="7"/>
  <c r="DH432" i="7" s="1"/>
  <c r="CC426" i="7"/>
  <c r="CX426" i="7" s="1"/>
  <c r="G400" i="7"/>
  <c r="B123" i="7"/>
  <c r="BV410" i="7"/>
  <c r="CQ410" i="7" s="1"/>
  <c r="BT412" i="7"/>
  <c r="CO412" i="7" s="1"/>
  <c r="DS410" i="7"/>
  <c r="P410" i="7" s="1"/>
  <c r="CI411" i="7"/>
  <c r="DD411" i="7" s="1"/>
  <c r="BO402" i="7"/>
  <c r="CA404" i="7"/>
  <c r="CV404" i="7" s="1"/>
  <c r="CG405" i="7"/>
  <c r="DB405" i="7" s="1"/>
  <c r="BZ406" i="7"/>
  <c r="CU406" i="7" s="1"/>
  <c r="CD408" i="7"/>
  <c r="CY408" i="7" s="1"/>
  <c r="DI402" i="7"/>
  <c r="BP402" i="7" s="1"/>
  <c r="BQ401" i="7"/>
  <c r="H401" i="7" s="1"/>
  <c r="BN404" i="7"/>
  <c r="CH405" i="7"/>
  <c r="DC405" i="7" s="1"/>
  <c r="CF410" i="7"/>
  <c r="DA410" i="7" s="1"/>
  <c r="AF407" i="7"/>
  <c r="AI407" i="7" s="1"/>
  <c r="BS409" i="7"/>
  <c r="CN409" i="7" s="1"/>
  <c r="BU420" i="7"/>
  <c r="CP420" i="7" s="1"/>
  <c r="CE413" i="7"/>
  <c r="CZ413" i="7" s="1"/>
  <c r="CJ444" i="7"/>
  <c r="DE444" i="7" s="1"/>
  <c r="EN406" i="7" l="1"/>
  <c r="CK411" i="7"/>
  <c r="DF411" i="7" s="1"/>
  <c r="AO405" i="7"/>
  <c r="AM413" i="7"/>
  <c r="AN410" i="7"/>
  <c r="EO412" i="7"/>
  <c r="CB413" i="7"/>
  <c r="CW413" i="7" s="1"/>
  <c r="F113" i="32"/>
  <c r="G113" i="32" s="1"/>
  <c r="P113" i="32" s="1"/>
  <c r="Q113" i="32" s="1"/>
  <c r="AP124" i="7"/>
  <c r="BG124" i="7" s="1"/>
  <c r="AQ124" i="7"/>
  <c r="BH124" i="7" s="1"/>
  <c r="AR124" i="7"/>
  <c r="BI124" i="7" s="1"/>
  <c r="CL409" i="7"/>
  <c r="DG409" i="7" s="1"/>
  <c r="EM408" i="7"/>
  <c r="DZ405" i="7"/>
  <c r="EA405" i="7"/>
  <c r="EF409" i="7"/>
  <c r="EC409" i="7"/>
  <c r="DX404" i="7"/>
  <c r="EB404" i="7"/>
  <c r="DW404" i="7"/>
  <c r="AL124" i="7"/>
  <c r="E124" i="7" s="1"/>
  <c r="AK124" i="7"/>
  <c r="D124" i="7" s="1"/>
  <c r="AJ124" i="7"/>
  <c r="C124" i="7" s="1"/>
  <c r="AY408" i="7"/>
  <c r="DR407" i="7"/>
  <c r="AW408" i="7"/>
  <c r="AV408" i="7"/>
  <c r="AZ408" i="7"/>
  <c r="BB408" i="7"/>
  <c r="BC408" i="7"/>
  <c r="AX408" i="7"/>
  <c r="M409" i="7"/>
  <c r="AW409" i="7" s="1"/>
  <c r="DV409" i="7"/>
  <c r="AU408" i="7"/>
  <c r="BA408" i="7"/>
  <c r="DP408" i="7" s="1"/>
  <c r="BY442" i="7"/>
  <c r="CT442" i="7" s="1"/>
  <c r="BX442" i="7"/>
  <c r="CS442" i="7" s="1"/>
  <c r="BW444" i="7"/>
  <c r="CR444" i="7" s="1"/>
  <c r="DO407" i="7"/>
  <c r="BE406" i="7"/>
  <c r="DQ407" i="7"/>
  <c r="BD406" i="7"/>
  <c r="AG407" i="7"/>
  <c r="AH407" i="7"/>
  <c r="DK407" i="7"/>
  <c r="BF406" i="7"/>
  <c r="DN407" i="7"/>
  <c r="DM407" i="7"/>
  <c r="DJ407" i="7"/>
  <c r="CM433" i="7"/>
  <c r="DH433" i="7" s="1"/>
  <c r="CC427" i="7"/>
  <c r="CX427" i="7" s="1"/>
  <c r="G401" i="7"/>
  <c r="BT413" i="7"/>
  <c r="CO413" i="7" s="1"/>
  <c r="CI412" i="7"/>
  <c r="DD412" i="7" s="1"/>
  <c r="DS411" i="7"/>
  <c r="P411" i="7" s="1"/>
  <c r="BV411" i="7"/>
  <c r="CQ411" i="7" s="1"/>
  <c r="CA405" i="7"/>
  <c r="CV405" i="7" s="1"/>
  <c r="BO403" i="7"/>
  <c r="CG406" i="7"/>
  <c r="DB406" i="7" s="1"/>
  <c r="BZ407" i="7"/>
  <c r="CU407" i="7" s="1"/>
  <c r="CD409" i="7"/>
  <c r="CY409" i="7" s="1"/>
  <c r="CF411" i="7"/>
  <c r="DA411" i="7" s="1"/>
  <c r="BN405" i="7"/>
  <c r="CH406" i="7"/>
  <c r="DC406" i="7" s="1"/>
  <c r="BQ402" i="7"/>
  <c r="H402" i="7" s="1"/>
  <c r="DI403" i="7"/>
  <c r="BP403" i="7" s="1"/>
  <c r="AF408" i="7"/>
  <c r="AI408" i="7" s="1"/>
  <c r="AG408" i="7"/>
  <c r="AH408" i="7"/>
  <c r="BS410" i="7"/>
  <c r="CN410" i="7" s="1"/>
  <c r="BU421" i="7"/>
  <c r="CP421" i="7" s="1"/>
  <c r="CE414" i="7"/>
  <c r="CZ414" i="7" s="1"/>
  <c r="CJ445" i="7"/>
  <c r="DE445" i="7" s="1"/>
  <c r="EO413" i="7" l="1"/>
  <c r="CK412" i="7"/>
  <c r="DF412" i="7" s="1"/>
  <c r="EN407" i="7"/>
  <c r="AN411" i="7"/>
  <c r="AM414" i="7"/>
  <c r="AO406" i="7"/>
  <c r="CB414" i="7"/>
  <c r="CW414" i="7" s="1"/>
  <c r="CL410" i="7"/>
  <c r="DG410" i="7" s="1"/>
  <c r="EM409" i="7"/>
  <c r="DR408" i="7"/>
  <c r="DL408" i="7"/>
  <c r="DL409" i="7" s="1"/>
  <c r="EB405" i="7"/>
  <c r="DW405" i="7"/>
  <c r="DX405" i="7"/>
  <c r="EF410" i="7"/>
  <c r="EC410" i="7"/>
  <c r="EA406" i="7"/>
  <c r="DZ406" i="7"/>
  <c r="AU409" i="7"/>
  <c r="DO408" i="7"/>
  <c r="AX409" i="7"/>
  <c r="AT409" i="7"/>
  <c r="DQ408" i="7"/>
  <c r="BA409" i="7"/>
  <c r="DP409" i="7" s="1"/>
  <c r="BB409" i="7"/>
  <c r="AY409" i="7"/>
  <c r="AZ409" i="7"/>
  <c r="AV409" i="7"/>
  <c r="DJ408" i="7"/>
  <c r="M410" i="7"/>
  <c r="AW410" i="7" s="1"/>
  <c r="DV410" i="7"/>
  <c r="BC409" i="7"/>
  <c r="BX443" i="7"/>
  <c r="CS443" i="7" s="1"/>
  <c r="BY443" i="7"/>
  <c r="CT443" i="7" s="1"/>
  <c r="BW445" i="7"/>
  <c r="CR445" i="7" s="1"/>
  <c r="DK408" i="7"/>
  <c r="BE407" i="7"/>
  <c r="BF407" i="7"/>
  <c r="DN408" i="7"/>
  <c r="BD407" i="7"/>
  <c r="DM408" i="7"/>
  <c r="CM434" i="7"/>
  <c r="DH434" i="7" s="1"/>
  <c r="CC428" i="7"/>
  <c r="CX428" i="7" s="1"/>
  <c r="G402" i="7"/>
  <c r="BL124" i="7"/>
  <c r="BK124" i="7"/>
  <c r="F124" i="7"/>
  <c r="BJ124" i="7"/>
  <c r="BV412" i="7"/>
  <c r="CQ412" i="7" s="1"/>
  <c r="DS412" i="7"/>
  <c r="P412" i="7" s="1"/>
  <c r="CI413" i="7"/>
  <c r="DD413" i="7" s="1"/>
  <c r="BT414" i="7"/>
  <c r="CO414" i="7" s="1"/>
  <c r="CA406" i="7"/>
  <c r="CV406" i="7" s="1"/>
  <c r="BO404" i="7"/>
  <c r="CG407" i="7"/>
  <c r="DB407" i="7" s="1"/>
  <c r="BZ408" i="7"/>
  <c r="CU408" i="7" s="1"/>
  <c r="CD410" i="7"/>
  <c r="CY410" i="7" s="1"/>
  <c r="CH407" i="7"/>
  <c r="DC407" i="7" s="1"/>
  <c r="BN406" i="7"/>
  <c r="DI404" i="7"/>
  <c r="BP404" i="7" s="1"/>
  <c r="BQ403" i="7"/>
  <c r="H403" i="7" s="1"/>
  <c r="CF412" i="7"/>
  <c r="DA412" i="7" s="1"/>
  <c r="AH409" i="7"/>
  <c r="BD408" i="7"/>
  <c r="BE408" i="7"/>
  <c r="BF408" i="7"/>
  <c r="BS411" i="7"/>
  <c r="CN411" i="7" s="1"/>
  <c r="BU422" i="7"/>
  <c r="CP422" i="7" s="1"/>
  <c r="CE415" i="7"/>
  <c r="CZ415" i="7" s="1"/>
  <c r="CJ446" i="7"/>
  <c r="DE446" i="7" s="1"/>
  <c r="AM415" i="7" l="1"/>
  <c r="CK413" i="7"/>
  <c r="DF413" i="7" s="1"/>
  <c r="EN408" i="7"/>
  <c r="EO414" i="7"/>
  <c r="AN412" i="7"/>
  <c r="AO407" i="7"/>
  <c r="CB415" i="7"/>
  <c r="CW415" i="7" s="1"/>
  <c r="DR409" i="7"/>
  <c r="CL411" i="7"/>
  <c r="DG411" i="7" s="1"/>
  <c r="EM410" i="7"/>
  <c r="DO409" i="7"/>
  <c r="EF411" i="7"/>
  <c r="EC411" i="7"/>
  <c r="DW406" i="7"/>
  <c r="EB406" i="7"/>
  <c r="DX406" i="7"/>
  <c r="EA407" i="7"/>
  <c r="DZ407" i="7"/>
  <c r="AT410" i="7"/>
  <c r="AV410" i="7"/>
  <c r="BC410" i="7"/>
  <c r="BB410" i="7"/>
  <c r="AY410" i="7"/>
  <c r="BA410" i="7"/>
  <c r="DP410" i="7" s="1"/>
  <c r="AU410" i="7"/>
  <c r="AX410" i="7"/>
  <c r="AZ410" i="7"/>
  <c r="DO410" i="7" s="1"/>
  <c r="M411" i="7"/>
  <c r="AZ411" i="7" s="1"/>
  <c r="DV411" i="7"/>
  <c r="BY444" i="7"/>
  <c r="CT444" i="7" s="1"/>
  <c r="BX444" i="7"/>
  <c r="CS444" i="7" s="1"/>
  <c r="BW446" i="7"/>
  <c r="CR446" i="7" s="1"/>
  <c r="DN409" i="7"/>
  <c r="DQ409" i="7"/>
  <c r="AF409" i="7"/>
  <c r="AI409" i="7" s="1"/>
  <c r="DJ409" i="7"/>
  <c r="DK409" i="7"/>
  <c r="AG409" i="7"/>
  <c r="DM409" i="7"/>
  <c r="CM435" i="7"/>
  <c r="DH435" i="7" s="1"/>
  <c r="CC429" i="7"/>
  <c r="CX429" i="7" s="1"/>
  <c r="G403" i="7"/>
  <c r="BM124" i="7"/>
  <c r="CI414" i="7"/>
  <c r="DD414" i="7" s="1"/>
  <c r="DS413" i="7"/>
  <c r="P413" i="7" s="1"/>
  <c r="BT415" i="7"/>
  <c r="CO415" i="7" s="1"/>
  <c r="BV413" i="7"/>
  <c r="CQ413" i="7" s="1"/>
  <c r="CA407" i="7"/>
  <c r="CV407" i="7" s="1"/>
  <c r="BO405" i="7"/>
  <c r="CG408" i="7"/>
  <c r="DB408" i="7" s="1"/>
  <c r="BZ409" i="7"/>
  <c r="CU409" i="7" s="1"/>
  <c r="CD411" i="7"/>
  <c r="CY411" i="7" s="1"/>
  <c r="BQ404" i="7"/>
  <c r="H404" i="7" s="1"/>
  <c r="DI405" i="7"/>
  <c r="BP405" i="7" s="1"/>
  <c r="CF413" i="7"/>
  <c r="DA413" i="7" s="1"/>
  <c r="CH408" i="7"/>
  <c r="DC408" i="7" s="1"/>
  <c r="BN407" i="7"/>
  <c r="BS412" i="7"/>
  <c r="CN412" i="7" s="1"/>
  <c r="AG410" i="7"/>
  <c r="BU423" i="7"/>
  <c r="CP423" i="7" s="1"/>
  <c r="CE416" i="7"/>
  <c r="CZ416" i="7" s="1"/>
  <c r="CJ447" i="7"/>
  <c r="DE447" i="7" s="1"/>
  <c r="EO415" i="7" l="1"/>
  <c r="AM416" i="7"/>
  <c r="CK414" i="7"/>
  <c r="DF414" i="7" s="1"/>
  <c r="AO408" i="7"/>
  <c r="AN413" i="7"/>
  <c r="EN409" i="7"/>
  <c r="CB416" i="7"/>
  <c r="CW416" i="7" s="1"/>
  <c r="DR410" i="7"/>
  <c r="CL412" i="7"/>
  <c r="DG412" i="7" s="1"/>
  <c r="EM411" i="7"/>
  <c r="EF412" i="7"/>
  <c r="EC412" i="7"/>
  <c r="DZ408" i="7"/>
  <c r="EA408" i="7"/>
  <c r="EB407" i="7"/>
  <c r="DX407" i="7"/>
  <c r="DW407" i="7"/>
  <c r="N125" i="7"/>
  <c r="D114" i="32"/>
  <c r="DQ410" i="7"/>
  <c r="AV411" i="7"/>
  <c r="AW411" i="7"/>
  <c r="AX411" i="7"/>
  <c r="BC411" i="7"/>
  <c r="BA411" i="7"/>
  <c r="AY411" i="7"/>
  <c r="AU411" i="7"/>
  <c r="BB411" i="7"/>
  <c r="AT411" i="7"/>
  <c r="M412" i="7"/>
  <c r="AY412" i="7" s="1"/>
  <c r="DV412" i="7"/>
  <c r="BX445" i="7"/>
  <c r="CS445" i="7" s="1"/>
  <c r="BY445" i="7"/>
  <c r="CT445" i="7" s="1"/>
  <c r="BW447" i="7"/>
  <c r="CR447" i="7" s="1"/>
  <c r="BE409" i="7"/>
  <c r="BF409" i="7"/>
  <c r="DK410" i="7"/>
  <c r="AF410" i="7"/>
  <c r="AI410" i="7" s="1"/>
  <c r="AH410" i="7"/>
  <c r="BD409" i="7"/>
  <c r="DN410" i="7"/>
  <c r="DM410" i="7"/>
  <c r="DJ410" i="7"/>
  <c r="DL410" i="7"/>
  <c r="CM436" i="7"/>
  <c r="DH436" i="7" s="1"/>
  <c r="CC430" i="7"/>
  <c r="CX430" i="7" s="1"/>
  <c r="G404" i="7"/>
  <c r="DO411" i="7" s="1"/>
  <c r="B124" i="7"/>
  <c r="BT416" i="7"/>
  <c r="CO416" i="7" s="1"/>
  <c r="BV414" i="7"/>
  <c r="CQ414" i="7" s="1"/>
  <c r="CI415" i="7"/>
  <c r="DD415" i="7" s="1"/>
  <c r="DS414" i="7"/>
  <c r="P414" i="7" s="1"/>
  <c r="BO406" i="7"/>
  <c r="CA408" i="7"/>
  <c r="CV408" i="7" s="1"/>
  <c r="CG409" i="7"/>
  <c r="DB409" i="7" s="1"/>
  <c r="BZ410" i="7"/>
  <c r="CU410" i="7" s="1"/>
  <c r="CD412" i="7"/>
  <c r="CY412" i="7" s="1"/>
  <c r="CF414" i="7"/>
  <c r="DA414" i="7" s="1"/>
  <c r="DI406" i="7"/>
  <c r="BP406" i="7" s="1"/>
  <c r="BQ405" i="7"/>
  <c r="H405" i="7" s="1"/>
  <c r="BN408" i="7"/>
  <c r="CH409" i="7"/>
  <c r="DC409" i="7" s="1"/>
  <c r="BS413" i="7"/>
  <c r="CN413" i="7" s="1"/>
  <c r="BU424" i="7"/>
  <c r="CP424" i="7" s="1"/>
  <c r="CE417" i="7"/>
  <c r="CZ417" i="7" s="1"/>
  <c r="CJ448" i="7"/>
  <c r="DE448" i="7" s="1"/>
  <c r="EO416" i="7" l="1"/>
  <c r="AN414" i="7"/>
  <c r="AM417" i="7"/>
  <c r="EN410" i="7"/>
  <c r="AO409" i="7"/>
  <c r="CK415" i="7"/>
  <c r="DF415" i="7" s="1"/>
  <c r="CB417" i="7"/>
  <c r="CW417" i="7" s="1"/>
  <c r="F114" i="32"/>
  <c r="G114" i="32" s="1"/>
  <c r="P114" i="32" s="1"/>
  <c r="Q114" i="32" s="1"/>
  <c r="AQ125" i="7"/>
  <c r="BH125" i="7" s="1"/>
  <c r="AR125" i="7"/>
  <c r="BI125" i="7" s="1"/>
  <c r="AP125" i="7"/>
  <c r="BG125" i="7" s="1"/>
  <c r="CL413" i="7"/>
  <c r="DG413" i="7" s="1"/>
  <c r="EM412" i="7"/>
  <c r="EF413" i="7"/>
  <c r="EC413" i="7"/>
  <c r="DZ409" i="7"/>
  <c r="EA409" i="7"/>
  <c r="EB408" i="7"/>
  <c r="DX408" i="7"/>
  <c r="DW408" i="7"/>
  <c r="AJ125" i="7"/>
  <c r="C125" i="7" s="1"/>
  <c r="AL125" i="7"/>
  <c r="E125" i="7" s="1"/>
  <c r="AK125" i="7"/>
  <c r="D125" i="7" s="1"/>
  <c r="BC412" i="7"/>
  <c r="AU412" i="7"/>
  <c r="AT412" i="7"/>
  <c r="AZ412" i="7"/>
  <c r="AX412" i="7"/>
  <c r="AW412" i="7"/>
  <c r="BA412" i="7"/>
  <c r="AV412" i="7"/>
  <c r="BB412" i="7"/>
  <c r="M413" i="7"/>
  <c r="AZ413" i="7" s="1"/>
  <c r="DV413" i="7"/>
  <c r="BY446" i="7"/>
  <c r="CT446" i="7" s="1"/>
  <c r="BX446" i="7"/>
  <c r="CS446" i="7" s="1"/>
  <c r="BW448" i="7"/>
  <c r="CR448" i="7" s="1"/>
  <c r="BE410" i="7"/>
  <c r="BD410" i="7"/>
  <c r="BF410" i="7"/>
  <c r="DR411" i="7"/>
  <c r="DP411" i="7"/>
  <c r="DL411" i="7"/>
  <c r="AG411" i="7"/>
  <c r="AH411" i="7"/>
  <c r="DK411" i="7"/>
  <c r="DQ411" i="7"/>
  <c r="DM411" i="7"/>
  <c r="DJ411" i="7"/>
  <c r="DN411" i="7"/>
  <c r="AF411" i="7"/>
  <c r="AI411" i="7" s="1"/>
  <c r="CM437" i="7"/>
  <c r="DH437" i="7" s="1"/>
  <c r="CC431" i="7"/>
  <c r="CX431" i="7" s="1"/>
  <c r="G405" i="7"/>
  <c r="BV415" i="7"/>
  <c r="CQ415" i="7" s="1"/>
  <c r="BT417" i="7"/>
  <c r="CO417" i="7" s="1"/>
  <c r="CI416" i="7"/>
  <c r="DD416" i="7" s="1"/>
  <c r="DS415" i="7"/>
  <c r="P415" i="7" s="1"/>
  <c r="BO407" i="7"/>
  <c r="CA409" i="7"/>
  <c r="CV409" i="7" s="1"/>
  <c r="CG410" i="7"/>
  <c r="DB410" i="7" s="1"/>
  <c r="BZ411" i="7"/>
  <c r="CU411" i="7" s="1"/>
  <c r="CD413" i="7"/>
  <c r="CY413" i="7" s="1"/>
  <c r="CF415" i="7"/>
  <c r="DA415" i="7" s="1"/>
  <c r="BQ406" i="7"/>
  <c r="H406" i="7" s="1"/>
  <c r="DI407" i="7"/>
  <c r="BP407" i="7" s="1"/>
  <c r="CH410" i="7"/>
  <c r="DC410" i="7" s="1"/>
  <c r="BN409" i="7"/>
  <c r="BS414" i="7"/>
  <c r="CN414" i="7" s="1"/>
  <c r="AH412" i="7"/>
  <c r="AG412" i="7"/>
  <c r="BU425" i="7"/>
  <c r="CP425" i="7" s="1"/>
  <c r="CE418" i="7"/>
  <c r="CZ418" i="7" s="1"/>
  <c r="CJ449" i="7"/>
  <c r="DE449" i="7" s="1"/>
  <c r="AM418" i="7" l="1"/>
  <c r="AO410" i="7"/>
  <c r="CK416" i="7"/>
  <c r="DF416" i="7" s="1"/>
  <c r="EN411" i="7"/>
  <c r="AN415" i="7"/>
  <c r="EO417" i="7"/>
  <c r="CB418" i="7"/>
  <c r="CW418" i="7" s="1"/>
  <c r="DL412" i="7"/>
  <c r="CL414" i="7"/>
  <c r="DG414" i="7" s="1"/>
  <c r="EM413" i="7"/>
  <c r="EF414" i="7"/>
  <c r="EC414" i="7"/>
  <c r="EA410" i="7"/>
  <c r="DZ410" i="7"/>
  <c r="DW409" i="7"/>
  <c r="DX409" i="7"/>
  <c r="EB409" i="7"/>
  <c r="DP412" i="7"/>
  <c r="AX413" i="7"/>
  <c r="BB413" i="7"/>
  <c r="AY413" i="7"/>
  <c r="BA413" i="7"/>
  <c r="AW413" i="7"/>
  <c r="AT413" i="7"/>
  <c r="AV413" i="7"/>
  <c r="DO412" i="7"/>
  <c r="BC413" i="7"/>
  <c r="AU413" i="7"/>
  <c r="M414" i="7"/>
  <c r="AU414" i="7" s="1"/>
  <c r="DV414" i="7"/>
  <c r="BX447" i="7"/>
  <c r="CS447" i="7" s="1"/>
  <c r="BY447" i="7"/>
  <c r="CT447" i="7" s="1"/>
  <c r="BW449" i="7"/>
  <c r="CR449" i="7" s="1"/>
  <c r="DR412" i="7"/>
  <c r="BE411" i="7"/>
  <c r="BD411" i="7"/>
  <c r="BF411" i="7"/>
  <c r="DN412" i="7"/>
  <c r="AF412" i="7"/>
  <c r="AI412" i="7" s="1"/>
  <c r="DK412" i="7"/>
  <c r="DQ412" i="7"/>
  <c r="DM412" i="7"/>
  <c r="DJ412" i="7"/>
  <c r="CM438" i="7"/>
  <c r="DH438" i="7" s="1"/>
  <c r="CC432" i="7"/>
  <c r="CX432" i="7" s="1"/>
  <c r="G406" i="7"/>
  <c r="BL125" i="7"/>
  <c r="BJ125" i="7"/>
  <c r="F125" i="7"/>
  <c r="BK125" i="7"/>
  <c r="BT418" i="7"/>
  <c r="CO418" i="7" s="1"/>
  <c r="CI417" i="7"/>
  <c r="DD417" i="7" s="1"/>
  <c r="DS416" i="7"/>
  <c r="P416" i="7" s="1"/>
  <c r="BV416" i="7"/>
  <c r="CQ416" i="7" s="1"/>
  <c r="CA410" i="7"/>
  <c r="CV410" i="7" s="1"/>
  <c r="BO408" i="7"/>
  <c r="CG411" i="7"/>
  <c r="DB411" i="7" s="1"/>
  <c r="BZ412" i="7"/>
  <c r="CU412" i="7" s="1"/>
  <c r="CD414" i="7"/>
  <c r="CY414" i="7" s="1"/>
  <c r="CH411" i="7"/>
  <c r="DC411" i="7" s="1"/>
  <c r="BN410" i="7"/>
  <c r="DI408" i="7"/>
  <c r="BP408" i="7" s="1"/>
  <c r="BQ407" i="7"/>
  <c r="H407" i="7" s="1"/>
  <c r="CF416" i="7"/>
  <c r="DA416" i="7" s="1"/>
  <c r="BS415" i="7"/>
  <c r="CN415" i="7" s="1"/>
  <c r="AG413" i="7"/>
  <c r="AH413" i="7"/>
  <c r="BU426" i="7"/>
  <c r="CP426" i="7" s="1"/>
  <c r="CE419" i="7"/>
  <c r="CZ419" i="7" s="1"/>
  <c r="CJ450" i="7"/>
  <c r="DE450" i="7" s="1"/>
  <c r="AO411" i="7" l="1"/>
  <c r="AM419" i="7"/>
  <c r="AN416" i="7"/>
  <c r="EN412" i="7"/>
  <c r="EO418" i="7"/>
  <c r="CK417" i="7"/>
  <c r="DF417" i="7" s="1"/>
  <c r="CB419" i="7"/>
  <c r="CW419" i="7" s="1"/>
  <c r="CL415" i="7"/>
  <c r="DG415" i="7" s="1"/>
  <c r="EM414" i="7"/>
  <c r="DM413" i="7"/>
  <c r="DW410" i="7"/>
  <c r="DX410" i="7"/>
  <c r="EB410" i="7"/>
  <c r="EF415" i="7"/>
  <c r="EC415" i="7"/>
  <c r="EA411" i="7"/>
  <c r="DZ411" i="7"/>
  <c r="DO413" i="7"/>
  <c r="DR413" i="7"/>
  <c r="AX414" i="7"/>
  <c r="AV414" i="7"/>
  <c r="AY414" i="7"/>
  <c r="BC414" i="7"/>
  <c r="AT414" i="7"/>
  <c r="AW414" i="7"/>
  <c r="AZ414" i="7"/>
  <c r="DO414" i="7" s="1"/>
  <c r="BA414" i="7"/>
  <c r="BB414" i="7"/>
  <c r="M415" i="7"/>
  <c r="AZ415" i="7" s="1"/>
  <c r="DV415" i="7"/>
  <c r="BY448" i="7"/>
  <c r="CT448" i="7" s="1"/>
  <c r="BX448" i="7"/>
  <c r="CS448" i="7" s="1"/>
  <c r="BW450" i="7"/>
  <c r="CR450" i="7" s="1"/>
  <c r="BF412" i="7"/>
  <c r="DQ413" i="7"/>
  <c r="DN413" i="7"/>
  <c r="DJ413" i="7"/>
  <c r="DJ414" i="7" s="1"/>
  <c r="BE412" i="7"/>
  <c r="DL413" i="7"/>
  <c r="AF413" i="7"/>
  <c r="AI413" i="7" s="1"/>
  <c r="DP413" i="7"/>
  <c r="BD412" i="7"/>
  <c r="DK413" i="7"/>
  <c r="CM439" i="7"/>
  <c r="DH439" i="7" s="1"/>
  <c r="CC433" i="7"/>
  <c r="CX433" i="7" s="1"/>
  <c r="G407" i="7"/>
  <c r="BM125" i="7"/>
  <c r="CI418" i="7"/>
  <c r="DD418" i="7" s="1"/>
  <c r="DS417" i="7"/>
  <c r="P417" i="7" s="1"/>
  <c r="BV417" i="7"/>
  <c r="CQ417" i="7" s="1"/>
  <c r="BT419" i="7"/>
  <c r="CO419" i="7" s="1"/>
  <c r="BO409" i="7"/>
  <c r="CA411" i="7"/>
  <c r="CV411" i="7" s="1"/>
  <c r="CG412" i="7"/>
  <c r="DB412" i="7" s="1"/>
  <c r="BZ413" i="7"/>
  <c r="CU413" i="7" s="1"/>
  <c r="CD415" i="7"/>
  <c r="CY415" i="7" s="1"/>
  <c r="DI409" i="7"/>
  <c r="BP409" i="7" s="1"/>
  <c r="BQ408" i="7"/>
  <c r="H408" i="7" s="1"/>
  <c r="BN411" i="7"/>
  <c r="CH412" i="7"/>
  <c r="DC412" i="7" s="1"/>
  <c r="CF417" i="7"/>
  <c r="DA417" i="7" s="1"/>
  <c r="AG414" i="7"/>
  <c r="AF414" i="7"/>
  <c r="AI414" i="7" s="1"/>
  <c r="BS416" i="7"/>
  <c r="CN416" i="7" s="1"/>
  <c r="BU427" i="7"/>
  <c r="CP427" i="7" s="1"/>
  <c r="CE420" i="7"/>
  <c r="CZ420" i="7" s="1"/>
  <c r="CJ451" i="7"/>
  <c r="DE451" i="7" s="1"/>
  <c r="AO412" i="7" l="1"/>
  <c r="AN417" i="7"/>
  <c r="CK418" i="7"/>
  <c r="DF418" i="7" s="1"/>
  <c r="AM420" i="7"/>
  <c r="EN413" i="7"/>
  <c r="EO419" i="7"/>
  <c r="CB420" i="7"/>
  <c r="CW420" i="7" s="1"/>
  <c r="DM414" i="7"/>
  <c r="DR414" i="7"/>
  <c r="CL416" i="7"/>
  <c r="DG416" i="7" s="1"/>
  <c r="EM415" i="7"/>
  <c r="DP414" i="7"/>
  <c r="EB411" i="7"/>
  <c r="DX411" i="7"/>
  <c r="DW411" i="7"/>
  <c r="DZ412" i="7"/>
  <c r="EA412" i="7"/>
  <c r="EF416" i="7"/>
  <c r="EC416" i="7"/>
  <c r="N126" i="7"/>
  <c r="D115" i="32"/>
  <c r="BB415" i="7"/>
  <c r="AV415" i="7"/>
  <c r="BC415" i="7"/>
  <c r="AX415" i="7"/>
  <c r="AU415" i="7"/>
  <c r="AY415" i="7"/>
  <c r="BA415" i="7"/>
  <c r="M416" i="7"/>
  <c r="AV416" i="7" s="1"/>
  <c r="DV416" i="7"/>
  <c r="AT415" i="7"/>
  <c r="AW415" i="7"/>
  <c r="BX449" i="7"/>
  <c r="CS449" i="7" s="1"/>
  <c r="BY449" i="7"/>
  <c r="CT449" i="7" s="1"/>
  <c r="BW451" i="7"/>
  <c r="CR451" i="7" s="1"/>
  <c r="BD413" i="7"/>
  <c r="DK414" i="7"/>
  <c r="DN414" i="7"/>
  <c r="BF413" i="7"/>
  <c r="BE413" i="7"/>
  <c r="DQ414" i="7"/>
  <c r="AH414" i="7"/>
  <c r="DL414" i="7"/>
  <c r="CM440" i="7"/>
  <c r="DH440" i="7" s="1"/>
  <c r="CC434" i="7"/>
  <c r="CX434" i="7" s="1"/>
  <c r="G408" i="7"/>
  <c r="DO415" i="7" s="1"/>
  <c r="B125" i="7"/>
  <c r="BT420" i="7"/>
  <c r="CO420" i="7" s="1"/>
  <c r="BV418" i="7"/>
  <c r="CQ418" i="7" s="1"/>
  <c r="CI419" i="7"/>
  <c r="DD419" i="7" s="1"/>
  <c r="DS418" i="7"/>
  <c r="P418" i="7" s="1"/>
  <c r="BO410" i="7"/>
  <c r="CA412" i="7"/>
  <c r="CV412" i="7" s="1"/>
  <c r="CG413" i="7"/>
  <c r="DB413" i="7" s="1"/>
  <c r="BZ414" i="7"/>
  <c r="CU414" i="7" s="1"/>
  <c r="CD416" i="7"/>
  <c r="CY416" i="7" s="1"/>
  <c r="CF418" i="7"/>
  <c r="DA418" i="7" s="1"/>
  <c r="CH413" i="7"/>
  <c r="DC413" i="7" s="1"/>
  <c r="BN412" i="7"/>
  <c r="DI410" i="7"/>
  <c r="BP410" i="7" s="1"/>
  <c r="BQ409" i="7"/>
  <c r="H409" i="7" s="1"/>
  <c r="BS417" i="7"/>
  <c r="CN417" i="7" s="1"/>
  <c r="BF414" i="7"/>
  <c r="BD414" i="7"/>
  <c r="BE414" i="7"/>
  <c r="BU428" i="7"/>
  <c r="CP428" i="7" s="1"/>
  <c r="CE421" i="7"/>
  <c r="CZ421" i="7" s="1"/>
  <c r="CJ452" i="7"/>
  <c r="DE452" i="7" s="1"/>
  <c r="AO413" i="7" l="1"/>
  <c r="AN418" i="7"/>
  <c r="EO420" i="7"/>
  <c r="AM421" i="7"/>
  <c r="EN414" i="7"/>
  <c r="CK419" i="7"/>
  <c r="DF419" i="7" s="1"/>
  <c r="CB421" i="7"/>
  <c r="CW421" i="7" s="1"/>
  <c r="DP415" i="7"/>
  <c r="F115" i="32"/>
  <c r="G115" i="32" s="1"/>
  <c r="P115" i="32" s="1"/>
  <c r="Q115" i="32" s="1"/>
  <c r="AR126" i="7"/>
  <c r="BI126" i="7" s="1"/>
  <c r="AP126" i="7"/>
  <c r="BG126" i="7" s="1"/>
  <c r="AQ126" i="7"/>
  <c r="BH126" i="7" s="1"/>
  <c r="DR415" i="7"/>
  <c r="CL417" i="7"/>
  <c r="DG417" i="7" s="1"/>
  <c r="EM416" i="7"/>
  <c r="DZ413" i="7"/>
  <c r="EA413" i="7"/>
  <c r="EF417" i="7"/>
  <c r="EC417" i="7"/>
  <c r="EB412" i="7"/>
  <c r="DW412" i="7"/>
  <c r="DX412" i="7"/>
  <c r="AK126" i="7"/>
  <c r="D126" i="7" s="1"/>
  <c r="AJ126" i="7"/>
  <c r="C126" i="7" s="1"/>
  <c r="AL126" i="7"/>
  <c r="E126" i="7" s="1"/>
  <c r="AU416" i="7"/>
  <c r="BA416" i="7"/>
  <c r="AZ416" i="7"/>
  <c r="DO416" i="7" s="1"/>
  <c r="BB416" i="7"/>
  <c r="BC416" i="7"/>
  <c r="AX416" i="7"/>
  <c r="AW416" i="7"/>
  <c r="AT416" i="7"/>
  <c r="M417" i="7"/>
  <c r="AZ417" i="7" s="1"/>
  <c r="DV417" i="7"/>
  <c r="AY416" i="7"/>
  <c r="BY450" i="7"/>
  <c r="CT450" i="7" s="1"/>
  <c r="BX450" i="7"/>
  <c r="CS450" i="7" s="1"/>
  <c r="BW452" i="7"/>
  <c r="CR452" i="7" s="1"/>
  <c r="AH415" i="7"/>
  <c r="AG415" i="7"/>
  <c r="AF415" i="7"/>
  <c r="AI415" i="7" s="1"/>
  <c r="DQ415" i="7"/>
  <c r="DK415" i="7"/>
  <c r="DL415" i="7"/>
  <c r="DN415" i="7"/>
  <c r="DM415" i="7"/>
  <c r="DJ415" i="7"/>
  <c r="CM441" i="7"/>
  <c r="DH441" i="7" s="1"/>
  <c r="CC435" i="7"/>
  <c r="CX435" i="7" s="1"/>
  <c r="G409" i="7"/>
  <c r="BV419" i="7"/>
  <c r="CQ419" i="7" s="1"/>
  <c r="DS419" i="7"/>
  <c r="P419" i="7" s="1"/>
  <c r="CI420" i="7"/>
  <c r="DD420" i="7" s="1"/>
  <c r="BT421" i="7"/>
  <c r="CO421" i="7" s="1"/>
  <c r="BO411" i="7"/>
  <c r="CA413" i="7"/>
  <c r="CV413" i="7" s="1"/>
  <c r="CG414" i="7"/>
  <c r="DB414" i="7" s="1"/>
  <c r="BZ415" i="7"/>
  <c r="CU415" i="7" s="1"/>
  <c r="CD417" i="7"/>
  <c r="CY417" i="7" s="1"/>
  <c r="CH414" i="7"/>
  <c r="DC414" i="7" s="1"/>
  <c r="BN413" i="7"/>
  <c r="CF419" i="7"/>
  <c r="DA419" i="7" s="1"/>
  <c r="DI411" i="7"/>
  <c r="BP411" i="7" s="1"/>
  <c r="BQ410" i="7"/>
  <c r="H410" i="7" s="1"/>
  <c r="AF416" i="7"/>
  <c r="AI416" i="7" s="1"/>
  <c r="AG416" i="7"/>
  <c r="AH416" i="7"/>
  <c r="BS418" i="7"/>
  <c r="CN418" i="7" s="1"/>
  <c r="BU429" i="7"/>
  <c r="CP429" i="7" s="1"/>
  <c r="CE422" i="7"/>
  <c r="CZ422" i="7" s="1"/>
  <c r="CJ453" i="7"/>
  <c r="DE453" i="7" s="1"/>
  <c r="EN415" i="7" l="1"/>
  <c r="AO414" i="7"/>
  <c r="CK420" i="7"/>
  <c r="DF420" i="7" s="1"/>
  <c r="AN419" i="7"/>
  <c r="AM422" i="7"/>
  <c r="EO421" i="7"/>
  <c r="DP416" i="7"/>
  <c r="CB422" i="7"/>
  <c r="CW422" i="7" s="1"/>
  <c r="DR416" i="7"/>
  <c r="CL418" i="7"/>
  <c r="DG418" i="7" s="1"/>
  <c r="EM417" i="7"/>
  <c r="AV417" i="7"/>
  <c r="DJ416" i="7"/>
  <c r="EF418" i="7"/>
  <c r="EC418" i="7"/>
  <c r="DZ414" i="7"/>
  <c r="EA414" i="7"/>
  <c r="EB413" i="7"/>
  <c r="DW413" i="7"/>
  <c r="DX413" i="7"/>
  <c r="BA417" i="7"/>
  <c r="BC417" i="7"/>
  <c r="AT417" i="7"/>
  <c r="BB417" i="7"/>
  <c r="AY417" i="7"/>
  <c r="AW417" i="7"/>
  <c r="AU417" i="7"/>
  <c r="AX417" i="7"/>
  <c r="M418" i="7"/>
  <c r="AW418" i="7" s="1"/>
  <c r="DV418" i="7"/>
  <c r="BX451" i="7"/>
  <c r="CS451" i="7" s="1"/>
  <c r="BY451" i="7"/>
  <c r="CT451" i="7" s="1"/>
  <c r="BW453" i="7"/>
  <c r="CR453" i="7" s="1"/>
  <c r="DK416" i="7"/>
  <c r="BF415" i="7"/>
  <c r="BE415" i="7"/>
  <c r="BD415" i="7"/>
  <c r="DQ416" i="7"/>
  <c r="DM416" i="7"/>
  <c r="DL416" i="7"/>
  <c r="DN416" i="7"/>
  <c r="CM442" i="7"/>
  <c r="DH442" i="7" s="1"/>
  <c r="CC436" i="7"/>
  <c r="CX436" i="7" s="1"/>
  <c r="G410" i="7"/>
  <c r="BK126" i="7"/>
  <c r="BL126" i="7"/>
  <c r="F126" i="7"/>
  <c r="BJ126" i="7"/>
  <c r="BT422" i="7"/>
  <c r="CO422" i="7" s="1"/>
  <c r="DS420" i="7"/>
  <c r="P420" i="7" s="1"/>
  <c r="CI421" i="7"/>
  <c r="DD421" i="7" s="1"/>
  <c r="BV420" i="7"/>
  <c r="CQ420" i="7" s="1"/>
  <c r="CA414" i="7"/>
  <c r="CV414" i="7" s="1"/>
  <c r="BO412" i="7"/>
  <c r="CG415" i="7"/>
  <c r="DB415" i="7" s="1"/>
  <c r="BZ416" i="7"/>
  <c r="CU416" i="7" s="1"/>
  <c r="CD418" i="7"/>
  <c r="CY418" i="7" s="1"/>
  <c r="CF420" i="7"/>
  <c r="DA420" i="7" s="1"/>
  <c r="BQ411" i="7"/>
  <c r="H411" i="7" s="1"/>
  <c r="DI412" i="7"/>
  <c r="BP412" i="7" s="1"/>
  <c r="BN414" i="7"/>
  <c r="CH415" i="7"/>
  <c r="DC415" i="7" s="1"/>
  <c r="BS419" i="7"/>
  <c r="CN419" i="7" s="1"/>
  <c r="AF417" i="7"/>
  <c r="AI417" i="7" s="1"/>
  <c r="AG417" i="7"/>
  <c r="BE416" i="7"/>
  <c r="BU430" i="7"/>
  <c r="CP430" i="7" s="1"/>
  <c r="CE423" i="7"/>
  <c r="CZ423" i="7" s="1"/>
  <c r="CJ454" i="7"/>
  <c r="DE454" i="7" s="1"/>
  <c r="DK417" i="7" l="1"/>
  <c r="EO422" i="7"/>
  <c r="AN420" i="7"/>
  <c r="AM423" i="7"/>
  <c r="EN416" i="7"/>
  <c r="AO415" i="7"/>
  <c r="CK421" i="7"/>
  <c r="DF421" i="7" s="1"/>
  <c r="CB423" i="7"/>
  <c r="CW423" i="7" s="1"/>
  <c r="DR417" i="7"/>
  <c r="CL419" i="7"/>
  <c r="DG419" i="7" s="1"/>
  <c r="EM418" i="7"/>
  <c r="DJ417" i="7"/>
  <c r="EF419" i="7"/>
  <c r="EC419" i="7"/>
  <c r="EB414" i="7"/>
  <c r="DX414" i="7"/>
  <c r="DW414" i="7"/>
  <c r="DZ415" i="7"/>
  <c r="EA415" i="7"/>
  <c r="BB418" i="7"/>
  <c r="AX418" i="7"/>
  <c r="AU418" i="7"/>
  <c r="AY418" i="7"/>
  <c r="BA418" i="7"/>
  <c r="AT418" i="7"/>
  <c r="AV418" i="7"/>
  <c r="DK418" i="7" s="1"/>
  <c r="BC418" i="7"/>
  <c r="M419" i="7"/>
  <c r="AV419" i="7" s="1"/>
  <c r="DV419" i="7"/>
  <c r="AZ418" i="7"/>
  <c r="BY452" i="7"/>
  <c r="CT452" i="7" s="1"/>
  <c r="BX452" i="7"/>
  <c r="CS452" i="7" s="1"/>
  <c r="BW454" i="7"/>
  <c r="CR454" i="7" s="1"/>
  <c r="DL417" i="7"/>
  <c r="DQ417" i="7"/>
  <c r="BF416" i="7"/>
  <c r="BD416" i="7"/>
  <c r="DM417" i="7"/>
  <c r="DN417" i="7"/>
  <c r="DO417" i="7"/>
  <c r="AH417" i="7"/>
  <c r="DP417" i="7"/>
  <c r="CM443" i="7"/>
  <c r="DH443" i="7" s="1"/>
  <c r="CC437" i="7"/>
  <c r="CX437" i="7" s="1"/>
  <c r="G411" i="7"/>
  <c r="BM126" i="7"/>
  <c r="BV421" i="7"/>
  <c r="CQ421" i="7" s="1"/>
  <c r="BT423" i="7"/>
  <c r="CO423" i="7" s="1"/>
  <c r="CI422" i="7"/>
  <c r="DD422" i="7" s="1"/>
  <c r="DS421" i="7"/>
  <c r="P421" i="7" s="1"/>
  <c r="CA415" i="7"/>
  <c r="CV415" i="7" s="1"/>
  <c r="BO413" i="7"/>
  <c r="CG416" i="7"/>
  <c r="DB416" i="7" s="1"/>
  <c r="BZ417" i="7"/>
  <c r="CU417" i="7" s="1"/>
  <c r="CD419" i="7"/>
  <c r="CY419" i="7" s="1"/>
  <c r="BN415" i="7"/>
  <c r="CH416" i="7"/>
  <c r="DC416" i="7" s="1"/>
  <c r="CF421" i="7"/>
  <c r="DA421" i="7" s="1"/>
  <c r="DI413" i="7"/>
  <c r="BP413" i="7" s="1"/>
  <c r="BQ412" i="7"/>
  <c r="H412" i="7" s="1"/>
  <c r="BF417" i="7"/>
  <c r="BS420" i="7"/>
  <c r="CN420" i="7" s="1"/>
  <c r="AG418" i="7"/>
  <c r="AF418" i="7"/>
  <c r="AI418" i="7" s="1"/>
  <c r="AH418" i="7"/>
  <c r="BU431" i="7"/>
  <c r="CP431" i="7" s="1"/>
  <c r="CE424" i="7"/>
  <c r="CZ424" i="7" s="1"/>
  <c r="CJ455" i="7"/>
  <c r="DE455" i="7" s="1"/>
  <c r="AN421" i="7" l="1"/>
  <c r="EN417" i="7"/>
  <c r="CK422" i="7"/>
  <c r="DF422" i="7" s="1"/>
  <c r="AM424" i="7"/>
  <c r="AO416" i="7"/>
  <c r="EO423" i="7"/>
  <c r="DR418" i="7"/>
  <c r="CB424" i="7"/>
  <c r="CW424" i="7" s="1"/>
  <c r="DJ418" i="7"/>
  <c r="CL420" i="7"/>
  <c r="DG420" i="7" s="1"/>
  <c r="EM419" i="7"/>
  <c r="DN418" i="7"/>
  <c r="DQ418" i="7"/>
  <c r="EC420" i="7"/>
  <c r="EF420" i="7"/>
  <c r="DZ416" i="7"/>
  <c r="EA416" i="7"/>
  <c r="DX415" i="7"/>
  <c r="DW415" i="7"/>
  <c r="EB415" i="7"/>
  <c r="N127" i="7"/>
  <c r="D116" i="32"/>
  <c r="AW419" i="7"/>
  <c r="AX419" i="7"/>
  <c r="AZ419" i="7"/>
  <c r="BB419" i="7"/>
  <c r="AY419" i="7"/>
  <c r="AU419" i="7"/>
  <c r="BC419" i="7"/>
  <c r="BA419" i="7"/>
  <c r="AT419" i="7"/>
  <c r="M420" i="7"/>
  <c r="BB420" i="7" s="1"/>
  <c r="DV420" i="7"/>
  <c r="BX453" i="7"/>
  <c r="CS453" i="7" s="1"/>
  <c r="BY453" i="7"/>
  <c r="CT453" i="7" s="1"/>
  <c r="BW455" i="7"/>
  <c r="CR455" i="7" s="1"/>
  <c r="DL418" i="7"/>
  <c r="DP418" i="7"/>
  <c r="DM418" i="7"/>
  <c r="BE417" i="7"/>
  <c r="BD417" i="7"/>
  <c r="DO418" i="7"/>
  <c r="CM444" i="7"/>
  <c r="DH444" i="7" s="1"/>
  <c r="CC438" i="7"/>
  <c r="CX438" i="7" s="1"/>
  <c r="G412" i="7"/>
  <c r="B126" i="7"/>
  <c r="BT424" i="7"/>
  <c r="CO424" i="7" s="1"/>
  <c r="BV422" i="7"/>
  <c r="CQ422" i="7" s="1"/>
  <c r="DS422" i="7"/>
  <c r="P422" i="7" s="1"/>
  <c r="CI423" i="7"/>
  <c r="DD423" i="7" s="1"/>
  <c r="BO414" i="7"/>
  <c r="CA416" i="7"/>
  <c r="CV416" i="7" s="1"/>
  <c r="CG417" i="7"/>
  <c r="DB417" i="7" s="1"/>
  <c r="BZ418" i="7"/>
  <c r="CU418" i="7" s="1"/>
  <c r="CD420" i="7"/>
  <c r="CY420" i="7" s="1"/>
  <c r="CF422" i="7"/>
  <c r="DA422" i="7" s="1"/>
  <c r="DI414" i="7"/>
  <c r="BP414" i="7" s="1"/>
  <c r="BQ413" i="7"/>
  <c r="H413" i="7" s="1"/>
  <c r="BN416" i="7"/>
  <c r="CH417" i="7"/>
  <c r="DC417" i="7" s="1"/>
  <c r="BF418" i="7"/>
  <c r="BD418" i="7"/>
  <c r="BE418" i="7"/>
  <c r="BS421" i="7"/>
  <c r="CN421" i="7" s="1"/>
  <c r="AG419" i="7"/>
  <c r="BU432" i="7"/>
  <c r="CP432" i="7" s="1"/>
  <c r="CE425" i="7"/>
  <c r="CZ425" i="7" s="1"/>
  <c r="CJ456" i="7"/>
  <c r="DE456" i="7" s="1"/>
  <c r="AO417" i="7" l="1"/>
  <c r="AN422" i="7"/>
  <c r="EN418" i="7"/>
  <c r="AM425" i="7"/>
  <c r="EO424" i="7"/>
  <c r="CK423" i="7"/>
  <c r="DF423" i="7" s="1"/>
  <c r="DR419" i="7"/>
  <c r="CB425" i="7"/>
  <c r="CW425" i="7" s="1"/>
  <c r="F116" i="32"/>
  <c r="G116" i="32" s="1"/>
  <c r="P116" i="32" s="1"/>
  <c r="Q116" i="32" s="1"/>
  <c r="AP127" i="7"/>
  <c r="BG127" i="7" s="1"/>
  <c r="AQ127" i="7"/>
  <c r="BH127" i="7" s="1"/>
  <c r="AR127" i="7"/>
  <c r="BI127" i="7" s="1"/>
  <c r="CL421" i="7"/>
  <c r="DG421" i="7" s="1"/>
  <c r="EM420" i="7"/>
  <c r="DM419" i="7"/>
  <c r="AT420" i="7"/>
  <c r="DN419" i="7"/>
  <c r="DZ417" i="7"/>
  <c r="EA417" i="7"/>
  <c r="EF421" i="7"/>
  <c r="EC421" i="7"/>
  <c r="DX416" i="7"/>
  <c r="EB416" i="7"/>
  <c r="DW416" i="7"/>
  <c r="AK127" i="7"/>
  <c r="D127" i="7" s="1"/>
  <c r="AJ127" i="7"/>
  <c r="C127" i="7" s="1"/>
  <c r="AL127" i="7"/>
  <c r="E127" i="7" s="1"/>
  <c r="BC420" i="7"/>
  <c r="AX420" i="7"/>
  <c r="AW420" i="7"/>
  <c r="AZ420" i="7"/>
  <c r="BA420" i="7"/>
  <c r="AU420" i="7"/>
  <c r="AV420" i="7"/>
  <c r="AY420" i="7"/>
  <c r="M421" i="7"/>
  <c r="AZ421" i="7" s="1"/>
  <c r="DV421" i="7"/>
  <c r="BY454" i="7"/>
  <c r="CT454" i="7" s="1"/>
  <c r="BX454" i="7"/>
  <c r="CS454" i="7" s="1"/>
  <c r="BW456" i="7"/>
  <c r="CR456" i="7" s="1"/>
  <c r="DO419" i="7"/>
  <c r="DQ419" i="7"/>
  <c r="DP419" i="7"/>
  <c r="DJ419" i="7"/>
  <c r="DK419" i="7"/>
  <c r="DL419" i="7"/>
  <c r="AH419" i="7"/>
  <c r="AF419" i="7"/>
  <c r="AI419" i="7" s="1"/>
  <c r="CM445" i="7"/>
  <c r="DH445" i="7" s="1"/>
  <c r="CC439" i="7"/>
  <c r="CX439" i="7" s="1"/>
  <c r="G413" i="7"/>
  <c r="CI424" i="7"/>
  <c r="DD424" i="7" s="1"/>
  <c r="DS423" i="7"/>
  <c r="P423" i="7" s="1"/>
  <c r="BV423" i="7"/>
  <c r="CQ423" i="7" s="1"/>
  <c r="BT425" i="7"/>
  <c r="CO425" i="7" s="1"/>
  <c r="BO415" i="7"/>
  <c r="CA417" i="7"/>
  <c r="CV417" i="7" s="1"/>
  <c r="CG418" i="7"/>
  <c r="DB418" i="7" s="1"/>
  <c r="BZ419" i="7"/>
  <c r="CU419" i="7" s="1"/>
  <c r="CD421" i="7"/>
  <c r="CY421" i="7" s="1"/>
  <c r="CH418" i="7"/>
  <c r="DC418" i="7" s="1"/>
  <c r="BN417" i="7"/>
  <c r="DI415" i="7"/>
  <c r="BP415" i="7" s="1"/>
  <c r="BQ414" i="7"/>
  <c r="H414" i="7" s="1"/>
  <c r="CF423" i="7"/>
  <c r="DA423" i="7" s="1"/>
  <c r="BS422" i="7"/>
  <c r="CN422" i="7" s="1"/>
  <c r="BU433" i="7"/>
  <c r="CP433" i="7" s="1"/>
  <c r="CE426" i="7"/>
  <c r="CZ426" i="7" s="1"/>
  <c r="CJ457" i="7"/>
  <c r="DE457" i="7" s="1"/>
  <c r="CK424" i="7" l="1"/>
  <c r="DF424" i="7" s="1"/>
  <c r="AO418" i="7"/>
  <c r="AN423" i="7"/>
  <c r="AM426" i="7"/>
  <c r="EN419" i="7"/>
  <c r="EO425" i="7"/>
  <c r="CB426" i="7"/>
  <c r="CW426" i="7" s="1"/>
  <c r="CL422" i="7"/>
  <c r="DG422" i="7" s="1"/>
  <c r="EM421" i="7"/>
  <c r="EF422" i="7"/>
  <c r="EC422" i="7"/>
  <c r="DZ418" i="7"/>
  <c r="EA418" i="7"/>
  <c r="DW417" i="7"/>
  <c r="DX417" i="7"/>
  <c r="EB417" i="7"/>
  <c r="AY421" i="7"/>
  <c r="AT421" i="7"/>
  <c r="AX421" i="7"/>
  <c r="BB421" i="7"/>
  <c r="BC421" i="7"/>
  <c r="AV421" i="7"/>
  <c r="AU421" i="7"/>
  <c r="M422" i="7"/>
  <c r="AU422" i="7" s="1"/>
  <c r="DV422" i="7"/>
  <c r="AW421" i="7"/>
  <c r="BA421" i="7"/>
  <c r="BX455" i="7"/>
  <c r="CS455" i="7" s="1"/>
  <c r="BY455" i="7"/>
  <c r="CT455" i="7" s="1"/>
  <c r="BW457" i="7"/>
  <c r="CR457" i="7" s="1"/>
  <c r="DO420" i="7"/>
  <c r="DO421" i="7" s="1"/>
  <c r="BD419" i="7"/>
  <c r="DM420" i="7"/>
  <c r="AG420" i="7"/>
  <c r="DL420" i="7"/>
  <c r="AF420" i="7"/>
  <c r="AI420" i="7" s="1"/>
  <c r="AH420" i="7"/>
  <c r="DN420" i="7"/>
  <c r="DQ420" i="7"/>
  <c r="BF419" i="7"/>
  <c r="DK420" i="7"/>
  <c r="DR420" i="7"/>
  <c r="DP420" i="7"/>
  <c r="DJ420" i="7"/>
  <c r="BE419" i="7"/>
  <c r="CM446" i="7"/>
  <c r="DH446" i="7" s="1"/>
  <c r="CC440" i="7"/>
  <c r="CX440" i="7" s="1"/>
  <c r="G414" i="7"/>
  <c r="F127" i="7"/>
  <c r="BJ127" i="7"/>
  <c r="BK127" i="7"/>
  <c r="BL127" i="7"/>
  <c r="BT426" i="7"/>
  <c r="CO426" i="7" s="1"/>
  <c r="DS424" i="7"/>
  <c r="P424" i="7" s="1"/>
  <c r="CI425" i="7"/>
  <c r="DD425" i="7" s="1"/>
  <c r="BV424" i="7"/>
  <c r="CQ424" i="7" s="1"/>
  <c r="CA418" i="7"/>
  <c r="CV418" i="7" s="1"/>
  <c r="BO416" i="7"/>
  <c r="CG419" i="7"/>
  <c r="DB419" i="7" s="1"/>
  <c r="BZ420" i="7"/>
  <c r="CU420" i="7" s="1"/>
  <c r="CD422" i="7"/>
  <c r="CY422" i="7" s="1"/>
  <c r="BN418" i="7"/>
  <c r="CH419" i="7"/>
  <c r="DC419" i="7" s="1"/>
  <c r="DI416" i="7"/>
  <c r="BP416" i="7" s="1"/>
  <c r="BQ415" i="7"/>
  <c r="H415" i="7" s="1"/>
  <c r="CF424" i="7"/>
  <c r="DA424" i="7" s="1"/>
  <c r="BS423" i="7"/>
  <c r="CN423" i="7" s="1"/>
  <c r="AH421" i="7"/>
  <c r="AF421" i="7"/>
  <c r="AI421" i="7" s="1"/>
  <c r="BU434" i="7"/>
  <c r="CP434" i="7" s="1"/>
  <c r="CE427" i="7"/>
  <c r="CZ427" i="7" s="1"/>
  <c r="CJ458" i="7"/>
  <c r="DE458" i="7" s="1"/>
  <c r="EO426" i="7" l="1"/>
  <c r="AN424" i="7"/>
  <c r="EN420" i="7"/>
  <c r="AM427" i="7"/>
  <c r="AO419" i="7"/>
  <c r="CK425" i="7"/>
  <c r="DF425" i="7" s="1"/>
  <c r="CB427" i="7"/>
  <c r="CW427" i="7" s="1"/>
  <c r="CL423" i="7"/>
  <c r="DG423" i="7" s="1"/>
  <c r="EM422" i="7"/>
  <c r="DM421" i="7"/>
  <c r="DR421" i="7"/>
  <c r="DN421" i="7"/>
  <c r="EA419" i="7"/>
  <c r="DZ419" i="7"/>
  <c r="EF423" i="7"/>
  <c r="EC423" i="7"/>
  <c r="EB418" i="7"/>
  <c r="DX418" i="7"/>
  <c r="DW418" i="7"/>
  <c r="BC422" i="7"/>
  <c r="AY422" i="7"/>
  <c r="BB422" i="7"/>
  <c r="AZ422" i="7"/>
  <c r="BA422" i="7"/>
  <c r="AX422" i="7"/>
  <c r="AV422" i="7"/>
  <c r="AT422" i="7"/>
  <c r="M423" i="7"/>
  <c r="AV423" i="7" s="1"/>
  <c r="DV423" i="7"/>
  <c r="AW422" i="7"/>
  <c r="BY456" i="7"/>
  <c r="CT456" i="7" s="1"/>
  <c r="BX456" i="7"/>
  <c r="CS456" i="7" s="1"/>
  <c r="BW458" i="7"/>
  <c r="CR458" i="7" s="1"/>
  <c r="DK421" i="7"/>
  <c r="DQ421" i="7"/>
  <c r="DP421" i="7"/>
  <c r="BE420" i="7"/>
  <c r="BD421" i="7"/>
  <c r="AG421" i="7"/>
  <c r="DJ421" i="7"/>
  <c r="DJ422" i="7" s="1"/>
  <c r="BF420" i="7"/>
  <c r="DL421" i="7"/>
  <c r="BD420" i="7"/>
  <c r="CM447" i="7"/>
  <c r="DH447" i="7" s="1"/>
  <c r="CC441" i="7"/>
  <c r="CX441" i="7" s="1"/>
  <c r="G415" i="7"/>
  <c r="BM127" i="7"/>
  <c r="BV425" i="7"/>
  <c r="CQ425" i="7" s="1"/>
  <c r="BT427" i="7"/>
  <c r="CO427" i="7" s="1"/>
  <c r="DS425" i="7"/>
  <c r="P425" i="7" s="1"/>
  <c r="CI426" i="7"/>
  <c r="DD426" i="7" s="1"/>
  <c r="BO417" i="7"/>
  <c r="CA419" i="7"/>
  <c r="CV419" i="7" s="1"/>
  <c r="CG420" i="7"/>
  <c r="DB420" i="7" s="1"/>
  <c r="BZ421" i="7"/>
  <c r="CU421" i="7" s="1"/>
  <c r="CD423" i="7"/>
  <c r="CY423" i="7" s="1"/>
  <c r="CH420" i="7"/>
  <c r="DC420" i="7" s="1"/>
  <c r="BN419" i="7"/>
  <c r="CF425" i="7"/>
  <c r="DA425" i="7" s="1"/>
  <c r="BQ416" i="7"/>
  <c r="H416" i="7" s="1"/>
  <c r="DI417" i="7"/>
  <c r="BP417" i="7" s="1"/>
  <c r="BS424" i="7"/>
  <c r="CN424" i="7" s="1"/>
  <c r="AH422" i="7"/>
  <c r="AF422" i="7"/>
  <c r="AI422" i="7" s="1"/>
  <c r="BU435" i="7"/>
  <c r="CP435" i="7" s="1"/>
  <c r="CE428" i="7"/>
  <c r="CZ428" i="7" s="1"/>
  <c r="CJ459" i="7"/>
  <c r="DE459" i="7" s="1"/>
  <c r="EO427" i="7" l="1"/>
  <c r="CK426" i="7"/>
  <c r="DF426" i="7" s="1"/>
  <c r="AO420" i="7"/>
  <c r="AM428" i="7"/>
  <c r="AN425" i="7"/>
  <c r="EN421" i="7"/>
  <c r="CB428" i="7"/>
  <c r="CW428" i="7" s="1"/>
  <c r="DN422" i="7"/>
  <c r="CL424" i="7"/>
  <c r="DG424" i="7" s="1"/>
  <c r="EM423" i="7"/>
  <c r="DM422" i="7"/>
  <c r="DO422" i="7"/>
  <c r="EC424" i="7"/>
  <c r="EF424" i="7"/>
  <c r="DZ420" i="7"/>
  <c r="EA420" i="7"/>
  <c r="EB419" i="7"/>
  <c r="DX419" i="7"/>
  <c r="DW419" i="7"/>
  <c r="N128" i="7"/>
  <c r="D117" i="32"/>
  <c r="DQ422" i="7"/>
  <c r="AU423" i="7"/>
  <c r="AY423" i="7"/>
  <c r="AT423" i="7"/>
  <c r="BA423" i="7"/>
  <c r="AX423" i="7"/>
  <c r="BB423" i="7"/>
  <c r="AZ423" i="7"/>
  <c r="BC423" i="7"/>
  <c r="AW423" i="7"/>
  <c r="M424" i="7"/>
  <c r="AV424" i="7" s="1"/>
  <c r="DV424" i="7"/>
  <c r="BX457" i="7"/>
  <c r="CS457" i="7" s="1"/>
  <c r="BY457" i="7"/>
  <c r="CT457" i="7" s="1"/>
  <c r="BW459" i="7"/>
  <c r="CR459" i="7" s="1"/>
  <c r="BF421" i="7"/>
  <c r="DL422" i="7"/>
  <c r="BE421" i="7"/>
  <c r="DK422" i="7"/>
  <c r="DP422" i="7"/>
  <c r="DR422" i="7"/>
  <c r="AG422" i="7"/>
  <c r="CM448" i="7"/>
  <c r="DH448" i="7" s="1"/>
  <c r="CC442" i="7"/>
  <c r="CX442" i="7" s="1"/>
  <c r="G416" i="7"/>
  <c r="B127" i="7"/>
  <c r="BT428" i="7"/>
  <c r="CO428" i="7" s="1"/>
  <c r="DS426" i="7"/>
  <c r="P426" i="7" s="1"/>
  <c r="CI427" i="7"/>
  <c r="DD427" i="7" s="1"/>
  <c r="BV426" i="7"/>
  <c r="CQ426" i="7" s="1"/>
  <c r="CA420" i="7"/>
  <c r="CV420" i="7" s="1"/>
  <c r="BO418" i="7"/>
  <c r="CG421" i="7"/>
  <c r="DB421" i="7" s="1"/>
  <c r="BZ422" i="7"/>
  <c r="CU422" i="7" s="1"/>
  <c r="CD424" i="7"/>
  <c r="CY424" i="7" s="1"/>
  <c r="BQ417" i="7"/>
  <c r="H417" i="7" s="1"/>
  <c r="DI418" i="7"/>
  <c r="BP418" i="7" s="1"/>
  <c r="CF426" i="7"/>
  <c r="DA426" i="7" s="1"/>
  <c r="CH421" i="7"/>
  <c r="DC421" i="7" s="1"/>
  <c r="BN420" i="7"/>
  <c r="BS425" i="7"/>
  <c r="CN425" i="7" s="1"/>
  <c r="BU436" i="7"/>
  <c r="CP436" i="7" s="1"/>
  <c r="CE429" i="7"/>
  <c r="CZ429" i="7" s="1"/>
  <c r="CJ460" i="7"/>
  <c r="DE460" i="7" s="1"/>
  <c r="CK427" i="7" l="1"/>
  <c r="DF427" i="7" s="1"/>
  <c r="AM429" i="7"/>
  <c r="EO428" i="7"/>
  <c r="AO421" i="7"/>
  <c r="AN426" i="7"/>
  <c r="EN422" i="7"/>
  <c r="CB429" i="7"/>
  <c r="CW429" i="7" s="1"/>
  <c r="F117" i="32"/>
  <c r="G117" i="32" s="1"/>
  <c r="P117" i="32" s="1"/>
  <c r="Q117" i="32" s="1"/>
  <c r="AP128" i="7"/>
  <c r="BG128" i="7" s="1"/>
  <c r="AQ128" i="7"/>
  <c r="BH128" i="7" s="1"/>
  <c r="AR128" i="7"/>
  <c r="BI128" i="7" s="1"/>
  <c r="CL425" i="7"/>
  <c r="DG425" i="7" s="1"/>
  <c r="EM424" i="7"/>
  <c r="EF425" i="7"/>
  <c r="EC425" i="7"/>
  <c r="DZ421" i="7"/>
  <c r="EA421" i="7"/>
  <c r="EB420" i="7"/>
  <c r="DW420" i="7"/>
  <c r="DX420" i="7"/>
  <c r="AK128" i="7"/>
  <c r="D128" i="7" s="1"/>
  <c r="AJ128" i="7"/>
  <c r="C128" i="7" s="1"/>
  <c r="AL128" i="7"/>
  <c r="E128" i="7" s="1"/>
  <c r="BC424" i="7"/>
  <c r="BA424" i="7"/>
  <c r="AZ424" i="7"/>
  <c r="AX424" i="7"/>
  <c r="AY424" i="7"/>
  <c r="BB424" i="7"/>
  <c r="AW424" i="7"/>
  <c r="AT424" i="7"/>
  <c r="DO423" i="7"/>
  <c r="AU424" i="7"/>
  <c r="M425" i="7"/>
  <c r="AZ425" i="7" s="1"/>
  <c r="DV425" i="7"/>
  <c r="BY458" i="7"/>
  <c r="CT458" i="7" s="1"/>
  <c r="BX458" i="7"/>
  <c r="CS458" i="7" s="1"/>
  <c r="BW460" i="7"/>
  <c r="CR460" i="7" s="1"/>
  <c r="BE422" i="7"/>
  <c r="BD422" i="7"/>
  <c r="BF422" i="7"/>
  <c r="DR423" i="7"/>
  <c r="AH423" i="7"/>
  <c r="DN423" i="7"/>
  <c r="AF423" i="7"/>
  <c r="AI423" i="7" s="1"/>
  <c r="DM423" i="7"/>
  <c r="DJ423" i="7"/>
  <c r="DL423" i="7"/>
  <c r="DP423" i="7"/>
  <c r="DK423" i="7"/>
  <c r="DQ423" i="7"/>
  <c r="AG423" i="7"/>
  <c r="CM449" i="7"/>
  <c r="DH449" i="7" s="1"/>
  <c r="CC443" i="7"/>
  <c r="CX443" i="7" s="1"/>
  <c r="G417" i="7"/>
  <c r="BV427" i="7"/>
  <c r="CQ427" i="7" s="1"/>
  <c r="DS427" i="7"/>
  <c r="P427" i="7" s="1"/>
  <c r="CI428" i="7"/>
  <c r="DD428" i="7" s="1"/>
  <c r="BT429" i="7"/>
  <c r="CO429" i="7" s="1"/>
  <c r="CA421" i="7"/>
  <c r="CV421" i="7" s="1"/>
  <c r="BO419" i="7"/>
  <c r="CG422" i="7"/>
  <c r="DB422" i="7" s="1"/>
  <c r="BZ423" i="7"/>
  <c r="CU423" i="7" s="1"/>
  <c r="CD425" i="7"/>
  <c r="CY425" i="7" s="1"/>
  <c r="CF427" i="7"/>
  <c r="DA427" i="7" s="1"/>
  <c r="BQ418" i="7"/>
  <c r="H418" i="7" s="1"/>
  <c r="DI419" i="7"/>
  <c r="BP419" i="7" s="1"/>
  <c r="CH422" i="7"/>
  <c r="DC422" i="7" s="1"/>
  <c r="BN421" i="7"/>
  <c r="BS426" i="7"/>
  <c r="CN426" i="7" s="1"/>
  <c r="AG424" i="7"/>
  <c r="BU437" i="7"/>
  <c r="CP437" i="7" s="1"/>
  <c r="CE430" i="7"/>
  <c r="CZ430" i="7" s="1"/>
  <c r="CJ461" i="7"/>
  <c r="DE461" i="7" s="1"/>
  <c r="AM430" i="7" l="1"/>
  <c r="AN427" i="7"/>
  <c r="DL424" i="7"/>
  <c r="AO422" i="7"/>
  <c r="EN423" i="7"/>
  <c r="EO429" i="7"/>
  <c r="CK428" i="7"/>
  <c r="DF428" i="7" s="1"/>
  <c r="CB430" i="7"/>
  <c r="CW430" i="7" s="1"/>
  <c r="CL426" i="7"/>
  <c r="DG426" i="7" s="1"/>
  <c r="EM425" i="7"/>
  <c r="DQ424" i="7"/>
  <c r="EF426" i="7"/>
  <c r="EC426" i="7"/>
  <c r="DZ422" i="7"/>
  <c r="EA422" i="7"/>
  <c r="DW421" i="7"/>
  <c r="DX421" i="7"/>
  <c r="EB421" i="7"/>
  <c r="BB425" i="7"/>
  <c r="AW425" i="7"/>
  <c r="DO424" i="7"/>
  <c r="BA425" i="7"/>
  <c r="AY425" i="7"/>
  <c r="AV425" i="7"/>
  <c r="AU425" i="7"/>
  <c r="AX425" i="7"/>
  <c r="M426" i="7"/>
  <c r="AW426" i="7" s="1"/>
  <c r="DV426" i="7"/>
  <c r="AT425" i="7"/>
  <c r="BC425" i="7"/>
  <c r="BX459" i="7"/>
  <c r="CS459" i="7" s="1"/>
  <c r="BY459" i="7"/>
  <c r="CT459" i="7" s="1"/>
  <c r="BW461" i="7"/>
  <c r="CR461" i="7" s="1"/>
  <c r="BF423" i="7"/>
  <c r="DR424" i="7"/>
  <c r="BE423" i="7"/>
  <c r="DJ424" i="7"/>
  <c r="DM424" i="7"/>
  <c r="DK424" i="7"/>
  <c r="AH424" i="7"/>
  <c r="BD423" i="7"/>
  <c r="AF424" i="7"/>
  <c r="AI424" i="7" s="1"/>
  <c r="DN424" i="7"/>
  <c r="DP424" i="7"/>
  <c r="CM450" i="7"/>
  <c r="DH450" i="7" s="1"/>
  <c r="CC444" i="7"/>
  <c r="CX444" i="7" s="1"/>
  <c r="G418" i="7"/>
  <c r="BK128" i="7"/>
  <c r="F128" i="7"/>
  <c r="BJ128" i="7"/>
  <c r="BL128" i="7"/>
  <c r="BT430" i="7"/>
  <c r="CO430" i="7" s="1"/>
  <c r="DS428" i="7"/>
  <c r="P428" i="7" s="1"/>
  <c r="CI429" i="7"/>
  <c r="DD429" i="7" s="1"/>
  <c r="BV428" i="7"/>
  <c r="CQ428" i="7" s="1"/>
  <c r="CA422" i="7"/>
  <c r="CV422" i="7" s="1"/>
  <c r="BO420" i="7"/>
  <c r="CG423" i="7"/>
  <c r="DB423" i="7" s="1"/>
  <c r="BZ424" i="7"/>
  <c r="CU424" i="7" s="1"/>
  <c r="CD426" i="7"/>
  <c r="CY426" i="7" s="1"/>
  <c r="BN422" i="7"/>
  <c r="CH423" i="7"/>
  <c r="DC423" i="7" s="1"/>
  <c r="CF428" i="7"/>
  <c r="DA428" i="7" s="1"/>
  <c r="BQ419" i="7"/>
  <c r="H419" i="7" s="1"/>
  <c r="DI420" i="7"/>
  <c r="BP420" i="7" s="1"/>
  <c r="BD424" i="7"/>
  <c r="BS427" i="7"/>
  <c r="CN427" i="7" s="1"/>
  <c r="BU438" i="7"/>
  <c r="CP438" i="7" s="1"/>
  <c r="CE431" i="7"/>
  <c r="CZ431" i="7" s="1"/>
  <c r="CJ462" i="7"/>
  <c r="DE462" i="7" s="1"/>
  <c r="AO423" i="7" l="1"/>
  <c r="CK429" i="7"/>
  <c r="DF429" i="7" s="1"/>
  <c r="AM431" i="7"/>
  <c r="EO430" i="7"/>
  <c r="AN428" i="7"/>
  <c r="EN424" i="7"/>
  <c r="CB431" i="7"/>
  <c r="CW431" i="7" s="1"/>
  <c r="CL427" i="7"/>
  <c r="DG427" i="7" s="1"/>
  <c r="EM426" i="7"/>
  <c r="DO425" i="7"/>
  <c r="DZ423" i="7"/>
  <c r="EA423" i="7"/>
  <c r="EB422" i="7"/>
  <c r="DX422" i="7"/>
  <c r="DW422" i="7"/>
  <c r="EF427" i="7"/>
  <c r="EC427" i="7"/>
  <c r="AT426" i="7"/>
  <c r="BA426" i="7"/>
  <c r="AY426" i="7"/>
  <c r="BC426" i="7"/>
  <c r="AZ426" i="7"/>
  <c r="BB426" i="7"/>
  <c r="AV426" i="7"/>
  <c r="AX426" i="7"/>
  <c r="AU426" i="7"/>
  <c r="M427" i="7"/>
  <c r="AZ427" i="7" s="1"/>
  <c r="DV427" i="7"/>
  <c r="BY460" i="7"/>
  <c r="CT460" i="7" s="1"/>
  <c r="BX460" i="7"/>
  <c r="CS460" i="7" s="1"/>
  <c r="BW462" i="7"/>
  <c r="CR462" i="7" s="1"/>
  <c r="BF424" i="7"/>
  <c r="BE424" i="7"/>
  <c r="DR425" i="7"/>
  <c r="AG425" i="7"/>
  <c r="DM425" i="7"/>
  <c r="AF425" i="7"/>
  <c r="AI425" i="7" s="1"/>
  <c r="DL425" i="7"/>
  <c r="DN425" i="7"/>
  <c r="DQ425" i="7"/>
  <c r="DK425" i="7"/>
  <c r="AH425" i="7"/>
  <c r="DP425" i="7"/>
  <c r="DJ425" i="7"/>
  <c r="CM451" i="7"/>
  <c r="DH451" i="7" s="1"/>
  <c r="CC445" i="7"/>
  <c r="CX445" i="7" s="1"/>
  <c r="G419" i="7"/>
  <c r="BM128" i="7"/>
  <c r="BV429" i="7"/>
  <c r="CQ429" i="7" s="1"/>
  <c r="BT431" i="7"/>
  <c r="CO431" i="7" s="1"/>
  <c r="CI430" i="7"/>
  <c r="DD430" i="7" s="1"/>
  <c r="DS429" i="7"/>
  <c r="P429" i="7" s="1"/>
  <c r="BO421" i="7"/>
  <c r="CA423" i="7"/>
  <c r="CV423" i="7" s="1"/>
  <c r="CG424" i="7"/>
  <c r="DB424" i="7" s="1"/>
  <c r="BZ425" i="7"/>
  <c r="CU425" i="7" s="1"/>
  <c r="CD427" i="7"/>
  <c r="CY427" i="7" s="1"/>
  <c r="BQ420" i="7"/>
  <c r="H420" i="7" s="1"/>
  <c r="DI421" i="7"/>
  <c r="BP421" i="7" s="1"/>
  <c r="BN423" i="7"/>
  <c r="CH424" i="7"/>
  <c r="DC424" i="7" s="1"/>
  <c r="CF429" i="7"/>
  <c r="DA429" i="7" s="1"/>
  <c r="AH426" i="7"/>
  <c r="AF426" i="7"/>
  <c r="AI426" i="7" s="1"/>
  <c r="BS428" i="7"/>
  <c r="CN428" i="7" s="1"/>
  <c r="BU439" i="7"/>
  <c r="CP439" i="7" s="1"/>
  <c r="CE432" i="7"/>
  <c r="CZ432" i="7" s="1"/>
  <c r="CJ463" i="7"/>
  <c r="DE463" i="7" s="1"/>
  <c r="CK430" i="7" l="1"/>
  <c r="DF430" i="7" s="1"/>
  <c r="AN429" i="7"/>
  <c r="EN425" i="7"/>
  <c r="EO431" i="7"/>
  <c r="AM432" i="7"/>
  <c r="AO424" i="7"/>
  <c r="CB432" i="7"/>
  <c r="CW432" i="7" s="1"/>
  <c r="CL428" i="7"/>
  <c r="DG428" i="7" s="1"/>
  <c r="EM427" i="7"/>
  <c r="DO426" i="7"/>
  <c r="DO427" i="7" s="1"/>
  <c r="EA424" i="7"/>
  <c r="DZ424" i="7"/>
  <c r="EF428" i="7"/>
  <c r="EC428" i="7"/>
  <c r="DW423" i="7"/>
  <c r="EB423" i="7"/>
  <c r="DX423" i="7"/>
  <c r="N129" i="7"/>
  <c r="D118" i="32"/>
  <c r="BA427" i="7"/>
  <c r="AW427" i="7"/>
  <c r="AX427" i="7"/>
  <c r="BC427" i="7"/>
  <c r="DR426" i="7"/>
  <c r="BB427" i="7"/>
  <c r="AV427" i="7"/>
  <c r="AT427" i="7"/>
  <c r="AU427" i="7"/>
  <c r="AY427" i="7"/>
  <c r="M428" i="7"/>
  <c r="AY428" i="7" s="1"/>
  <c r="DV428" i="7"/>
  <c r="BX461" i="7"/>
  <c r="CS461" i="7" s="1"/>
  <c r="BY461" i="7"/>
  <c r="CT461" i="7" s="1"/>
  <c r="BW463" i="7"/>
  <c r="CR463" i="7" s="1"/>
  <c r="DL426" i="7"/>
  <c r="BE425" i="7"/>
  <c r="DN426" i="7"/>
  <c r="BF425" i="7"/>
  <c r="DM426" i="7"/>
  <c r="DK426" i="7"/>
  <c r="BD425" i="7"/>
  <c r="DQ426" i="7"/>
  <c r="AG426" i="7"/>
  <c r="DP426" i="7"/>
  <c r="DJ426" i="7"/>
  <c r="CM452" i="7"/>
  <c r="DH452" i="7" s="1"/>
  <c r="CC446" i="7"/>
  <c r="CX446" i="7" s="1"/>
  <c r="G420" i="7"/>
  <c r="B128" i="7"/>
  <c r="BT432" i="7"/>
  <c r="CO432" i="7" s="1"/>
  <c r="CI431" i="7"/>
  <c r="DD431" i="7" s="1"/>
  <c r="DS430" i="7"/>
  <c r="P430" i="7" s="1"/>
  <c r="BV430" i="7"/>
  <c r="CQ430" i="7" s="1"/>
  <c r="BO422" i="7"/>
  <c r="CA424" i="7"/>
  <c r="CV424" i="7" s="1"/>
  <c r="CG425" i="7"/>
  <c r="DB425" i="7" s="1"/>
  <c r="BZ426" i="7"/>
  <c r="CU426" i="7" s="1"/>
  <c r="CD428" i="7"/>
  <c r="CY428" i="7" s="1"/>
  <c r="CH425" i="7"/>
  <c r="DC425" i="7" s="1"/>
  <c r="BN424" i="7"/>
  <c r="CF430" i="7"/>
  <c r="DA430" i="7" s="1"/>
  <c r="BQ421" i="7"/>
  <c r="H421" i="7" s="1"/>
  <c r="DI422" i="7"/>
  <c r="BP422" i="7" s="1"/>
  <c r="AH427" i="7"/>
  <c r="AF427" i="7"/>
  <c r="AI427" i="7" s="1"/>
  <c r="AG427" i="7"/>
  <c r="BS429" i="7"/>
  <c r="CN429" i="7" s="1"/>
  <c r="BU440" i="7"/>
  <c r="CP440" i="7" s="1"/>
  <c r="CE433" i="7"/>
  <c r="CZ433" i="7" s="1"/>
  <c r="CJ464" i="7"/>
  <c r="DE464" i="7" s="1"/>
  <c r="AM433" i="7" l="1"/>
  <c r="AN430" i="7"/>
  <c r="EN426" i="7"/>
  <c r="EO432" i="7"/>
  <c r="AO425" i="7"/>
  <c r="CK431" i="7"/>
  <c r="DF431" i="7" s="1"/>
  <c r="CB433" i="7"/>
  <c r="CW433" i="7" s="1"/>
  <c r="F118" i="32"/>
  <c r="G118" i="32" s="1"/>
  <c r="P118" i="32" s="1"/>
  <c r="Q118" i="32" s="1"/>
  <c r="AQ129" i="7"/>
  <c r="BH129" i="7" s="1"/>
  <c r="AR129" i="7"/>
  <c r="BI129" i="7" s="1"/>
  <c r="AP129" i="7"/>
  <c r="BG129" i="7" s="1"/>
  <c r="CL429" i="7"/>
  <c r="DG429" i="7" s="1"/>
  <c r="EM428" i="7"/>
  <c r="DM427" i="7"/>
  <c r="EF429" i="7"/>
  <c r="EC429" i="7"/>
  <c r="EB424" i="7"/>
  <c r="DX424" i="7"/>
  <c r="DW424" i="7"/>
  <c r="DZ425" i="7"/>
  <c r="EA425" i="7"/>
  <c r="AL129" i="7"/>
  <c r="E129" i="7" s="1"/>
  <c r="AK129" i="7"/>
  <c r="D129" i="7" s="1"/>
  <c r="AJ129" i="7"/>
  <c r="C129" i="7" s="1"/>
  <c r="DR427" i="7"/>
  <c r="DJ427" i="7"/>
  <c r="AW428" i="7"/>
  <c r="AX428" i="7"/>
  <c r="BC428" i="7"/>
  <c r="AZ428" i="7"/>
  <c r="AT428" i="7"/>
  <c r="DN427" i="7"/>
  <c r="BA428" i="7"/>
  <c r="AU428" i="7"/>
  <c r="DJ428" i="7" s="1"/>
  <c r="AV428" i="7"/>
  <c r="BB428" i="7"/>
  <c r="M429" i="7"/>
  <c r="AZ429" i="7" s="1"/>
  <c r="DV429" i="7"/>
  <c r="BY462" i="7"/>
  <c r="CT462" i="7" s="1"/>
  <c r="BX462" i="7"/>
  <c r="CS462" i="7" s="1"/>
  <c r="BW464" i="7"/>
  <c r="CR464" i="7" s="1"/>
  <c r="DK427" i="7"/>
  <c r="BE426" i="7"/>
  <c r="DP427" i="7"/>
  <c r="BD426" i="7"/>
  <c r="BF426" i="7"/>
  <c r="DQ427" i="7"/>
  <c r="DL427" i="7"/>
  <c r="CM453" i="7"/>
  <c r="DH453" i="7" s="1"/>
  <c r="CC447" i="7"/>
  <c r="CX447" i="7" s="1"/>
  <c r="G421" i="7"/>
  <c r="CI432" i="7"/>
  <c r="DD432" i="7" s="1"/>
  <c r="DS431" i="7"/>
  <c r="P431" i="7" s="1"/>
  <c r="BV431" i="7"/>
  <c r="CQ431" i="7" s="1"/>
  <c r="BT433" i="7"/>
  <c r="CO433" i="7" s="1"/>
  <c r="CA425" i="7"/>
  <c r="CV425" i="7" s="1"/>
  <c r="BO423" i="7"/>
  <c r="CG426" i="7"/>
  <c r="DB426" i="7" s="1"/>
  <c r="BZ427" i="7"/>
  <c r="CU427" i="7" s="1"/>
  <c r="CD429" i="7"/>
  <c r="CY429" i="7" s="1"/>
  <c r="DI423" i="7"/>
  <c r="BP423" i="7" s="1"/>
  <c r="BQ422" i="7"/>
  <c r="H422" i="7" s="1"/>
  <c r="CF431" i="7"/>
  <c r="DA431" i="7" s="1"/>
  <c r="BN425" i="7"/>
  <c r="CH426" i="7"/>
  <c r="DC426" i="7" s="1"/>
  <c r="AF428" i="7"/>
  <c r="AI428" i="7" s="1"/>
  <c r="AH428" i="7"/>
  <c r="BS430" i="7"/>
  <c r="CN430" i="7" s="1"/>
  <c r="BD427" i="7"/>
  <c r="BE427" i="7"/>
  <c r="BF427" i="7"/>
  <c r="BU441" i="7"/>
  <c r="CP441" i="7" s="1"/>
  <c r="CE434" i="7"/>
  <c r="CZ434" i="7" s="1"/>
  <c r="CJ465" i="7"/>
  <c r="DE465" i="7" s="1"/>
  <c r="AO426" i="7" l="1"/>
  <c r="CK432" i="7"/>
  <c r="DF432" i="7" s="1"/>
  <c r="AM434" i="7"/>
  <c r="AN431" i="7"/>
  <c r="EN427" i="7"/>
  <c r="EO433" i="7"/>
  <c r="DR428" i="7"/>
  <c r="CB434" i="7"/>
  <c r="CW434" i="7" s="1"/>
  <c r="CL430" i="7"/>
  <c r="DG430" i="7" s="1"/>
  <c r="EM429" i="7"/>
  <c r="EB425" i="7"/>
  <c r="DW425" i="7"/>
  <c r="DX425" i="7"/>
  <c r="EF430" i="7"/>
  <c r="EC430" i="7"/>
  <c r="DZ426" i="7"/>
  <c r="EA426" i="7"/>
  <c r="AY429" i="7"/>
  <c r="DO428" i="7"/>
  <c r="AT429" i="7"/>
  <c r="AW429" i="7"/>
  <c r="BC429" i="7"/>
  <c r="AV429" i="7"/>
  <c r="AX429" i="7"/>
  <c r="AU429" i="7"/>
  <c r="M430" i="7"/>
  <c r="AX430" i="7" s="1"/>
  <c r="DV430" i="7"/>
  <c r="BB429" i="7"/>
  <c r="BA429" i="7"/>
  <c r="BX463" i="7"/>
  <c r="CS463" i="7" s="1"/>
  <c r="BY463" i="7"/>
  <c r="CT463" i="7" s="1"/>
  <c r="BW465" i="7"/>
  <c r="CR465" i="7" s="1"/>
  <c r="AG428" i="7"/>
  <c r="DN428" i="7"/>
  <c r="DK428" i="7"/>
  <c r="DL428" i="7"/>
  <c r="DQ428" i="7"/>
  <c r="DM428" i="7"/>
  <c r="DP428" i="7"/>
  <c r="CM454" i="7"/>
  <c r="DH454" i="7" s="1"/>
  <c r="CC448" i="7"/>
  <c r="CX448" i="7" s="1"/>
  <c r="G422" i="7"/>
  <c r="BL129" i="7"/>
  <c r="F129" i="7"/>
  <c r="BJ129" i="7"/>
  <c r="BK129" i="7"/>
  <c r="BV432" i="7"/>
  <c r="CQ432" i="7" s="1"/>
  <c r="BT434" i="7"/>
  <c r="CO434" i="7" s="1"/>
  <c r="CI433" i="7"/>
  <c r="DD433" i="7" s="1"/>
  <c r="DS432" i="7"/>
  <c r="P432" i="7" s="1"/>
  <c r="BO424" i="7"/>
  <c r="CA426" i="7"/>
  <c r="CV426" i="7" s="1"/>
  <c r="CG427" i="7"/>
  <c r="DB427" i="7" s="1"/>
  <c r="BZ428" i="7"/>
  <c r="CU428" i="7" s="1"/>
  <c r="CD430" i="7"/>
  <c r="CY430" i="7" s="1"/>
  <c r="CF432" i="7"/>
  <c r="DA432" i="7" s="1"/>
  <c r="DI424" i="7"/>
  <c r="BP424" i="7" s="1"/>
  <c r="BQ423" i="7"/>
  <c r="H423" i="7" s="1"/>
  <c r="BN426" i="7"/>
  <c r="CH427" i="7"/>
  <c r="DC427" i="7" s="1"/>
  <c r="BS431" i="7"/>
  <c r="CN431" i="7" s="1"/>
  <c r="BD428" i="7"/>
  <c r="BF428" i="7"/>
  <c r="BU442" i="7"/>
  <c r="CP442" i="7" s="1"/>
  <c r="CE435" i="7"/>
  <c r="CZ435" i="7" s="1"/>
  <c r="CJ466" i="7"/>
  <c r="DE466" i="7" s="1"/>
  <c r="AM435" i="7" l="1"/>
  <c r="AO427" i="7"/>
  <c r="CK433" i="7"/>
  <c r="DF433" i="7" s="1"/>
  <c r="EN428" i="7"/>
  <c r="EO434" i="7"/>
  <c r="AN432" i="7"/>
  <c r="CB435" i="7"/>
  <c r="CW435" i="7" s="1"/>
  <c r="DO429" i="7"/>
  <c r="CL431" i="7"/>
  <c r="DG431" i="7" s="1"/>
  <c r="EM430" i="7"/>
  <c r="EF431" i="7"/>
  <c r="EC431" i="7"/>
  <c r="DZ427" i="7"/>
  <c r="EA427" i="7"/>
  <c r="EB426" i="7"/>
  <c r="DW426" i="7"/>
  <c r="DX426" i="7"/>
  <c r="BC430" i="7"/>
  <c r="BA430" i="7"/>
  <c r="AZ430" i="7"/>
  <c r="AT430" i="7"/>
  <c r="AU430" i="7"/>
  <c r="AY430" i="7"/>
  <c r="BB430" i="7"/>
  <c r="AW430" i="7"/>
  <c r="AV430" i="7"/>
  <c r="M431" i="7"/>
  <c r="AZ431" i="7" s="1"/>
  <c r="DV431" i="7"/>
  <c r="BY464" i="7"/>
  <c r="CT464" i="7" s="1"/>
  <c r="BX464" i="7"/>
  <c r="CS464" i="7" s="1"/>
  <c r="BW466" i="7"/>
  <c r="CR466" i="7" s="1"/>
  <c r="BE428" i="7"/>
  <c r="AG429" i="7"/>
  <c r="DJ429" i="7"/>
  <c r="DR429" i="7"/>
  <c r="DP429" i="7"/>
  <c r="DL429" i="7"/>
  <c r="DN429" i="7"/>
  <c r="DK429" i="7"/>
  <c r="DQ429" i="7"/>
  <c r="DM429" i="7"/>
  <c r="DM430" i="7" s="1"/>
  <c r="AF429" i="7"/>
  <c r="AI429" i="7" s="1"/>
  <c r="AH429" i="7"/>
  <c r="CM455" i="7"/>
  <c r="DH455" i="7" s="1"/>
  <c r="CC449" i="7"/>
  <c r="CX449" i="7" s="1"/>
  <c r="G423" i="7"/>
  <c r="BM129" i="7"/>
  <c r="BT435" i="7"/>
  <c r="CO435" i="7" s="1"/>
  <c r="DS433" i="7"/>
  <c r="P433" i="7" s="1"/>
  <c r="CI434" i="7"/>
  <c r="DD434" i="7" s="1"/>
  <c r="BV433" i="7"/>
  <c r="CQ433" i="7" s="1"/>
  <c r="BO425" i="7"/>
  <c r="CA427" i="7"/>
  <c r="CV427" i="7" s="1"/>
  <c r="CG428" i="7"/>
  <c r="DB428" i="7" s="1"/>
  <c r="BZ429" i="7"/>
  <c r="CU429" i="7" s="1"/>
  <c r="CD431" i="7"/>
  <c r="CY431" i="7" s="1"/>
  <c r="BN427" i="7"/>
  <c r="CH428" i="7"/>
  <c r="DC428" i="7" s="1"/>
  <c r="DI425" i="7"/>
  <c r="BP425" i="7" s="1"/>
  <c r="BQ424" i="7"/>
  <c r="H424" i="7" s="1"/>
  <c r="CF433" i="7"/>
  <c r="DA433" i="7" s="1"/>
  <c r="BS432" i="7"/>
  <c r="CN432" i="7" s="1"/>
  <c r="AH430" i="7"/>
  <c r="AG430" i="7"/>
  <c r="BU443" i="7"/>
  <c r="CP443" i="7" s="1"/>
  <c r="CE436" i="7"/>
  <c r="CZ436" i="7" s="1"/>
  <c r="CJ467" i="7"/>
  <c r="DE467" i="7" s="1"/>
  <c r="AN433" i="7" l="1"/>
  <c r="AM436" i="7"/>
  <c r="AO428" i="7"/>
  <c r="EO435" i="7"/>
  <c r="EN429" i="7"/>
  <c r="CK434" i="7"/>
  <c r="DF434" i="7" s="1"/>
  <c r="CB436" i="7"/>
  <c r="CW436" i="7" s="1"/>
  <c r="DO430" i="7"/>
  <c r="DQ430" i="7"/>
  <c r="CL432" i="7"/>
  <c r="DG432" i="7" s="1"/>
  <c r="EM431" i="7"/>
  <c r="DP430" i="7"/>
  <c r="EB427" i="7"/>
  <c r="DW427" i="7"/>
  <c r="DX427" i="7"/>
  <c r="EF432" i="7"/>
  <c r="EC432" i="7"/>
  <c r="DZ428" i="7"/>
  <c r="EA428" i="7"/>
  <c r="N130" i="7"/>
  <c r="D119" i="32"/>
  <c r="DL430" i="7"/>
  <c r="BA431" i="7"/>
  <c r="AU431" i="7"/>
  <c r="AX431" i="7"/>
  <c r="BC431" i="7"/>
  <c r="AV431" i="7"/>
  <c r="AY431" i="7"/>
  <c r="AW431" i="7"/>
  <c r="AT431" i="7"/>
  <c r="BB431" i="7"/>
  <c r="M432" i="7"/>
  <c r="AV432" i="7" s="1"/>
  <c r="DV432" i="7"/>
  <c r="BX465" i="7"/>
  <c r="CS465" i="7" s="1"/>
  <c r="BY465" i="7"/>
  <c r="CT465" i="7" s="1"/>
  <c r="BW467" i="7"/>
  <c r="CR467" i="7" s="1"/>
  <c r="BD429" i="7"/>
  <c r="DR430" i="7"/>
  <c r="AF430" i="7"/>
  <c r="AI430" i="7" s="1"/>
  <c r="DJ430" i="7"/>
  <c r="BF429" i="7"/>
  <c r="DK430" i="7"/>
  <c r="DN430" i="7"/>
  <c r="BE429" i="7"/>
  <c r="CM456" i="7"/>
  <c r="DH456" i="7" s="1"/>
  <c r="CC450" i="7"/>
  <c r="CX450" i="7" s="1"/>
  <c r="G424" i="7"/>
  <c r="B129" i="7"/>
  <c r="DS434" i="7"/>
  <c r="P434" i="7" s="1"/>
  <c r="CI435" i="7"/>
  <c r="DD435" i="7" s="1"/>
  <c r="BV434" i="7"/>
  <c r="CQ434" i="7" s="1"/>
  <c r="BT436" i="7"/>
  <c r="CO436" i="7" s="1"/>
  <c r="CA428" i="7"/>
  <c r="CV428" i="7" s="1"/>
  <c r="BO426" i="7"/>
  <c r="CG429" i="7"/>
  <c r="DB429" i="7" s="1"/>
  <c r="BZ430" i="7"/>
  <c r="CU430" i="7" s="1"/>
  <c r="CD432" i="7"/>
  <c r="CY432" i="7" s="1"/>
  <c r="DI426" i="7"/>
  <c r="BP426" i="7" s="1"/>
  <c r="BQ425" i="7"/>
  <c r="H425" i="7" s="1"/>
  <c r="CF434" i="7"/>
  <c r="DA434" i="7" s="1"/>
  <c r="BN428" i="7"/>
  <c r="CH429" i="7"/>
  <c r="DC429" i="7" s="1"/>
  <c r="BS433" i="7"/>
  <c r="CN433" i="7" s="1"/>
  <c r="BU444" i="7"/>
  <c r="CP444" i="7" s="1"/>
  <c r="CE437" i="7"/>
  <c r="CZ437" i="7" s="1"/>
  <c r="CJ468" i="7"/>
  <c r="DE468" i="7" s="1"/>
  <c r="AM437" i="7" l="1"/>
  <c r="CK435" i="7"/>
  <c r="DF435" i="7" s="1"/>
  <c r="EN430" i="7"/>
  <c r="AN434" i="7"/>
  <c r="EO436" i="7"/>
  <c r="AO429" i="7"/>
  <c r="CB437" i="7"/>
  <c r="CW437" i="7" s="1"/>
  <c r="DO431" i="7"/>
  <c r="F119" i="32"/>
  <c r="G119" i="32" s="1"/>
  <c r="P119" i="32" s="1"/>
  <c r="Q119" i="32" s="1"/>
  <c r="AP130" i="7"/>
  <c r="BG130" i="7" s="1"/>
  <c r="AQ130" i="7"/>
  <c r="BH130" i="7" s="1"/>
  <c r="AR130" i="7"/>
  <c r="BI130" i="7" s="1"/>
  <c r="CL433" i="7"/>
  <c r="DG433" i="7" s="1"/>
  <c r="EM432" i="7"/>
  <c r="DZ429" i="7"/>
  <c r="EA429" i="7"/>
  <c r="EB428" i="7"/>
  <c r="DW428" i="7"/>
  <c r="DX428" i="7"/>
  <c r="EF433" i="7"/>
  <c r="EC433" i="7"/>
  <c r="AL130" i="7"/>
  <c r="E130" i="7" s="1"/>
  <c r="AK130" i="7"/>
  <c r="D130" i="7" s="1"/>
  <c r="AJ130" i="7"/>
  <c r="C130" i="7" s="1"/>
  <c r="BC432" i="7"/>
  <c r="AX432" i="7"/>
  <c r="AW432" i="7"/>
  <c r="AT432" i="7"/>
  <c r="AY432" i="7"/>
  <c r="BA432" i="7"/>
  <c r="AU432" i="7"/>
  <c r="BB432" i="7"/>
  <c r="AZ432" i="7"/>
  <c r="M433" i="7"/>
  <c r="BB433" i="7" s="1"/>
  <c r="DV433" i="7"/>
  <c r="BY466" i="7"/>
  <c r="CT466" i="7" s="1"/>
  <c r="BX466" i="7"/>
  <c r="CS466" i="7" s="1"/>
  <c r="BW468" i="7"/>
  <c r="CR468" i="7" s="1"/>
  <c r="AG431" i="7"/>
  <c r="BE430" i="7"/>
  <c r="DQ431" i="7"/>
  <c r="DR431" i="7"/>
  <c r="DP431" i="7"/>
  <c r="DL431" i="7"/>
  <c r="BD430" i="7"/>
  <c r="DJ431" i="7"/>
  <c r="DN431" i="7"/>
  <c r="DK431" i="7"/>
  <c r="AH431" i="7"/>
  <c r="DM431" i="7"/>
  <c r="BF430" i="7"/>
  <c r="AF431" i="7"/>
  <c r="AI431" i="7" s="1"/>
  <c r="CM457" i="7"/>
  <c r="DH457" i="7" s="1"/>
  <c r="CC451" i="7"/>
  <c r="CX451" i="7" s="1"/>
  <c r="G425" i="7"/>
  <c r="BT437" i="7"/>
  <c r="CO437" i="7" s="1"/>
  <c r="CI436" i="7"/>
  <c r="DD436" i="7" s="1"/>
  <c r="DS435" i="7"/>
  <c r="P435" i="7" s="1"/>
  <c r="BV435" i="7"/>
  <c r="CQ435" i="7" s="1"/>
  <c r="BO427" i="7"/>
  <c r="CA429" i="7"/>
  <c r="CV429" i="7" s="1"/>
  <c r="CG430" i="7"/>
  <c r="DB430" i="7" s="1"/>
  <c r="BZ431" i="7"/>
  <c r="CU431" i="7" s="1"/>
  <c r="CD433" i="7"/>
  <c r="CY433" i="7" s="1"/>
  <c r="BQ426" i="7"/>
  <c r="H426" i="7" s="1"/>
  <c r="DI427" i="7"/>
  <c r="BP427" i="7" s="1"/>
  <c r="BN429" i="7"/>
  <c r="CH430" i="7"/>
  <c r="DC430" i="7" s="1"/>
  <c r="CF435" i="7"/>
  <c r="DA435" i="7" s="1"/>
  <c r="BS434" i="7"/>
  <c r="CN434" i="7" s="1"/>
  <c r="BU445" i="7"/>
  <c r="CP445" i="7" s="1"/>
  <c r="CE438" i="7"/>
  <c r="CZ438" i="7" s="1"/>
  <c r="CJ469" i="7"/>
  <c r="DE469" i="7" s="1"/>
  <c r="AN435" i="7" l="1"/>
  <c r="CK436" i="7"/>
  <c r="DF436" i="7" s="1"/>
  <c r="EO437" i="7"/>
  <c r="AO430" i="7"/>
  <c r="AM438" i="7"/>
  <c r="EN431" i="7"/>
  <c r="CB438" i="7"/>
  <c r="CW438" i="7" s="1"/>
  <c r="CL434" i="7"/>
  <c r="DG434" i="7" s="1"/>
  <c r="EM433" i="7"/>
  <c r="EF434" i="7"/>
  <c r="EC434" i="7"/>
  <c r="DZ430" i="7"/>
  <c r="EA430" i="7"/>
  <c r="EB429" i="7"/>
  <c r="DW429" i="7"/>
  <c r="DX429" i="7"/>
  <c r="DO432" i="7"/>
  <c r="BA433" i="7"/>
  <c r="AZ433" i="7"/>
  <c r="BC433" i="7"/>
  <c r="AV433" i="7"/>
  <c r="AU433" i="7"/>
  <c r="AX433" i="7"/>
  <c r="AT433" i="7"/>
  <c r="AW433" i="7"/>
  <c r="M434" i="7"/>
  <c r="AX434" i="7" s="1"/>
  <c r="DV434" i="7"/>
  <c r="AY433" i="7"/>
  <c r="BX467" i="7"/>
  <c r="CS467" i="7" s="1"/>
  <c r="BY467" i="7"/>
  <c r="CT467" i="7" s="1"/>
  <c r="BW469" i="7"/>
  <c r="CR469" i="7" s="1"/>
  <c r="BE431" i="7"/>
  <c r="DR432" i="7"/>
  <c r="AH432" i="7"/>
  <c r="DL432" i="7"/>
  <c r="DQ432" i="7"/>
  <c r="DQ433" i="7" s="1"/>
  <c r="DM432" i="7"/>
  <c r="DN432" i="7"/>
  <c r="BD431" i="7"/>
  <c r="DK432" i="7"/>
  <c r="AF432" i="7"/>
  <c r="AI432" i="7" s="1"/>
  <c r="AG432" i="7"/>
  <c r="DJ432" i="7"/>
  <c r="DP432" i="7"/>
  <c r="BF431" i="7"/>
  <c r="CM458" i="7"/>
  <c r="DH458" i="7" s="1"/>
  <c r="CC452" i="7"/>
  <c r="CX452" i="7" s="1"/>
  <c r="G426" i="7"/>
  <c r="F130" i="7"/>
  <c r="BJ130" i="7"/>
  <c r="BL130" i="7"/>
  <c r="BK130" i="7"/>
  <c r="DS436" i="7"/>
  <c r="P436" i="7" s="1"/>
  <c r="CI437" i="7"/>
  <c r="DD437" i="7" s="1"/>
  <c r="BV436" i="7"/>
  <c r="CQ436" i="7" s="1"/>
  <c r="BT438" i="7"/>
  <c r="CO438" i="7" s="1"/>
  <c r="BO428" i="7"/>
  <c r="CA430" i="7"/>
  <c r="CV430" i="7" s="1"/>
  <c r="CG431" i="7"/>
  <c r="DB431" i="7" s="1"/>
  <c r="BZ432" i="7"/>
  <c r="CU432" i="7" s="1"/>
  <c r="CD434" i="7"/>
  <c r="CY434" i="7" s="1"/>
  <c r="BQ427" i="7"/>
  <c r="H427" i="7" s="1"/>
  <c r="DI428" i="7"/>
  <c r="BP428" i="7" s="1"/>
  <c r="CF436" i="7"/>
  <c r="DA436" i="7" s="1"/>
  <c r="BN430" i="7"/>
  <c r="CH431" i="7"/>
  <c r="DC431" i="7" s="1"/>
  <c r="BS435" i="7"/>
  <c r="CN435" i="7" s="1"/>
  <c r="AG433" i="7"/>
  <c r="BU446" i="7"/>
  <c r="CP446" i="7" s="1"/>
  <c r="CE439" i="7"/>
  <c r="CZ439" i="7" s="1"/>
  <c r="CJ470" i="7"/>
  <c r="DE470" i="7" s="1"/>
  <c r="CK437" i="7" l="1"/>
  <c r="DF437" i="7" s="1"/>
  <c r="AM439" i="7"/>
  <c r="AN436" i="7"/>
  <c r="EO438" i="7"/>
  <c r="DP433" i="7"/>
  <c r="EN432" i="7"/>
  <c r="AO431" i="7"/>
  <c r="CB439" i="7"/>
  <c r="CW439" i="7" s="1"/>
  <c r="CL435" i="7"/>
  <c r="DG435" i="7" s="1"/>
  <c r="EM434" i="7"/>
  <c r="DR433" i="7"/>
  <c r="AT434" i="7"/>
  <c r="DO433" i="7"/>
  <c r="EA431" i="7"/>
  <c r="DZ431" i="7"/>
  <c r="DW430" i="7"/>
  <c r="EB430" i="7"/>
  <c r="DX430" i="7"/>
  <c r="EF435" i="7"/>
  <c r="EC435" i="7"/>
  <c r="AU434" i="7"/>
  <c r="BA434" i="7"/>
  <c r="BC434" i="7"/>
  <c r="AW434" i="7"/>
  <c r="AV434" i="7"/>
  <c r="BB434" i="7"/>
  <c r="DK433" i="7"/>
  <c r="AZ434" i="7"/>
  <c r="AY434" i="7"/>
  <c r="DM433" i="7"/>
  <c r="M435" i="7"/>
  <c r="AZ435" i="7" s="1"/>
  <c r="DV435" i="7"/>
  <c r="BY468" i="7"/>
  <c r="CT468" i="7" s="1"/>
  <c r="BX468" i="7"/>
  <c r="CS468" i="7" s="1"/>
  <c r="BW470" i="7"/>
  <c r="CR470" i="7" s="1"/>
  <c r="DJ433" i="7"/>
  <c r="BD432" i="7"/>
  <c r="BF432" i="7"/>
  <c r="BE432" i="7"/>
  <c r="DN433" i="7"/>
  <c r="DL433" i="7"/>
  <c r="AH433" i="7"/>
  <c r="AF433" i="7"/>
  <c r="AI433" i="7" s="1"/>
  <c r="CM459" i="7"/>
  <c r="DH459" i="7" s="1"/>
  <c r="CC453" i="7"/>
  <c r="CX453" i="7" s="1"/>
  <c r="G427" i="7"/>
  <c r="BM130" i="7"/>
  <c r="BV437" i="7"/>
  <c r="CQ437" i="7" s="1"/>
  <c r="CI438" i="7"/>
  <c r="DD438" i="7" s="1"/>
  <c r="DS437" i="7"/>
  <c r="P437" i="7" s="1"/>
  <c r="BT439" i="7"/>
  <c r="CO439" i="7" s="1"/>
  <c r="BO429" i="7"/>
  <c r="CA431" i="7"/>
  <c r="CV431" i="7" s="1"/>
  <c r="CG432" i="7"/>
  <c r="DB432" i="7" s="1"/>
  <c r="BZ433" i="7"/>
  <c r="CU433" i="7" s="1"/>
  <c r="CD435" i="7"/>
  <c r="CY435" i="7" s="1"/>
  <c r="CF437" i="7"/>
  <c r="DA437" i="7" s="1"/>
  <c r="BN431" i="7"/>
  <c r="CH432" i="7"/>
  <c r="DC432" i="7" s="1"/>
  <c r="DI429" i="7"/>
  <c r="BP429" i="7" s="1"/>
  <c r="BQ428" i="7"/>
  <c r="H428" i="7" s="1"/>
  <c r="BS436" i="7"/>
  <c r="CN436" i="7" s="1"/>
  <c r="BU447" i="7"/>
  <c r="CP447" i="7" s="1"/>
  <c r="CE440" i="7"/>
  <c r="CZ440" i="7" s="1"/>
  <c r="CJ471" i="7"/>
  <c r="DE471" i="7" s="1"/>
  <c r="AN437" i="7" l="1"/>
  <c r="AM440" i="7"/>
  <c r="AO432" i="7"/>
  <c r="EN433" i="7"/>
  <c r="EO439" i="7"/>
  <c r="CK438" i="7"/>
  <c r="DF438" i="7" s="1"/>
  <c r="CB440" i="7"/>
  <c r="CW440" i="7" s="1"/>
  <c r="CL436" i="7"/>
  <c r="DG436" i="7" s="1"/>
  <c r="EM435" i="7"/>
  <c r="EC436" i="7"/>
  <c r="EF436" i="7"/>
  <c r="EA432" i="7"/>
  <c r="DZ432" i="7"/>
  <c r="EB431" i="7"/>
  <c r="DX431" i="7"/>
  <c r="DW431" i="7"/>
  <c r="N131" i="7"/>
  <c r="D120" i="32"/>
  <c r="BC435" i="7"/>
  <c r="BA435" i="7"/>
  <c r="AU435" i="7"/>
  <c r="AX435" i="7"/>
  <c r="AV435" i="7"/>
  <c r="DO434" i="7"/>
  <c r="BB435" i="7"/>
  <c r="AT435" i="7"/>
  <c r="M436" i="7"/>
  <c r="AY436" i="7" s="1"/>
  <c r="DV436" i="7"/>
  <c r="AW435" i="7"/>
  <c r="AY435" i="7"/>
  <c r="BX469" i="7"/>
  <c r="CS469" i="7" s="1"/>
  <c r="BY469" i="7"/>
  <c r="CT469" i="7" s="1"/>
  <c r="BW471" i="7"/>
  <c r="CR471" i="7" s="1"/>
  <c r="DL434" i="7"/>
  <c r="DJ434" i="7"/>
  <c r="DJ435" i="7" s="1"/>
  <c r="AH434" i="7"/>
  <c r="BD433" i="7"/>
  <c r="AF434" i="7"/>
  <c r="AI434" i="7" s="1"/>
  <c r="DR434" i="7"/>
  <c r="BF433" i="7"/>
  <c r="DK434" i="7"/>
  <c r="DQ434" i="7"/>
  <c r="DP434" i="7"/>
  <c r="AG434" i="7"/>
  <c r="DN434" i="7"/>
  <c r="DM434" i="7"/>
  <c r="BE433" i="7"/>
  <c r="CM460" i="7"/>
  <c r="DH460" i="7" s="1"/>
  <c r="CC454" i="7"/>
  <c r="CX454" i="7" s="1"/>
  <c r="G428" i="7"/>
  <c r="B130" i="7"/>
  <c r="BT440" i="7"/>
  <c r="CO440" i="7" s="1"/>
  <c r="CI439" i="7"/>
  <c r="DD439" i="7" s="1"/>
  <c r="DS438" i="7"/>
  <c r="P438" i="7" s="1"/>
  <c r="BV438" i="7"/>
  <c r="CQ438" i="7" s="1"/>
  <c r="BO430" i="7"/>
  <c r="CA432" i="7"/>
  <c r="CV432" i="7" s="1"/>
  <c r="CG433" i="7"/>
  <c r="DB433" i="7" s="1"/>
  <c r="BZ434" i="7"/>
  <c r="CU434" i="7" s="1"/>
  <c r="CD436" i="7"/>
  <c r="CY436" i="7" s="1"/>
  <c r="BQ429" i="7"/>
  <c r="H429" i="7" s="1"/>
  <c r="DI430" i="7"/>
  <c r="BP430" i="7" s="1"/>
  <c r="BN432" i="7"/>
  <c r="CH433" i="7"/>
  <c r="DC433" i="7" s="1"/>
  <c r="CF438" i="7"/>
  <c r="DA438" i="7" s="1"/>
  <c r="BS437" i="7"/>
  <c r="CN437" i="7" s="1"/>
  <c r="AF435" i="7"/>
  <c r="AI435" i="7" s="1"/>
  <c r="AG435" i="7"/>
  <c r="BU448" i="7"/>
  <c r="CP448" i="7" s="1"/>
  <c r="CE441" i="7"/>
  <c r="CZ441" i="7" s="1"/>
  <c r="CJ472" i="7"/>
  <c r="DE472" i="7" s="1"/>
  <c r="AM441" i="7" l="1"/>
  <c r="AN438" i="7"/>
  <c r="CK439" i="7"/>
  <c r="DF439" i="7" s="1"/>
  <c r="AO433" i="7"/>
  <c r="EO440" i="7"/>
  <c r="EN434" i="7"/>
  <c r="CB441" i="7"/>
  <c r="CW441" i="7" s="1"/>
  <c r="F120" i="32"/>
  <c r="G120" i="32" s="1"/>
  <c r="P120" i="32" s="1"/>
  <c r="Q120" i="32" s="1"/>
  <c r="AR131" i="7"/>
  <c r="BI131" i="7" s="1"/>
  <c r="AP131" i="7"/>
  <c r="BG131" i="7" s="1"/>
  <c r="AQ131" i="7"/>
  <c r="BH131" i="7" s="1"/>
  <c r="CL437" i="7"/>
  <c r="DG437" i="7" s="1"/>
  <c r="EM436" i="7"/>
  <c r="DW432" i="7"/>
  <c r="DX432" i="7"/>
  <c r="EB432" i="7"/>
  <c r="EF437" i="7"/>
  <c r="EC437" i="7"/>
  <c r="DZ433" i="7"/>
  <c r="EA433" i="7"/>
  <c r="BA436" i="7"/>
  <c r="AJ131" i="7"/>
  <c r="C131" i="7" s="1"/>
  <c r="AL131" i="7"/>
  <c r="E131" i="7" s="1"/>
  <c r="AK131" i="7"/>
  <c r="D131" i="7" s="1"/>
  <c r="DP435" i="7"/>
  <c r="AT436" i="7"/>
  <c r="AV436" i="7"/>
  <c r="AZ436" i="7"/>
  <c r="AU436" i="7"/>
  <c r="BB436" i="7"/>
  <c r="BC436" i="7"/>
  <c r="AX436" i="7"/>
  <c r="M437" i="7"/>
  <c r="AZ437" i="7" s="1"/>
  <c r="DV437" i="7"/>
  <c r="AW436" i="7"/>
  <c r="BY470" i="7"/>
  <c r="CT470" i="7" s="1"/>
  <c r="BX470" i="7"/>
  <c r="CS470" i="7" s="1"/>
  <c r="BW472" i="7"/>
  <c r="CR472" i="7" s="1"/>
  <c r="DK435" i="7"/>
  <c r="BD434" i="7"/>
  <c r="BF434" i="7"/>
  <c r="BE434" i="7"/>
  <c r="AH435" i="7"/>
  <c r="DM435" i="7"/>
  <c r="DO435" i="7"/>
  <c r="DL435" i="7"/>
  <c r="DQ435" i="7"/>
  <c r="DR435" i="7"/>
  <c r="DN435" i="7"/>
  <c r="CM461" i="7"/>
  <c r="DH461" i="7" s="1"/>
  <c r="CC455" i="7"/>
  <c r="CX455" i="7" s="1"/>
  <c r="G429" i="7"/>
  <c r="BV439" i="7"/>
  <c r="CQ439" i="7" s="1"/>
  <c r="DS439" i="7"/>
  <c r="P439" i="7" s="1"/>
  <c r="CI440" i="7"/>
  <c r="DD440" i="7" s="1"/>
  <c r="BT441" i="7"/>
  <c r="CO441" i="7" s="1"/>
  <c r="BO431" i="7"/>
  <c r="CA433" i="7"/>
  <c r="CV433" i="7" s="1"/>
  <c r="CG434" i="7"/>
  <c r="DB434" i="7" s="1"/>
  <c r="BZ435" i="7"/>
  <c r="CU435" i="7" s="1"/>
  <c r="CD437" i="7"/>
  <c r="CY437" i="7" s="1"/>
  <c r="DI431" i="7"/>
  <c r="BP431" i="7" s="1"/>
  <c r="BQ430" i="7"/>
  <c r="H430" i="7" s="1"/>
  <c r="CH434" i="7"/>
  <c r="DC434" i="7" s="1"/>
  <c r="BN433" i="7"/>
  <c r="CF439" i="7"/>
  <c r="DA439" i="7" s="1"/>
  <c r="BS438" i="7"/>
  <c r="CN438" i="7" s="1"/>
  <c r="BU449" i="7"/>
  <c r="CP449" i="7" s="1"/>
  <c r="CE442" i="7"/>
  <c r="CZ442" i="7" s="1"/>
  <c r="CJ473" i="7"/>
  <c r="DE473" i="7" s="1"/>
  <c r="AM442" i="7" l="1"/>
  <c r="EN435" i="7"/>
  <c r="EO441" i="7"/>
  <c r="AN439" i="7"/>
  <c r="AO434" i="7"/>
  <c r="CK440" i="7"/>
  <c r="DF440" i="7" s="1"/>
  <c r="CB442" i="7"/>
  <c r="CW442" i="7" s="1"/>
  <c r="CL438" i="7"/>
  <c r="DG438" i="7" s="1"/>
  <c r="EM437" i="7"/>
  <c r="EF438" i="7"/>
  <c r="EC438" i="7"/>
  <c r="DZ434" i="7"/>
  <c r="EA434" i="7"/>
  <c r="DX433" i="7"/>
  <c r="EB433" i="7"/>
  <c r="DW433" i="7"/>
  <c r="AV437" i="7"/>
  <c r="BB437" i="7"/>
  <c r="AY437" i="7"/>
  <c r="AW437" i="7"/>
  <c r="AT437" i="7"/>
  <c r="BC437" i="7"/>
  <c r="AU437" i="7"/>
  <c r="AX437" i="7"/>
  <c r="BA437" i="7"/>
  <c r="M438" i="7"/>
  <c r="AU438" i="7" s="1"/>
  <c r="DV438" i="7"/>
  <c r="BX471" i="7"/>
  <c r="CS471" i="7" s="1"/>
  <c r="BY471" i="7"/>
  <c r="CT471" i="7" s="1"/>
  <c r="BW473" i="7"/>
  <c r="CR473" i="7" s="1"/>
  <c r="DO436" i="7"/>
  <c r="BD435" i="7"/>
  <c r="DL436" i="7"/>
  <c r="AH436" i="7"/>
  <c r="DK436" i="7"/>
  <c r="DJ436" i="7"/>
  <c r="AG436" i="7"/>
  <c r="DM436" i="7"/>
  <c r="BF435" i="7"/>
  <c r="DN436" i="7"/>
  <c r="DR436" i="7"/>
  <c r="DQ436" i="7"/>
  <c r="AF436" i="7"/>
  <c r="AI436" i="7" s="1"/>
  <c r="DP436" i="7"/>
  <c r="BE435" i="7"/>
  <c r="CM462" i="7"/>
  <c r="DH462" i="7" s="1"/>
  <c r="CC456" i="7"/>
  <c r="CX456" i="7" s="1"/>
  <c r="G430" i="7"/>
  <c r="BL131" i="7"/>
  <c r="BK131" i="7"/>
  <c r="BJ131" i="7"/>
  <c r="F131" i="7"/>
  <c r="BT442" i="7"/>
  <c r="CO442" i="7" s="1"/>
  <c r="CI441" i="7"/>
  <c r="DD441" i="7" s="1"/>
  <c r="DS440" i="7"/>
  <c r="P440" i="7" s="1"/>
  <c r="BV440" i="7"/>
  <c r="CQ440" i="7" s="1"/>
  <c r="BO432" i="7"/>
  <c r="CA434" i="7"/>
  <c r="CV434" i="7" s="1"/>
  <c r="CG435" i="7"/>
  <c r="DB435" i="7" s="1"/>
  <c r="BZ436" i="7"/>
  <c r="CU436" i="7" s="1"/>
  <c r="CD438" i="7"/>
  <c r="CY438" i="7" s="1"/>
  <c r="CF440" i="7"/>
  <c r="DA440" i="7" s="1"/>
  <c r="BQ431" i="7"/>
  <c r="H431" i="7" s="1"/>
  <c r="DI432" i="7"/>
  <c r="BP432" i="7" s="1"/>
  <c r="BN434" i="7"/>
  <c r="CH435" i="7"/>
  <c r="DC435" i="7" s="1"/>
  <c r="AG437" i="7"/>
  <c r="AF437" i="7"/>
  <c r="AI437" i="7" s="1"/>
  <c r="AH437" i="7"/>
  <c r="BS439" i="7"/>
  <c r="CN439" i="7" s="1"/>
  <c r="BU450" i="7"/>
  <c r="CP450" i="7" s="1"/>
  <c r="CE443" i="7"/>
  <c r="CZ443" i="7" s="1"/>
  <c r="CJ474" i="7"/>
  <c r="DE474" i="7" s="1"/>
  <c r="EO442" i="7" l="1"/>
  <c r="CK441" i="7"/>
  <c r="DF441" i="7" s="1"/>
  <c r="AN440" i="7"/>
  <c r="AM443" i="7"/>
  <c r="EN436" i="7"/>
  <c r="AO435" i="7"/>
  <c r="CB443" i="7"/>
  <c r="CW443" i="7" s="1"/>
  <c r="DQ437" i="7"/>
  <c r="CL439" i="7"/>
  <c r="DG439" i="7" s="1"/>
  <c r="EM438" i="7"/>
  <c r="DN437" i="7"/>
  <c r="DJ437" i="7"/>
  <c r="DJ438" i="7" s="1"/>
  <c r="DM437" i="7"/>
  <c r="DR437" i="7"/>
  <c r="EF439" i="7"/>
  <c r="EC439" i="7"/>
  <c r="DZ435" i="7"/>
  <c r="EA435" i="7"/>
  <c r="EB434" i="7"/>
  <c r="DX434" i="7"/>
  <c r="DW434" i="7"/>
  <c r="DP437" i="7"/>
  <c r="BB438" i="7"/>
  <c r="AX438" i="7"/>
  <c r="BC438" i="7"/>
  <c r="BA438" i="7"/>
  <c r="AV438" i="7"/>
  <c r="AT438" i="7"/>
  <c r="AW438" i="7"/>
  <c r="AZ438" i="7"/>
  <c r="AY438" i="7"/>
  <c r="DN438" i="7" s="1"/>
  <c r="M439" i="7"/>
  <c r="BA439" i="7" s="1"/>
  <c r="DV439" i="7"/>
  <c r="BY472" i="7"/>
  <c r="CT472" i="7" s="1"/>
  <c r="BX472" i="7"/>
  <c r="CS472" i="7" s="1"/>
  <c r="BW474" i="7"/>
  <c r="CR474" i="7" s="1"/>
  <c r="DK437" i="7"/>
  <c r="BD436" i="7"/>
  <c r="BE436" i="7"/>
  <c r="DO437" i="7"/>
  <c r="BF436" i="7"/>
  <c r="DL437" i="7"/>
  <c r="CM463" i="7"/>
  <c r="DH463" i="7" s="1"/>
  <c r="CC457" i="7"/>
  <c r="CX457" i="7" s="1"/>
  <c r="G431" i="7"/>
  <c r="BM131" i="7"/>
  <c r="BV441" i="7"/>
  <c r="CQ441" i="7" s="1"/>
  <c r="DS441" i="7"/>
  <c r="P441" i="7" s="1"/>
  <c r="CI442" i="7"/>
  <c r="DD442" i="7" s="1"/>
  <c r="BT443" i="7"/>
  <c r="CO443" i="7" s="1"/>
  <c r="BO433" i="7"/>
  <c r="CA435" i="7"/>
  <c r="CV435" i="7" s="1"/>
  <c r="CG436" i="7"/>
  <c r="DB436" i="7" s="1"/>
  <c r="BZ437" i="7"/>
  <c r="CU437" i="7" s="1"/>
  <c r="CD439" i="7"/>
  <c r="CY439" i="7" s="1"/>
  <c r="BQ432" i="7"/>
  <c r="H432" i="7" s="1"/>
  <c r="DI433" i="7"/>
  <c r="BP433" i="7" s="1"/>
  <c r="CF441" i="7"/>
  <c r="DA441" i="7" s="1"/>
  <c r="CH436" i="7"/>
  <c r="DC436" i="7" s="1"/>
  <c r="BN435" i="7"/>
  <c r="BS440" i="7"/>
  <c r="CN440" i="7" s="1"/>
  <c r="BE437" i="7"/>
  <c r="BF437" i="7"/>
  <c r="BD437" i="7"/>
  <c r="BU451" i="7"/>
  <c r="CP451" i="7" s="1"/>
  <c r="CE444" i="7"/>
  <c r="CZ444" i="7" s="1"/>
  <c r="CJ475" i="7"/>
  <c r="DE475" i="7" s="1"/>
  <c r="AM444" i="7" l="1"/>
  <c r="AN441" i="7"/>
  <c r="EN437" i="7"/>
  <c r="EO443" i="7"/>
  <c r="CK442" i="7"/>
  <c r="DF442" i="7" s="1"/>
  <c r="AO436" i="7"/>
  <c r="CB444" i="7"/>
  <c r="CW444" i="7" s="1"/>
  <c r="CL440" i="7"/>
  <c r="DG440" i="7" s="1"/>
  <c r="EM439" i="7"/>
  <c r="DZ436" i="7"/>
  <c r="EA436" i="7"/>
  <c r="EB435" i="7"/>
  <c r="DX435" i="7"/>
  <c r="DW435" i="7"/>
  <c r="EC440" i="7"/>
  <c r="EF440" i="7"/>
  <c r="N132" i="7"/>
  <c r="AK132" i="7" s="1"/>
  <c r="D132" i="7" s="1"/>
  <c r="D121" i="32"/>
  <c r="AW439" i="7"/>
  <c r="AU439" i="7"/>
  <c r="DJ439" i="7" s="1"/>
  <c r="AT439" i="7"/>
  <c r="AY439" i="7"/>
  <c r="DN439" i="7" s="1"/>
  <c r="AV439" i="7"/>
  <c r="BC439" i="7"/>
  <c r="BB439" i="7"/>
  <c r="AZ439" i="7"/>
  <c r="M440" i="7"/>
  <c r="AV440" i="7" s="1"/>
  <c r="DV440" i="7"/>
  <c r="AX439" i="7"/>
  <c r="BX473" i="7"/>
  <c r="CS473" i="7" s="1"/>
  <c r="BY473" i="7"/>
  <c r="CT473" i="7" s="1"/>
  <c r="BW475" i="7"/>
  <c r="CR475" i="7" s="1"/>
  <c r="DK438" i="7"/>
  <c r="AG438" i="7"/>
  <c r="DO438" i="7"/>
  <c r="AF438" i="7"/>
  <c r="AI438" i="7" s="1"/>
  <c r="AH438" i="7"/>
  <c r="DM438" i="7"/>
  <c r="DL438" i="7"/>
  <c r="DQ438" i="7"/>
  <c r="DR438" i="7"/>
  <c r="DP438" i="7"/>
  <c r="CM464" i="7"/>
  <c r="DH464" i="7" s="1"/>
  <c r="CC458" i="7"/>
  <c r="CX458" i="7" s="1"/>
  <c r="G432" i="7"/>
  <c r="B131" i="7"/>
  <c r="DS442" i="7"/>
  <c r="P442" i="7" s="1"/>
  <c r="CI443" i="7"/>
  <c r="DD443" i="7" s="1"/>
  <c r="BT444" i="7"/>
  <c r="CO444" i="7" s="1"/>
  <c r="BV442" i="7"/>
  <c r="CQ442" i="7" s="1"/>
  <c r="BO434" i="7"/>
  <c r="CA436" i="7"/>
  <c r="CV436" i="7" s="1"/>
  <c r="CG437" i="7"/>
  <c r="DB437" i="7" s="1"/>
  <c r="BZ438" i="7"/>
  <c r="CU438" i="7" s="1"/>
  <c r="CD440" i="7"/>
  <c r="CY440" i="7" s="1"/>
  <c r="BQ433" i="7"/>
  <c r="H433" i="7" s="1"/>
  <c r="DI434" i="7"/>
  <c r="BP434" i="7" s="1"/>
  <c r="BN436" i="7"/>
  <c r="CH437" i="7"/>
  <c r="DC437" i="7" s="1"/>
  <c r="CF442" i="7"/>
  <c r="DA442" i="7" s="1"/>
  <c r="BS441" i="7"/>
  <c r="CN441" i="7" s="1"/>
  <c r="AF439" i="7"/>
  <c r="AI439" i="7" s="1"/>
  <c r="AH439" i="7"/>
  <c r="AG439" i="7"/>
  <c r="BU452" i="7"/>
  <c r="CP452" i="7" s="1"/>
  <c r="CE445" i="7"/>
  <c r="CZ445" i="7" s="1"/>
  <c r="CJ476" i="7"/>
  <c r="DE476" i="7" s="1"/>
  <c r="DK439" i="7" l="1"/>
  <c r="AO437" i="7"/>
  <c r="EO444" i="7"/>
  <c r="AM445" i="7"/>
  <c r="EN438" i="7"/>
  <c r="AN442" i="7"/>
  <c r="CK443" i="7"/>
  <c r="DF443" i="7" s="1"/>
  <c r="CB445" i="7"/>
  <c r="CW445" i="7" s="1"/>
  <c r="F121" i="32"/>
  <c r="G121" i="32" s="1"/>
  <c r="P121" i="32" s="1"/>
  <c r="Q121" i="32" s="1"/>
  <c r="AP132" i="7"/>
  <c r="BG132" i="7" s="1"/>
  <c r="AQ132" i="7"/>
  <c r="BH132" i="7" s="1"/>
  <c r="AR132" i="7"/>
  <c r="BI132" i="7" s="1"/>
  <c r="CL441" i="7"/>
  <c r="DG441" i="7" s="1"/>
  <c r="EM440" i="7"/>
  <c r="EA437" i="7"/>
  <c r="DZ437" i="7"/>
  <c r="EB436" i="7"/>
  <c r="DW436" i="7"/>
  <c r="DX436" i="7"/>
  <c r="EF441" i="7"/>
  <c r="EC441" i="7"/>
  <c r="AJ132" i="7"/>
  <c r="C132" i="7" s="1"/>
  <c r="AL132" i="7"/>
  <c r="E132" i="7" s="1"/>
  <c r="DM439" i="7"/>
  <c r="BC440" i="7"/>
  <c r="BB440" i="7"/>
  <c r="AY440" i="7"/>
  <c r="AW440" i="7"/>
  <c r="AX440" i="7"/>
  <c r="M441" i="7"/>
  <c r="AZ441" i="7" s="1"/>
  <c r="DV441" i="7"/>
  <c r="AZ440" i="7"/>
  <c r="BA440" i="7"/>
  <c r="AT440" i="7"/>
  <c r="AU440" i="7"/>
  <c r="DL439" i="7"/>
  <c r="BY474" i="7"/>
  <c r="CT474" i="7" s="1"/>
  <c r="BX474" i="7"/>
  <c r="CS474" i="7" s="1"/>
  <c r="BW476" i="7"/>
  <c r="CR476" i="7" s="1"/>
  <c r="BE438" i="7"/>
  <c r="DR439" i="7"/>
  <c r="BD438" i="7"/>
  <c r="DQ439" i="7"/>
  <c r="DP439" i="7"/>
  <c r="BF438" i="7"/>
  <c r="DO439" i="7"/>
  <c r="CM465" i="7"/>
  <c r="DH465" i="7" s="1"/>
  <c r="CC459" i="7"/>
  <c r="CX459" i="7" s="1"/>
  <c r="G433" i="7"/>
  <c r="BV443" i="7"/>
  <c r="CQ443" i="7" s="1"/>
  <c r="CI444" i="7"/>
  <c r="DD444" i="7" s="1"/>
  <c r="DS443" i="7"/>
  <c r="P443" i="7" s="1"/>
  <c r="BT445" i="7"/>
  <c r="CO445" i="7" s="1"/>
  <c r="BO435" i="7"/>
  <c r="CA437" i="7"/>
  <c r="CV437" i="7" s="1"/>
  <c r="CG438" i="7"/>
  <c r="DB438" i="7" s="1"/>
  <c r="BZ439" i="7"/>
  <c r="CU439" i="7" s="1"/>
  <c r="CD441" i="7"/>
  <c r="CY441" i="7" s="1"/>
  <c r="BQ434" i="7"/>
  <c r="H434" i="7" s="1"/>
  <c r="DI435" i="7"/>
  <c r="BP435" i="7" s="1"/>
  <c r="CF443" i="7"/>
  <c r="DA443" i="7" s="1"/>
  <c r="BN437" i="7"/>
  <c r="CH438" i="7"/>
  <c r="DC438" i="7" s="1"/>
  <c r="BS442" i="7"/>
  <c r="CN442" i="7" s="1"/>
  <c r="BU453" i="7"/>
  <c r="CP453" i="7" s="1"/>
  <c r="CE446" i="7"/>
  <c r="CZ446" i="7" s="1"/>
  <c r="CJ477" i="7"/>
  <c r="DE477" i="7" s="1"/>
  <c r="AM446" i="7" l="1"/>
  <c r="CK444" i="7"/>
  <c r="DF444" i="7" s="1"/>
  <c r="AN443" i="7"/>
  <c r="EN439" i="7"/>
  <c r="EO445" i="7"/>
  <c r="AO438" i="7"/>
  <c r="CB446" i="7"/>
  <c r="CW446" i="7" s="1"/>
  <c r="CL442" i="7"/>
  <c r="DG442" i="7" s="1"/>
  <c r="EM441" i="7"/>
  <c r="EF442" i="7"/>
  <c r="EC442" i="7"/>
  <c r="DZ438" i="7"/>
  <c r="EA438" i="7"/>
  <c r="DW437" i="7"/>
  <c r="DX437" i="7"/>
  <c r="EB437" i="7"/>
  <c r="AV441" i="7"/>
  <c r="AU441" i="7"/>
  <c r="AX441" i="7"/>
  <c r="BA441" i="7"/>
  <c r="AT441" i="7"/>
  <c r="BB441" i="7"/>
  <c r="AW441" i="7"/>
  <c r="AY441" i="7"/>
  <c r="BC441" i="7"/>
  <c r="DL440" i="7"/>
  <c r="M442" i="7"/>
  <c r="AX442" i="7" s="1"/>
  <c r="DV442" i="7"/>
  <c r="BX475" i="7"/>
  <c r="CS475" i="7" s="1"/>
  <c r="BY475" i="7"/>
  <c r="CT475" i="7" s="1"/>
  <c r="BW477" i="7"/>
  <c r="CR477" i="7" s="1"/>
  <c r="BE439" i="7"/>
  <c r="BF439" i="7"/>
  <c r="BD439" i="7"/>
  <c r="DN440" i="7"/>
  <c r="DQ440" i="7"/>
  <c r="DK440" i="7"/>
  <c r="DM440" i="7"/>
  <c r="DP440" i="7"/>
  <c r="AG440" i="7"/>
  <c r="DJ440" i="7"/>
  <c r="AH440" i="7"/>
  <c r="DR440" i="7"/>
  <c r="AF440" i="7"/>
  <c r="AI440" i="7" s="1"/>
  <c r="DO440" i="7"/>
  <c r="CM466" i="7"/>
  <c r="DH466" i="7" s="1"/>
  <c r="CC460" i="7"/>
  <c r="CX460" i="7" s="1"/>
  <c r="G434" i="7"/>
  <c r="BK132" i="7"/>
  <c r="BL132" i="7"/>
  <c r="F132" i="7"/>
  <c r="BJ132" i="7"/>
  <c r="DS444" i="7"/>
  <c r="P444" i="7" s="1"/>
  <c r="CI445" i="7"/>
  <c r="DD445" i="7" s="1"/>
  <c r="BT446" i="7"/>
  <c r="CO446" i="7" s="1"/>
  <c r="BV444" i="7"/>
  <c r="CQ444" i="7" s="1"/>
  <c r="BO436" i="7"/>
  <c r="CA438" i="7"/>
  <c r="CV438" i="7" s="1"/>
  <c r="CG439" i="7"/>
  <c r="DB439" i="7" s="1"/>
  <c r="BZ440" i="7"/>
  <c r="CU440" i="7" s="1"/>
  <c r="CD442" i="7"/>
  <c r="CY442" i="7" s="1"/>
  <c r="DI436" i="7"/>
  <c r="BP436" i="7" s="1"/>
  <c r="BQ435" i="7"/>
  <c r="H435" i="7" s="1"/>
  <c r="CH439" i="7"/>
  <c r="DC439" i="7" s="1"/>
  <c r="BN438" i="7"/>
  <c r="CF444" i="7"/>
  <c r="DA444" i="7" s="1"/>
  <c r="BS443" i="7"/>
  <c r="CN443" i="7" s="1"/>
  <c r="BU454" i="7"/>
  <c r="CP454" i="7" s="1"/>
  <c r="CE447" i="7"/>
  <c r="CZ447" i="7" s="1"/>
  <c r="CJ478" i="7"/>
  <c r="DE478" i="7" s="1"/>
  <c r="AN444" i="7" l="1"/>
  <c r="AM447" i="7"/>
  <c r="CK445" i="7"/>
  <c r="DF445" i="7" s="1"/>
  <c r="EN440" i="7"/>
  <c r="AO439" i="7"/>
  <c r="EO446" i="7"/>
  <c r="CB447" i="7"/>
  <c r="CW447" i="7" s="1"/>
  <c r="CL443" i="7"/>
  <c r="DG443" i="7" s="1"/>
  <c r="EM442" i="7"/>
  <c r="EA439" i="7"/>
  <c r="DZ439" i="7"/>
  <c r="EB438" i="7"/>
  <c r="DX438" i="7"/>
  <c r="DW438" i="7"/>
  <c r="EF443" i="7"/>
  <c r="EC443" i="7"/>
  <c r="AV442" i="7"/>
  <c r="BB442" i="7"/>
  <c r="AZ442" i="7"/>
  <c r="AT442" i="7"/>
  <c r="BC442" i="7"/>
  <c r="BA442" i="7"/>
  <c r="AW442" i="7"/>
  <c r="M443" i="7"/>
  <c r="BC443" i="7" s="1"/>
  <c r="DV443" i="7"/>
  <c r="AU442" i="7"/>
  <c r="AY442" i="7"/>
  <c r="BY476" i="7"/>
  <c r="CT476" i="7" s="1"/>
  <c r="BX476" i="7"/>
  <c r="CS476" i="7" s="1"/>
  <c r="BW478" i="7"/>
  <c r="CR478" i="7" s="1"/>
  <c r="DO441" i="7"/>
  <c r="BF440" i="7"/>
  <c r="BE440" i="7"/>
  <c r="AF441" i="7"/>
  <c r="AI441" i="7" s="1"/>
  <c r="DQ441" i="7"/>
  <c r="DM441" i="7"/>
  <c r="DM442" i="7" s="1"/>
  <c r="DK441" i="7"/>
  <c r="DN441" i="7"/>
  <c r="DR441" i="7"/>
  <c r="DL441" i="7"/>
  <c r="BD440" i="7"/>
  <c r="AH441" i="7"/>
  <c r="DP441" i="7"/>
  <c r="DJ441" i="7"/>
  <c r="AG441" i="7"/>
  <c r="CM467" i="7"/>
  <c r="DH467" i="7" s="1"/>
  <c r="CC461" i="7"/>
  <c r="CX461" i="7" s="1"/>
  <c r="G435" i="7"/>
  <c r="BM132" i="7"/>
  <c r="BV445" i="7"/>
  <c r="CQ445" i="7" s="1"/>
  <c r="CI446" i="7"/>
  <c r="DD446" i="7" s="1"/>
  <c r="DS445" i="7"/>
  <c r="P445" i="7" s="1"/>
  <c r="BT447" i="7"/>
  <c r="CO447" i="7" s="1"/>
  <c r="BO437" i="7"/>
  <c r="CA439" i="7"/>
  <c r="CV439" i="7" s="1"/>
  <c r="CG440" i="7"/>
  <c r="DB440" i="7" s="1"/>
  <c r="BZ441" i="7"/>
  <c r="CU441" i="7" s="1"/>
  <c r="CD443" i="7"/>
  <c r="CY443" i="7" s="1"/>
  <c r="CF445" i="7"/>
  <c r="DA445" i="7" s="1"/>
  <c r="CH440" i="7"/>
  <c r="DC440" i="7" s="1"/>
  <c r="BN439" i="7"/>
  <c r="BQ436" i="7"/>
  <c r="H436" i="7" s="1"/>
  <c r="DI437" i="7"/>
  <c r="BP437" i="7" s="1"/>
  <c r="AG442" i="7"/>
  <c r="AF442" i="7"/>
  <c r="AI442" i="7" s="1"/>
  <c r="BS444" i="7"/>
  <c r="CN444" i="7" s="1"/>
  <c r="BU455" i="7"/>
  <c r="CP455" i="7" s="1"/>
  <c r="CE448" i="7"/>
  <c r="CZ448" i="7" s="1"/>
  <c r="CJ479" i="7"/>
  <c r="DE479" i="7" s="1"/>
  <c r="EN441" i="7" l="1"/>
  <c r="EO447" i="7"/>
  <c r="AO440" i="7"/>
  <c r="AM448" i="7"/>
  <c r="AN445" i="7"/>
  <c r="CK446" i="7"/>
  <c r="DF446" i="7" s="1"/>
  <c r="CB448" i="7"/>
  <c r="CW448" i="7" s="1"/>
  <c r="CL444" i="7"/>
  <c r="DG444" i="7" s="1"/>
  <c r="EM443" i="7"/>
  <c r="DZ440" i="7"/>
  <c r="EA440" i="7"/>
  <c r="EF444" i="7"/>
  <c r="EC444" i="7"/>
  <c r="EB439" i="7"/>
  <c r="DX439" i="7"/>
  <c r="DW439" i="7"/>
  <c r="N133" i="7"/>
  <c r="D122" i="32"/>
  <c r="AZ443" i="7"/>
  <c r="AU443" i="7"/>
  <c r="AW443" i="7"/>
  <c r="AT443" i="7"/>
  <c r="BA443" i="7"/>
  <c r="AX443" i="7"/>
  <c r="AY443" i="7"/>
  <c r="AV443" i="7"/>
  <c r="M444" i="7"/>
  <c r="AX444" i="7" s="1"/>
  <c r="DV444" i="7"/>
  <c r="BB443" i="7"/>
  <c r="BX477" i="7"/>
  <c r="CS477" i="7" s="1"/>
  <c r="BY477" i="7"/>
  <c r="CT477" i="7" s="1"/>
  <c r="BW479" i="7"/>
  <c r="CR479" i="7" s="1"/>
  <c r="DK442" i="7"/>
  <c r="DN442" i="7"/>
  <c r="BF441" i="7"/>
  <c r="DR442" i="7"/>
  <c r="DQ442" i="7"/>
  <c r="BE441" i="7"/>
  <c r="DJ442" i="7"/>
  <c r="DP442" i="7"/>
  <c r="DO442" i="7"/>
  <c r="DL442" i="7"/>
  <c r="BD441" i="7"/>
  <c r="AH442" i="7"/>
  <c r="CM468" i="7"/>
  <c r="DH468" i="7" s="1"/>
  <c r="CC462" i="7"/>
  <c r="CX462" i="7" s="1"/>
  <c r="G436" i="7"/>
  <c r="AG443" i="7" s="1"/>
  <c r="B132" i="7"/>
  <c r="BT448" i="7"/>
  <c r="CO448" i="7" s="1"/>
  <c r="DS446" i="7"/>
  <c r="P446" i="7" s="1"/>
  <c r="CI447" i="7"/>
  <c r="DD447" i="7" s="1"/>
  <c r="BV446" i="7"/>
  <c r="CQ446" i="7" s="1"/>
  <c r="CA440" i="7"/>
  <c r="CV440" i="7" s="1"/>
  <c r="BO438" i="7"/>
  <c r="CG441" i="7"/>
  <c r="DB441" i="7" s="1"/>
  <c r="BZ442" i="7"/>
  <c r="CU442" i="7" s="1"/>
  <c r="CD444" i="7"/>
  <c r="CY444" i="7" s="1"/>
  <c r="DI438" i="7"/>
  <c r="BP438" i="7" s="1"/>
  <c r="BQ437" i="7"/>
  <c r="H437" i="7" s="1"/>
  <c r="BN440" i="7"/>
  <c r="CH441" i="7"/>
  <c r="DC441" i="7" s="1"/>
  <c r="CF446" i="7"/>
  <c r="DA446" i="7" s="1"/>
  <c r="BS445" i="7"/>
  <c r="CN445" i="7" s="1"/>
  <c r="AF443" i="7"/>
  <c r="AI443" i="7" s="1"/>
  <c r="BU456" i="7"/>
  <c r="CP456" i="7" s="1"/>
  <c r="CE449" i="7"/>
  <c r="CZ449" i="7" s="1"/>
  <c r="CJ480" i="7"/>
  <c r="DE480" i="7" s="1"/>
  <c r="EO448" i="7" l="1"/>
  <c r="CK447" i="7"/>
  <c r="DF447" i="7" s="1"/>
  <c r="EN442" i="7"/>
  <c r="AM449" i="7"/>
  <c r="AN446" i="7"/>
  <c r="AO441" i="7"/>
  <c r="CB449" i="7"/>
  <c r="CW449" i="7" s="1"/>
  <c r="F122" i="32"/>
  <c r="G122" i="32" s="1"/>
  <c r="P122" i="32" s="1"/>
  <c r="Q122" i="32" s="1"/>
  <c r="AP133" i="7"/>
  <c r="BG133" i="7" s="1"/>
  <c r="AQ133" i="7"/>
  <c r="BH133" i="7" s="1"/>
  <c r="AR133" i="7"/>
  <c r="BI133" i="7" s="1"/>
  <c r="CL445" i="7"/>
  <c r="DG445" i="7" s="1"/>
  <c r="EM444" i="7"/>
  <c r="DN443" i="7"/>
  <c r="AT444" i="7"/>
  <c r="EF445" i="7"/>
  <c r="EC445" i="7"/>
  <c r="DZ441" i="7"/>
  <c r="EA441" i="7"/>
  <c r="EB440" i="7"/>
  <c r="DX440" i="7"/>
  <c r="DW440" i="7"/>
  <c r="AK133" i="7"/>
  <c r="D133" i="7" s="1"/>
  <c r="AL133" i="7"/>
  <c r="E133" i="7" s="1"/>
  <c r="AJ133" i="7"/>
  <c r="C133" i="7" s="1"/>
  <c r="DO443" i="7"/>
  <c r="AU444" i="7"/>
  <c r="BC444" i="7"/>
  <c r="AY444" i="7"/>
  <c r="AW444" i="7"/>
  <c r="BA444" i="7"/>
  <c r="BB444" i="7"/>
  <c r="M445" i="7"/>
  <c r="AY445" i="7" s="1"/>
  <c r="DV445" i="7"/>
  <c r="AV444" i="7"/>
  <c r="AZ444" i="7"/>
  <c r="BY478" i="7"/>
  <c r="CT478" i="7" s="1"/>
  <c r="BX478" i="7"/>
  <c r="CS478" i="7" s="1"/>
  <c r="BW480" i="7"/>
  <c r="CR480" i="7" s="1"/>
  <c r="BF442" i="7"/>
  <c r="DL443" i="7"/>
  <c r="AH443" i="7"/>
  <c r="DP443" i="7"/>
  <c r="BE442" i="7"/>
  <c r="DR443" i="7"/>
  <c r="DM443" i="7"/>
  <c r="DJ443" i="7"/>
  <c r="DK443" i="7"/>
  <c r="DQ443" i="7"/>
  <c r="BD442" i="7"/>
  <c r="CM469" i="7"/>
  <c r="DH469" i="7" s="1"/>
  <c r="CC463" i="7"/>
  <c r="CX463" i="7" s="1"/>
  <c r="G437" i="7"/>
  <c r="BV447" i="7"/>
  <c r="CQ447" i="7" s="1"/>
  <c r="CI448" i="7"/>
  <c r="DD448" i="7" s="1"/>
  <c r="DS447" i="7"/>
  <c r="P447" i="7" s="1"/>
  <c r="BT449" i="7"/>
  <c r="CO449" i="7" s="1"/>
  <c r="CA441" i="7"/>
  <c r="CV441" i="7" s="1"/>
  <c r="BO439" i="7"/>
  <c r="CG442" i="7"/>
  <c r="DB442" i="7" s="1"/>
  <c r="BZ443" i="7"/>
  <c r="CU443" i="7" s="1"/>
  <c r="CD445" i="7"/>
  <c r="CY445" i="7" s="1"/>
  <c r="CF447" i="7"/>
  <c r="DA447" i="7" s="1"/>
  <c r="BN441" i="7"/>
  <c r="CH442" i="7"/>
  <c r="DC442" i="7" s="1"/>
  <c r="DI439" i="7"/>
  <c r="BP439" i="7" s="1"/>
  <c r="BQ438" i="7"/>
  <c r="H438" i="7" s="1"/>
  <c r="AG444" i="7"/>
  <c r="BS446" i="7"/>
  <c r="CN446" i="7" s="1"/>
  <c r="BU457" i="7"/>
  <c r="CP457" i="7" s="1"/>
  <c r="CE450" i="7"/>
  <c r="CZ450" i="7" s="1"/>
  <c r="CJ481" i="7"/>
  <c r="DE481" i="7" s="1"/>
  <c r="EN443" i="7" l="1"/>
  <c r="EO449" i="7"/>
  <c r="CK448" i="7"/>
  <c r="DF448" i="7" s="1"/>
  <c r="AO442" i="7"/>
  <c r="AM450" i="7"/>
  <c r="AN447" i="7"/>
  <c r="CB450" i="7"/>
  <c r="CW450" i="7" s="1"/>
  <c r="CL446" i="7"/>
  <c r="DG446" i="7" s="1"/>
  <c r="EM445" i="7"/>
  <c r="DJ444" i="7"/>
  <c r="DO444" i="7"/>
  <c r="DZ442" i="7"/>
  <c r="EA442" i="7"/>
  <c r="DX441" i="7"/>
  <c r="EB441" i="7"/>
  <c r="DW441" i="7"/>
  <c r="EF446" i="7"/>
  <c r="EC446" i="7"/>
  <c r="DQ444" i="7"/>
  <c r="BC445" i="7"/>
  <c r="AT445" i="7"/>
  <c r="AW445" i="7"/>
  <c r="AU445" i="7"/>
  <c r="AX445" i="7"/>
  <c r="AZ445" i="7"/>
  <c r="BB445" i="7"/>
  <c r="BA445" i="7"/>
  <c r="AV445" i="7"/>
  <c r="M446" i="7"/>
  <c r="AX446" i="7" s="1"/>
  <c r="DV446" i="7"/>
  <c r="BX479" i="7"/>
  <c r="CS479" i="7" s="1"/>
  <c r="BY479" i="7"/>
  <c r="CT479" i="7" s="1"/>
  <c r="BW481" i="7"/>
  <c r="CR481" i="7" s="1"/>
  <c r="DM444" i="7"/>
  <c r="BD443" i="7"/>
  <c r="DK444" i="7"/>
  <c r="DL444" i="7"/>
  <c r="BF443" i="7"/>
  <c r="DN444" i="7"/>
  <c r="AH444" i="7"/>
  <c r="DP444" i="7"/>
  <c r="BE443" i="7"/>
  <c r="AF444" i="7"/>
  <c r="AI444" i="7" s="1"/>
  <c r="DR444" i="7"/>
  <c r="CM470" i="7"/>
  <c r="DH470" i="7" s="1"/>
  <c r="CC464" i="7"/>
  <c r="CX464" i="7" s="1"/>
  <c r="G438" i="7"/>
  <c r="BL133" i="7"/>
  <c r="BK133" i="7"/>
  <c r="F133" i="7"/>
  <c r="BJ133" i="7"/>
  <c r="CI449" i="7"/>
  <c r="DD449" i="7" s="1"/>
  <c r="DS448" i="7"/>
  <c r="P448" i="7" s="1"/>
  <c r="BT450" i="7"/>
  <c r="CO450" i="7" s="1"/>
  <c r="BV448" i="7"/>
  <c r="CQ448" i="7" s="1"/>
  <c r="BO440" i="7"/>
  <c r="CA442" i="7"/>
  <c r="CV442" i="7" s="1"/>
  <c r="CG443" i="7"/>
  <c r="DB443" i="7" s="1"/>
  <c r="BZ444" i="7"/>
  <c r="CU444" i="7" s="1"/>
  <c r="CD446" i="7"/>
  <c r="CY446" i="7" s="1"/>
  <c r="CF448" i="7"/>
  <c r="DA448" i="7" s="1"/>
  <c r="DI440" i="7"/>
  <c r="BP440" i="7" s="1"/>
  <c r="BQ439" i="7"/>
  <c r="H439" i="7" s="1"/>
  <c r="CH443" i="7"/>
  <c r="DC443" i="7" s="1"/>
  <c r="BN442" i="7"/>
  <c r="BS447" i="7"/>
  <c r="CN447" i="7" s="1"/>
  <c r="BF444" i="7"/>
  <c r="BU458" i="7"/>
  <c r="CP458" i="7" s="1"/>
  <c r="CE451" i="7"/>
  <c r="CZ451" i="7" s="1"/>
  <c r="CJ482" i="7"/>
  <c r="DE482" i="7" s="1"/>
  <c r="AM451" i="7" l="1"/>
  <c r="AN448" i="7"/>
  <c r="AO443" i="7"/>
  <c r="EO450" i="7"/>
  <c r="EN444" i="7"/>
  <c r="CK449" i="7"/>
  <c r="DF449" i="7" s="1"/>
  <c r="CB451" i="7"/>
  <c r="CW451" i="7" s="1"/>
  <c r="CL447" i="7"/>
  <c r="DG447" i="7" s="1"/>
  <c r="EM446" i="7"/>
  <c r="EF447" i="7"/>
  <c r="EC447" i="7"/>
  <c r="EB442" i="7"/>
  <c r="DW442" i="7"/>
  <c r="DX442" i="7"/>
  <c r="DZ443" i="7"/>
  <c r="EA443" i="7"/>
  <c r="DO445" i="7"/>
  <c r="AZ446" i="7"/>
  <c r="BB446" i="7"/>
  <c r="AT446" i="7"/>
  <c r="AY446" i="7"/>
  <c r="BA446" i="7"/>
  <c r="BC446" i="7"/>
  <c r="AU446" i="7"/>
  <c r="M447" i="7"/>
  <c r="BA447" i="7" s="1"/>
  <c r="DV447" i="7"/>
  <c r="AW446" i="7"/>
  <c r="AV446" i="7"/>
  <c r="BY480" i="7"/>
  <c r="CT480" i="7" s="1"/>
  <c r="BX480" i="7"/>
  <c r="CS480" i="7" s="1"/>
  <c r="BW482" i="7"/>
  <c r="CR482" i="7" s="1"/>
  <c r="DR445" i="7"/>
  <c r="AF445" i="7"/>
  <c r="AI445" i="7" s="1"/>
  <c r="BE444" i="7"/>
  <c r="AG445" i="7"/>
  <c r="AH445" i="7"/>
  <c r="DK445" i="7"/>
  <c r="DL445" i="7"/>
  <c r="BD444" i="7"/>
  <c r="DQ445" i="7"/>
  <c r="DM445" i="7"/>
  <c r="DP445" i="7"/>
  <c r="DJ445" i="7"/>
  <c r="DN445" i="7"/>
  <c r="CM471" i="7"/>
  <c r="DH471" i="7" s="1"/>
  <c r="CC465" i="7"/>
  <c r="CX465" i="7" s="1"/>
  <c r="G439" i="7"/>
  <c r="BM133" i="7"/>
  <c r="BT451" i="7"/>
  <c r="CO451" i="7" s="1"/>
  <c r="BV449" i="7"/>
  <c r="CQ449" i="7" s="1"/>
  <c r="CI450" i="7"/>
  <c r="DD450" i="7" s="1"/>
  <c r="DS449" i="7"/>
  <c r="P449" i="7" s="1"/>
  <c r="CA443" i="7"/>
  <c r="CV443" i="7" s="1"/>
  <c r="BO441" i="7"/>
  <c r="CG444" i="7"/>
  <c r="DB444" i="7" s="1"/>
  <c r="BZ445" i="7"/>
  <c r="CU445" i="7" s="1"/>
  <c r="CD447" i="7"/>
  <c r="CY447" i="7" s="1"/>
  <c r="CF449" i="7"/>
  <c r="DA449" i="7" s="1"/>
  <c r="BQ440" i="7"/>
  <c r="H440" i="7" s="1"/>
  <c r="DI441" i="7"/>
  <c r="BP441" i="7" s="1"/>
  <c r="BN443" i="7"/>
  <c r="CH444" i="7"/>
  <c r="DC444" i="7" s="1"/>
  <c r="BS448" i="7"/>
  <c r="CN448" i="7" s="1"/>
  <c r="AG446" i="7"/>
  <c r="AH446" i="7"/>
  <c r="BF445" i="7"/>
  <c r="BU459" i="7"/>
  <c r="CP459" i="7" s="1"/>
  <c r="CE452" i="7"/>
  <c r="CZ452" i="7" s="1"/>
  <c r="CJ483" i="7"/>
  <c r="DE483" i="7" s="1"/>
  <c r="EO451" i="7" l="1"/>
  <c r="CK450" i="7"/>
  <c r="DF450" i="7" s="1"/>
  <c r="AM452" i="7"/>
  <c r="EN445" i="7"/>
  <c r="AN449" i="7"/>
  <c r="AO444" i="7"/>
  <c r="CB452" i="7"/>
  <c r="CW452" i="7" s="1"/>
  <c r="CL448" i="7"/>
  <c r="DG448" i="7" s="1"/>
  <c r="EM447" i="7"/>
  <c r="DN446" i="7"/>
  <c r="EB443" i="7"/>
  <c r="DX443" i="7"/>
  <c r="DW443" i="7"/>
  <c r="EF448" i="7"/>
  <c r="EC448" i="7"/>
  <c r="DZ444" i="7"/>
  <c r="EA444" i="7"/>
  <c r="AX447" i="7"/>
  <c r="AV447" i="7"/>
  <c r="N134" i="7"/>
  <c r="D123" i="32"/>
  <c r="DK446" i="7"/>
  <c r="BB447" i="7"/>
  <c r="DR446" i="7"/>
  <c r="AW447" i="7"/>
  <c r="BC447" i="7"/>
  <c r="AU447" i="7"/>
  <c r="AY447" i="7"/>
  <c r="AZ447" i="7"/>
  <c r="M448" i="7"/>
  <c r="AX448" i="7" s="1"/>
  <c r="DV448" i="7"/>
  <c r="AT447" i="7"/>
  <c r="BX481" i="7"/>
  <c r="CS481" i="7" s="1"/>
  <c r="BY481" i="7"/>
  <c r="CT481" i="7" s="1"/>
  <c r="BW483" i="7"/>
  <c r="CR483" i="7" s="1"/>
  <c r="DP446" i="7"/>
  <c r="DP447" i="7" s="1"/>
  <c r="BE445" i="7"/>
  <c r="DO446" i="7"/>
  <c r="DL446" i="7"/>
  <c r="DQ446" i="7"/>
  <c r="BD445" i="7"/>
  <c r="AF446" i="7"/>
  <c r="AI446" i="7" s="1"/>
  <c r="DM446" i="7"/>
  <c r="DJ446" i="7"/>
  <c r="CM472" i="7"/>
  <c r="DH472" i="7" s="1"/>
  <c r="CC466" i="7"/>
  <c r="CX466" i="7" s="1"/>
  <c r="G440" i="7"/>
  <c r="B133" i="7"/>
  <c r="BV450" i="7"/>
  <c r="CQ450" i="7" s="1"/>
  <c r="BT452" i="7"/>
  <c r="CO452" i="7" s="1"/>
  <c r="DS450" i="7"/>
  <c r="P450" i="7" s="1"/>
  <c r="CI451" i="7"/>
  <c r="DD451" i="7" s="1"/>
  <c r="BO442" i="7"/>
  <c r="CA444" i="7"/>
  <c r="CV444" i="7" s="1"/>
  <c r="CG445" i="7"/>
  <c r="DB445" i="7" s="1"/>
  <c r="BZ446" i="7"/>
  <c r="CU446" i="7" s="1"/>
  <c r="CD448" i="7"/>
  <c r="CY448" i="7" s="1"/>
  <c r="CH445" i="7"/>
  <c r="DC445" i="7" s="1"/>
  <c r="BN444" i="7"/>
  <c r="BQ441" i="7"/>
  <c r="H441" i="7" s="1"/>
  <c r="DI442" i="7"/>
  <c r="BP442" i="7" s="1"/>
  <c r="CF450" i="7"/>
  <c r="DA450" i="7" s="1"/>
  <c r="BS449" i="7"/>
  <c r="CN449" i="7" s="1"/>
  <c r="BE446" i="7"/>
  <c r="BU460" i="7"/>
  <c r="CP460" i="7" s="1"/>
  <c r="CE453" i="7"/>
  <c r="CZ453" i="7" s="1"/>
  <c r="CJ484" i="7"/>
  <c r="DE484" i="7" s="1"/>
  <c r="AM453" i="7" l="1"/>
  <c r="CK451" i="7"/>
  <c r="DF451" i="7" s="1"/>
  <c r="EO452" i="7"/>
  <c r="EN446" i="7"/>
  <c r="AN450" i="7"/>
  <c r="AO445" i="7"/>
  <c r="CB453" i="7"/>
  <c r="CW453" i="7" s="1"/>
  <c r="F123" i="32"/>
  <c r="G123" i="32" s="1"/>
  <c r="P123" i="32" s="1"/>
  <c r="Q123" i="32" s="1"/>
  <c r="AQ134" i="7"/>
  <c r="BH134" i="7" s="1"/>
  <c r="AR134" i="7"/>
  <c r="BI134" i="7" s="1"/>
  <c r="AP134" i="7"/>
  <c r="BG134" i="7" s="1"/>
  <c r="CL449" i="7"/>
  <c r="DG449" i="7" s="1"/>
  <c r="EM448" i="7"/>
  <c r="AT448" i="7"/>
  <c r="AK134" i="7"/>
  <c r="D134" i="7" s="1"/>
  <c r="DZ445" i="7"/>
  <c r="EA445" i="7"/>
  <c r="EF449" i="7"/>
  <c r="EC449" i="7"/>
  <c r="DX444" i="7"/>
  <c r="DW444" i="7"/>
  <c r="EB444" i="7"/>
  <c r="DJ447" i="7"/>
  <c r="AJ134" i="7"/>
  <c r="C134" i="7" s="1"/>
  <c r="DR447" i="7"/>
  <c r="AL134" i="7"/>
  <c r="E134" i="7" s="1"/>
  <c r="AZ448" i="7"/>
  <c r="BA448" i="7"/>
  <c r="AU448" i="7"/>
  <c r="AY448" i="7"/>
  <c r="AV448" i="7"/>
  <c r="AW448" i="7"/>
  <c r="BC448" i="7"/>
  <c r="BB448" i="7"/>
  <c r="M449" i="7"/>
  <c r="AZ449" i="7" s="1"/>
  <c r="DV449" i="7"/>
  <c r="BY482" i="7"/>
  <c r="CT482" i="7" s="1"/>
  <c r="BX482" i="7"/>
  <c r="CS482" i="7" s="1"/>
  <c r="BW484" i="7"/>
  <c r="CR484" i="7" s="1"/>
  <c r="DO447" i="7"/>
  <c r="AH447" i="7"/>
  <c r="BD446" i="7"/>
  <c r="DQ447" i="7"/>
  <c r="DN447" i="7"/>
  <c r="DK447" i="7"/>
  <c r="DL447" i="7"/>
  <c r="AG447" i="7"/>
  <c r="BF446" i="7"/>
  <c r="AF447" i="7"/>
  <c r="AI447" i="7" s="1"/>
  <c r="DM447" i="7"/>
  <c r="CM473" i="7"/>
  <c r="DH473" i="7" s="1"/>
  <c r="CC467" i="7"/>
  <c r="CX467" i="7" s="1"/>
  <c r="G441" i="7"/>
  <c r="BT453" i="7"/>
  <c r="CO453" i="7" s="1"/>
  <c r="CI452" i="7"/>
  <c r="DD452" i="7" s="1"/>
  <c r="DS451" i="7"/>
  <c r="P451" i="7" s="1"/>
  <c r="BV451" i="7"/>
  <c r="CQ451" i="7" s="1"/>
  <c r="CA445" i="7"/>
  <c r="CV445" i="7" s="1"/>
  <c r="BO443" i="7"/>
  <c r="CG446" i="7"/>
  <c r="DB446" i="7" s="1"/>
  <c r="BZ447" i="7"/>
  <c r="CU447" i="7" s="1"/>
  <c r="CD449" i="7"/>
  <c r="CY449" i="7" s="1"/>
  <c r="DI443" i="7"/>
  <c r="BP443" i="7" s="1"/>
  <c r="BQ442" i="7"/>
  <c r="H442" i="7" s="1"/>
  <c r="CF451" i="7"/>
  <c r="DA451" i="7" s="1"/>
  <c r="BN445" i="7"/>
  <c r="CH446" i="7"/>
  <c r="DC446" i="7" s="1"/>
  <c r="BS450" i="7"/>
  <c r="CN450" i="7" s="1"/>
  <c r="BU461" i="7"/>
  <c r="CP461" i="7" s="1"/>
  <c r="CE454" i="7"/>
  <c r="CZ454" i="7" s="1"/>
  <c r="CJ485" i="7"/>
  <c r="DE485" i="7" s="1"/>
  <c r="AM454" i="7" l="1"/>
  <c r="AN451" i="7"/>
  <c r="EN447" i="7"/>
  <c r="CK452" i="7"/>
  <c r="DF452" i="7" s="1"/>
  <c r="EO453" i="7"/>
  <c r="AO446" i="7"/>
  <c r="CB454" i="7"/>
  <c r="CW454" i="7" s="1"/>
  <c r="CL450" i="7"/>
  <c r="DG450" i="7" s="1"/>
  <c r="EM449" i="7"/>
  <c r="EB445" i="7"/>
  <c r="DW445" i="7"/>
  <c r="DX445" i="7"/>
  <c r="EF450" i="7"/>
  <c r="EC450" i="7"/>
  <c r="EA446" i="7"/>
  <c r="DZ446" i="7"/>
  <c r="AU449" i="7"/>
  <c r="AW449" i="7"/>
  <c r="BA449" i="7"/>
  <c r="AV449" i="7"/>
  <c r="AX449" i="7"/>
  <c r="AY449" i="7"/>
  <c r="BB449" i="7"/>
  <c r="AT449" i="7"/>
  <c r="BC449" i="7"/>
  <c r="M450" i="7"/>
  <c r="AW450" i="7" s="1"/>
  <c r="DV450" i="7"/>
  <c r="BX483" i="7"/>
  <c r="CS483" i="7" s="1"/>
  <c r="BY483" i="7"/>
  <c r="CT483" i="7" s="1"/>
  <c r="BW485" i="7"/>
  <c r="CR485" i="7" s="1"/>
  <c r="DO448" i="7"/>
  <c r="BD447" i="7"/>
  <c r="DL448" i="7"/>
  <c r="DR448" i="7"/>
  <c r="DJ448" i="7"/>
  <c r="DK448" i="7"/>
  <c r="AH448" i="7"/>
  <c r="AG448" i="7"/>
  <c r="AF448" i="7"/>
  <c r="AI448" i="7" s="1"/>
  <c r="DN448" i="7"/>
  <c r="DQ448" i="7"/>
  <c r="BF447" i="7"/>
  <c r="DM448" i="7"/>
  <c r="DP448" i="7"/>
  <c r="BE447" i="7"/>
  <c r="CM474" i="7"/>
  <c r="DH474" i="7" s="1"/>
  <c r="CC468" i="7"/>
  <c r="CX468" i="7" s="1"/>
  <c r="G442" i="7"/>
  <c r="BL134" i="7"/>
  <c r="BK134" i="7"/>
  <c r="F134" i="7"/>
  <c r="BJ134" i="7"/>
  <c r="DS452" i="7"/>
  <c r="P452" i="7" s="1"/>
  <c r="CI453" i="7"/>
  <c r="DD453" i="7" s="1"/>
  <c r="BV452" i="7"/>
  <c r="CQ452" i="7" s="1"/>
  <c r="BT454" i="7"/>
  <c r="CO454" i="7" s="1"/>
  <c r="BO444" i="7"/>
  <c r="CA446" i="7"/>
  <c r="CV446" i="7" s="1"/>
  <c r="CG447" i="7"/>
  <c r="DB447" i="7" s="1"/>
  <c r="BZ448" i="7"/>
  <c r="CU448" i="7" s="1"/>
  <c r="CD450" i="7"/>
  <c r="CY450" i="7" s="1"/>
  <c r="CF452" i="7"/>
  <c r="DA452" i="7" s="1"/>
  <c r="BQ443" i="7"/>
  <c r="H443" i="7" s="1"/>
  <c r="DI444" i="7"/>
  <c r="BP444" i="7" s="1"/>
  <c r="CH447" i="7"/>
  <c r="DC447" i="7" s="1"/>
  <c r="BN446" i="7"/>
  <c r="AG449" i="7"/>
  <c r="BS451" i="7"/>
  <c r="CN451" i="7" s="1"/>
  <c r="BU462" i="7"/>
  <c r="CP462" i="7" s="1"/>
  <c r="CE455" i="7"/>
  <c r="CZ455" i="7" s="1"/>
  <c r="CJ486" i="7"/>
  <c r="DE486" i="7" s="1"/>
  <c r="CK453" i="7" l="1"/>
  <c r="DF453" i="7" s="1"/>
  <c r="EN448" i="7"/>
  <c r="EO454" i="7"/>
  <c r="AM455" i="7"/>
  <c r="AN452" i="7"/>
  <c r="AO447" i="7"/>
  <c r="DN449" i="7"/>
  <c r="CB455" i="7"/>
  <c r="CW455" i="7" s="1"/>
  <c r="CL451" i="7"/>
  <c r="DG451" i="7" s="1"/>
  <c r="EM450" i="7"/>
  <c r="EA447" i="7"/>
  <c r="DZ447" i="7"/>
  <c r="EB446" i="7"/>
  <c r="DX446" i="7"/>
  <c r="DW446" i="7"/>
  <c r="EF451" i="7"/>
  <c r="EC451" i="7"/>
  <c r="BA450" i="7"/>
  <c r="AX450" i="7"/>
  <c r="AY450" i="7"/>
  <c r="AT450" i="7"/>
  <c r="DR449" i="7"/>
  <c r="AZ450" i="7"/>
  <c r="BC450" i="7"/>
  <c r="AV450" i="7"/>
  <c r="BB450" i="7"/>
  <c r="AU450" i="7"/>
  <c r="M451" i="7"/>
  <c r="AZ451" i="7" s="1"/>
  <c r="DV451" i="7"/>
  <c r="BY484" i="7"/>
  <c r="CT484" i="7" s="1"/>
  <c r="BX484" i="7"/>
  <c r="CS484" i="7" s="1"/>
  <c r="BW486" i="7"/>
  <c r="CR486" i="7" s="1"/>
  <c r="DJ449" i="7"/>
  <c r="DM449" i="7"/>
  <c r="BD448" i="7"/>
  <c r="DK449" i="7"/>
  <c r="AH449" i="7"/>
  <c r="DQ449" i="7"/>
  <c r="DP449" i="7"/>
  <c r="DO449" i="7"/>
  <c r="BF448" i="7"/>
  <c r="DL449" i="7"/>
  <c r="AF449" i="7"/>
  <c r="AI449" i="7" s="1"/>
  <c r="BE448" i="7"/>
  <c r="CM475" i="7"/>
  <c r="DH475" i="7" s="1"/>
  <c r="CC469" i="7"/>
  <c r="CX469" i="7" s="1"/>
  <c r="G443" i="7"/>
  <c r="BM134" i="7"/>
  <c r="BV453" i="7"/>
  <c r="CQ453" i="7" s="1"/>
  <c r="BT455" i="7"/>
  <c r="CO455" i="7" s="1"/>
  <c r="CI454" i="7"/>
  <c r="DD454" i="7" s="1"/>
  <c r="DS453" i="7"/>
  <c r="P453" i="7" s="1"/>
  <c r="BO445" i="7"/>
  <c r="CA447" i="7"/>
  <c r="CV447" i="7" s="1"/>
  <c r="CG448" i="7"/>
  <c r="DB448" i="7" s="1"/>
  <c r="BZ449" i="7"/>
  <c r="CU449" i="7" s="1"/>
  <c r="CD451" i="7"/>
  <c r="CY451" i="7" s="1"/>
  <c r="BQ444" i="7"/>
  <c r="H444" i="7" s="1"/>
  <c r="DI445" i="7"/>
  <c r="BP445" i="7" s="1"/>
  <c r="CH448" i="7"/>
  <c r="DC448" i="7" s="1"/>
  <c r="BN447" i="7"/>
  <c r="CF453" i="7"/>
  <c r="DA453" i="7" s="1"/>
  <c r="BE449" i="7"/>
  <c r="BF449" i="7"/>
  <c r="BD449" i="7"/>
  <c r="BS452" i="7"/>
  <c r="CN452" i="7" s="1"/>
  <c r="BU463" i="7"/>
  <c r="CP463" i="7" s="1"/>
  <c r="CE456" i="7"/>
  <c r="CZ456" i="7" s="1"/>
  <c r="CJ487" i="7"/>
  <c r="DE487" i="7" s="1"/>
  <c r="AN453" i="7" l="1"/>
  <c r="AM456" i="7"/>
  <c r="EN449" i="7"/>
  <c r="EO455" i="7"/>
  <c r="AO448" i="7"/>
  <c r="CK454" i="7"/>
  <c r="DF454" i="7" s="1"/>
  <c r="CB456" i="7"/>
  <c r="CW456" i="7" s="1"/>
  <c r="CL452" i="7"/>
  <c r="DG452" i="7" s="1"/>
  <c r="EM451" i="7"/>
  <c r="EC452" i="7"/>
  <c r="EF452" i="7"/>
  <c r="EA448" i="7"/>
  <c r="DZ448" i="7"/>
  <c r="EB447" i="7"/>
  <c r="DX447" i="7"/>
  <c r="DW447" i="7"/>
  <c r="BC451" i="7"/>
  <c r="AX451" i="7"/>
  <c r="N135" i="7"/>
  <c r="D124" i="32"/>
  <c r="AV451" i="7"/>
  <c r="BA451" i="7"/>
  <c r="AW451" i="7"/>
  <c r="BB451" i="7"/>
  <c r="AT451" i="7"/>
  <c r="M452" i="7"/>
  <c r="AY452" i="7" s="1"/>
  <c r="DV452" i="7"/>
  <c r="AU451" i="7"/>
  <c r="AY451" i="7"/>
  <c r="BX485" i="7"/>
  <c r="CS485" i="7" s="1"/>
  <c r="BY485" i="7"/>
  <c r="CT485" i="7" s="1"/>
  <c r="BW487" i="7"/>
  <c r="CR487" i="7" s="1"/>
  <c r="DO450" i="7"/>
  <c r="DO451" i="7" s="1"/>
  <c r="DJ450" i="7"/>
  <c r="DP450" i="7"/>
  <c r="AG450" i="7"/>
  <c r="DK450" i="7"/>
  <c r="DL450" i="7"/>
  <c r="AF450" i="7"/>
  <c r="AI450" i="7" s="1"/>
  <c r="DM450" i="7"/>
  <c r="DR450" i="7"/>
  <c r="DQ450" i="7"/>
  <c r="AH450" i="7"/>
  <c r="DN450" i="7"/>
  <c r="CM476" i="7"/>
  <c r="DH476" i="7" s="1"/>
  <c r="CC470" i="7"/>
  <c r="CX470" i="7" s="1"/>
  <c r="G444" i="7"/>
  <c r="B134" i="7"/>
  <c r="BT456" i="7"/>
  <c r="CO456" i="7" s="1"/>
  <c r="CI455" i="7"/>
  <c r="DD455" i="7" s="1"/>
  <c r="DS454" i="7"/>
  <c r="P454" i="7" s="1"/>
  <c r="BV454" i="7"/>
  <c r="CQ454" i="7" s="1"/>
  <c r="BO446" i="7"/>
  <c r="CA448" i="7"/>
  <c r="CV448" i="7" s="1"/>
  <c r="CG449" i="7"/>
  <c r="DB449" i="7" s="1"/>
  <c r="BZ450" i="7"/>
  <c r="CU450" i="7" s="1"/>
  <c r="CD452" i="7"/>
  <c r="CY452" i="7" s="1"/>
  <c r="BN448" i="7"/>
  <c r="CH449" i="7"/>
  <c r="DC449" i="7" s="1"/>
  <c r="CF454" i="7"/>
  <c r="DA454" i="7" s="1"/>
  <c r="BQ445" i="7"/>
  <c r="H445" i="7" s="1"/>
  <c r="DI446" i="7"/>
  <c r="BP446" i="7" s="1"/>
  <c r="AG451" i="7"/>
  <c r="AH451" i="7"/>
  <c r="BS453" i="7"/>
  <c r="CN453" i="7" s="1"/>
  <c r="BU464" i="7"/>
  <c r="CP464" i="7" s="1"/>
  <c r="CE457" i="7"/>
  <c r="CZ457" i="7" s="1"/>
  <c r="CJ488" i="7"/>
  <c r="DE488" i="7" s="1"/>
  <c r="EO456" i="7" l="1"/>
  <c r="CK455" i="7"/>
  <c r="DF455" i="7" s="1"/>
  <c r="AN454" i="7"/>
  <c r="EN450" i="7"/>
  <c r="AM457" i="7"/>
  <c r="AO449" i="7"/>
  <c r="CB457" i="7"/>
  <c r="CW457" i="7" s="1"/>
  <c r="F124" i="32"/>
  <c r="G124" i="32" s="1"/>
  <c r="P124" i="32" s="1"/>
  <c r="Q124" i="32" s="1"/>
  <c r="AR135" i="7"/>
  <c r="BI135" i="7" s="1"/>
  <c r="AP135" i="7"/>
  <c r="BG135" i="7" s="1"/>
  <c r="AQ135" i="7"/>
  <c r="BH135" i="7" s="1"/>
  <c r="CL453" i="7"/>
  <c r="DG453" i="7" s="1"/>
  <c r="EM452" i="7"/>
  <c r="AJ135" i="7"/>
  <c r="C135" i="7" s="1"/>
  <c r="AK135" i="7"/>
  <c r="D135" i="7" s="1"/>
  <c r="DR451" i="7"/>
  <c r="DZ449" i="7"/>
  <c r="EA449" i="7"/>
  <c r="EF453" i="7"/>
  <c r="EC453" i="7"/>
  <c r="DW448" i="7"/>
  <c r="DX448" i="7"/>
  <c r="EB448" i="7"/>
  <c r="AL135" i="7"/>
  <c r="E135" i="7" s="1"/>
  <c r="BC452" i="7"/>
  <c r="AW452" i="7"/>
  <c r="AZ452" i="7"/>
  <c r="DO452" i="7" s="1"/>
  <c r="AT452" i="7"/>
  <c r="BA452" i="7"/>
  <c r="AU452" i="7"/>
  <c r="BB452" i="7"/>
  <c r="AX452" i="7"/>
  <c r="M453" i="7"/>
  <c r="AY453" i="7" s="1"/>
  <c r="DV453" i="7"/>
  <c r="DJ451" i="7"/>
  <c r="AV452" i="7"/>
  <c r="BY486" i="7"/>
  <c r="CT486" i="7" s="1"/>
  <c r="BX486" i="7"/>
  <c r="CS486" i="7" s="1"/>
  <c r="BW488" i="7"/>
  <c r="CR488" i="7" s="1"/>
  <c r="BE450" i="7"/>
  <c r="DQ451" i="7"/>
  <c r="BF450" i="7"/>
  <c r="DL451" i="7"/>
  <c r="BD450" i="7"/>
  <c r="DM451" i="7"/>
  <c r="DN451" i="7"/>
  <c r="DN452" i="7" s="1"/>
  <c r="DP451" i="7"/>
  <c r="DK451" i="7"/>
  <c r="AF451" i="7"/>
  <c r="AI451" i="7" s="1"/>
  <c r="CM477" i="7"/>
  <c r="DH477" i="7" s="1"/>
  <c r="CC471" i="7"/>
  <c r="CX471" i="7" s="1"/>
  <c r="G445" i="7"/>
  <c r="AF452" i="7" s="1"/>
  <c r="AI452" i="7" s="1"/>
  <c r="CI456" i="7"/>
  <c r="DD456" i="7" s="1"/>
  <c r="DS455" i="7"/>
  <c r="P455" i="7" s="1"/>
  <c r="BV455" i="7"/>
  <c r="CQ455" i="7" s="1"/>
  <c r="BT457" i="7"/>
  <c r="CO457" i="7" s="1"/>
  <c r="BO447" i="7"/>
  <c r="CA449" i="7"/>
  <c r="CV449" i="7" s="1"/>
  <c r="CG450" i="7"/>
  <c r="DB450" i="7" s="1"/>
  <c r="BZ451" i="7"/>
  <c r="CU451" i="7" s="1"/>
  <c r="CD453" i="7"/>
  <c r="CY453" i="7" s="1"/>
  <c r="BQ446" i="7"/>
  <c r="H446" i="7" s="1"/>
  <c r="DI447" i="7"/>
  <c r="BP447" i="7" s="1"/>
  <c r="CF455" i="7"/>
  <c r="DA455" i="7" s="1"/>
  <c r="CH450" i="7"/>
  <c r="DC450" i="7" s="1"/>
  <c r="BN449" i="7"/>
  <c r="AG452" i="7"/>
  <c r="BS454" i="7"/>
  <c r="CN454" i="7" s="1"/>
  <c r="BD451" i="7"/>
  <c r="BU465" i="7"/>
  <c r="CP465" i="7" s="1"/>
  <c r="CE458" i="7"/>
  <c r="CZ458" i="7" s="1"/>
  <c r="CJ489" i="7"/>
  <c r="DE489" i="7" s="1"/>
  <c r="CK456" i="7" l="1"/>
  <c r="DF456" i="7" s="1"/>
  <c r="EN451" i="7"/>
  <c r="EO457" i="7"/>
  <c r="AN455" i="7"/>
  <c r="AM458" i="7"/>
  <c r="AO450" i="7"/>
  <c r="CB458" i="7"/>
  <c r="CW458" i="7" s="1"/>
  <c r="CL454" i="7"/>
  <c r="DG454" i="7" s="1"/>
  <c r="EM453" i="7"/>
  <c r="DM452" i="7"/>
  <c r="EF454" i="7"/>
  <c r="EC454" i="7"/>
  <c r="DZ450" i="7"/>
  <c r="EA450" i="7"/>
  <c r="DW449" i="7"/>
  <c r="DX449" i="7"/>
  <c r="EB449" i="7"/>
  <c r="AU453" i="7"/>
  <c r="BB453" i="7"/>
  <c r="BA453" i="7"/>
  <c r="AW453" i="7"/>
  <c r="AT453" i="7"/>
  <c r="AV453" i="7"/>
  <c r="BC453" i="7"/>
  <c r="AZ453" i="7"/>
  <c r="AX453" i="7"/>
  <c r="M454" i="7"/>
  <c r="AX454" i="7" s="1"/>
  <c r="DV454" i="7"/>
  <c r="BX487" i="7"/>
  <c r="CS487" i="7" s="1"/>
  <c r="BY487" i="7"/>
  <c r="CT487" i="7" s="1"/>
  <c r="BW489" i="7"/>
  <c r="CR489" i="7" s="1"/>
  <c r="BF451" i="7"/>
  <c r="BE451" i="7"/>
  <c r="DL452" i="7"/>
  <c r="DQ452" i="7"/>
  <c r="DP452" i="7"/>
  <c r="DJ452" i="7"/>
  <c r="AH452" i="7"/>
  <c r="DK452" i="7"/>
  <c r="DR452" i="7"/>
  <c r="CM478" i="7"/>
  <c r="DH478" i="7" s="1"/>
  <c r="CC472" i="7"/>
  <c r="CX472" i="7" s="1"/>
  <c r="G446" i="7"/>
  <c r="F135" i="7"/>
  <c r="BJ135" i="7"/>
  <c r="BK135" i="7"/>
  <c r="BL135" i="7"/>
  <c r="BV456" i="7"/>
  <c r="CQ456" i="7" s="1"/>
  <c r="BT458" i="7"/>
  <c r="CO458" i="7" s="1"/>
  <c r="DS456" i="7"/>
  <c r="P456" i="7" s="1"/>
  <c r="CI457" i="7"/>
  <c r="DD457" i="7" s="1"/>
  <c r="BO448" i="7"/>
  <c r="CA450" i="7"/>
  <c r="CV450" i="7" s="1"/>
  <c r="CG451" i="7"/>
  <c r="DB451" i="7" s="1"/>
  <c r="BZ452" i="7"/>
  <c r="CU452" i="7" s="1"/>
  <c r="CD454" i="7"/>
  <c r="CY454" i="7" s="1"/>
  <c r="DI448" i="7"/>
  <c r="BP448" i="7" s="1"/>
  <c r="BQ447" i="7"/>
  <c r="H447" i="7" s="1"/>
  <c r="CH451" i="7"/>
  <c r="DC451" i="7" s="1"/>
  <c r="BN450" i="7"/>
  <c r="CF456" i="7"/>
  <c r="DA456" i="7" s="1"/>
  <c r="BS455" i="7"/>
  <c r="CN455" i="7" s="1"/>
  <c r="BU466" i="7"/>
  <c r="CP466" i="7" s="1"/>
  <c r="CE459" i="7"/>
  <c r="CZ459" i="7" s="1"/>
  <c r="CJ490" i="7"/>
  <c r="DE490" i="7" s="1"/>
  <c r="AO451" i="7" l="1"/>
  <c r="AN456" i="7"/>
  <c r="EO458" i="7"/>
  <c r="AM459" i="7"/>
  <c r="EN452" i="7"/>
  <c r="CK457" i="7"/>
  <c r="DF457" i="7" s="1"/>
  <c r="CB459" i="7"/>
  <c r="CW459" i="7" s="1"/>
  <c r="CL455" i="7"/>
  <c r="DG455" i="7" s="1"/>
  <c r="EM454" i="7"/>
  <c r="DO453" i="7"/>
  <c r="EF455" i="7"/>
  <c r="EC455" i="7"/>
  <c r="DZ451" i="7"/>
  <c r="EA451" i="7"/>
  <c r="DW450" i="7"/>
  <c r="EB450" i="7"/>
  <c r="DX450" i="7"/>
  <c r="BB454" i="7"/>
  <c r="BA454" i="7"/>
  <c r="AT454" i="7"/>
  <c r="AW454" i="7"/>
  <c r="AZ454" i="7"/>
  <c r="AY454" i="7"/>
  <c r="AU454" i="7"/>
  <c r="BC454" i="7"/>
  <c r="AV454" i="7"/>
  <c r="M455" i="7"/>
  <c r="BA455" i="7" s="1"/>
  <c r="DV455" i="7"/>
  <c r="BY488" i="7"/>
  <c r="CT488" i="7" s="1"/>
  <c r="BX488" i="7"/>
  <c r="CS488" i="7" s="1"/>
  <c r="BW490" i="7"/>
  <c r="CR490" i="7" s="1"/>
  <c r="BE452" i="7"/>
  <c r="DR453" i="7"/>
  <c r="BD452" i="7"/>
  <c r="DN453" i="7"/>
  <c r="DK453" i="7"/>
  <c r="AH453" i="7"/>
  <c r="DP453" i="7"/>
  <c r="DQ453" i="7"/>
  <c r="AG453" i="7"/>
  <c r="DL453" i="7"/>
  <c r="BF452" i="7"/>
  <c r="DJ453" i="7"/>
  <c r="AF453" i="7"/>
  <c r="AI453" i="7" s="1"/>
  <c r="DM453" i="7"/>
  <c r="DM454" i="7" s="1"/>
  <c r="CM479" i="7"/>
  <c r="DH479" i="7" s="1"/>
  <c r="CC473" i="7"/>
  <c r="CX473" i="7" s="1"/>
  <c r="G447" i="7"/>
  <c r="BM135" i="7"/>
  <c r="BT459" i="7"/>
  <c r="CO459" i="7" s="1"/>
  <c r="DS457" i="7"/>
  <c r="P457" i="7" s="1"/>
  <c r="CI458" i="7"/>
  <c r="DD458" i="7" s="1"/>
  <c r="BV457" i="7"/>
  <c r="CQ457" i="7" s="1"/>
  <c r="CA451" i="7"/>
  <c r="CV451" i="7" s="1"/>
  <c r="BO449" i="7"/>
  <c r="CG452" i="7"/>
  <c r="DB452" i="7" s="1"/>
  <c r="BZ453" i="7"/>
  <c r="CU453" i="7" s="1"/>
  <c r="CD455" i="7"/>
  <c r="CY455" i="7" s="1"/>
  <c r="CF457" i="7"/>
  <c r="DA457" i="7" s="1"/>
  <c r="BQ448" i="7"/>
  <c r="H448" i="7" s="1"/>
  <c r="DI449" i="7"/>
  <c r="BP449" i="7" s="1"/>
  <c r="CH452" i="7"/>
  <c r="DC452" i="7" s="1"/>
  <c r="BN451" i="7"/>
  <c r="AF454" i="7"/>
  <c r="AI454" i="7" s="1"/>
  <c r="AG454" i="7"/>
  <c r="BS456" i="7"/>
  <c r="CN456" i="7" s="1"/>
  <c r="BU467" i="7"/>
  <c r="CP467" i="7" s="1"/>
  <c r="CE460" i="7"/>
  <c r="CZ460" i="7" s="1"/>
  <c r="CJ491" i="7"/>
  <c r="DE491" i="7" s="1"/>
  <c r="EN453" i="7" l="1"/>
  <c r="CK458" i="7"/>
  <c r="DF458" i="7" s="1"/>
  <c r="EO459" i="7"/>
  <c r="AM460" i="7"/>
  <c r="AO452" i="7"/>
  <c r="AN457" i="7"/>
  <c r="CB460" i="7"/>
  <c r="CW460" i="7" s="1"/>
  <c r="CL456" i="7"/>
  <c r="DG456" i="7" s="1"/>
  <c r="EM455" i="7"/>
  <c r="DQ454" i="7"/>
  <c r="DZ452" i="7"/>
  <c r="EA452" i="7"/>
  <c r="EB451" i="7"/>
  <c r="DX451" i="7"/>
  <c r="DW451" i="7"/>
  <c r="EC456" i="7"/>
  <c r="EF456" i="7"/>
  <c r="N136" i="7"/>
  <c r="D125" i="32"/>
  <c r="BC455" i="7"/>
  <c r="AU455" i="7"/>
  <c r="AZ455" i="7"/>
  <c r="BB455" i="7"/>
  <c r="AT455" i="7"/>
  <c r="AV455" i="7"/>
  <c r="AX455" i="7"/>
  <c r="AW455" i="7"/>
  <c r="M456" i="7"/>
  <c r="AT456" i="7" s="1"/>
  <c r="DV456" i="7"/>
  <c r="AY455" i="7"/>
  <c r="BX489" i="7"/>
  <c r="CS489" i="7" s="1"/>
  <c r="BY489" i="7"/>
  <c r="CT489" i="7" s="1"/>
  <c r="BW491" i="7"/>
  <c r="CR491" i="7" s="1"/>
  <c r="DK454" i="7"/>
  <c r="DP454" i="7"/>
  <c r="DO454" i="7"/>
  <c r="BF453" i="7"/>
  <c r="DL454" i="7"/>
  <c r="BD453" i="7"/>
  <c r="DJ454" i="7"/>
  <c r="DR454" i="7"/>
  <c r="BE453" i="7"/>
  <c r="DN454" i="7"/>
  <c r="AH454" i="7"/>
  <c r="CM480" i="7"/>
  <c r="DH480" i="7" s="1"/>
  <c r="CC474" i="7"/>
  <c r="CX474" i="7" s="1"/>
  <c r="G448" i="7"/>
  <c r="B135" i="7"/>
  <c r="CI459" i="7"/>
  <c r="DD459" i="7" s="1"/>
  <c r="DS458" i="7"/>
  <c r="P458" i="7" s="1"/>
  <c r="BV458" i="7"/>
  <c r="CQ458" i="7" s="1"/>
  <c r="BT460" i="7"/>
  <c r="CO460" i="7" s="1"/>
  <c r="CA452" i="7"/>
  <c r="CV452" i="7" s="1"/>
  <c r="BO450" i="7"/>
  <c r="CG453" i="7"/>
  <c r="DB453" i="7" s="1"/>
  <c r="BZ454" i="7"/>
  <c r="CU454" i="7" s="1"/>
  <c r="CD456" i="7"/>
  <c r="CY456" i="7" s="1"/>
  <c r="BN452" i="7"/>
  <c r="CH453" i="7"/>
  <c r="DC453" i="7" s="1"/>
  <c r="DI450" i="7"/>
  <c r="BP450" i="7" s="1"/>
  <c r="BQ449" i="7"/>
  <c r="H449" i="7" s="1"/>
  <c r="CF458" i="7"/>
  <c r="DA458" i="7" s="1"/>
  <c r="BS457" i="7"/>
  <c r="CN457" i="7" s="1"/>
  <c r="BD454" i="7"/>
  <c r="BU468" i="7"/>
  <c r="CP468" i="7" s="1"/>
  <c r="CE461" i="7"/>
  <c r="CZ461" i="7" s="1"/>
  <c r="CJ492" i="7"/>
  <c r="DE492" i="7" s="1"/>
  <c r="AM461" i="7" l="1"/>
  <c r="AN458" i="7"/>
  <c r="CK459" i="7"/>
  <c r="DF459" i="7" s="1"/>
  <c r="EN454" i="7"/>
  <c r="EO460" i="7"/>
  <c r="AO453" i="7"/>
  <c r="CB461" i="7"/>
  <c r="CW461" i="7" s="1"/>
  <c r="F125" i="32"/>
  <c r="G125" i="32" s="1"/>
  <c r="P125" i="32" s="1"/>
  <c r="Q125" i="32" s="1"/>
  <c r="AP136" i="7"/>
  <c r="BG136" i="7" s="1"/>
  <c r="AQ136" i="7"/>
  <c r="BH136" i="7" s="1"/>
  <c r="AR136" i="7"/>
  <c r="BI136" i="7" s="1"/>
  <c r="CL457" i="7"/>
  <c r="DG457" i="7" s="1"/>
  <c r="EM456" i="7"/>
  <c r="DZ453" i="7"/>
  <c r="EA453" i="7"/>
  <c r="EB452" i="7"/>
  <c r="DW452" i="7"/>
  <c r="DX452" i="7"/>
  <c r="EF457" i="7"/>
  <c r="EC457" i="7"/>
  <c r="DO455" i="7"/>
  <c r="AK136" i="7"/>
  <c r="D136" i="7" s="1"/>
  <c r="AJ136" i="7"/>
  <c r="C136" i="7" s="1"/>
  <c r="AL136" i="7"/>
  <c r="E136" i="7" s="1"/>
  <c r="AV456" i="7"/>
  <c r="BB456" i="7"/>
  <c r="AZ456" i="7"/>
  <c r="AU456" i="7"/>
  <c r="AW456" i="7"/>
  <c r="BC456" i="7"/>
  <c r="AX456" i="7"/>
  <c r="AY456" i="7"/>
  <c r="BA456" i="7"/>
  <c r="M457" i="7"/>
  <c r="BB457" i="7" s="1"/>
  <c r="DV457" i="7"/>
  <c r="BY490" i="7"/>
  <c r="CT490" i="7" s="1"/>
  <c r="BX490" i="7"/>
  <c r="CS490" i="7" s="1"/>
  <c r="BW492" i="7"/>
  <c r="CR492" i="7" s="1"/>
  <c r="DL455" i="7"/>
  <c r="AH455" i="7"/>
  <c r="DQ455" i="7"/>
  <c r="BF454" i="7"/>
  <c r="DK455" i="7"/>
  <c r="DR455" i="7"/>
  <c r="AF455" i="7"/>
  <c r="AI455" i="7" s="1"/>
  <c r="DJ455" i="7"/>
  <c r="DM455" i="7"/>
  <c r="DP455" i="7"/>
  <c r="AG455" i="7"/>
  <c r="DN455" i="7"/>
  <c r="BE454" i="7"/>
  <c r="CM481" i="7"/>
  <c r="DH481" i="7" s="1"/>
  <c r="CC475" i="7"/>
  <c r="CX475" i="7" s="1"/>
  <c r="G449" i="7"/>
  <c r="BV459" i="7"/>
  <c r="CQ459" i="7" s="1"/>
  <c r="BT461" i="7"/>
  <c r="CO461" i="7" s="1"/>
  <c r="DS459" i="7"/>
  <c r="P459" i="7" s="1"/>
  <c r="CI460" i="7"/>
  <c r="DD460" i="7" s="1"/>
  <c r="CA453" i="7"/>
  <c r="CV453" i="7" s="1"/>
  <c r="BO451" i="7"/>
  <c r="CG454" i="7"/>
  <c r="DB454" i="7" s="1"/>
  <c r="BZ455" i="7"/>
  <c r="CU455" i="7" s="1"/>
  <c r="CD457" i="7"/>
  <c r="CY457" i="7" s="1"/>
  <c r="BN453" i="7"/>
  <c r="CH454" i="7"/>
  <c r="DC454" i="7" s="1"/>
  <c r="CF459" i="7"/>
  <c r="DA459" i="7" s="1"/>
  <c r="DI451" i="7"/>
  <c r="BP451" i="7" s="1"/>
  <c r="BQ450" i="7"/>
  <c r="H450" i="7" s="1"/>
  <c r="AH456" i="7"/>
  <c r="AF456" i="7"/>
  <c r="AI456" i="7" s="1"/>
  <c r="AG456" i="7"/>
  <c r="BS458" i="7"/>
  <c r="CN458" i="7" s="1"/>
  <c r="BU469" i="7"/>
  <c r="CP469" i="7" s="1"/>
  <c r="CE462" i="7"/>
  <c r="CZ462" i="7" s="1"/>
  <c r="CJ493" i="7"/>
  <c r="DE493" i="7" s="1"/>
  <c r="EO461" i="7" l="1"/>
  <c r="AM462" i="7"/>
  <c r="AN459" i="7"/>
  <c r="EN455" i="7"/>
  <c r="AO454" i="7"/>
  <c r="CK460" i="7"/>
  <c r="DF460" i="7" s="1"/>
  <c r="CB462" i="7"/>
  <c r="CW462" i="7" s="1"/>
  <c r="CL458" i="7"/>
  <c r="DG458" i="7" s="1"/>
  <c r="EM457" i="7"/>
  <c r="DZ454" i="7"/>
  <c r="EA454" i="7"/>
  <c r="DW453" i="7"/>
  <c r="DX453" i="7"/>
  <c r="EB453" i="7"/>
  <c r="EF458" i="7"/>
  <c r="EC458" i="7"/>
  <c r="DM456" i="7"/>
  <c r="AU457" i="7"/>
  <c r="DJ456" i="7"/>
  <c r="AW457" i="7"/>
  <c r="AY457" i="7"/>
  <c r="AZ457" i="7"/>
  <c r="AT457" i="7"/>
  <c r="AX457" i="7"/>
  <c r="BC457" i="7"/>
  <c r="AV457" i="7"/>
  <c r="BA457" i="7"/>
  <c r="M458" i="7"/>
  <c r="AX458" i="7" s="1"/>
  <c r="DV458" i="7"/>
  <c r="BX491" i="7"/>
  <c r="CS491" i="7" s="1"/>
  <c r="BY491" i="7"/>
  <c r="CT491" i="7" s="1"/>
  <c r="BW493" i="7"/>
  <c r="CR493" i="7" s="1"/>
  <c r="DK456" i="7"/>
  <c r="BF455" i="7"/>
  <c r="DQ456" i="7"/>
  <c r="DR456" i="7"/>
  <c r="DN456" i="7"/>
  <c r="BE455" i="7"/>
  <c r="DO456" i="7"/>
  <c r="BD455" i="7"/>
  <c r="DL456" i="7"/>
  <c r="DP456" i="7"/>
  <c r="CM482" i="7"/>
  <c r="DH482" i="7" s="1"/>
  <c r="CC476" i="7"/>
  <c r="CX476" i="7" s="1"/>
  <c r="G450" i="7"/>
  <c r="BL136" i="7"/>
  <c r="BK136" i="7"/>
  <c r="F136" i="7"/>
  <c r="BJ136" i="7"/>
  <c r="BT462" i="7"/>
  <c r="CO462" i="7" s="1"/>
  <c r="DS460" i="7"/>
  <c r="P460" i="7" s="1"/>
  <c r="CI461" i="7"/>
  <c r="DD461" i="7" s="1"/>
  <c r="BV460" i="7"/>
  <c r="CQ460" i="7" s="1"/>
  <c r="BO452" i="7"/>
  <c r="CA454" i="7"/>
  <c r="CV454" i="7" s="1"/>
  <c r="CG455" i="7"/>
  <c r="DB455" i="7" s="1"/>
  <c r="BZ456" i="7"/>
  <c r="CU456" i="7" s="1"/>
  <c r="CD458" i="7"/>
  <c r="CY458" i="7" s="1"/>
  <c r="BQ451" i="7"/>
  <c r="H451" i="7" s="1"/>
  <c r="DI452" i="7"/>
  <c r="BP452" i="7" s="1"/>
  <c r="BN454" i="7"/>
  <c r="CH455" i="7"/>
  <c r="DC455" i="7" s="1"/>
  <c r="CF460" i="7"/>
  <c r="DA460" i="7" s="1"/>
  <c r="BS459" i="7"/>
  <c r="CN459" i="7" s="1"/>
  <c r="BU470" i="7"/>
  <c r="CP470" i="7" s="1"/>
  <c r="CE463" i="7"/>
  <c r="CZ463" i="7" s="1"/>
  <c r="CJ494" i="7"/>
  <c r="DE494" i="7" s="1"/>
  <c r="EN456" i="7" l="1"/>
  <c r="AO455" i="7"/>
  <c r="AM463" i="7"/>
  <c r="EO462" i="7"/>
  <c r="CK461" i="7"/>
  <c r="DF461" i="7" s="1"/>
  <c r="AN460" i="7"/>
  <c r="CB463" i="7"/>
  <c r="CW463" i="7" s="1"/>
  <c r="CL459" i="7"/>
  <c r="DG459" i="7" s="1"/>
  <c r="EM458" i="7"/>
  <c r="DR457" i="7"/>
  <c r="EB454" i="7"/>
  <c r="DX454" i="7"/>
  <c r="DW454" i="7"/>
  <c r="EA455" i="7"/>
  <c r="DZ455" i="7"/>
  <c r="EF459" i="7"/>
  <c r="EC459" i="7"/>
  <c r="DJ457" i="7"/>
  <c r="BB458" i="7"/>
  <c r="AW458" i="7"/>
  <c r="AT458" i="7"/>
  <c r="AU458" i="7"/>
  <c r="BA458" i="7"/>
  <c r="AV458" i="7"/>
  <c r="BC458" i="7"/>
  <c r="M459" i="7"/>
  <c r="AX459" i="7" s="1"/>
  <c r="DV459" i="7"/>
  <c r="AZ458" i="7"/>
  <c r="AY458" i="7"/>
  <c r="BY492" i="7"/>
  <c r="CT492" i="7" s="1"/>
  <c r="BX492" i="7"/>
  <c r="CS492" i="7" s="1"/>
  <c r="BW494" i="7"/>
  <c r="CR494" i="7" s="1"/>
  <c r="DO457" i="7"/>
  <c r="DN457" i="7"/>
  <c r="BF456" i="7"/>
  <c r="DL457" i="7"/>
  <c r="AH457" i="7"/>
  <c r="DM457" i="7"/>
  <c r="DQ457" i="7"/>
  <c r="DK457" i="7"/>
  <c r="AF457" i="7"/>
  <c r="AI457" i="7" s="1"/>
  <c r="DP457" i="7"/>
  <c r="BE456" i="7"/>
  <c r="BD456" i="7"/>
  <c r="AG457" i="7"/>
  <c r="CM483" i="7"/>
  <c r="DH483" i="7" s="1"/>
  <c r="CC477" i="7"/>
  <c r="CX477" i="7" s="1"/>
  <c r="G451" i="7"/>
  <c r="BM136" i="7"/>
  <c r="BV461" i="7"/>
  <c r="CQ461" i="7" s="1"/>
  <c r="BT463" i="7"/>
  <c r="CO463" i="7" s="1"/>
  <c r="CI462" i="7"/>
  <c r="DD462" i="7" s="1"/>
  <c r="DS461" i="7"/>
  <c r="P461" i="7" s="1"/>
  <c r="BO453" i="7"/>
  <c r="CA455" i="7"/>
  <c r="CV455" i="7" s="1"/>
  <c r="CG456" i="7"/>
  <c r="DB456" i="7" s="1"/>
  <c r="BZ457" i="7"/>
  <c r="CU457" i="7" s="1"/>
  <c r="CD459" i="7"/>
  <c r="CY459" i="7" s="1"/>
  <c r="BQ452" i="7"/>
  <c r="H452" i="7" s="1"/>
  <c r="DI453" i="7"/>
  <c r="BP453" i="7" s="1"/>
  <c r="CF461" i="7"/>
  <c r="DA461" i="7" s="1"/>
  <c r="CH456" i="7"/>
  <c r="DC456" i="7" s="1"/>
  <c r="BN455" i="7"/>
  <c r="BS460" i="7"/>
  <c r="CN460" i="7" s="1"/>
  <c r="AG458" i="7"/>
  <c r="BU471" i="7"/>
  <c r="CP471" i="7" s="1"/>
  <c r="CE464" i="7"/>
  <c r="CZ464" i="7" s="1"/>
  <c r="CJ495" i="7"/>
  <c r="DE495" i="7" s="1"/>
  <c r="AN461" i="7" l="1"/>
  <c r="EN457" i="7"/>
  <c r="AO456" i="7"/>
  <c r="AM464" i="7"/>
  <c r="EO463" i="7"/>
  <c r="CK462" i="7"/>
  <c r="DF462" i="7" s="1"/>
  <c r="CB464" i="7"/>
  <c r="CW464" i="7" s="1"/>
  <c r="CL460" i="7"/>
  <c r="DG460" i="7" s="1"/>
  <c r="EM459" i="7"/>
  <c r="DZ456" i="7"/>
  <c r="EA456" i="7"/>
  <c r="EF460" i="7"/>
  <c r="EC460" i="7"/>
  <c r="EB455" i="7"/>
  <c r="DX455" i="7"/>
  <c r="DW455" i="7"/>
  <c r="N137" i="7"/>
  <c r="D126" i="32"/>
  <c r="DR458" i="7"/>
  <c r="BB459" i="7"/>
  <c r="AZ459" i="7"/>
  <c r="AT459" i="7"/>
  <c r="AU459" i="7"/>
  <c r="BC459" i="7"/>
  <c r="BA459" i="7"/>
  <c r="AV459" i="7"/>
  <c r="AW459" i="7"/>
  <c r="M460" i="7"/>
  <c r="AV460" i="7" s="1"/>
  <c r="DV460" i="7"/>
  <c r="DN458" i="7"/>
  <c r="AY459" i="7"/>
  <c r="DO458" i="7"/>
  <c r="BX493" i="7"/>
  <c r="CS493" i="7" s="1"/>
  <c r="BY493" i="7"/>
  <c r="CT493" i="7" s="1"/>
  <c r="BW495" i="7"/>
  <c r="CR495" i="7" s="1"/>
  <c r="BF457" i="7"/>
  <c r="BE457" i="7"/>
  <c r="AH458" i="7"/>
  <c r="DM458" i="7"/>
  <c r="DL458" i="7"/>
  <c r="BD457" i="7"/>
  <c r="DQ458" i="7"/>
  <c r="AF458" i="7"/>
  <c r="AI458" i="7" s="1"/>
  <c r="DP458" i="7"/>
  <c r="DK458" i="7"/>
  <c r="DJ458" i="7"/>
  <c r="CM484" i="7"/>
  <c r="DH484" i="7" s="1"/>
  <c r="CC478" i="7"/>
  <c r="CX478" i="7" s="1"/>
  <c r="G452" i="7"/>
  <c r="B136" i="7"/>
  <c r="BT464" i="7"/>
  <c r="CO464" i="7" s="1"/>
  <c r="DS462" i="7"/>
  <c r="P462" i="7" s="1"/>
  <c r="CI463" i="7"/>
  <c r="DD463" i="7" s="1"/>
  <c r="BV462" i="7"/>
  <c r="CQ462" i="7" s="1"/>
  <c r="BO454" i="7"/>
  <c r="CA456" i="7"/>
  <c r="CV456" i="7" s="1"/>
  <c r="CG457" i="7"/>
  <c r="DB457" i="7" s="1"/>
  <c r="BZ458" i="7"/>
  <c r="CU458" i="7" s="1"/>
  <c r="CD460" i="7"/>
  <c r="CY460" i="7" s="1"/>
  <c r="CF462" i="7"/>
  <c r="DA462" i="7" s="1"/>
  <c r="CH457" i="7"/>
  <c r="DC457" i="7" s="1"/>
  <c r="BN456" i="7"/>
  <c r="DI454" i="7"/>
  <c r="BP454" i="7" s="1"/>
  <c r="BQ453" i="7"/>
  <c r="H453" i="7" s="1"/>
  <c r="BS461" i="7"/>
  <c r="CN461" i="7" s="1"/>
  <c r="BF458" i="7"/>
  <c r="AH459" i="7"/>
  <c r="AG459" i="7"/>
  <c r="AF459" i="7"/>
  <c r="AI459" i="7" s="1"/>
  <c r="BU472" i="7"/>
  <c r="CP472" i="7" s="1"/>
  <c r="CE465" i="7"/>
  <c r="CZ465" i="7" s="1"/>
  <c r="CJ496" i="7"/>
  <c r="DE496" i="7" s="1"/>
  <c r="AO457" i="7" l="1"/>
  <c r="CK463" i="7"/>
  <c r="DF463" i="7" s="1"/>
  <c r="AN462" i="7"/>
  <c r="EN458" i="7"/>
  <c r="AM465" i="7"/>
  <c r="EO464" i="7"/>
  <c r="CB465" i="7"/>
  <c r="CW465" i="7" s="1"/>
  <c r="F126" i="32"/>
  <c r="G126" i="32" s="1"/>
  <c r="P126" i="32" s="1"/>
  <c r="Q126" i="32" s="1"/>
  <c r="AP137" i="7"/>
  <c r="BG137" i="7" s="1"/>
  <c r="AQ137" i="7"/>
  <c r="BH137" i="7" s="1"/>
  <c r="AR137" i="7"/>
  <c r="BI137" i="7" s="1"/>
  <c r="CL461" i="7"/>
  <c r="DG461" i="7" s="1"/>
  <c r="EM460" i="7"/>
  <c r="DR459" i="7"/>
  <c r="DX456" i="7"/>
  <c r="EB456" i="7"/>
  <c r="DW456" i="7"/>
  <c r="EF461" i="7"/>
  <c r="EC461" i="7"/>
  <c r="DZ457" i="7"/>
  <c r="EA457" i="7"/>
  <c r="AL137" i="7"/>
  <c r="E137" i="7" s="1"/>
  <c r="AK137" i="7"/>
  <c r="D137" i="7" s="1"/>
  <c r="AJ137" i="7"/>
  <c r="C137" i="7" s="1"/>
  <c r="DK459" i="7"/>
  <c r="DN459" i="7"/>
  <c r="AT460" i="7"/>
  <c r="AU460" i="7"/>
  <c r="AW460" i="7"/>
  <c r="BC460" i="7"/>
  <c r="BB460" i="7"/>
  <c r="AY460" i="7"/>
  <c r="BA460" i="7"/>
  <c r="AZ460" i="7"/>
  <c r="AX460" i="7"/>
  <c r="M461" i="7"/>
  <c r="BA461" i="7" s="1"/>
  <c r="DV461" i="7"/>
  <c r="BY494" i="7"/>
  <c r="CT494" i="7" s="1"/>
  <c r="BX494" i="7"/>
  <c r="CS494" i="7" s="1"/>
  <c r="BW496" i="7"/>
  <c r="CR496" i="7" s="1"/>
  <c r="DL459" i="7"/>
  <c r="DQ459" i="7"/>
  <c r="DJ459" i="7"/>
  <c r="DM459" i="7"/>
  <c r="BE458" i="7"/>
  <c r="DO459" i="7"/>
  <c r="DP459" i="7"/>
  <c r="BD458" i="7"/>
  <c r="CM485" i="7"/>
  <c r="DH485" i="7" s="1"/>
  <c r="DK460" i="7"/>
  <c r="CC479" i="7"/>
  <c r="CX479" i="7" s="1"/>
  <c r="G453" i="7"/>
  <c r="BV463" i="7"/>
  <c r="CQ463" i="7" s="1"/>
  <c r="BT465" i="7"/>
  <c r="CO465" i="7" s="1"/>
  <c r="DS463" i="7"/>
  <c r="P463" i="7" s="1"/>
  <c r="CI464" i="7"/>
  <c r="DD464" i="7" s="1"/>
  <c r="BO455" i="7"/>
  <c r="CA457" i="7"/>
  <c r="CV457" i="7" s="1"/>
  <c r="CG458" i="7"/>
  <c r="DB458" i="7" s="1"/>
  <c r="BZ459" i="7"/>
  <c r="CU459" i="7" s="1"/>
  <c r="CD461" i="7"/>
  <c r="CY461" i="7" s="1"/>
  <c r="BN457" i="7"/>
  <c r="CH458" i="7"/>
  <c r="DC458" i="7" s="1"/>
  <c r="BQ454" i="7"/>
  <c r="H454" i="7" s="1"/>
  <c r="DI455" i="7"/>
  <c r="BP455" i="7" s="1"/>
  <c r="CF463" i="7"/>
  <c r="DA463" i="7" s="1"/>
  <c r="BS462" i="7"/>
  <c r="CN462" i="7" s="1"/>
  <c r="BD459" i="7"/>
  <c r="BE459" i="7"/>
  <c r="BF459" i="7"/>
  <c r="BU473" i="7"/>
  <c r="CP473" i="7" s="1"/>
  <c r="CE466" i="7"/>
  <c r="CZ466" i="7" s="1"/>
  <c r="CJ497" i="7"/>
  <c r="DE497" i="7" s="1"/>
  <c r="CK464" i="7" l="1"/>
  <c r="DF464" i="7" s="1"/>
  <c r="EO465" i="7"/>
  <c r="AM466" i="7"/>
  <c r="EN459" i="7"/>
  <c r="AN463" i="7"/>
  <c r="AO458" i="7"/>
  <c r="CB466" i="7"/>
  <c r="CW466" i="7" s="1"/>
  <c r="DN460" i="7"/>
  <c r="CL462" i="7"/>
  <c r="DG462" i="7" s="1"/>
  <c r="EM461" i="7"/>
  <c r="DQ460" i="7"/>
  <c r="DR460" i="7"/>
  <c r="EF462" i="7"/>
  <c r="EC462" i="7"/>
  <c r="EA458" i="7"/>
  <c r="DZ458" i="7"/>
  <c r="DX457" i="7"/>
  <c r="EB457" i="7"/>
  <c r="DW457" i="7"/>
  <c r="AU461" i="7"/>
  <c r="DJ460" i="7"/>
  <c r="AZ461" i="7"/>
  <c r="AV461" i="7"/>
  <c r="AX461" i="7"/>
  <c r="AY461" i="7"/>
  <c r="AT461" i="7"/>
  <c r="BC461" i="7"/>
  <c r="BB461" i="7"/>
  <c r="AW461" i="7"/>
  <c r="M462" i="7"/>
  <c r="AY462" i="7" s="1"/>
  <c r="DV462" i="7"/>
  <c r="BX495" i="7"/>
  <c r="CS495" i="7" s="1"/>
  <c r="BY495" i="7"/>
  <c r="CT495" i="7" s="1"/>
  <c r="BW497" i="7"/>
  <c r="CR497" i="7" s="1"/>
  <c r="DL460" i="7"/>
  <c r="DP460" i="7"/>
  <c r="AF460" i="7"/>
  <c r="AI460" i="7" s="1"/>
  <c r="AG460" i="7"/>
  <c r="DM460" i="7"/>
  <c r="AH460" i="7"/>
  <c r="DO460" i="7"/>
  <c r="CM486" i="7"/>
  <c r="DH486" i="7" s="1"/>
  <c r="CC480" i="7"/>
  <c r="CX480" i="7" s="1"/>
  <c r="G454" i="7"/>
  <c r="BL137" i="7"/>
  <c r="BK137" i="7"/>
  <c r="F137" i="7"/>
  <c r="BJ137" i="7"/>
  <c r="CI465" i="7"/>
  <c r="DD465" i="7" s="1"/>
  <c r="DS464" i="7"/>
  <c r="P464" i="7" s="1"/>
  <c r="BT466" i="7"/>
  <c r="CO466" i="7" s="1"/>
  <c r="BV464" i="7"/>
  <c r="CQ464" i="7" s="1"/>
  <c r="BO456" i="7"/>
  <c r="CA458" i="7"/>
  <c r="CV458" i="7" s="1"/>
  <c r="CG459" i="7"/>
  <c r="DB459" i="7" s="1"/>
  <c r="BZ460" i="7"/>
  <c r="CU460" i="7" s="1"/>
  <c r="CD462" i="7"/>
  <c r="CY462" i="7" s="1"/>
  <c r="CH459" i="7"/>
  <c r="DC459" i="7" s="1"/>
  <c r="BN458" i="7"/>
  <c r="CF464" i="7"/>
  <c r="DA464" i="7" s="1"/>
  <c r="BQ455" i="7"/>
  <c r="H455" i="7" s="1"/>
  <c r="DI456" i="7"/>
  <c r="BP456" i="7" s="1"/>
  <c r="BD460" i="7"/>
  <c r="BS463" i="7"/>
  <c r="CN463" i="7" s="1"/>
  <c r="AF461" i="7"/>
  <c r="AI461" i="7" s="1"/>
  <c r="BU474" i="7"/>
  <c r="CP474" i="7" s="1"/>
  <c r="CE467" i="7"/>
  <c r="CZ467" i="7" s="1"/>
  <c r="CJ498" i="7"/>
  <c r="DE498" i="7" s="1"/>
  <c r="AN464" i="7" l="1"/>
  <c r="EN460" i="7"/>
  <c r="AM467" i="7"/>
  <c r="AO459" i="7"/>
  <c r="EO466" i="7"/>
  <c r="CK465" i="7"/>
  <c r="DF465" i="7" s="1"/>
  <c r="CB467" i="7"/>
  <c r="CW467" i="7" s="1"/>
  <c r="DN461" i="7"/>
  <c r="DN462" i="7" s="1"/>
  <c r="DR461" i="7"/>
  <c r="CL463" i="7"/>
  <c r="DG463" i="7" s="1"/>
  <c r="EM462" i="7"/>
  <c r="EF463" i="7"/>
  <c r="EC463" i="7"/>
  <c r="DX458" i="7"/>
  <c r="EB458" i="7"/>
  <c r="DW458" i="7"/>
  <c r="DZ459" i="7"/>
  <c r="EA459" i="7"/>
  <c r="BA462" i="7"/>
  <c r="DK461" i="7"/>
  <c r="BC462" i="7"/>
  <c r="DR462" i="7" s="1"/>
  <c r="DJ461" i="7"/>
  <c r="AU462" i="7"/>
  <c r="AT462" i="7"/>
  <c r="AZ462" i="7"/>
  <c r="BB462" i="7"/>
  <c r="AV462" i="7"/>
  <c r="AW462" i="7"/>
  <c r="AX462" i="7"/>
  <c r="M463" i="7"/>
  <c r="AX463" i="7" s="1"/>
  <c r="DV463" i="7"/>
  <c r="BY496" i="7"/>
  <c r="CT496" i="7" s="1"/>
  <c r="BX496" i="7"/>
  <c r="CS496" i="7" s="1"/>
  <c r="BW498" i="7"/>
  <c r="CR498" i="7" s="1"/>
  <c r="AH461" i="7"/>
  <c r="AG461" i="7"/>
  <c r="DO461" i="7"/>
  <c r="BF460" i="7"/>
  <c r="DL461" i="7"/>
  <c r="DM461" i="7"/>
  <c r="DQ461" i="7"/>
  <c r="DP461" i="7"/>
  <c r="BE460" i="7"/>
  <c r="CM487" i="7"/>
  <c r="DH487" i="7" s="1"/>
  <c r="CC481" i="7"/>
  <c r="CX481" i="7" s="1"/>
  <c r="G455" i="7"/>
  <c r="BM137" i="7"/>
  <c r="BT467" i="7"/>
  <c r="CO467" i="7" s="1"/>
  <c r="BV465" i="7"/>
  <c r="CQ465" i="7" s="1"/>
  <c r="DS465" i="7"/>
  <c r="P465" i="7" s="1"/>
  <c r="CI466" i="7"/>
  <c r="DD466" i="7" s="1"/>
  <c r="CA459" i="7"/>
  <c r="CV459" i="7" s="1"/>
  <c r="BO457" i="7"/>
  <c r="CG460" i="7"/>
  <c r="DB460" i="7" s="1"/>
  <c r="BZ461" i="7"/>
  <c r="CU461" i="7" s="1"/>
  <c r="CD463" i="7"/>
  <c r="CY463" i="7" s="1"/>
  <c r="DI457" i="7"/>
  <c r="BP457" i="7" s="1"/>
  <c r="BQ456" i="7"/>
  <c r="H456" i="7" s="1"/>
  <c r="CF465" i="7"/>
  <c r="DA465" i="7" s="1"/>
  <c r="BN459" i="7"/>
  <c r="CH460" i="7"/>
  <c r="DC460" i="7" s="1"/>
  <c r="BS464" i="7"/>
  <c r="CN464" i="7" s="1"/>
  <c r="AG462" i="7"/>
  <c r="AF462" i="7"/>
  <c r="AI462" i="7" s="1"/>
  <c r="AH462" i="7"/>
  <c r="BU475" i="7"/>
  <c r="CP475" i="7" s="1"/>
  <c r="CE468" i="7"/>
  <c r="CZ468" i="7" s="1"/>
  <c r="CJ499" i="7"/>
  <c r="DE499" i="7" s="1"/>
  <c r="AO460" i="7" l="1"/>
  <c r="CK466" i="7"/>
  <c r="DF466" i="7" s="1"/>
  <c r="AM468" i="7"/>
  <c r="EO467" i="7"/>
  <c r="AN465" i="7"/>
  <c r="EN461" i="7"/>
  <c r="CB468" i="7"/>
  <c r="CW468" i="7" s="1"/>
  <c r="CL464" i="7"/>
  <c r="DG464" i="7" s="1"/>
  <c r="EM463" i="7"/>
  <c r="EF464" i="7"/>
  <c r="EC464" i="7"/>
  <c r="DZ460" i="7"/>
  <c r="EA460" i="7"/>
  <c r="EB459" i="7"/>
  <c r="DX459" i="7"/>
  <c r="DW459" i="7"/>
  <c r="DJ462" i="7"/>
  <c r="N138" i="7"/>
  <c r="D127" i="32"/>
  <c r="DM462" i="7"/>
  <c r="BA463" i="7"/>
  <c r="AT463" i="7"/>
  <c r="AZ463" i="7"/>
  <c r="AY463" i="7"/>
  <c r="DK462" i="7"/>
  <c r="AV463" i="7"/>
  <c r="AW463" i="7"/>
  <c r="BC463" i="7"/>
  <c r="BB463" i="7"/>
  <c r="M464" i="7"/>
  <c r="AY464" i="7" s="1"/>
  <c r="DV464" i="7"/>
  <c r="AU463" i="7"/>
  <c r="BX497" i="7"/>
  <c r="CS497" i="7" s="1"/>
  <c r="BY497" i="7"/>
  <c r="CT497" i="7" s="1"/>
  <c r="BW499" i="7"/>
  <c r="CR499" i="7" s="1"/>
  <c r="DP462" i="7"/>
  <c r="DQ462" i="7"/>
  <c r="BD461" i="7"/>
  <c r="DO462" i="7"/>
  <c r="BF461" i="7"/>
  <c r="DL462" i="7"/>
  <c r="BE461" i="7"/>
  <c r="CM488" i="7"/>
  <c r="DH488" i="7" s="1"/>
  <c r="CC482" i="7"/>
  <c r="CX482" i="7" s="1"/>
  <c r="G456" i="7"/>
  <c r="B137" i="7"/>
  <c r="BV466" i="7"/>
  <c r="CQ466" i="7" s="1"/>
  <c r="CI467" i="7"/>
  <c r="DD467" i="7" s="1"/>
  <c r="DS466" i="7"/>
  <c r="P466" i="7" s="1"/>
  <c r="BT468" i="7"/>
  <c r="CO468" i="7" s="1"/>
  <c r="BO458" i="7"/>
  <c r="CA460" i="7"/>
  <c r="CV460" i="7" s="1"/>
  <c r="CG461" i="7"/>
  <c r="DB461" i="7" s="1"/>
  <c r="BZ462" i="7"/>
  <c r="CU462" i="7" s="1"/>
  <c r="CD464" i="7"/>
  <c r="CY464" i="7" s="1"/>
  <c r="CH461" i="7"/>
  <c r="DC461" i="7" s="1"/>
  <c r="BN460" i="7"/>
  <c r="CF466" i="7"/>
  <c r="DA466" i="7" s="1"/>
  <c r="BQ457" i="7"/>
  <c r="H457" i="7" s="1"/>
  <c r="DI458" i="7"/>
  <c r="BP458" i="7" s="1"/>
  <c r="BF462" i="7"/>
  <c r="BD462" i="7"/>
  <c r="BE462" i="7"/>
  <c r="BS465" i="7"/>
  <c r="CN465" i="7" s="1"/>
  <c r="BU476" i="7"/>
  <c r="CP476" i="7" s="1"/>
  <c r="CE469" i="7"/>
  <c r="CZ469" i="7" s="1"/>
  <c r="CJ500" i="7"/>
  <c r="DE500" i="7" s="1"/>
  <c r="AM469" i="7" l="1"/>
  <c r="AN466" i="7"/>
  <c r="EO468" i="7"/>
  <c r="AO461" i="7"/>
  <c r="CK467" i="7"/>
  <c r="DF467" i="7" s="1"/>
  <c r="EN462" i="7"/>
  <c r="CB469" i="7"/>
  <c r="CW469" i="7" s="1"/>
  <c r="F127" i="32"/>
  <c r="G127" i="32" s="1"/>
  <c r="P127" i="32" s="1"/>
  <c r="Q127" i="32" s="1"/>
  <c r="AQ138" i="7"/>
  <c r="BH138" i="7" s="1"/>
  <c r="AR138" i="7"/>
  <c r="BI138" i="7" s="1"/>
  <c r="AP138" i="7"/>
  <c r="BG138" i="7" s="1"/>
  <c r="CL465" i="7"/>
  <c r="DG465" i="7" s="1"/>
  <c r="EM464" i="7"/>
  <c r="AJ138" i="7"/>
  <c r="C138" i="7" s="1"/>
  <c r="DW460" i="7"/>
  <c r="DX460" i="7"/>
  <c r="EB460" i="7"/>
  <c r="EA461" i="7"/>
  <c r="DZ461" i="7"/>
  <c r="EF465" i="7"/>
  <c r="EC465" i="7"/>
  <c r="AU464" i="7"/>
  <c r="AK138" i="7"/>
  <c r="D138" i="7" s="1"/>
  <c r="AL138" i="7"/>
  <c r="E138" i="7" s="1"/>
  <c r="BB464" i="7"/>
  <c r="AZ464" i="7"/>
  <c r="AW464" i="7"/>
  <c r="AV464" i="7"/>
  <c r="BA464" i="7"/>
  <c r="BC464" i="7"/>
  <c r="AX464" i="7"/>
  <c r="AT464" i="7"/>
  <c r="M465" i="7"/>
  <c r="AX465" i="7" s="1"/>
  <c r="DV465" i="7"/>
  <c r="BY498" i="7"/>
  <c r="CT498" i="7" s="1"/>
  <c r="BX498" i="7"/>
  <c r="CS498" i="7" s="1"/>
  <c r="BW500" i="7"/>
  <c r="CR500" i="7" s="1"/>
  <c r="DO463" i="7"/>
  <c r="DN463" i="7"/>
  <c r="AH463" i="7"/>
  <c r="DK463" i="7"/>
  <c r="AF463" i="7"/>
  <c r="AI463" i="7" s="1"/>
  <c r="DQ463" i="7"/>
  <c r="AG463" i="7"/>
  <c r="DM463" i="7"/>
  <c r="DL463" i="7"/>
  <c r="DJ463" i="7"/>
  <c r="DR463" i="7"/>
  <c r="DP463" i="7"/>
  <c r="CM489" i="7"/>
  <c r="DH489" i="7" s="1"/>
  <c r="CC483" i="7"/>
  <c r="CX483" i="7" s="1"/>
  <c r="G457" i="7"/>
  <c r="CI468" i="7"/>
  <c r="DD468" i="7" s="1"/>
  <c r="DS467" i="7"/>
  <c r="P467" i="7" s="1"/>
  <c r="BT469" i="7"/>
  <c r="CO469" i="7" s="1"/>
  <c r="BV467" i="7"/>
  <c r="CQ467" i="7" s="1"/>
  <c r="BO459" i="7"/>
  <c r="CA461" i="7"/>
  <c r="CV461" i="7" s="1"/>
  <c r="CG462" i="7"/>
  <c r="DB462" i="7" s="1"/>
  <c r="BZ463" i="7"/>
  <c r="CU463" i="7" s="1"/>
  <c r="CD465" i="7"/>
  <c r="CY465" i="7" s="1"/>
  <c r="BQ458" i="7"/>
  <c r="H458" i="7" s="1"/>
  <c r="DI459" i="7"/>
  <c r="BP459" i="7" s="1"/>
  <c r="CF467" i="7"/>
  <c r="DA467" i="7" s="1"/>
  <c r="CH462" i="7"/>
  <c r="DC462" i="7" s="1"/>
  <c r="BN461" i="7"/>
  <c r="BS466" i="7"/>
  <c r="CN466" i="7" s="1"/>
  <c r="BU477" i="7"/>
  <c r="CP477" i="7" s="1"/>
  <c r="CE470" i="7"/>
  <c r="CZ470" i="7" s="1"/>
  <c r="CJ501" i="7"/>
  <c r="DE501" i="7" s="1"/>
  <c r="AM470" i="7" l="1"/>
  <c r="AN467" i="7"/>
  <c r="EN463" i="7"/>
  <c r="AO462" i="7"/>
  <c r="EO469" i="7"/>
  <c r="CK468" i="7"/>
  <c r="DF468" i="7" s="1"/>
  <c r="CB470" i="7"/>
  <c r="CW470" i="7" s="1"/>
  <c r="DO464" i="7"/>
  <c r="CL466" i="7"/>
  <c r="DG466" i="7" s="1"/>
  <c r="EM465" i="7"/>
  <c r="DZ462" i="7"/>
  <c r="EA462" i="7"/>
  <c r="EF466" i="7"/>
  <c r="EC466" i="7"/>
  <c r="DW461" i="7"/>
  <c r="DX461" i="7"/>
  <c r="EB461" i="7"/>
  <c r="BA465" i="7"/>
  <c r="AZ465" i="7"/>
  <c r="AW465" i="7"/>
  <c r="AY465" i="7"/>
  <c r="BB465" i="7"/>
  <c r="AV465" i="7"/>
  <c r="BC465" i="7"/>
  <c r="AT465" i="7"/>
  <c r="AU465" i="7"/>
  <c r="M466" i="7"/>
  <c r="AY466" i="7" s="1"/>
  <c r="DV466" i="7"/>
  <c r="BX499" i="7"/>
  <c r="CS499" i="7" s="1"/>
  <c r="BY499" i="7"/>
  <c r="CT499" i="7" s="1"/>
  <c r="BW501" i="7"/>
  <c r="CR501" i="7" s="1"/>
  <c r="BE463" i="7"/>
  <c r="DJ464" i="7"/>
  <c r="BD463" i="7"/>
  <c r="DN464" i="7"/>
  <c r="DK464" i="7"/>
  <c r="AH464" i="7"/>
  <c r="AG464" i="7"/>
  <c r="DP464" i="7"/>
  <c r="AF464" i="7"/>
  <c r="AI464" i="7" s="1"/>
  <c r="DL464" i="7"/>
  <c r="BF463" i="7"/>
  <c r="DR464" i="7"/>
  <c r="DM464" i="7"/>
  <c r="DM465" i="7" s="1"/>
  <c r="DQ464" i="7"/>
  <c r="CM490" i="7"/>
  <c r="DH490" i="7" s="1"/>
  <c r="CC484" i="7"/>
  <c r="CX484" i="7" s="1"/>
  <c r="G458" i="7"/>
  <c r="BL138" i="7"/>
  <c r="BJ138" i="7"/>
  <c r="F138" i="7"/>
  <c r="BK138" i="7"/>
  <c r="BV468" i="7"/>
  <c r="CQ468" i="7" s="1"/>
  <c r="BT470" i="7"/>
  <c r="CO470" i="7" s="1"/>
  <c r="CI469" i="7"/>
  <c r="DD469" i="7" s="1"/>
  <c r="DS468" i="7"/>
  <c r="P468" i="7" s="1"/>
  <c r="CA462" i="7"/>
  <c r="CV462" i="7" s="1"/>
  <c r="BO460" i="7"/>
  <c r="CG463" i="7"/>
  <c r="DB463" i="7" s="1"/>
  <c r="BZ464" i="7"/>
  <c r="CU464" i="7" s="1"/>
  <c r="CD466" i="7"/>
  <c r="CY466" i="7" s="1"/>
  <c r="CF468" i="7"/>
  <c r="DA468" i="7" s="1"/>
  <c r="BQ459" i="7"/>
  <c r="H459" i="7" s="1"/>
  <c r="DI460" i="7"/>
  <c r="BP460" i="7" s="1"/>
  <c r="CH463" i="7"/>
  <c r="DC463" i="7" s="1"/>
  <c r="BN462" i="7"/>
  <c r="BS467" i="7"/>
  <c r="CN467" i="7" s="1"/>
  <c r="AG465" i="7"/>
  <c r="AF465" i="7"/>
  <c r="AI465" i="7" s="1"/>
  <c r="AH465" i="7"/>
  <c r="BU478" i="7"/>
  <c r="CP478" i="7" s="1"/>
  <c r="CE471" i="7"/>
  <c r="CZ471" i="7" s="1"/>
  <c r="CJ502" i="7"/>
  <c r="DE502" i="7" s="1"/>
  <c r="CK469" i="7" l="1"/>
  <c r="DF469" i="7" s="1"/>
  <c r="EO470" i="7"/>
  <c r="AM471" i="7"/>
  <c r="EN464" i="7"/>
  <c r="AN468" i="7"/>
  <c r="AO463" i="7"/>
  <c r="CB471" i="7"/>
  <c r="CW471" i="7" s="1"/>
  <c r="CL467" i="7"/>
  <c r="DG467" i="7" s="1"/>
  <c r="EM466" i="7"/>
  <c r="DJ465" i="7"/>
  <c r="EA463" i="7"/>
  <c r="DZ463" i="7"/>
  <c r="EF467" i="7"/>
  <c r="EC467" i="7"/>
  <c r="EB462" i="7"/>
  <c r="DX462" i="7"/>
  <c r="DW462" i="7"/>
  <c r="AW466" i="7"/>
  <c r="BC466" i="7"/>
  <c r="AZ466" i="7"/>
  <c r="BA466" i="7"/>
  <c r="AV466" i="7"/>
  <c r="BB466" i="7"/>
  <c r="AU466" i="7"/>
  <c r="M467" i="7"/>
  <c r="AX467" i="7" s="1"/>
  <c r="DV467" i="7"/>
  <c r="AT466" i="7"/>
  <c r="AX466" i="7"/>
  <c r="BY500" i="7"/>
  <c r="CT500" i="7" s="1"/>
  <c r="BX500" i="7"/>
  <c r="CS500" i="7" s="1"/>
  <c r="BW502" i="7"/>
  <c r="CR502" i="7" s="1"/>
  <c r="DK465" i="7"/>
  <c r="BD464" i="7"/>
  <c r="DQ465" i="7"/>
  <c r="DO465" i="7"/>
  <c r="DR465" i="7"/>
  <c r="DL465" i="7"/>
  <c r="BF464" i="7"/>
  <c r="BE464" i="7"/>
  <c r="DN465" i="7"/>
  <c r="DP465" i="7"/>
  <c r="CM491" i="7"/>
  <c r="DH491" i="7" s="1"/>
  <c r="CC485" i="7"/>
  <c r="CX485" i="7" s="1"/>
  <c r="G459" i="7"/>
  <c r="BM138" i="7"/>
  <c r="BT471" i="7"/>
  <c r="CO471" i="7" s="1"/>
  <c r="CI470" i="7"/>
  <c r="DD470" i="7" s="1"/>
  <c r="DS469" i="7"/>
  <c r="P469" i="7" s="1"/>
  <c r="BV469" i="7"/>
  <c r="CQ469" i="7" s="1"/>
  <c r="CA463" i="7"/>
  <c r="CV463" i="7" s="1"/>
  <c r="BO461" i="7"/>
  <c r="CG464" i="7"/>
  <c r="DB464" i="7" s="1"/>
  <c r="BZ465" i="7"/>
  <c r="CU465" i="7" s="1"/>
  <c r="CD467" i="7"/>
  <c r="CY467" i="7" s="1"/>
  <c r="BN463" i="7"/>
  <c r="CH464" i="7"/>
  <c r="DC464" i="7" s="1"/>
  <c r="DI461" i="7"/>
  <c r="BP461" i="7" s="1"/>
  <c r="BQ460" i="7"/>
  <c r="H460" i="7" s="1"/>
  <c r="CF469" i="7"/>
  <c r="DA469" i="7" s="1"/>
  <c r="BS468" i="7"/>
  <c r="CN468" i="7" s="1"/>
  <c r="BE465" i="7"/>
  <c r="BF465" i="7"/>
  <c r="BD465" i="7"/>
  <c r="BU479" i="7"/>
  <c r="CP479" i="7" s="1"/>
  <c r="CE472" i="7"/>
  <c r="CZ472" i="7" s="1"/>
  <c r="CJ503" i="7"/>
  <c r="DE503" i="7" s="1"/>
  <c r="AM472" i="7" l="1"/>
  <c r="EN465" i="7"/>
  <c r="AO464" i="7"/>
  <c r="EO471" i="7"/>
  <c r="AN469" i="7"/>
  <c r="CK470" i="7"/>
  <c r="DF470" i="7" s="1"/>
  <c r="CB472" i="7"/>
  <c r="CW472" i="7" s="1"/>
  <c r="CL468" i="7"/>
  <c r="DG468" i="7" s="1"/>
  <c r="EM467" i="7"/>
  <c r="EC468" i="7"/>
  <c r="EF468" i="7"/>
  <c r="EB463" i="7"/>
  <c r="DX463" i="7"/>
  <c r="DW463" i="7"/>
  <c r="DZ464" i="7"/>
  <c r="EA464" i="7"/>
  <c r="N139" i="7"/>
  <c r="D128" i="32"/>
  <c r="AU467" i="7"/>
  <c r="BB467" i="7"/>
  <c r="AZ467" i="7"/>
  <c r="AT467" i="7"/>
  <c r="BC467" i="7"/>
  <c r="BA467" i="7"/>
  <c r="AV467" i="7"/>
  <c r="AW467" i="7"/>
  <c r="AY467" i="7"/>
  <c r="M468" i="7"/>
  <c r="AY468" i="7" s="1"/>
  <c r="DV468" i="7"/>
  <c r="BX501" i="7"/>
  <c r="CS501" i="7" s="1"/>
  <c r="BY501" i="7"/>
  <c r="CT501" i="7" s="1"/>
  <c r="BW503" i="7"/>
  <c r="CR503" i="7" s="1"/>
  <c r="DO466" i="7"/>
  <c r="AH466" i="7"/>
  <c r="AG466" i="7"/>
  <c r="AF466" i="7"/>
  <c r="AI466" i="7" s="1"/>
  <c r="DR466" i="7"/>
  <c r="DJ466" i="7"/>
  <c r="DK466" i="7"/>
  <c r="DN466" i="7"/>
  <c r="DM466" i="7"/>
  <c r="DL466" i="7"/>
  <c r="DQ466" i="7"/>
  <c r="DP466" i="7"/>
  <c r="CM492" i="7"/>
  <c r="DH492" i="7" s="1"/>
  <c r="CC486" i="7"/>
  <c r="CX486" i="7" s="1"/>
  <c r="G460" i="7"/>
  <c r="AG467" i="7" s="1"/>
  <c r="B138" i="7"/>
  <c r="CI471" i="7"/>
  <c r="DD471" i="7" s="1"/>
  <c r="DS470" i="7"/>
  <c r="P470" i="7" s="1"/>
  <c r="BV470" i="7"/>
  <c r="CQ470" i="7" s="1"/>
  <c r="BT472" i="7"/>
  <c r="CO472" i="7" s="1"/>
  <c r="CA464" i="7"/>
  <c r="CV464" i="7" s="1"/>
  <c r="BO462" i="7"/>
  <c r="CG465" i="7"/>
  <c r="DB465" i="7" s="1"/>
  <c r="BZ466" i="7"/>
  <c r="CU466" i="7" s="1"/>
  <c r="CD468" i="7"/>
  <c r="CY468" i="7" s="1"/>
  <c r="CF470" i="7"/>
  <c r="DA470" i="7" s="1"/>
  <c r="BQ461" i="7"/>
  <c r="H461" i="7" s="1"/>
  <c r="DI462" i="7"/>
  <c r="BP462" i="7" s="1"/>
  <c r="CH465" i="7"/>
  <c r="DC465" i="7" s="1"/>
  <c r="BN464" i="7"/>
  <c r="AF467" i="7"/>
  <c r="AI467" i="7" s="1"/>
  <c r="BS469" i="7"/>
  <c r="CN469" i="7" s="1"/>
  <c r="BU480" i="7"/>
  <c r="CP480" i="7" s="1"/>
  <c r="CE473" i="7"/>
  <c r="CZ473" i="7" s="1"/>
  <c r="CJ504" i="7"/>
  <c r="DE504" i="7" s="1"/>
  <c r="CK471" i="7" l="1"/>
  <c r="DF471" i="7" s="1"/>
  <c r="AM473" i="7"/>
  <c r="AN470" i="7"/>
  <c r="EN466" i="7"/>
  <c r="EO472" i="7"/>
  <c r="AO465" i="7"/>
  <c r="CB473" i="7"/>
  <c r="CW473" i="7" s="1"/>
  <c r="F128" i="32"/>
  <c r="G128" i="32" s="1"/>
  <c r="P128" i="32" s="1"/>
  <c r="Q128" i="32" s="1"/>
  <c r="AR139" i="7"/>
  <c r="BI139" i="7" s="1"/>
  <c r="AP139" i="7"/>
  <c r="BG139" i="7" s="1"/>
  <c r="AQ139" i="7"/>
  <c r="BH139" i="7" s="1"/>
  <c r="DR467" i="7"/>
  <c r="CL469" i="7"/>
  <c r="DG469" i="7" s="1"/>
  <c r="EM468" i="7"/>
  <c r="DJ467" i="7"/>
  <c r="DZ465" i="7"/>
  <c r="EA465" i="7"/>
  <c r="EB464" i="7"/>
  <c r="DW464" i="7"/>
  <c r="DX464" i="7"/>
  <c r="EF469" i="7"/>
  <c r="EC469" i="7"/>
  <c r="AL139" i="7"/>
  <c r="E139" i="7" s="1"/>
  <c r="AK139" i="7"/>
  <c r="D139" i="7" s="1"/>
  <c r="AJ139" i="7"/>
  <c r="C139" i="7" s="1"/>
  <c r="DO467" i="7"/>
  <c r="BB468" i="7"/>
  <c r="BC468" i="7"/>
  <c r="BA468" i="7"/>
  <c r="AT468" i="7"/>
  <c r="AU468" i="7"/>
  <c r="AW468" i="7"/>
  <c r="AZ468" i="7"/>
  <c r="AX468" i="7"/>
  <c r="AV468" i="7"/>
  <c r="M469" i="7"/>
  <c r="BA469" i="7" s="1"/>
  <c r="DV469" i="7"/>
  <c r="BY502" i="7"/>
  <c r="CT502" i="7" s="1"/>
  <c r="BX502" i="7"/>
  <c r="CS502" i="7" s="1"/>
  <c r="BW504" i="7"/>
  <c r="CR504" i="7" s="1"/>
  <c r="BE466" i="7"/>
  <c r="DL467" i="7"/>
  <c r="BD466" i="7"/>
  <c r="DN467" i="7"/>
  <c r="DQ467" i="7"/>
  <c r="BF466" i="7"/>
  <c r="DM467" i="7"/>
  <c r="DP467" i="7"/>
  <c r="DK467" i="7"/>
  <c r="AH467" i="7"/>
  <c r="CM493" i="7"/>
  <c r="DH493" i="7" s="1"/>
  <c r="CC487" i="7"/>
  <c r="CX487" i="7" s="1"/>
  <c r="G461" i="7"/>
  <c r="BT473" i="7"/>
  <c r="CO473" i="7" s="1"/>
  <c r="CI472" i="7"/>
  <c r="DD472" i="7" s="1"/>
  <c r="DS471" i="7"/>
  <c r="P471" i="7" s="1"/>
  <c r="BV471" i="7"/>
  <c r="CQ471" i="7" s="1"/>
  <c r="BO463" i="7"/>
  <c r="CA465" i="7"/>
  <c r="CV465" i="7" s="1"/>
  <c r="CG466" i="7"/>
  <c r="DB466" i="7" s="1"/>
  <c r="BZ467" i="7"/>
  <c r="CU467" i="7" s="1"/>
  <c r="CD469" i="7"/>
  <c r="CY469" i="7" s="1"/>
  <c r="CH466" i="7"/>
  <c r="DC466" i="7" s="1"/>
  <c r="BN465" i="7"/>
  <c r="BQ462" i="7"/>
  <c r="H462" i="7" s="1"/>
  <c r="DI463" i="7"/>
  <c r="BP463" i="7" s="1"/>
  <c r="CF471" i="7"/>
  <c r="DA471" i="7" s="1"/>
  <c r="BS470" i="7"/>
  <c r="CN470" i="7" s="1"/>
  <c r="AH468" i="7"/>
  <c r="AG468" i="7"/>
  <c r="BU481" i="7"/>
  <c r="CP481" i="7" s="1"/>
  <c r="CE474" i="7"/>
  <c r="CZ474" i="7" s="1"/>
  <c r="CJ505" i="7"/>
  <c r="DE505" i="7" s="1"/>
  <c r="EN467" i="7" l="1"/>
  <c r="EO473" i="7"/>
  <c r="AM474" i="7"/>
  <c r="AO466" i="7"/>
  <c r="AN471" i="7"/>
  <c r="CK472" i="7"/>
  <c r="DF472" i="7" s="1"/>
  <c r="CB474" i="7"/>
  <c r="CW474" i="7" s="1"/>
  <c r="DR468" i="7"/>
  <c r="CL470" i="7"/>
  <c r="DG470" i="7" s="1"/>
  <c r="EM469" i="7"/>
  <c r="DJ468" i="7"/>
  <c r="EA466" i="7"/>
  <c r="DZ466" i="7"/>
  <c r="EF470" i="7"/>
  <c r="EC470" i="7"/>
  <c r="DX465" i="7"/>
  <c r="EB465" i="7"/>
  <c r="DW465" i="7"/>
  <c r="AU469" i="7"/>
  <c r="DJ469" i="7" s="1"/>
  <c r="AX469" i="7"/>
  <c r="AT469" i="7"/>
  <c r="BC469" i="7"/>
  <c r="AY469" i="7"/>
  <c r="AW469" i="7"/>
  <c r="BB469" i="7"/>
  <c r="M470" i="7"/>
  <c r="AV470" i="7" s="1"/>
  <c r="DV470" i="7"/>
  <c r="AV469" i="7"/>
  <c r="AZ469" i="7"/>
  <c r="BX503" i="7"/>
  <c r="CS503" i="7" s="1"/>
  <c r="BY503" i="7"/>
  <c r="CT503" i="7" s="1"/>
  <c r="BW505" i="7"/>
  <c r="CR505" i="7" s="1"/>
  <c r="DN468" i="7"/>
  <c r="BE467" i="7"/>
  <c r="DK468" i="7"/>
  <c r="BD467" i="7"/>
  <c r="DM468" i="7"/>
  <c r="DP468" i="7"/>
  <c r="DP469" i="7" s="1"/>
  <c r="DO468" i="7"/>
  <c r="DL468" i="7"/>
  <c r="BF467" i="7"/>
  <c r="AF468" i="7"/>
  <c r="AI468" i="7" s="1"/>
  <c r="DQ468" i="7"/>
  <c r="CM494" i="7"/>
  <c r="DH494" i="7" s="1"/>
  <c r="CC488" i="7"/>
  <c r="CX488" i="7" s="1"/>
  <c r="G462" i="7"/>
  <c r="BJ139" i="7"/>
  <c r="F139" i="7"/>
  <c r="BL139" i="7"/>
  <c r="BK139" i="7"/>
  <c r="CI473" i="7"/>
  <c r="DD473" i="7" s="1"/>
  <c r="DS472" i="7"/>
  <c r="P472" i="7" s="1"/>
  <c r="BV472" i="7"/>
  <c r="CQ472" i="7" s="1"/>
  <c r="BT474" i="7"/>
  <c r="CO474" i="7" s="1"/>
  <c r="BO464" i="7"/>
  <c r="CA466" i="7"/>
  <c r="CV466" i="7" s="1"/>
  <c r="CG467" i="7"/>
  <c r="DB467" i="7" s="1"/>
  <c r="BZ468" i="7"/>
  <c r="CU468" i="7" s="1"/>
  <c r="CD470" i="7"/>
  <c r="CY470" i="7" s="1"/>
  <c r="DI464" i="7"/>
  <c r="BP464" i="7" s="1"/>
  <c r="BQ463" i="7"/>
  <c r="H463" i="7" s="1"/>
  <c r="CF472" i="7"/>
  <c r="DA472" i="7" s="1"/>
  <c r="CH467" i="7"/>
  <c r="DC467" i="7" s="1"/>
  <c r="BN466" i="7"/>
  <c r="BS471" i="7"/>
  <c r="CN471" i="7" s="1"/>
  <c r="AH469" i="7"/>
  <c r="BU482" i="7"/>
  <c r="CP482" i="7" s="1"/>
  <c r="CE475" i="7"/>
  <c r="CZ475" i="7" s="1"/>
  <c r="CJ506" i="7"/>
  <c r="DE506" i="7" s="1"/>
  <c r="DQ469" i="7" l="1"/>
  <c r="AN472" i="7"/>
  <c r="EO474" i="7"/>
  <c r="AO467" i="7"/>
  <c r="CK473" i="7"/>
  <c r="DF473" i="7" s="1"/>
  <c r="EN468" i="7"/>
  <c r="AM475" i="7"/>
  <c r="CB475" i="7"/>
  <c r="CW475" i="7" s="1"/>
  <c r="CL471" i="7"/>
  <c r="DG471" i="7" s="1"/>
  <c r="EM470" i="7"/>
  <c r="DM469" i="7"/>
  <c r="DW466" i="7"/>
  <c r="EB466" i="7"/>
  <c r="DX466" i="7"/>
  <c r="EF471" i="7"/>
  <c r="EC471" i="7"/>
  <c r="DZ467" i="7"/>
  <c r="EA467" i="7"/>
  <c r="AU470" i="7"/>
  <c r="DJ470" i="7" s="1"/>
  <c r="BA470" i="7"/>
  <c r="DP470" i="7" s="1"/>
  <c r="AX470" i="7"/>
  <c r="AZ470" i="7"/>
  <c r="BB470" i="7"/>
  <c r="BC470" i="7"/>
  <c r="AT470" i="7"/>
  <c r="AY470" i="7"/>
  <c r="M471" i="7"/>
  <c r="AX471" i="7" s="1"/>
  <c r="DV471" i="7"/>
  <c r="AW470" i="7"/>
  <c r="DL469" i="7"/>
  <c r="BY504" i="7"/>
  <c r="CT504" i="7" s="1"/>
  <c r="BX504" i="7"/>
  <c r="CS504" i="7" s="1"/>
  <c r="BW506" i="7"/>
  <c r="CR506" i="7" s="1"/>
  <c r="BF468" i="7"/>
  <c r="BE468" i="7"/>
  <c r="DK469" i="7"/>
  <c r="DR469" i="7"/>
  <c r="AF469" i="7"/>
  <c r="AI469" i="7" s="1"/>
  <c r="BD468" i="7"/>
  <c r="DN469" i="7"/>
  <c r="AG469" i="7"/>
  <c r="DO469" i="7"/>
  <c r="CM495" i="7"/>
  <c r="DH495" i="7" s="1"/>
  <c r="CC489" i="7"/>
  <c r="CX489" i="7" s="1"/>
  <c r="G463" i="7"/>
  <c r="BM139" i="7"/>
  <c r="BV473" i="7"/>
  <c r="CQ473" i="7" s="1"/>
  <c r="BT475" i="7"/>
  <c r="CO475" i="7" s="1"/>
  <c r="CI474" i="7"/>
  <c r="DD474" i="7" s="1"/>
  <c r="DS473" i="7"/>
  <c r="P473" i="7" s="1"/>
  <c r="BO465" i="7"/>
  <c r="CA467" i="7"/>
  <c r="CV467" i="7" s="1"/>
  <c r="CG468" i="7"/>
  <c r="DB468" i="7" s="1"/>
  <c r="BZ469" i="7"/>
  <c r="CU469" i="7" s="1"/>
  <c r="CD471" i="7"/>
  <c r="CY471" i="7" s="1"/>
  <c r="BQ464" i="7"/>
  <c r="H464" i="7" s="1"/>
  <c r="DI465" i="7"/>
  <c r="BP465" i="7" s="1"/>
  <c r="CH468" i="7"/>
  <c r="DC468" i="7" s="1"/>
  <c r="BN467" i="7"/>
  <c r="CF473" i="7"/>
  <c r="DA473" i="7" s="1"/>
  <c r="BS472" i="7"/>
  <c r="CN472" i="7" s="1"/>
  <c r="BE469" i="7"/>
  <c r="BU483" i="7"/>
  <c r="CP483" i="7" s="1"/>
  <c r="CE476" i="7"/>
  <c r="CZ476" i="7" s="1"/>
  <c r="CJ507" i="7"/>
  <c r="DE507" i="7" s="1"/>
  <c r="EN469" i="7" l="1"/>
  <c r="CK474" i="7"/>
  <c r="DF474" i="7" s="1"/>
  <c r="AO468" i="7"/>
  <c r="AM476" i="7"/>
  <c r="AN473" i="7"/>
  <c r="EO475" i="7"/>
  <c r="CB476" i="7"/>
  <c r="CW476" i="7" s="1"/>
  <c r="DM470" i="7"/>
  <c r="DM471" i="7" s="1"/>
  <c r="CL472" i="7"/>
  <c r="DG472" i="7" s="1"/>
  <c r="EM471" i="7"/>
  <c r="EC472" i="7"/>
  <c r="EF472" i="7"/>
  <c r="DZ468" i="7"/>
  <c r="EA468" i="7"/>
  <c r="DW467" i="7"/>
  <c r="EB467" i="7"/>
  <c r="DX467" i="7"/>
  <c r="N140" i="7"/>
  <c r="D129" i="32"/>
  <c r="BC471" i="7"/>
  <c r="AW471" i="7"/>
  <c r="AV471" i="7"/>
  <c r="DN470" i="7"/>
  <c r="BB471" i="7"/>
  <c r="AY471" i="7"/>
  <c r="AT471" i="7"/>
  <c r="AZ471" i="7"/>
  <c r="BA471" i="7"/>
  <c r="DP471" i="7" s="1"/>
  <c r="AU471" i="7"/>
  <c r="DJ471" i="7" s="1"/>
  <c r="M472" i="7"/>
  <c r="AU472" i="7" s="1"/>
  <c r="DV472" i="7"/>
  <c r="BX505" i="7"/>
  <c r="CS505" i="7" s="1"/>
  <c r="BY505" i="7"/>
  <c r="CT505" i="7" s="1"/>
  <c r="BW507" i="7"/>
  <c r="CR507" i="7" s="1"/>
  <c r="DO470" i="7"/>
  <c r="BF469" i="7"/>
  <c r="BD469" i="7"/>
  <c r="DL470" i="7"/>
  <c r="AF470" i="7"/>
  <c r="AI470" i="7" s="1"/>
  <c r="AG470" i="7"/>
  <c r="DQ470" i="7"/>
  <c r="AH470" i="7"/>
  <c r="DK470" i="7"/>
  <c r="DR470" i="7"/>
  <c r="CM496" i="7"/>
  <c r="DH496" i="7" s="1"/>
  <c r="CC490" i="7"/>
  <c r="CX490" i="7" s="1"/>
  <c r="G464" i="7"/>
  <c r="B139" i="7"/>
  <c r="BT476" i="7"/>
  <c r="CO476" i="7" s="1"/>
  <c r="BV474" i="7"/>
  <c r="CQ474" i="7" s="1"/>
  <c r="DS474" i="7"/>
  <c r="P474" i="7" s="1"/>
  <c r="CI475" i="7"/>
  <c r="DD475" i="7" s="1"/>
  <c r="BO466" i="7"/>
  <c r="CA468" i="7"/>
  <c r="CV468" i="7" s="1"/>
  <c r="CG469" i="7"/>
  <c r="DB469" i="7" s="1"/>
  <c r="BZ470" i="7"/>
  <c r="CU470" i="7" s="1"/>
  <c r="CD472" i="7"/>
  <c r="CY472" i="7" s="1"/>
  <c r="CF474" i="7"/>
  <c r="DA474" i="7" s="1"/>
  <c r="CH469" i="7"/>
  <c r="DC469" i="7" s="1"/>
  <c r="BN468" i="7"/>
  <c r="BQ465" i="7"/>
  <c r="H465" i="7" s="1"/>
  <c r="DI466" i="7"/>
  <c r="BP466" i="7" s="1"/>
  <c r="AG471" i="7"/>
  <c r="AH471" i="7"/>
  <c r="BS473" i="7"/>
  <c r="CN473" i="7" s="1"/>
  <c r="BU484" i="7"/>
  <c r="CP484" i="7" s="1"/>
  <c r="CE477" i="7"/>
  <c r="CZ477" i="7" s="1"/>
  <c r="CJ508" i="7"/>
  <c r="DE508" i="7" s="1"/>
  <c r="AN474" i="7" l="1"/>
  <c r="EO476" i="7"/>
  <c r="CK475" i="7"/>
  <c r="DF475" i="7" s="1"/>
  <c r="EN470" i="7"/>
  <c r="AM477" i="7"/>
  <c r="AO469" i="7"/>
  <c r="CB477" i="7"/>
  <c r="CW477" i="7" s="1"/>
  <c r="F129" i="32"/>
  <c r="G129" i="32" s="1"/>
  <c r="P129" i="32" s="1"/>
  <c r="Q129" i="32" s="1"/>
  <c r="AP140" i="7"/>
  <c r="BG140" i="7" s="1"/>
  <c r="AQ140" i="7"/>
  <c r="BH140" i="7" s="1"/>
  <c r="AR140" i="7"/>
  <c r="BI140" i="7" s="1"/>
  <c r="CL473" i="7"/>
  <c r="DG473" i="7" s="1"/>
  <c r="EM472" i="7"/>
  <c r="EB468" i="7"/>
  <c r="DW468" i="7"/>
  <c r="DX468" i="7"/>
  <c r="EF473" i="7"/>
  <c r="EC473" i="7"/>
  <c r="DZ469" i="7"/>
  <c r="EA469" i="7"/>
  <c r="BA472" i="7"/>
  <c r="BC472" i="7"/>
  <c r="AL140" i="7"/>
  <c r="E140" i="7" s="1"/>
  <c r="AK140" i="7"/>
  <c r="D140" i="7" s="1"/>
  <c r="AJ140" i="7"/>
  <c r="C140" i="7" s="1"/>
  <c r="DO471" i="7"/>
  <c r="AX472" i="7"/>
  <c r="AY472" i="7"/>
  <c r="BB472" i="7"/>
  <c r="AZ472" i="7"/>
  <c r="AT472" i="7"/>
  <c r="AW472" i="7"/>
  <c r="AV472" i="7"/>
  <c r="M473" i="7"/>
  <c r="AW473" i="7" s="1"/>
  <c r="DV473" i="7"/>
  <c r="BY506" i="7"/>
  <c r="CT506" i="7" s="1"/>
  <c r="BX506" i="7"/>
  <c r="CS506" i="7" s="1"/>
  <c r="BW508" i="7"/>
  <c r="CR508" i="7" s="1"/>
  <c r="DQ471" i="7"/>
  <c r="BF470" i="7"/>
  <c r="DL471" i="7"/>
  <c r="DR471" i="7"/>
  <c r="DN471" i="7"/>
  <c r="BE470" i="7"/>
  <c r="DK471" i="7"/>
  <c r="AF471" i="7"/>
  <c r="AI471" i="7" s="1"/>
  <c r="BD470" i="7"/>
  <c r="CM497" i="7"/>
  <c r="DH497" i="7" s="1"/>
  <c r="CC491" i="7"/>
  <c r="CX491" i="7" s="1"/>
  <c r="G465" i="7"/>
  <c r="BV475" i="7"/>
  <c r="CQ475" i="7" s="1"/>
  <c r="DS475" i="7"/>
  <c r="P475" i="7" s="1"/>
  <c r="CI476" i="7"/>
  <c r="DD476" i="7" s="1"/>
  <c r="BT477" i="7"/>
  <c r="CO477" i="7" s="1"/>
  <c r="BO467" i="7"/>
  <c r="CA469" i="7"/>
  <c r="CV469" i="7" s="1"/>
  <c r="CG470" i="7"/>
  <c r="DB470" i="7" s="1"/>
  <c r="BZ471" i="7"/>
  <c r="CU471" i="7" s="1"/>
  <c r="CD473" i="7"/>
  <c r="CY473" i="7" s="1"/>
  <c r="CF475" i="7"/>
  <c r="DA475" i="7" s="1"/>
  <c r="BQ466" i="7"/>
  <c r="H466" i="7" s="1"/>
  <c r="DI467" i="7"/>
  <c r="BP467" i="7" s="1"/>
  <c r="CH470" i="7"/>
  <c r="DC470" i="7" s="1"/>
  <c r="BN469" i="7"/>
  <c r="BS474" i="7"/>
  <c r="CN474" i="7" s="1"/>
  <c r="BU485" i="7"/>
  <c r="CP485" i="7" s="1"/>
  <c r="CE478" i="7"/>
  <c r="CZ478" i="7" s="1"/>
  <c r="CJ509" i="7"/>
  <c r="DE509" i="7" s="1"/>
  <c r="AO470" i="7" l="1"/>
  <c r="EN471" i="7"/>
  <c r="EO477" i="7"/>
  <c r="AN475" i="7"/>
  <c r="AM478" i="7"/>
  <c r="CK476" i="7"/>
  <c r="DF476" i="7" s="1"/>
  <c r="CB478" i="7"/>
  <c r="CW478" i="7" s="1"/>
  <c r="CL474" i="7"/>
  <c r="DG474" i="7" s="1"/>
  <c r="EM473" i="7"/>
  <c r="EF474" i="7"/>
  <c r="EC474" i="7"/>
  <c r="DX469" i="7"/>
  <c r="EB469" i="7"/>
  <c r="DW469" i="7"/>
  <c r="EA470" i="7"/>
  <c r="DZ470" i="7"/>
  <c r="BC473" i="7"/>
  <c r="BA473" i="7"/>
  <c r="AY473" i="7"/>
  <c r="AV473" i="7"/>
  <c r="DO472" i="7"/>
  <c r="AT473" i="7"/>
  <c r="AZ473" i="7"/>
  <c r="AX473" i="7"/>
  <c r="M474" i="7"/>
  <c r="AV474" i="7" s="1"/>
  <c r="DV474" i="7"/>
  <c r="AU473" i="7"/>
  <c r="BB473" i="7"/>
  <c r="BX507" i="7"/>
  <c r="CS507" i="7" s="1"/>
  <c r="BY507" i="7"/>
  <c r="CT507" i="7" s="1"/>
  <c r="BW509" i="7"/>
  <c r="CR509" i="7" s="1"/>
  <c r="BF471" i="7"/>
  <c r="BD471" i="7"/>
  <c r="DL472" i="7"/>
  <c r="AG472" i="7"/>
  <c r="DK472" i="7"/>
  <c r="AH472" i="7"/>
  <c r="DR472" i="7"/>
  <c r="DM472" i="7"/>
  <c r="BE471" i="7"/>
  <c r="DJ472" i="7"/>
  <c r="DQ472" i="7"/>
  <c r="AF472" i="7"/>
  <c r="AI472" i="7" s="1"/>
  <c r="DN472" i="7"/>
  <c r="DP472" i="7"/>
  <c r="CM498" i="7"/>
  <c r="DH498" i="7" s="1"/>
  <c r="CC492" i="7"/>
  <c r="CX492" i="7" s="1"/>
  <c r="G466" i="7"/>
  <c r="F140" i="7"/>
  <c r="BJ140" i="7"/>
  <c r="BL140" i="7"/>
  <c r="BK140" i="7"/>
  <c r="BT478" i="7"/>
  <c r="CO478" i="7" s="1"/>
  <c r="CI477" i="7"/>
  <c r="DD477" i="7" s="1"/>
  <c r="DS476" i="7"/>
  <c r="P476" i="7" s="1"/>
  <c r="BV476" i="7"/>
  <c r="CQ476" i="7" s="1"/>
  <c r="CA470" i="7"/>
  <c r="CV470" i="7" s="1"/>
  <c r="BO468" i="7"/>
  <c r="CG471" i="7"/>
  <c r="DB471" i="7" s="1"/>
  <c r="BZ472" i="7"/>
  <c r="CU472" i="7" s="1"/>
  <c r="CD474" i="7"/>
  <c r="CY474" i="7" s="1"/>
  <c r="CF476" i="7"/>
  <c r="DA476" i="7" s="1"/>
  <c r="BN470" i="7"/>
  <c r="CH471" i="7"/>
  <c r="DC471" i="7" s="1"/>
  <c r="DI468" i="7"/>
  <c r="BP468" i="7" s="1"/>
  <c r="BQ467" i="7"/>
  <c r="H467" i="7" s="1"/>
  <c r="AH473" i="7"/>
  <c r="BS475" i="7"/>
  <c r="CN475" i="7" s="1"/>
  <c r="BU486" i="7"/>
  <c r="CP486" i="7" s="1"/>
  <c r="CE479" i="7"/>
  <c r="CZ479" i="7" s="1"/>
  <c r="EO478" i="7" l="1"/>
  <c r="CK477" i="7"/>
  <c r="DF477" i="7" s="1"/>
  <c r="AN476" i="7"/>
  <c r="EN472" i="7"/>
  <c r="DL473" i="7"/>
  <c r="AM479" i="7"/>
  <c r="AO471" i="7"/>
  <c r="CB479" i="7"/>
  <c r="CW479" i="7" s="1"/>
  <c r="CL475" i="7"/>
  <c r="DG475" i="7" s="1"/>
  <c r="EM474" i="7"/>
  <c r="DR473" i="7"/>
  <c r="EF475" i="7"/>
  <c r="EC475" i="7"/>
  <c r="DZ471" i="7"/>
  <c r="EA471" i="7"/>
  <c r="DW470" i="7"/>
  <c r="EB470" i="7"/>
  <c r="DX470" i="7"/>
  <c r="AZ474" i="7"/>
  <c r="DQ473" i="7"/>
  <c r="AX474" i="7"/>
  <c r="AW474" i="7"/>
  <c r="BC474" i="7"/>
  <c r="DR474" i="7" s="1"/>
  <c r="BB474" i="7"/>
  <c r="AU474" i="7"/>
  <c r="AT474" i="7"/>
  <c r="AY474" i="7"/>
  <c r="M475" i="7"/>
  <c r="BA475" i="7" s="1"/>
  <c r="DV475" i="7"/>
  <c r="BA474" i="7"/>
  <c r="BY508" i="7"/>
  <c r="CT508" i="7" s="1"/>
  <c r="BX508" i="7"/>
  <c r="CS508" i="7" s="1"/>
  <c r="DM473" i="7"/>
  <c r="BD472" i="7"/>
  <c r="DN473" i="7"/>
  <c r="DK473" i="7"/>
  <c r="BE472" i="7"/>
  <c r="BF472" i="7"/>
  <c r="DJ473" i="7"/>
  <c r="DP473" i="7"/>
  <c r="AF473" i="7"/>
  <c r="AI473" i="7" s="1"/>
  <c r="AG473" i="7"/>
  <c r="DO473" i="7"/>
  <c r="CM499" i="7"/>
  <c r="DH499" i="7" s="1"/>
  <c r="CC493" i="7"/>
  <c r="CX493" i="7" s="1"/>
  <c r="G467" i="7"/>
  <c r="BM140" i="7"/>
  <c r="CI478" i="7"/>
  <c r="DD478" i="7" s="1"/>
  <c r="DS477" i="7"/>
  <c r="P477" i="7" s="1"/>
  <c r="BV477" i="7"/>
  <c r="CQ477" i="7" s="1"/>
  <c r="BT479" i="7"/>
  <c r="CO479" i="7" s="1"/>
  <c r="BO469" i="7"/>
  <c r="CA471" i="7"/>
  <c r="CV471" i="7" s="1"/>
  <c r="CG472" i="7"/>
  <c r="DB472" i="7" s="1"/>
  <c r="BZ473" i="7"/>
  <c r="CU473" i="7" s="1"/>
  <c r="CD475" i="7"/>
  <c r="CY475" i="7" s="1"/>
  <c r="DI469" i="7"/>
  <c r="BP469" i="7" s="1"/>
  <c r="BQ468" i="7"/>
  <c r="H468" i="7" s="1"/>
  <c r="BN471" i="7"/>
  <c r="CH472" i="7"/>
  <c r="DC472" i="7" s="1"/>
  <c r="CF477" i="7"/>
  <c r="DA477" i="7" s="1"/>
  <c r="BS476" i="7"/>
  <c r="CN476" i="7" s="1"/>
  <c r="AF474" i="7"/>
  <c r="AI474" i="7" s="1"/>
  <c r="BU487" i="7"/>
  <c r="CP487" i="7" s="1"/>
  <c r="CE480" i="7"/>
  <c r="CZ480" i="7" s="1"/>
  <c r="AM480" i="7" l="1"/>
  <c r="AN477" i="7"/>
  <c r="CK478" i="7"/>
  <c r="DF478" i="7" s="1"/>
  <c r="AO472" i="7"/>
  <c r="EN473" i="7"/>
  <c r="EO479" i="7"/>
  <c r="CB480" i="7"/>
  <c r="CW480" i="7" s="1"/>
  <c r="CL476" i="7"/>
  <c r="DG476" i="7" s="1"/>
  <c r="EM475" i="7"/>
  <c r="EF476" i="7"/>
  <c r="EC476" i="7"/>
  <c r="DZ472" i="7"/>
  <c r="EA472" i="7"/>
  <c r="DX471" i="7"/>
  <c r="DW471" i="7"/>
  <c r="EB471" i="7"/>
  <c r="N141" i="7"/>
  <c r="D130" i="32"/>
  <c r="AU475" i="7"/>
  <c r="AY475" i="7"/>
  <c r="AX475" i="7"/>
  <c r="AW475" i="7"/>
  <c r="BB475" i="7"/>
  <c r="AZ475" i="7"/>
  <c r="AT475" i="7"/>
  <c r="M476" i="7"/>
  <c r="AY476" i="7" s="1"/>
  <c r="DV476" i="7"/>
  <c r="BC475" i="7"/>
  <c r="AV475" i="7"/>
  <c r="BX509" i="7"/>
  <c r="CS509" i="7" s="1"/>
  <c r="BY509" i="7"/>
  <c r="CT509" i="7" s="1"/>
  <c r="DN474" i="7"/>
  <c r="BF473" i="7"/>
  <c r="BE473" i="7"/>
  <c r="DO474" i="7"/>
  <c r="AG474" i="7"/>
  <c r="AH474" i="7"/>
  <c r="DL474" i="7"/>
  <c r="BD473" i="7"/>
  <c r="DQ474" i="7"/>
  <c r="DM474" i="7"/>
  <c r="DP474" i="7"/>
  <c r="DK474" i="7"/>
  <c r="DJ474" i="7"/>
  <c r="CM500" i="7"/>
  <c r="DH500" i="7" s="1"/>
  <c r="CC494" i="7"/>
  <c r="CX494" i="7" s="1"/>
  <c r="G468" i="7"/>
  <c r="B140" i="7"/>
  <c r="BV478" i="7"/>
  <c r="CQ478" i="7" s="1"/>
  <c r="BT480" i="7"/>
  <c r="CO480" i="7" s="1"/>
  <c r="DS478" i="7"/>
  <c r="P478" i="7" s="1"/>
  <c r="CI479" i="7"/>
  <c r="DD479" i="7" s="1"/>
  <c r="BO470" i="7"/>
  <c r="CA472" i="7"/>
  <c r="CV472" i="7" s="1"/>
  <c r="CG473" i="7"/>
  <c r="DB473" i="7" s="1"/>
  <c r="BZ474" i="7"/>
  <c r="CU474" i="7" s="1"/>
  <c r="CD476" i="7"/>
  <c r="CY476" i="7" s="1"/>
  <c r="CF478" i="7"/>
  <c r="DA478" i="7" s="1"/>
  <c r="CH473" i="7"/>
  <c r="DC473" i="7" s="1"/>
  <c r="BN472" i="7"/>
  <c r="DI470" i="7"/>
  <c r="BP470" i="7" s="1"/>
  <c r="BQ469" i="7"/>
  <c r="H469" i="7" s="1"/>
  <c r="AG475" i="7"/>
  <c r="DR475" i="7"/>
  <c r="AH475" i="7"/>
  <c r="BS477" i="7"/>
  <c r="CN477" i="7" s="1"/>
  <c r="BU488" i="7"/>
  <c r="CP488" i="7" s="1"/>
  <c r="CE481" i="7"/>
  <c r="CZ481" i="7" s="1"/>
  <c r="AN478" i="7" l="1"/>
  <c r="AM481" i="7"/>
  <c r="EN474" i="7"/>
  <c r="EO480" i="7"/>
  <c r="AO473" i="7"/>
  <c r="CK479" i="7"/>
  <c r="DF479" i="7" s="1"/>
  <c r="CB481" i="7"/>
  <c r="CW481" i="7" s="1"/>
  <c r="F130" i="32"/>
  <c r="G130" i="32" s="1"/>
  <c r="P130" i="32" s="1"/>
  <c r="Q130" i="32" s="1"/>
  <c r="AP141" i="7"/>
  <c r="BG141" i="7" s="1"/>
  <c r="AQ141" i="7"/>
  <c r="BH141" i="7" s="1"/>
  <c r="AR141" i="7"/>
  <c r="BI141" i="7" s="1"/>
  <c r="CL477" i="7"/>
  <c r="DG477" i="7" s="1"/>
  <c r="EM476" i="7"/>
  <c r="DJ475" i="7"/>
  <c r="DM475" i="7"/>
  <c r="EF477" i="7"/>
  <c r="EC477" i="7"/>
  <c r="EA473" i="7"/>
  <c r="DZ473" i="7"/>
  <c r="EB472" i="7"/>
  <c r="DX472" i="7"/>
  <c r="DW472" i="7"/>
  <c r="DN475" i="7"/>
  <c r="DN476" i="7" s="1"/>
  <c r="AK141" i="7"/>
  <c r="D141" i="7" s="1"/>
  <c r="AJ141" i="7"/>
  <c r="C141" i="7" s="1"/>
  <c r="AL141" i="7"/>
  <c r="E141" i="7" s="1"/>
  <c r="AW476" i="7"/>
  <c r="AZ476" i="7"/>
  <c r="AU476" i="7"/>
  <c r="BA476" i="7"/>
  <c r="AV476" i="7"/>
  <c r="BB476" i="7"/>
  <c r="BC476" i="7"/>
  <c r="AX476" i="7"/>
  <c r="AT476" i="7"/>
  <c r="M477" i="7"/>
  <c r="AT477" i="7" s="1"/>
  <c r="DV477" i="7"/>
  <c r="DK475" i="7"/>
  <c r="DP475" i="7"/>
  <c r="DL475" i="7"/>
  <c r="BF474" i="7"/>
  <c r="BE474" i="7"/>
  <c r="BD474" i="7"/>
  <c r="AF475" i="7"/>
  <c r="AI475" i="7" s="1"/>
  <c r="DQ475" i="7"/>
  <c r="DO475" i="7"/>
  <c r="CM501" i="7"/>
  <c r="DH501" i="7" s="1"/>
  <c r="CC495" i="7"/>
  <c r="CX495" i="7" s="1"/>
  <c r="G469" i="7"/>
  <c r="CI480" i="7"/>
  <c r="DD480" i="7" s="1"/>
  <c r="DS479" i="7"/>
  <c r="P479" i="7" s="1"/>
  <c r="BT481" i="7"/>
  <c r="CO481" i="7" s="1"/>
  <c r="BV479" i="7"/>
  <c r="CQ479" i="7" s="1"/>
  <c r="BO471" i="7"/>
  <c r="CA473" i="7"/>
  <c r="CV473" i="7" s="1"/>
  <c r="CG474" i="7"/>
  <c r="DB474" i="7" s="1"/>
  <c r="BZ475" i="7"/>
  <c r="CU475" i="7" s="1"/>
  <c r="CD477" i="7"/>
  <c r="CY477" i="7" s="1"/>
  <c r="CH474" i="7"/>
  <c r="DC474" i="7" s="1"/>
  <c r="BN473" i="7"/>
  <c r="CF479" i="7"/>
  <c r="DA479" i="7" s="1"/>
  <c r="DI471" i="7"/>
  <c r="BP471" i="7" s="1"/>
  <c r="BQ470" i="7"/>
  <c r="H470" i="7" s="1"/>
  <c r="BS478" i="7"/>
  <c r="CN478" i="7" s="1"/>
  <c r="AG476" i="7"/>
  <c r="BU489" i="7"/>
  <c r="CP489" i="7" s="1"/>
  <c r="CE482" i="7"/>
  <c r="CZ482" i="7" s="1"/>
  <c r="AN479" i="7" l="1"/>
  <c r="EN475" i="7"/>
  <c r="CK480" i="7"/>
  <c r="DF480" i="7" s="1"/>
  <c r="EO481" i="7"/>
  <c r="AO474" i="7"/>
  <c r="AM482" i="7"/>
  <c r="CB482" i="7"/>
  <c r="CW482" i="7" s="1"/>
  <c r="DM476" i="7"/>
  <c r="CL478" i="7"/>
  <c r="DG478" i="7" s="1"/>
  <c r="EM477" i="7"/>
  <c r="EF478" i="7"/>
  <c r="EC478" i="7"/>
  <c r="EA474" i="7"/>
  <c r="DZ474" i="7"/>
  <c r="DW473" i="7"/>
  <c r="DX473" i="7"/>
  <c r="EB473" i="7"/>
  <c r="DK476" i="7"/>
  <c r="DQ476" i="7"/>
  <c r="AY477" i="7"/>
  <c r="BB477" i="7"/>
  <c r="BA477" i="7"/>
  <c r="BC477" i="7"/>
  <c r="AW477" i="7"/>
  <c r="AZ477" i="7"/>
  <c r="AU477" i="7"/>
  <c r="AX477" i="7"/>
  <c r="M478" i="7"/>
  <c r="AY478" i="7" s="1"/>
  <c r="DV478" i="7"/>
  <c r="AV477" i="7"/>
  <c r="DL476" i="7"/>
  <c r="BD475" i="7"/>
  <c r="BF475" i="7"/>
  <c r="DJ476" i="7"/>
  <c r="AF476" i="7"/>
  <c r="AI476" i="7" s="1"/>
  <c r="DP476" i="7"/>
  <c r="BE475" i="7"/>
  <c r="AH476" i="7"/>
  <c r="DR476" i="7"/>
  <c r="DO476" i="7"/>
  <c r="CM502" i="7"/>
  <c r="DH502" i="7" s="1"/>
  <c r="CC496" i="7"/>
  <c r="CX496" i="7" s="1"/>
  <c r="G470" i="7"/>
  <c r="BJ141" i="7"/>
  <c r="F141" i="7"/>
  <c r="BL141" i="7"/>
  <c r="BK141" i="7"/>
  <c r="BV480" i="7"/>
  <c r="CQ480" i="7" s="1"/>
  <c r="BT482" i="7"/>
  <c r="CO482" i="7" s="1"/>
  <c r="CI481" i="7"/>
  <c r="DD481" i="7" s="1"/>
  <c r="DS480" i="7"/>
  <c r="P480" i="7" s="1"/>
  <c r="CA474" i="7"/>
  <c r="CV474" i="7" s="1"/>
  <c r="BO472" i="7"/>
  <c r="CG475" i="7"/>
  <c r="DB475" i="7" s="1"/>
  <c r="BZ476" i="7"/>
  <c r="CU476" i="7" s="1"/>
  <c r="CD478" i="7"/>
  <c r="CY478" i="7" s="1"/>
  <c r="DI472" i="7"/>
  <c r="BP472" i="7" s="1"/>
  <c r="BQ471" i="7"/>
  <c r="H471" i="7" s="1"/>
  <c r="BN474" i="7"/>
  <c r="CH475" i="7"/>
  <c r="DC475" i="7" s="1"/>
  <c r="CF480" i="7"/>
  <c r="DA480" i="7" s="1"/>
  <c r="BS479" i="7"/>
  <c r="CN479" i="7" s="1"/>
  <c r="BU490" i="7"/>
  <c r="CP490" i="7" s="1"/>
  <c r="CE483" i="7"/>
  <c r="CZ483" i="7" s="1"/>
  <c r="AO475" i="7" l="1"/>
  <c r="AN480" i="7"/>
  <c r="EO482" i="7"/>
  <c r="AM483" i="7"/>
  <c r="EN476" i="7"/>
  <c r="CK481" i="7"/>
  <c r="DF481" i="7" s="1"/>
  <c r="CB483" i="7"/>
  <c r="CW483" i="7" s="1"/>
  <c r="CL479" i="7"/>
  <c r="DG479" i="7" s="1"/>
  <c r="EM478" i="7"/>
  <c r="EF479" i="7"/>
  <c r="EC479" i="7"/>
  <c r="EA475" i="7"/>
  <c r="DZ475" i="7"/>
  <c r="EB474" i="7"/>
  <c r="DW474" i="7"/>
  <c r="DX474" i="7"/>
  <c r="AU478" i="7"/>
  <c r="AZ478" i="7"/>
  <c r="BA478" i="7"/>
  <c r="AV478" i="7"/>
  <c r="AW478" i="7"/>
  <c r="BB478" i="7"/>
  <c r="BC478" i="7"/>
  <c r="M479" i="7"/>
  <c r="BA479" i="7" s="1"/>
  <c r="DV479" i="7"/>
  <c r="AT478" i="7"/>
  <c r="AX478" i="7"/>
  <c r="DO477" i="7"/>
  <c r="DL477" i="7"/>
  <c r="AF477" i="7"/>
  <c r="AI477" i="7" s="1"/>
  <c r="DK477" i="7"/>
  <c r="DN477" i="7"/>
  <c r="DP477" i="7"/>
  <c r="DQ477" i="7"/>
  <c r="DR477" i="7"/>
  <c r="AG477" i="7"/>
  <c r="BF476" i="7"/>
  <c r="BE476" i="7"/>
  <c r="AH477" i="7"/>
  <c r="DJ477" i="7"/>
  <c r="BD476" i="7"/>
  <c r="DM477" i="7"/>
  <c r="CM503" i="7"/>
  <c r="DH503" i="7" s="1"/>
  <c r="CC497" i="7"/>
  <c r="CX497" i="7" s="1"/>
  <c r="G471" i="7"/>
  <c r="BM141" i="7"/>
  <c r="BT483" i="7"/>
  <c r="CO483" i="7" s="1"/>
  <c r="DS481" i="7"/>
  <c r="P481" i="7" s="1"/>
  <c r="CI482" i="7"/>
  <c r="DD482" i="7" s="1"/>
  <c r="BV481" i="7"/>
  <c r="CQ481" i="7" s="1"/>
  <c r="BO473" i="7"/>
  <c r="CA475" i="7"/>
  <c r="CV475" i="7" s="1"/>
  <c r="CG476" i="7"/>
  <c r="DB476" i="7" s="1"/>
  <c r="BZ477" i="7"/>
  <c r="CU477" i="7" s="1"/>
  <c r="CD479" i="7"/>
  <c r="CY479" i="7" s="1"/>
  <c r="CF481" i="7"/>
  <c r="DA481" i="7" s="1"/>
  <c r="BN475" i="7"/>
  <c r="CH476" i="7"/>
  <c r="DC476" i="7" s="1"/>
  <c r="DI473" i="7"/>
  <c r="BP473" i="7" s="1"/>
  <c r="BQ472" i="7"/>
  <c r="H472" i="7" s="1"/>
  <c r="BS480" i="7"/>
  <c r="CN480" i="7" s="1"/>
  <c r="BU491" i="7"/>
  <c r="CP491" i="7" s="1"/>
  <c r="CE484" i="7"/>
  <c r="CZ484" i="7" s="1"/>
  <c r="AO476" i="7" l="1"/>
  <c r="CK482" i="7"/>
  <c r="DF482" i="7" s="1"/>
  <c r="EN477" i="7"/>
  <c r="AN481" i="7"/>
  <c r="AM484" i="7"/>
  <c r="EO483" i="7"/>
  <c r="CB484" i="7"/>
  <c r="CW484" i="7" s="1"/>
  <c r="DO478" i="7"/>
  <c r="CL480" i="7"/>
  <c r="DG480" i="7" s="1"/>
  <c r="EM479" i="7"/>
  <c r="DJ478" i="7"/>
  <c r="EF480" i="7"/>
  <c r="EC480" i="7"/>
  <c r="DZ476" i="7"/>
  <c r="EA476" i="7"/>
  <c r="EB475" i="7"/>
  <c r="DW475" i="7"/>
  <c r="DX475" i="7"/>
  <c r="AW479" i="7"/>
  <c r="N142" i="7"/>
  <c r="D131" i="32"/>
  <c r="BB479" i="7"/>
  <c r="AZ479" i="7"/>
  <c r="AY479" i="7"/>
  <c r="AX479" i="7"/>
  <c r="AU479" i="7"/>
  <c r="AT479" i="7"/>
  <c r="M480" i="7"/>
  <c r="AU480" i="7" s="1"/>
  <c r="DV480" i="7"/>
  <c r="BC479" i="7"/>
  <c r="AV479" i="7"/>
  <c r="DP478" i="7"/>
  <c r="DP479" i="7" s="1"/>
  <c r="BD477" i="7"/>
  <c r="DL478" i="7"/>
  <c r="AF478" i="7"/>
  <c r="AI478" i="7" s="1"/>
  <c r="BF477" i="7"/>
  <c r="DK478" i="7"/>
  <c r="AH478" i="7"/>
  <c r="AG478" i="7"/>
  <c r="DR478" i="7"/>
  <c r="DN478" i="7"/>
  <c r="BE477" i="7"/>
  <c r="DQ478" i="7"/>
  <c r="DM478" i="7"/>
  <c r="CM504" i="7"/>
  <c r="DH504" i="7" s="1"/>
  <c r="CC498" i="7"/>
  <c r="CX498" i="7" s="1"/>
  <c r="G472" i="7"/>
  <c r="B141" i="7"/>
  <c r="CI483" i="7"/>
  <c r="DD483" i="7" s="1"/>
  <c r="DS482" i="7"/>
  <c r="P482" i="7" s="1"/>
  <c r="BV482" i="7"/>
  <c r="CQ482" i="7" s="1"/>
  <c r="BT484" i="7"/>
  <c r="CO484" i="7" s="1"/>
  <c r="BO474" i="7"/>
  <c r="CA476" i="7"/>
  <c r="CV476" i="7" s="1"/>
  <c r="CG477" i="7"/>
  <c r="DB477" i="7" s="1"/>
  <c r="BZ478" i="7"/>
  <c r="CU478" i="7" s="1"/>
  <c r="CD480" i="7"/>
  <c r="CY480" i="7" s="1"/>
  <c r="DI474" i="7"/>
  <c r="BP474" i="7" s="1"/>
  <c r="BQ473" i="7"/>
  <c r="H473" i="7" s="1"/>
  <c r="BN476" i="7"/>
  <c r="CH477" i="7"/>
  <c r="DC477" i="7" s="1"/>
  <c r="CF482" i="7"/>
  <c r="DA482" i="7" s="1"/>
  <c r="AG479" i="7"/>
  <c r="AH479" i="7"/>
  <c r="BS481" i="7"/>
  <c r="CN481" i="7" s="1"/>
  <c r="BU492" i="7"/>
  <c r="CP492" i="7" s="1"/>
  <c r="CE485" i="7"/>
  <c r="CZ485" i="7" s="1"/>
  <c r="AN482" i="7" l="1"/>
  <c r="CK483" i="7"/>
  <c r="DF483" i="7" s="1"/>
  <c r="EN478" i="7"/>
  <c r="EO484" i="7"/>
  <c r="AM485" i="7"/>
  <c r="AO477" i="7"/>
  <c r="CB485" i="7"/>
  <c r="CW485" i="7" s="1"/>
  <c r="F131" i="32"/>
  <c r="G131" i="32" s="1"/>
  <c r="P131" i="32" s="1"/>
  <c r="Q131" i="32" s="1"/>
  <c r="AQ142" i="7"/>
  <c r="BH142" i="7" s="1"/>
  <c r="AR142" i="7"/>
  <c r="BI142" i="7" s="1"/>
  <c r="AP142" i="7"/>
  <c r="BG142" i="7" s="1"/>
  <c r="CL481" i="7"/>
  <c r="DG481" i="7" s="1"/>
  <c r="EM480" i="7"/>
  <c r="DJ479" i="7"/>
  <c r="DJ480" i="7" s="1"/>
  <c r="DZ477" i="7"/>
  <c r="EA477" i="7"/>
  <c r="EF481" i="7"/>
  <c r="EC481" i="7"/>
  <c r="EB476" i="7"/>
  <c r="DW476" i="7"/>
  <c r="DX476" i="7"/>
  <c r="AL142" i="7"/>
  <c r="E142" i="7" s="1"/>
  <c r="AK142" i="7"/>
  <c r="D142" i="7" s="1"/>
  <c r="AJ142" i="7"/>
  <c r="C142" i="7" s="1"/>
  <c r="DM479" i="7"/>
  <c r="AX480" i="7"/>
  <c r="BB480" i="7"/>
  <c r="AV480" i="7"/>
  <c r="BC480" i="7"/>
  <c r="M481" i="7"/>
  <c r="AT481" i="7" s="1"/>
  <c r="DV481" i="7"/>
  <c r="AW480" i="7"/>
  <c r="AT480" i="7"/>
  <c r="AY480" i="7"/>
  <c r="BA480" i="7"/>
  <c r="DP480" i="7" s="1"/>
  <c r="AZ480" i="7"/>
  <c r="DQ479" i="7"/>
  <c r="BD478" i="7"/>
  <c r="DR479" i="7"/>
  <c r="DK479" i="7"/>
  <c r="DO479" i="7"/>
  <c r="DN479" i="7"/>
  <c r="DL479" i="7"/>
  <c r="BF478" i="7"/>
  <c r="BE478" i="7"/>
  <c r="BE479" i="7"/>
  <c r="AF479" i="7"/>
  <c r="AI479" i="7" s="1"/>
  <c r="CM505" i="7"/>
  <c r="DH505" i="7" s="1"/>
  <c r="CC499" i="7"/>
  <c r="CX499" i="7" s="1"/>
  <c r="G473" i="7"/>
  <c r="BT485" i="7"/>
  <c r="CO485" i="7" s="1"/>
  <c r="BV483" i="7"/>
  <c r="CQ483" i="7" s="1"/>
  <c r="CI484" i="7"/>
  <c r="DD484" i="7" s="1"/>
  <c r="DS483" i="7"/>
  <c r="P483" i="7" s="1"/>
  <c r="CA477" i="7"/>
  <c r="CV477" i="7" s="1"/>
  <c r="BO475" i="7"/>
  <c r="CG478" i="7"/>
  <c r="DB478" i="7" s="1"/>
  <c r="BZ479" i="7"/>
  <c r="CU479" i="7" s="1"/>
  <c r="CD481" i="7"/>
  <c r="CY481" i="7" s="1"/>
  <c r="CH478" i="7"/>
  <c r="DC478" i="7" s="1"/>
  <c r="BN477" i="7"/>
  <c r="DI475" i="7"/>
  <c r="BP475" i="7" s="1"/>
  <c r="BQ474" i="7"/>
  <c r="H474" i="7" s="1"/>
  <c r="CF483" i="7"/>
  <c r="DA483" i="7" s="1"/>
  <c r="BF479" i="7"/>
  <c r="BS482" i="7"/>
  <c r="CN482" i="7" s="1"/>
  <c r="BU493" i="7"/>
  <c r="CP493" i="7" s="1"/>
  <c r="CE486" i="7"/>
  <c r="CZ486" i="7" s="1"/>
  <c r="AO478" i="7" l="1"/>
  <c r="CK484" i="7"/>
  <c r="DF484" i="7" s="1"/>
  <c r="EN479" i="7"/>
  <c r="AM486" i="7"/>
  <c r="AN483" i="7"/>
  <c r="EO485" i="7"/>
  <c r="CB486" i="7"/>
  <c r="CW486" i="7" s="1"/>
  <c r="CL482" i="7"/>
  <c r="DG482" i="7" s="1"/>
  <c r="EM481" i="7"/>
  <c r="DZ478" i="7"/>
  <c r="EA478" i="7"/>
  <c r="EB477" i="7"/>
  <c r="DW477" i="7"/>
  <c r="DX477" i="7"/>
  <c r="EF482" i="7"/>
  <c r="EC482" i="7"/>
  <c r="DM480" i="7"/>
  <c r="DR480" i="7"/>
  <c r="DQ480" i="7"/>
  <c r="AU481" i="7"/>
  <c r="DJ481" i="7" s="1"/>
  <c r="DN480" i="7"/>
  <c r="AX481" i="7"/>
  <c r="AY481" i="7"/>
  <c r="BA481" i="7"/>
  <c r="DP481" i="7" s="1"/>
  <c r="BC481" i="7"/>
  <c r="BB481" i="7"/>
  <c r="AZ481" i="7"/>
  <c r="AW481" i="7"/>
  <c r="AV481" i="7"/>
  <c r="M482" i="7"/>
  <c r="AU482" i="7" s="1"/>
  <c r="DV482" i="7"/>
  <c r="BD479" i="7"/>
  <c r="DO480" i="7"/>
  <c r="DL480" i="7"/>
  <c r="AG480" i="7"/>
  <c r="AH480" i="7"/>
  <c r="DK480" i="7"/>
  <c r="AF480" i="7"/>
  <c r="AI480" i="7" s="1"/>
  <c r="CM506" i="7"/>
  <c r="DH506" i="7" s="1"/>
  <c r="CC500" i="7"/>
  <c r="CX500" i="7" s="1"/>
  <c r="G474" i="7"/>
  <c r="BL142" i="7"/>
  <c r="F142" i="7"/>
  <c r="BJ142" i="7"/>
  <c r="BK142" i="7"/>
  <c r="BV484" i="7"/>
  <c r="CQ484" i="7" s="1"/>
  <c r="CI485" i="7"/>
  <c r="DD485" i="7" s="1"/>
  <c r="DS484" i="7"/>
  <c r="P484" i="7" s="1"/>
  <c r="BT486" i="7"/>
  <c r="CO486" i="7" s="1"/>
  <c r="CA478" i="7"/>
  <c r="CV478" i="7" s="1"/>
  <c r="BO476" i="7"/>
  <c r="CG479" i="7"/>
  <c r="DB479" i="7" s="1"/>
  <c r="BZ480" i="7"/>
  <c r="CU480" i="7" s="1"/>
  <c r="CD482" i="7"/>
  <c r="CY482" i="7" s="1"/>
  <c r="DI476" i="7"/>
  <c r="BP476" i="7" s="1"/>
  <c r="BQ475" i="7"/>
  <c r="H475" i="7" s="1"/>
  <c r="CF484" i="7"/>
  <c r="DA484" i="7" s="1"/>
  <c r="BN478" i="7"/>
  <c r="CH479" i="7"/>
  <c r="DC479" i="7" s="1"/>
  <c r="BS483" i="7"/>
  <c r="CN483" i="7" s="1"/>
  <c r="AH481" i="7"/>
  <c r="AF481" i="7"/>
  <c r="AI481" i="7" s="1"/>
  <c r="AG481" i="7"/>
  <c r="BE480" i="7"/>
  <c r="BU494" i="7"/>
  <c r="CP494" i="7" s="1"/>
  <c r="CE487" i="7"/>
  <c r="CZ487" i="7" s="1"/>
  <c r="AN484" i="7" l="1"/>
  <c r="EN480" i="7"/>
  <c r="EO486" i="7"/>
  <c r="CK485" i="7"/>
  <c r="DF485" i="7" s="1"/>
  <c r="AM487" i="7"/>
  <c r="AO479" i="7"/>
  <c r="CB487" i="7"/>
  <c r="CW487" i="7" s="1"/>
  <c r="DQ481" i="7"/>
  <c r="CL483" i="7"/>
  <c r="DG483" i="7" s="1"/>
  <c r="EM482" i="7"/>
  <c r="DR481" i="7"/>
  <c r="DM481" i="7"/>
  <c r="EA479" i="7"/>
  <c r="DZ479" i="7"/>
  <c r="EF483" i="7"/>
  <c r="EC483" i="7"/>
  <c r="EB478" i="7"/>
  <c r="DX478" i="7"/>
  <c r="DW478" i="7"/>
  <c r="DN481" i="7"/>
  <c r="DK481" i="7"/>
  <c r="DO481" i="7"/>
  <c r="AT482" i="7"/>
  <c r="AV482" i="7"/>
  <c r="AW482" i="7"/>
  <c r="BC482" i="7"/>
  <c r="BB482" i="7"/>
  <c r="AY482" i="7"/>
  <c r="AX482" i="7"/>
  <c r="M483" i="7"/>
  <c r="AW483" i="7" s="1"/>
  <c r="DV483" i="7"/>
  <c r="BA482" i="7"/>
  <c r="DP482" i="7" s="1"/>
  <c r="AZ482" i="7"/>
  <c r="DL481" i="7"/>
  <c r="BD480" i="7"/>
  <c r="BF480" i="7"/>
  <c r="CM507" i="7"/>
  <c r="DH507" i="7" s="1"/>
  <c r="CC501" i="7"/>
  <c r="CX501" i="7" s="1"/>
  <c r="G475" i="7"/>
  <c r="BM142" i="7"/>
  <c r="DS485" i="7"/>
  <c r="P485" i="7" s="1"/>
  <c r="CI486" i="7"/>
  <c r="DD486" i="7" s="1"/>
  <c r="BT487" i="7"/>
  <c r="CO487" i="7" s="1"/>
  <c r="BV485" i="7"/>
  <c r="CQ485" i="7" s="1"/>
  <c r="CA479" i="7"/>
  <c r="CV479" i="7" s="1"/>
  <c r="BO477" i="7"/>
  <c r="CG480" i="7"/>
  <c r="DB480" i="7" s="1"/>
  <c r="BZ481" i="7"/>
  <c r="CU481" i="7" s="1"/>
  <c r="CD483" i="7"/>
  <c r="CY483" i="7" s="1"/>
  <c r="CF485" i="7"/>
  <c r="DA485" i="7" s="1"/>
  <c r="CH480" i="7"/>
  <c r="DC480" i="7" s="1"/>
  <c r="BN479" i="7"/>
  <c r="DI477" i="7"/>
  <c r="BP477" i="7" s="1"/>
  <c r="BQ476" i="7"/>
  <c r="H476" i="7" s="1"/>
  <c r="AF482" i="7"/>
  <c r="AI482" i="7" s="1"/>
  <c r="DJ482" i="7"/>
  <c r="AH482" i="7"/>
  <c r="BE481" i="7"/>
  <c r="BF481" i="7"/>
  <c r="BD481" i="7"/>
  <c r="BS484" i="7"/>
  <c r="CN484" i="7" s="1"/>
  <c r="BU495" i="7"/>
  <c r="CP495" i="7" s="1"/>
  <c r="CE488" i="7"/>
  <c r="CZ488" i="7" s="1"/>
  <c r="CK486" i="7" l="1"/>
  <c r="DF486" i="7" s="1"/>
  <c r="AN485" i="7"/>
  <c r="EN481" i="7"/>
  <c r="AM488" i="7"/>
  <c r="AO480" i="7"/>
  <c r="EO487" i="7"/>
  <c r="CB488" i="7"/>
  <c r="CW488" i="7" s="1"/>
  <c r="DQ482" i="7"/>
  <c r="CL484" i="7"/>
  <c r="DG484" i="7" s="1"/>
  <c r="EM483" i="7"/>
  <c r="DR482" i="7"/>
  <c r="DM482" i="7"/>
  <c r="DO482" i="7"/>
  <c r="EB479" i="7"/>
  <c r="DX479" i="7"/>
  <c r="DW479" i="7"/>
  <c r="EC484" i="7"/>
  <c r="EF484" i="7"/>
  <c r="DZ480" i="7"/>
  <c r="EA480" i="7"/>
  <c r="DK482" i="7"/>
  <c r="N143" i="7"/>
  <c r="D132" i="32"/>
  <c r="BA483" i="7"/>
  <c r="AZ483" i="7"/>
  <c r="AV483" i="7"/>
  <c r="AU483" i="7"/>
  <c r="AX483" i="7"/>
  <c r="BC483" i="7"/>
  <c r="AT483" i="7"/>
  <c r="AY483" i="7"/>
  <c r="BB483" i="7"/>
  <c r="M484" i="7"/>
  <c r="AV484" i="7" s="1"/>
  <c r="DV484" i="7"/>
  <c r="DL482" i="7"/>
  <c r="DN482" i="7"/>
  <c r="AG482" i="7"/>
  <c r="CM508" i="7"/>
  <c r="DH508" i="7" s="1"/>
  <c r="CC502" i="7"/>
  <c r="CX502" i="7" s="1"/>
  <c r="G476" i="7"/>
  <c r="B142" i="7"/>
  <c r="BT488" i="7"/>
  <c r="CO488" i="7" s="1"/>
  <c r="BV486" i="7"/>
  <c r="CQ486" i="7" s="1"/>
  <c r="CI487" i="7"/>
  <c r="DD487" i="7" s="1"/>
  <c r="DS486" i="7"/>
  <c r="P486" i="7" s="1"/>
  <c r="CA480" i="7"/>
  <c r="CV480" i="7" s="1"/>
  <c r="BO478" i="7"/>
  <c r="CG481" i="7"/>
  <c r="DB481" i="7" s="1"/>
  <c r="BZ482" i="7"/>
  <c r="CU482" i="7" s="1"/>
  <c r="CD484" i="7"/>
  <c r="CY484" i="7" s="1"/>
  <c r="DI478" i="7"/>
  <c r="BP478" i="7" s="1"/>
  <c r="BQ477" i="7"/>
  <c r="H477" i="7" s="1"/>
  <c r="CF486" i="7"/>
  <c r="DA486" i="7" s="1"/>
  <c r="BN480" i="7"/>
  <c r="CH481" i="7"/>
  <c r="DC481" i="7" s="1"/>
  <c r="BS485" i="7"/>
  <c r="CN485" i="7" s="1"/>
  <c r="AF483" i="7"/>
  <c r="AI483" i="7" s="1"/>
  <c r="AG483" i="7"/>
  <c r="BF482" i="7"/>
  <c r="BD482" i="7"/>
  <c r="BE482" i="7"/>
  <c r="BU496" i="7"/>
  <c r="CP496" i="7" s="1"/>
  <c r="CE489" i="7"/>
  <c r="CZ489" i="7" s="1"/>
  <c r="AN486" i="7" l="1"/>
  <c r="EN482" i="7"/>
  <c r="AO481" i="7"/>
  <c r="EO488" i="7"/>
  <c r="AM489" i="7"/>
  <c r="CK487" i="7"/>
  <c r="DF487" i="7" s="1"/>
  <c r="CB489" i="7"/>
  <c r="CW489" i="7" s="1"/>
  <c r="F132" i="32"/>
  <c r="G132" i="32" s="1"/>
  <c r="P132" i="32" s="1"/>
  <c r="Q132" i="32" s="1"/>
  <c r="AR143" i="7"/>
  <c r="BI143" i="7" s="1"/>
  <c r="AP143" i="7"/>
  <c r="BG143" i="7" s="1"/>
  <c r="AQ143" i="7"/>
  <c r="BH143" i="7" s="1"/>
  <c r="DR483" i="7"/>
  <c r="CL485" i="7"/>
  <c r="DG485" i="7" s="1"/>
  <c r="EM484" i="7"/>
  <c r="AJ143" i="7"/>
  <c r="C143" i="7" s="1"/>
  <c r="AK143" i="7"/>
  <c r="D143" i="7" s="1"/>
  <c r="DK483" i="7"/>
  <c r="EF485" i="7"/>
  <c r="EC485" i="7"/>
  <c r="DZ481" i="7"/>
  <c r="EA481" i="7"/>
  <c r="EB480" i="7"/>
  <c r="DW480" i="7"/>
  <c r="DX480" i="7"/>
  <c r="AL143" i="7"/>
  <c r="E143" i="7" s="1"/>
  <c r="AT484" i="7"/>
  <c r="AX484" i="7"/>
  <c r="BC484" i="7"/>
  <c r="BA484" i="7"/>
  <c r="AY484" i="7"/>
  <c r="BB484" i="7"/>
  <c r="M485" i="7"/>
  <c r="AX485" i="7" s="1"/>
  <c r="DV485" i="7"/>
  <c r="AW484" i="7"/>
  <c r="AZ484" i="7"/>
  <c r="AU484" i="7"/>
  <c r="DN483" i="7"/>
  <c r="DQ483" i="7"/>
  <c r="DO483" i="7"/>
  <c r="DL483" i="7"/>
  <c r="DP483" i="7"/>
  <c r="AH483" i="7"/>
  <c r="DM483" i="7"/>
  <c r="DJ483" i="7"/>
  <c r="CM509" i="7"/>
  <c r="DH509" i="7" s="1"/>
  <c r="CC503" i="7"/>
  <c r="CX503" i="7" s="1"/>
  <c r="G477" i="7"/>
  <c r="BV487" i="7"/>
  <c r="CQ487" i="7" s="1"/>
  <c r="DS487" i="7"/>
  <c r="P487" i="7" s="1"/>
  <c r="CI488" i="7"/>
  <c r="DD488" i="7" s="1"/>
  <c r="BT489" i="7"/>
  <c r="CO489" i="7" s="1"/>
  <c r="BO479" i="7"/>
  <c r="CA481" i="7"/>
  <c r="CV481" i="7" s="1"/>
  <c r="CG482" i="7"/>
  <c r="DB482" i="7" s="1"/>
  <c r="BZ483" i="7"/>
  <c r="CU483" i="7" s="1"/>
  <c r="CD485" i="7"/>
  <c r="CY485" i="7" s="1"/>
  <c r="BN481" i="7"/>
  <c r="CH482" i="7"/>
  <c r="DC482" i="7" s="1"/>
  <c r="CF487" i="7"/>
  <c r="DA487" i="7" s="1"/>
  <c r="DI479" i="7"/>
  <c r="BP479" i="7" s="1"/>
  <c r="BQ478" i="7"/>
  <c r="H478" i="7" s="1"/>
  <c r="BS486" i="7"/>
  <c r="CN486" i="7" s="1"/>
  <c r="BU497" i="7"/>
  <c r="CP497" i="7" s="1"/>
  <c r="CE490" i="7"/>
  <c r="CZ490" i="7" s="1"/>
  <c r="CK488" i="7" l="1"/>
  <c r="DF488" i="7" s="1"/>
  <c r="AO482" i="7"/>
  <c r="AM490" i="7"/>
  <c r="AN487" i="7"/>
  <c r="EN483" i="7"/>
  <c r="EO489" i="7"/>
  <c r="CB490" i="7"/>
  <c r="CW490" i="7" s="1"/>
  <c r="CL486" i="7"/>
  <c r="DG486" i="7" s="1"/>
  <c r="EM485" i="7"/>
  <c r="DZ482" i="7"/>
  <c r="EA482" i="7"/>
  <c r="DW481" i="7"/>
  <c r="DX481" i="7"/>
  <c r="EB481" i="7"/>
  <c r="EF486" i="7"/>
  <c r="EC486" i="7"/>
  <c r="AV485" i="7"/>
  <c r="BA485" i="7"/>
  <c r="AY485" i="7"/>
  <c r="AZ485" i="7"/>
  <c r="AT485" i="7"/>
  <c r="M486" i="7"/>
  <c r="BC486" i="7" s="1"/>
  <c r="DV486" i="7"/>
  <c r="BC485" i="7"/>
  <c r="BB485" i="7"/>
  <c r="AW485" i="7"/>
  <c r="AU485" i="7"/>
  <c r="DO484" i="7"/>
  <c r="BD483" i="7"/>
  <c r="DJ484" i="7"/>
  <c r="DQ484" i="7"/>
  <c r="DP484" i="7"/>
  <c r="DK484" i="7"/>
  <c r="DN484" i="7"/>
  <c r="DM484" i="7"/>
  <c r="DL484" i="7"/>
  <c r="AG484" i="7"/>
  <c r="AH484" i="7"/>
  <c r="BF483" i="7"/>
  <c r="AF484" i="7"/>
  <c r="AI484" i="7" s="1"/>
  <c r="DR484" i="7"/>
  <c r="BE483" i="7"/>
  <c r="CC504" i="7"/>
  <c r="CX504" i="7" s="1"/>
  <c r="G478" i="7"/>
  <c r="F143" i="7"/>
  <c r="BJ143" i="7"/>
  <c r="BL143" i="7"/>
  <c r="BK143" i="7"/>
  <c r="BT490" i="7"/>
  <c r="CO490" i="7" s="1"/>
  <c r="BV488" i="7"/>
  <c r="CQ488" i="7" s="1"/>
  <c r="DS488" i="7"/>
  <c r="P488" i="7" s="1"/>
  <c r="CI489" i="7"/>
  <c r="DD489" i="7" s="1"/>
  <c r="BO480" i="7"/>
  <c r="CA482" i="7"/>
  <c r="CV482" i="7" s="1"/>
  <c r="CG483" i="7"/>
  <c r="DB483" i="7" s="1"/>
  <c r="BZ484" i="7"/>
  <c r="CU484" i="7" s="1"/>
  <c r="CD486" i="7"/>
  <c r="CY486" i="7" s="1"/>
  <c r="DI480" i="7"/>
  <c r="BP480" i="7" s="1"/>
  <c r="BQ479" i="7"/>
  <c r="H479" i="7" s="1"/>
  <c r="CH483" i="7"/>
  <c r="DC483" i="7" s="1"/>
  <c r="BN482" i="7"/>
  <c r="CF488" i="7"/>
  <c r="DA488" i="7" s="1"/>
  <c r="BS487" i="7"/>
  <c r="CN487" i="7" s="1"/>
  <c r="BU498" i="7"/>
  <c r="CP498" i="7" s="1"/>
  <c r="CE491" i="7"/>
  <c r="CZ491" i="7" s="1"/>
  <c r="AM491" i="7" l="1"/>
  <c r="EO490" i="7"/>
  <c r="AN488" i="7"/>
  <c r="EN484" i="7"/>
  <c r="AO483" i="7"/>
  <c r="CK489" i="7"/>
  <c r="DF489" i="7" s="1"/>
  <c r="CB491" i="7"/>
  <c r="CW491" i="7" s="1"/>
  <c r="CL487" i="7"/>
  <c r="DG487" i="7" s="1"/>
  <c r="EM486" i="7"/>
  <c r="EB482" i="7"/>
  <c r="DX482" i="7"/>
  <c r="DW482" i="7"/>
  <c r="EF487" i="7"/>
  <c r="EC487" i="7"/>
  <c r="DZ483" i="7"/>
  <c r="EA483" i="7"/>
  <c r="AX486" i="7"/>
  <c r="AZ486" i="7"/>
  <c r="AT486" i="7"/>
  <c r="AY486" i="7"/>
  <c r="BA486" i="7"/>
  <c r="AU486" i="7"/>
  <c r="AW486" i="7"/>
  <c r="AV486" i="7"/>
  <c r="BB486" i="7"/>
  <c r="M487" i="7"/>
  <c r="AT487" i="7" s="1"/>
  <c r="DV487" i="7"/>
  <c r="DO485" i="7"/>
  <c r="BF484" i="7"/>
  <c r="DL485" i="7"/>
  <c r="BE484" i="7"/>
  <c r="DM485" i="7"/>
  <c r="AF485" i="7"/>
  <c r="AI485" i="7" s="1"/>
  <c r="DK485" i="7"/>
  <c r="DP485" i="7"/>
  <c r="AG485" i="7"/>
  <c r="DJ485" i="7"/>
  <c r="BD484" i="7"/>
  <c r="AH485" i="7"/>
  <c r="DR485" i="7"/>
  <c r="DN485" i="7"/>
  <c r="DQ485" i="7"/>
  <c r="CC505" i="7"/>
  <c r="CX505" i="7" s="1"/>
  <c r="G479" i="7"/>
  <c r="BM143" i="7"/>
  <c r="BV489" i="7"/>
  <c r="CQ489" i="7" s="1"/>
  <c r="CI490" i="7"/>
  <c r="DD490" i="7" s="1"/>
  <c r="DS489" i="7"/>
  <c r="P489" i="7" s="1"/>
  <c r="BT491" i="7"/>
  <c r="CO491" i="7" s="1"/>
  <c r="CA483" i="7"/>
  <c r="CV483" i="7" s="1"/>
  <c r="BO481" i="7"/>
  <c r="CG484" i="7"/>
  <c r="DB484" i="7" s="1"/>
  <c r="BZ485" i="7"/>
  <c r="CU485" i="7" s="1"/>
  <c r="CD487" i="7"/>
  <c r="CY487" i="7" s="1"/>
  <c r="CF489" i="7"/>
  <c r="DA489" i="7" s="1"/>
  <c r="DI481" i="7"/>
  <c r="BP481" i="7" s="1"/>
  <c r="BQ480" i="7"/>
  <c r="H480" i="7" s="1"/>
  <c r="CH484" i="7"/>
  <c r="DC484" i="7" s="1"/>
  <c r="BN483" i="7"/>
  <c r="BS488" i="7"/>
  <c r="CN488" i="7" s="1"/>
  <c r="BU499" i="7"/>
  <c r="CP499" i="7" s="1"/>
  <c r="CE492" i="7"/>
  <c r="CZ492" i="7" s="1"/>
  <c r="AM492" i="7" l="1"/>
  <c r="EN485" i="7"/>
  <c r="EO491" i="7"/>
  <c r="CK490" i="7"/>
  <c r="DF490" i="7" s="1"/>
  <c r="AO484" i="7"/>
  <c r="AN489" i="7"/>
  <c r="CB492" i="7"/>
  <c r="CW492" i="7" s="1"/>
  <c r="CL488" i="7"/>
  <c r="DG488" i="7" s="1"/>
  <c r="EM487" i="7"/>
  <c r="EA484" i="7"/>
  <c r="DZ484" i="7"/>
  <c r="DW483" i="7"/>
  <c r="EB483" i="7"/>
  <c r="DX483" i="7"/>
  <c r="EC488" i="7"/>
  <c r="EF488" i="7"/>
  <c r="N144" i="7"/>
  <c r="D133" i="32"/>
  <c r="AZ487" i="7"/>
  <c r="BB487" i="7"/>
  <c r="AW487" i="7"/>
  <c r="M488" i="7"/>
  <c r="AU488" i="7" s="1"/>
  <c r="DV488" i="7"/>
  <c r="AY487" i="7"/>
  <c r="AX487" i="7"/>
  <c r="AU487" i="7"/>
  <c r="AV487" i="7"/>
  <c r="BA487" i="7"/>
  <c r="BC487" i="7"/>
  <c r="DO486" i="7"/>
  <c r="BE485" i="7"/>
  <c r="DL486" i="7"/>
  <c r="DQ486" i="7"/>
  <c r="DR486" i="7"/>
  <c r="DM486" i="7"/>
  <c r="BD485" i="7"/>
  <c r="DK486" i="7"/>
  <c r="DJ486" i="7"/>
  <c r="DP486" i="7"/>
  <c r="BF485" i="7"/>
  <c r="AF486" i="7"/>
  <c r="AI486" i="7" s="1"/>
  <c r="AH486" i="7"/>
  <c r="DN486" i="7"/>
  <c r="AG486" i="7"/>
  <c r="CC506" i="7"/>
  <c r="CX506" i="7" s="1"/>
  <c r="G480" i="7"/>
  <c r="B143" i="7"/>
  <c r="BT492" i="7"/>
  <c r="CO492" i="7" s="1"/>
  <c r="CI491" i="7"/>
  <c r="DD491" i="7" s="1"/>
  <c r="DS490" i="7"/>
  <c r="P490" i="7" s="1"/>
  <c r="BV490" i="7"/>
  <c r="CQ490" i="7" s="1"/>
  <c r="BO482" i="7"/>
  <c r="CA484" i="7"/>
  <c r="CV484" i="7" s="1"/>
  <c r="CG485" i="7"/>
  <c r="DB485" i="7" s="1"/>
  <c r="BZ486" i="7"/>
  <c r="CU486" i="7" s="1"/>
  <c r="CD488" i="7"/>
  <c r="CY488" i="7" s="1"/>
  <c r="CF490" i="7"/>
  <c r="DA490" i="7" s="1"/>
  <c r="DI482" i="7"/>
  <c r="BP482" i="7" s="1"/>
  <c r="BQ481" i="7"/>
  <c r="H481" i="7" s="1"/>
  <c r="BN484" i="7"/>
  <c r="CH485" i="7"/>
  <c r="DC485" i="7" s="1"/>
  <c r="BS489" i="7"/>
  <c r="CN489" i="7" s="1"/>
  <c r="AH487" i="7"/>
  <c r="AF487" i="7"/>
  <c r="AI487" i="7" s="1"/>
  <c r="BU500" i="7"/>
  <c r="CP500" i="7" s="1"/>
  <c r="CE493" i="7"/>
  <c r="CZ493" i="7" s="1"/>
  <c r="AN490" i="7" l="1"/>
  <c r="CK491" i="7"/>
  <c r="DF491" i="7" s="1"/>
  <c r="AO485" i="7"/>
  <c r="AM493" i="7"/>
  <c r="EO492" i="7"/>
  <c r="EN486" i="7"/>
  <c r="CB493" i="7"/>
  <c r="CW493" i="7" s="1"/>
  <c r="F133" i="32"/>
  <c r="G133" i="32" s="1"/>
  <c r="P133" i="32" s="1"/>
  <c r="Q133" i="32" s="1"/>
  <c r="AP144" i="7"/>
  <c r="BG144" i="7" s="1"/>
  <c r="AQ144" i="7"/>
  <c r="BH144" i="7" s="1"/>
  <c r="AR144" i="7"/>
  <c r="BI144" i="7" s="1"/>
  <c r="DO487" i="7"/>
  <c r="CL489" i="7"/>
  <c r="DG489" i="7" s="1"/>
  <c r="EM488" i="7"/>
  <c r="AK144" i="7"/>
  <c r="D144" i="7" s="1"/>
  <c r="AL144" i="7"/>
  <c r="E144" i="7" s="1"/>
  <c r="DZ485" i="7"/>
  <c r="EA485" i="7"/>
  <c r="DW484" i="7"/>
  <c r="DX484" i="7"/>
  <c r="EB484" i="7"/>
  <c r="EF489" i="7"/>
  <c r="EC489" i="7"/>
  <c r="DN487" i="7"/>
  <c r="AJ144" i="7"/>
  <c r="C144" i="7" s="1"/>
  <c r="DP487" i="7"/>
  <c r="M489" i="7"/>
  <c r="AW489" i="7" s="1"/>
  <c r="DV489" i="7"/>
  <c r="BB488" i="7"/>
  <c r="BC488" i="7"/>
  <c r="AX488" i="7"/>
  <c r="AV488" i="7"/>
  <c r="BA488" i="7"/>
  <c r="AT488" i="7"/>
  <c r="AY488" i="7"/>
  <c r="AW488" i="7"/>
  <c r="AZ488" i="7"/>
  <c r="DK487" i="7"/>
  <c r="BE486" i="7"/>
  <c r="BF486" i="7"/>
  <c r="DM487" i="7"/>
  <c r="DJ487" i="7"/>
  <c r="DJ488" i="7" s="1"/>
  <c r="BD486" i="7"/>
  <c r="DL487" i="7"/>
  <c r="DR487" i="7"/>
  <c r="AG487" i="7"/>
  <c r="DQ487" i="7"/>
  <c r="CC507" i="7"/>
  <c r="CX507" i="7" s="1"/>
  <c r="G481" i="7"/>
  <c r="DS491" i="7"/>
  <c r="P491" i="7" s="1"/>
  <c r="CI492" i="7"/>
  <c r="DD492" i="7" s="1"/>
  <c r="BV491" i="7"/>
  <c r="CQ491" i="7" s="1"/>
  <c r="BT493" i="7"/>
  <c r="CO493" i="7" s="1"/>
  <c r="CA485" i="7"/>
  <c r="CV485" i="7" s="1"/>
  <c r="BO483" i="7"/>
  <c r="CG486" i="7"/>
  <c r="DB486" i="7" s="1"/>
  <c r="BZ487" i="7"/>
  <c r="CU487" i="7" s="1"/>
  <c r="CD489" i="7"/>
  <c r="CY489" i="7" s="1"/>
  <c r="CH486" i="7"/>
  <c r="DC486" i="7" s="1"/>
  <c r="BN485" i="7"/>
  <c r="CF491" i="7"/>
  <c r="DA491" i="7" s="1"/>
  <c r="DI483" i="7"/>
  <c r="BP483" i="7" s="1"/>
  <c r="BQ482" i="7"/>
  <c r="H482" i="7" s="1"/>
  <c r="BS490" i="7"/>
  <c r="CN490" i="7" s="1"/>
  <c r="AF488" i="7"/>
  <c r="AI488" i="7" s="1"/>
  <c r="BU501" i="7"/>
  <c r="CP501" i="7" s="1"/>
  <c r="CE494" i="7"/>
  <c r="CZ494" i="7" s="1"/>
  <c r="AN491" i="7" l="1"/>
  <c r="EN487" i="7"/>
  <c r="EO493" i="7"/>
  <c r="CK492" i="7"/>
  <c r="DF492" i="7" s="1"/>
  <c r="AO486" i="7"/>
  <c r="AM494" i="7"/>
  <c r="CB494" i="7"/>
  <c r="CW494" i="7" s="1"/>
  <c r="DN488" i="7"/>
  <c r="DO488" i="7"/>
  <c r="CL490" i="7"/>
  <c r="DG490" i="7" s="1"/>
  <c r="EM489" i="7"/>
  <c r="EB485" i="7"/>
  <c r="DW485" i="7"/>
  <c r="DX485" i="7"/>
  <c r="EF490" i="7"/>
  <c r="EC490" i="7"/>
  <c r="DZ486" i="7"/>
  <c r="EA486" i="7"/>
  <c r="DP488" i="7"/>
  <c r="AV489" i="7"/>
  <c r="AZ489" i="7"/>
  <c r="DO489" i="7" s="1"/>
  <c r="BC489" i="7"/>
  <c r="AT489" i="7"/>
  <c r="AY489" i="7"/>
  <c r="DN489" i="7" s="1"/>
  <c r="BA489" i="7"/>
  <c r="AU489" i="7"/>
  <c r="DJ489" i="7" s="1"/>
  <c r="AX489" i="7"/>
  <c r="BB489" i="7"/>
  <c r="M490" i="7"/>
  <c r="BC490" i="7" s="1"/>
  <c r="DV490" i="7"/>
  <c r="DR488" i="7"/>
  <c r="BE487" i="7"/>
  <c r="DM488" i="7"/>
  <c r="BD487" i="7"/>
  <c r="DL488" i="7"/>
  <c r="AG488" i="7"/>
  <c r="DK488" i="7"/>
  <c r="DQ488" i="7"/>
  <c r="AH488" i="7"/>
  <c r="BF487" i="7"/>
  <c r="CC508" i="7"/>
  <c r="CX508" i="7" s="1"/>
  <c r="G482" i="7"/>
  <c r="BL144" i="7"/>
  <c r="BK144" i="7"/>
  <c r="F144" i="7"/>
  <c r="BJ144" i="7"/>
  <c r="BT494" i="7"/>
  <c r="CO494" i="7" s="1"/>
  <c r="DS492" i="7"/>
  <c r="P492" i="7" s="1"/>
  <c r="CI493" i="7"/>
  <c r="DD493" i="7" s="1"/>
  <c r="BV492" i="7"/>
  <c r="CQ492" i="7" s="1"/>
  <c r="BO484" i="7"/>
  <c r="CA486" i="7"/>
  <c r="CV486" i="7" s="1"/>
  <c r="CG487" i="7"/>
  <c r="DB487" i="7" s="1"/>
  <c r="BZ488" i="7"/>
  <c r="CU488" i="7" s="1"/>
  <c r="CD490" i="7"/>
  <c r="CY490" i="7" s="1"/>
  <c r="CF492" i="7"/>
  <c r="DA492" i="7" s="1"/>
  <c r="DI484" i="7"/>
  <c r="BP484" i="7" s="1"/>
  <c r="BQ483" i="7"/>
  <c r="H483" i="7" s="1"/>
  <c r="BN486" i="7"/>
  <c r="CH487" i="7"/>
  <c r="DC487" i="7" s="1"/>
  <c r="AF489" i="7"/>
  <c r="AI489" i="7" s="1"/>
  <c r="AH489" i="7"/>
  <c r="AG489" i="7"/>
  <c r="BS491" i="7"/>
  <c r="CN491" i="7" s="1"/>
  <c r="BU502" i="7"/>
  <c r="CP502" i="7" s="1"/>
  <c r="CE495" i="7"/>
  <c r="CZ495" i="7" s="1"/>
  <c r="AM495" i="7" l="1"/>
  <c r="CK493" i="7"/>
  <c r="DF493" i="7" s="1"/>
  <c r="EN488" i="7"/>
  <c r="AO487" i="7"/>
  <c r="AN492" i="7"/>
  <c r="EO494" i="7"/>
  <c r="CB495" i="7"/>
  <c r="CW495" i="7" s="1"/>
  <c r="CL491" i="7"/>
  <c r="DG491" i="7" s="1"/>
  <c r="EM490" i="7"/>
  <c r="DM489" i="7"/>
  <c r="DP489" i="7"/>
  <c r="DZ487" i="7"/>
  <c r="EA487" i="7"/>
  <c r="EF491" i="7"/>
  <c r="EC491" i="7"/>
  <c r="EB486" i="7"/>
  <c r="DX486" i="7"/>
  <c r="DW486" i="7"/>
  <c r="DR489" i="7"/>
  <c r="DQ489" i="7"/>
  <c r="AW490" i="7"/>
  <c r="AZ490" i="7"/>
  <c r="AU490" i="7"/>
  <c r="AT490" i="7"/>
  <c r="AY490" i="7"/>
  <c r="AX490" i="7"/>
  <c r="M491" i="7"/>
  <c r="AX491" i="7" s="1"/>
  <c r="DV491" i="7"/>
  <c r="BA490" i="7"/>
  <c r="AV490" i="7"/>
  <c r="BB490" i="7"/>
  <c r="DL489" i="7"/>
  <c r="DK489" i="7"/>
  <c r="BF488" i="7"/>
  <c r="BD488" i="7"/>
  <c r="BE488" i="7"/>
  <c r="CC509" i="7"/>
  <c r="CX509" i="7" s="1"/>
  <c r="G483" i="7"/>
  <c r="BM144" i="7"/>
  <c r="BV493" i="7"/>
  <c r="CQ493" i="7" s="1"/>
  <c r="BT495" i="7"/>
  <c r="CO495" i="7" s="1"/>
  <c r="DS493" i="7"/>
  <c r="P493" i="7" s="1"/>
  <c r="CI494" i="7"/>
  <c r="DD494" i="7" s="1"/>
  <c r="CA487" i="7"/>
  <c r="CV487" i="7" s="1"/>
  <c r="BO485" i="7"/>
  <c r="CG488" i="7"/>
  <c r="DB488" i="7" s="1"/>
  <c r="BZ489" i="7"/>
  <c r="CU489" i="7" s="1"/>
  <c r="CD491" i="7"/>
  <c r="CY491" i="7" s="1"/>
  <c r="CF493" i="7"/>
  <c r="DA493" i="7" s="1"/>
  <c r="CH488" i="7"/>
  <c r="DC488" i="7" s="1"/>
  <c r="BN487" i="7"/>
  <c r="DI485" i="7"/>
  <c r="BP485" i="7" s="1"/>
  <c r="BQ484" i="7"/>
  <c r="H484" i="7" s="1"/>
  <c r="BS492" i="7"/>
  <c r="CN492" i="7" s="1"/>
  <c r="BE489" i="7"/>
  <c r="BF489" i="7"/>
  <c r="BD489" i="7"/>
  <c r="BU503" i="7"/>
  <c r="CP503" i="7" s="1"/>
  <c r="CE496" i="7"/>
  <c r="CZ496" i="7" s="1"/>
  <c r="AN493" i="7" l="1"/>
  <c r="EO495" i="7"/>
  <c r="CK494" i="7"/>
  <c r="DF494" i="7" s="1"/>
  <c r="AO488" i="7"/>
  <c r="AM496" i="7"/>
  <c r="EN489" i="7"/>
  <c r="CB496" i="7"/>
  <c r="CW496" i="7" s="1"/>
  <c r="CL492" i="7"/>
  <c r="DG492" i="7" s="1"/>
  <c r="EM491" i="7"/>
  <c r="DO490" i="7"/>
  <c r="DZ488" i="7"/>
  <c r="EA488" i="7"/>
  <c r="EF492" i="7"/>
  <c r="EC492" i="7"/>
  <c r="DX487" i="7"/>
  <c r="DW487" i="7"/>
  <c r="EB487" i="7"/>
  <c r="N145" i="7"/>
  <c r="D134" i="32"/>
  <c r="AU491" i="7"/>
  <c r="AT491" i="7"/>
  <c r="AZ491" i="7"/>
  <c r="BA491" i="7"/>
  <c r="AV491" i="7"/>
  <c r="AY491" i="7"/>
  <c r="BB491" i="7"/>
  <c r="AW491" i="7"/>
  <c r="BC491" i="7"/>
  <c r="M492" i="7"/>
  <c r="BC492" i="7" s="1"/>
  <c r="DV492" i="7"/>
  <c r="DL490" i="7"/>
  <c r="DM490" i="7"/>
  <c r="DP490" i="7"/>
  <c r="AG490" i="7"/>
  <c r="AF490" i="7"/>
  <c r="AI490" i="7" s="1"/>
  <c r="DQ490" i="7"/>
  <c r="AH490" i="7"/>
  <c r="DK490" i="7"/>
  <c r="DR490" i="7"/>
  <c r="DN490" i="7"/>
  <c r="DJ490" i="7"/>
  <c r="G484" i="7"/>
  <c r="B144" i="7"/>
  <c r="BT496" i="7"/>
  <c r="CO496" i="7" s="1"/>
  <c r="CI495" i="7"/>
  <c r="DD495" i="7" s="1"/>
  <c r="DS494" i="7"/>
  <c r="P494" i="7" s="1"/>
  <c r="BV494" i="7"/>
  <c r="CQ494" i="7" s="1"/>
  <c r="BO486" i="7"/>
  <c r="CA488" i="7"/>
  <c r="CV488" i="7" s="1"/>
  <c r="CG489" i="7"/>
  <c r="DB489" i="7" s="1"/>
  <c r="BZ490" i="7"/>
  <c r="CU490" i="7" s="1"/>
  <c r="CD492" i="7"/>
  <c r="CY492" i="7" s="1"/>
  <c r="BN488" i="7"/>
  <c r="CH489" i="7"/>
  <c r="DC489" i="7" s="1"/>
  <c r="DI486" i="7"/>
  <c r="BP486" i="7" s="1"/>
  <c r="BQ485" i="7"/>
  <c r="H485" i="7" s="1"/>
  <c r="CF494" i="7"/>
  <c r="DA494" i="7" s="1"/>
  <c r="AG491" i="7"/>
  <c r="AF491" i="7"/>
  <c r="AI491" i="7" s="1"/>
  <c r="BS493" i="7"/>
  <c r="CN493" i="7" s="1"/>
  <c r="BU504" i="7"/>
  <c r="CP504" i="7" s="1"/>
  <c r="CE497" i="7"/>
  <c r="CZ497" i="7" s="1"/>
  <c r="AM497" i="7" l="1"/>
  <c r="AO489" i="7"/>
  <c r="EO496" i="7"/>
  <c r="AN494" i="7"/>
  <c r="EN490" i="7"/>
  <c r="CK495" i="7"/>
  <c r="DF495" i="7" s="1"/>
  <c r="CB497" i="7"/>
  <c r="CW497" i="7" s="1"/>
  <c r="F134" i="32"/>
  <c r="G134" i="32" s="1"/>
  <c r="P134" i="32" s="1"/>
  <c r="Q134" i="32" s="1"/>
  <c r="AP145" i="7"/>
  <c r="BG145" i="7" s="1"/>
  <c r="AQ145" i="7"/>
  <c r="BH145" i="7" s="1"/>
  <c r="AR145" i="7"/>
  <c r="BI145" i="7" s="1"/>
  <c r="CL493" i="7"/>
  <c r="DG493" i="7" s="1"/>
  <c r="EM492" i="7"/>
  <c r="EF493" i="7"/>
  <c r="EC493" i="7"/>
  <c r="DZ489" i="7"/>
  <c r="EA489" i="7"/>
  <c r="EB488" i="7"/>
  <c r="DX488" i="7"/>
  <c r="DW488" i="7"/>
  <c r="AK145" i="7"/>
  <c r="D145" i="7" s="1"/>
  <c r="AL145" i="7"/>
  <c r="E145" i="7" s="1"/>
  <c r="AJ145" i="7"/>
  <c r="C145" i="7" s="1"/>
  <c r="DN491" i="7"/>
  <c r="AY492" i="7"/>
  <c r="BA492" i="7"/>
  <c r="AZ492" i="7"/>
  <c r="AW492" i="7"/>
  <c r="AU492" i="7"/>
  <c r="AT492" i="7"/>
  <c r="M493" i="7"/>
  <c r="AT493" i="7" s="1"/>
  <c r="DV493" i="7"/>
  <c r="AX492" i="7"/>
  <c r="AV492" i="7"/>
  <c r="BB492" i="7"/>
  <c r="DL491" i="7"/>
  <c r="BF490" i="7"/>
  <c r="BE490" i="7"/>
  <c r="BD490" i="7"/>
  <c r="DJ491" i="7"/>
  <c r="DR491" i="7"/>
  <c r="DP491" i="7"/>
  <c r="DK491" i="7"/>
  <c r="DQ491" i="7"/>
  <c r="AH491" i="7"/>
  <c r="DO491" i="7"/>
  <c r="DM491" i="7"/>
  <c r="G485" i="7"/>
  <c r="CI496" i="7"/>
  <c r="DD496" i="7" s="1"/>
  <c r="DS495" i="7"/>
  <c r="P495" i="7" s="1"/>
  <c r="BV495" i="7"/>
  <c r="CQ495" i="7" s="1"/>
  <c r="BT497" i="7"/>
  <c r="CO497" i="7" s="1"/>
  <c r="BO487" i="7"/>
  <c r="CA489" i="7"/>
  <c r="CV489" i="7" s="1"/>
  <c r="CG490" i="7"/>
  <c r="DB490" i="7" s="1"/>
  <c r="BZ491" i="7"/>
  <c r="CU491" i="7" s="1"/>
  <c r="CD493" i="7"/>
  <c r="CY493" i="7" s="1"/>
  <c r="CF495" i="7"/>
  <c r="DA495" i="7" s="1"/>
  <c r="BQ486" i="7"/>
  <c r="H486" i="7" s="1"/>
  <c r="DI487" i="7"/>
  <c r="BP487" i="7" s="1"/>
  <c r="BN489" i="7"/>
  <c r="CH490" i="7"/>
  <c r="DC490" i="7" s="1"/>
  <c r="BE491" i="7"/>
  <c r="BS494" i="7"/>
  <c r="CN494" i="7" s="1"/>
  <c r="BU505" i="7"/>
  <c r="CP505" i="7" s="1"/>
  <c r="CE498" i="7"/>
  <c r="CZ498" i="7" s="1"/>
  <c r="AM498" i="7" l="1"/>
  <c r="CK496" i="7"/>
  <c r="DF496" i="7" s="1"/>
  <c r="AN495" i="7"/>
  <c r="EN491" i="7"/>
  <c r="EO497" i="7"/>
  <c r="AO490" i="7"/>
  <c r="CB498" i="7"/>
  <c r="CW498" i="7" s="1"/>
  <c r="CL494" i="7"/>
  <c r="DG494" i="7" s="1"/>
  <c r="EM493" i="7"/>
  <c r="DZ490" i="7"/>
  <c r="EA490" i="7"/>
  <c r="DX489" i="7"/>
  <c r="EB489" i="7"/>
  <c r="DW489" i="7"/>
  <c r="EF494" i="7"/>
  <c r="EC494" i="7"/>
  <c r="BB493" i="7"/>
  <c r="AV493" i="7"/>
  <c r="BA493" i="7"/>
  <c r="BC493" i="7"/>
  <c r="AW493" i="7"/>
  <c r="AZ493" i="7"/>
  <c r="AU493" i="7"/>
  <c r="AX493" i="7"/>
  <c r="AY493" i="7"/>
  <c r="M494" i="7"/>
  <c r="BC494" i="7" s="1"/>
  <c r="DV494" i="7"/>
  <c r="DK492" i="7"/>
  <c r="BD491" i="7"/>
  <c r="BF491" i="7"/>
  <c r="AG492" i="7"/>
  <c r="AF492" i="7"/>
  <c r="AI492" i="7" s="1"/>
  <c r="DQ492" i="7"/>
  <c r="DM492" i="7"/>
  <c r="DO492" i="7"/>
  <c r="DN492" i="7"/>
  <c r="DR492" i="7"/>
  <c r="DP492" i="7"/>
  <c r="DL492" i="7"/>
  <c r="DJ492" i="7"/>
  <c r="AH492" i="7"/>
  <c r="G486" i="7"/>
  <c r="F145" i="7"/>
  <c r="BJ145" i="7"/>
  <c r="BL145" i="7"/>
  <c r="BK145" i="7"/>
  <c r="BV496" i="7"/>
  <c r="CQ496" i="7" s="1"/>
  <c r="BT498" i="7"/>
  <c r="CO498" i="7" s="1"/>
  <c r="CI497" i="7"/>
  <c r="DD497" i="7" s="1"/>
  <c r="DS496" i="7"/>
  <c r="P496" i="7" s="1"/>
  <c r="CA490" i="7"/>
  <c r="CV490" i="7" s="1"/>
  <c r="BO488" i="7"/>
  <c r="CG491" i="7"/>
  <c r="DB491" i="7" s="1"/>
  <c r="BZ492" i="7"/>
  <c r="CU492" i="7" s="1"/>
  <c r="CD494" i="7"/>
  <c r="CY494" i="7" s="1"/>
  <c r="DI488" i="7"/>
  <c r="BP488" i="7" s="1"/>
  <c r="BQ487" i="7"/>
  <c r="H487" i="7" s="1"/>
  <c r="CF496" i="7"/>
  <c r="DA496" i="7" s="1"/>
  <c r="CH491" i="7"/>
  <c r="DC491" i="7" s="1"/>
  <c r="BN490" i="7"/>
  <c r="BS495" i="7"/>
  <c r="CN495" i="7" s="1"/>
  <c r="BU506" i="7"/>
  <c r="CP506" i="7" s="1"/>
  <c r="CE499" i="7"/>
  <c r="CZ499" i="7" s="1"/>
  <c r="AO491" i="7" l="1"/>
  <c r="CK497" i="7"/>
  <c r="DF497" i="7" s="1"/>
  <c r="EO498" i="7"/>
  <c r="AN496" i="7"/>
  <c r="EN492" i="7"/>
  <c r="AM499" i="7"/>
  <c r="CB499" i="7"/>
  <c r="CW499" i="7" s="1"/>
  <c r="CL495" i="7"/>
  <c r="DG495" i="7" s="1"/>
  <c r="EM494" i="7"/>
  <c r="DZ491" i="7"/>
  <c r="EA491" i="7"/>
  <c r="DW490" i="7"/>
  <c r="DX490" i="7"/>
  <c r="EB490" i="7"/>
  <c r="EF495" i="7"/>
  <c r="EC495" i="7"/>
  <c r="AY494" i="7"/>
  <c r="AW494" i="7"/>
  <c r="AX494" i="7"/>
  <c r="M495" i="7"/>
  <c r="AW495" i="7" s="1"/>
  <c r="DV495" i="7"/>
  <c r="BB494" i="7"/>
  <c r="AZ494" i="7"/>
  <c r="AU494" i="7"/>
  <c r="BA494" i="7"/>
  <c r="AV494" i="7"/>
  <c r="AT494" i="7"/>
  <c r="DK493" i="7"/>
  <c r="BE492" i="7"/>
  <c r="BD492" i="7"/>
  <c r="BF492" i="7"/>
  <c r="AH493" i="7"/>
  <c r="DM493" i="7"/>
  <c r="DQ493" i="7"/>
  <c r="AF493" i="7"/>
  <c r="AI493" i="7" s="1"/>
  <c r="DO493" i="7"/>
  <c r="DL493" i="7"/>
  <c r="DP493" i="7"/>
  <c r="DJ493" i="7"/>
  <c r="DR493" i="7"/>
  <c r="DR494" i="7" s="1"/>
  <c r="DN493" i="7"/>
  <c r="AG493" i="7"/>
  <c r="G487" i="7"/>
  <c r="BM145" i="7"/>
  <c r="BT499" i="7"/>
  <c r="CO499" i="7" s="1"/>
  <c r="CI498" i="7"/>
  <c r="DD498" i="7" s="1"/>
  <c r="DS497" i="7"/>
  <c r="P497" i="7" s="1"/>
  <c r="BV497" i="7"/>
  <c r="CQ497" i="7" s="1"/>
  <c r="CA491" i="7"/>
  <c r="CV491" i="7" s="1"/>
  <c r="BO489" i="7"/>
  <c r="CG492" i="7"/>
  <c r="DB492" i="7" s="1"/>
  <c r="BZ493" i="7"/>
  <c r="CU493" i="7" s="1"/>
  <c r="CD495" i="7"/>
  <c r="CY495" i="7" s="1"/>
  <c r="DI489" i="7"/>
  <c r="BP489" i="7" s="1"/>
  <c r="BQ488" i="7"/>
  <c r="H488" i="7" s="1"/>
  <c r="CF497" i="7"/>
  <c r="DA497" i="7" s="1"/>
  <c r="CH492" i="7"/>
  <c r="DC492" i="7" s="1"/>
  <c r="BN491" i="7"/>
  <c r="BS496" i="7"/>
  <c r="CN496" i="7" s="1"/>
  <c r="AH494" i="7"/>
  <c r="AG494" i="7"/>
  <c r="AF494" i="7"/>
  <c r="AI494" i="7" s="1"/>
  <c r="BU507" i="7"/>
  <c r="CP507" i="7" s="1"/>
  <c r="CE500" i="7"/>
  <c r="CZ500" i="7" s="1"/>
  <c r="EO499" i="7" l="1"/>
  <c r="CK498" i="7"/>
  <c r="DF498" i="7" s="1"/>
  <c r="AM500" i="7"/>
  <c r="AN497" i="7"/>
  <c r="EN493" i="7"/>
  <c r="AO492" i="7"/>
  <c r="CB500" i="7"/>
  <c r="CW500" i="7" s="1"/>
  <c r="CL496" i="7"/>
  <c r="DG496" i="7" s="1"/>
  <c r="EM495" i="7"/>
  <c r="DX491" i="7"/>
  <c r="EB491" i="7"/>
  <c r="DW491" i="7"/>
  <c r="DZ492" i="7"/>
  <c r="EA492" i="7"/>
  <c r="EF496" i="7"/>
  <c r="EC496" i="7"/>
  <c r="DM494" i="7"/>
  <c r="N146" i="7"/>
  <c r="D135" i="32"/>
  <c r="AV495" i="7"/>
  <c r="AU495" i="7"/>
  <c r="AT495" i="7"/>
  <c r="BC495" i="7"/>
  <c r="AX495" i="7"/>
  <c r="AZ495" i="7"/>
  <c r="BA495" i="7"/>
  <c r="AY495" i="7"/>
  <c r="BB495" i="7"/>
  <c r="M496" i="7"/>
  <c r="AY496" i="7" s="1"/>
  <c r="DV496" i="7"/>
  <c r="DK494" i="7"/>
  <c r="BD493" i="7"/>
  <c r="DJ494" i="7"/>
  <c r="BF493" i="7"/>
  <c r="BE493" i="7"/>
  <c r="DO494" i="7"/>
  <c r="DL494" i="7"/>
  <c r="DP494" i="7"/>
  <c r="DQ494" i="7"/>
  <c r="DN494" i="7"/>
  <c r="G488" i="7"/>
  <c r="B145" i="7"/>
  <c r="BV498" i="7"/>
  <c r="CQ498" i="7" s="1"/>
  <c r="DS498" i="7"/>
  <c r="P498" i="7" s="1"/>
  <c r="CI499" i="7"/>
  <c r="DD499" i="7" s="1"/>
  <c r="BT500" i="7"/>
  <c r="CO500" i="7" s="1"/>
  <c r="CA492" i="7"/>
  <c r="CV492" i="7" s="1"/>
  <c r="BO490" i="7"/>
  <c r="CG493" i="7"/>
  <c r="DB493" i="7" s="1"/>
  <c r="BZ494" i="7"/>
  <c r="CU494" i="7" s="1"/>
  <c r="CD496" i="7"/>
  <c r="CY496" i="7" s="1"/>
  <c r="CF498" i="7"/>
  <c r="DA498" i="7" s="1"/>
  <c r="CH493" i="7"/>
  <c r="DC493" i="7" s="1"/>
  <c r="BN492" i="7"/>
  <c r="BQ489" i="7"/>
  <c r="H489" i="7" s="1"/>
  <c r="DI490" i="7"/>
  <c r="BP490" i="7" s="1"/>
  <c r="BS497" i="7"/>
  <c r="CN497" i="7" s="1"/>
  <c r="BU508" i="7"/>
  <c r="CP508" i="7" s="1"/>
  <c r="CE501" i="7"/>
  <c r="CZ501" i="7" s="1"/>
  <c r="EN494" i="7" l="1"/>
  <c r="AO493" i="7"/>
  <c r="CK499" i="7"/>
  <c r="DF499" i="7" s="1"/>
  <c r="EO500" i="7"/>
  <c r="AN498" i="7"/>
  <c r="AM501" i="7"/>
  <c r="CB501" i="7"/>
  <c r="CW501" i="7" s="1"/>
  <c r="F135" i="32"/>
  <c r="G135" i="32" s="1"/>
  <c r="P135" i="32" s="1"/>
  <c r="Q135" i="32" s="1"/>
  <c r="AQ146" i="7"/>
  <c r="BH146" i="7" s="1"/>
  <c r="AR146" i="7"/>
  <c r="BI146" i="7" s="1"/>
  <c r="AP146" i="7"/>
  <c r="BG146" i="7" s="1"/>
  <c r="CL497" i="7"/>
  <c r="DG497" i="7" s="1"/>
  <c r="EM496" i="7"/>
  <c r="EF497" i="7"/>
  <c r="EC497" i="7"/>
  <c r="DZ493" i="7"/>
  <c r="EA493" i="7"/>
  <c r="EB492" i="7"/>
  <c r="DW492" i="7"/>
  <c r="DX492" i="7"/>
  <c r="AL146" i="7"/>
  <c r="E146" i="7" s="1"/>
  <c r="AK146" i="7"/>
  <c r="D146" i="7" s="1"/>
  <c r="AJ146" i="7"/>
  <c r="C146" i="7" s="1"/>
  <c r="AV496" i="7"/>
  <c r="AU496" i="7"/>
  <c r="AW496" i="7"/>
  <c r="BA496" i="7"/>
  <c r="AZ496" i="7"/>
  <c r="DK495" i="7"/>
  <c r="BB496" i="7"/>
  <c r="BC496" i="7"/>
  <c r="AX496" i="7"/>
  <c r="AT496" i="7"/>
  <c r="M497" i="7"/>
  <c r="AW497" i="7" s="1"/>
  <c r="DV497" i="7"/>
  <c r="BE494" i="7"/>
  <c r="BD494" i="7"/>
  <c r="BF494" i="7"/>
  <c r="DQ495" i="7"/>
  <c r="AF495" i="7"/>
  <c r="AI495" i="7" s="1"/>
  <c r="DN495" i="7"/>
  <c r="DO495" i="7"/>
  <c r="AG495" i="7"/>
  <c r="DJ495" i="7"/>
  <c r="DP495" i="7"/>
  <c r="DL495" i="7"/>
  <c r="DR495" i="7"/>
  <c r="AH495" i="7"/>
  <c r="DM495" i="7"/>
  <c r="G489" i="7"/>
  <c r="CI500" i="7"/>
  <c r="DD500" i="7" s="1"/>
  <c r="DS499" i="7"/>
  <c r="P499" i="7" s="1"/>
  <c r="BT501" i="7"/>
  <c r="CO501" i="7" s="1"/>
  <c r="BV499" i="7"/>
  <c r="CQ499" i="7" s="1"/>
  <c r="BO491" i="7"/>
  <c r="CA493" i="7"/>
  <c r="CV493" i="7" s="1"/>
  <c r="CG494" i="7"/>
  <c r="DB494" i="7" s="1"/>
  <c r="BZ495" i="7"/>
  <c r="CU495" i="7" s="1"/>
  <c r="CD497" i="7"/>
  <c r="CY497" i="7" s="1"/>
  <c r="DI491" i="7"/>
  <c r="BP491" i="7" s="1"/>
  <c r="BQ490" i="7"/>
  <c r="H490" i="7" s="1"/>
  <c r="BN493" i="7"/>
  <c r="CH494" i="7"/>
  <c r="DC494" i="7" s="1"/>
  <c r="CF499" i="7"/>
  <c r="DA499" i="7" s="1"/>
  <c r="BS498" i="7"/>
  <c r="CN498" i="7" s="1"/>
  <c r="BU509" i="7"/>
  <c r="CP509" i="7" s="1"/>
  <c r="CE502" i="7"/>
  <c r="CZ502" i="7" s="1"/>
  <c r="EO501" i="7" l="1"/>
  <c r="AN499" i="7"/>
  <c r="AO494" i="7"/>
  <c r="AM502" i="7"/>
  <c r="EN495" i="7"/>
  <c r="CK500" i="7"/>
  <c r="DF500" i="7" s="1"/>
  <c r="CB502" i="7"/>
  <c r="CW502" i="7" s="1"/>
  <c r="CL498" i="7"/>
  <c r="DG498" i="7" s="1"/>
  <c r="EM497" i="7"/>
  <c r="EB493" i="7"/>
  <c r="DW493" i="7"/>
  <c r="DX493" i="7"/>
  <c r="EA494" i="7"/>
  <c r="DZ494" i="7"/>
  <c r="EF498" i="7"/>
  <c r="EC498" i="7"/>
  <c r="AZ497" i="7"/>
  <c r="DK496" i="7"/>
  <c r="AX497" i="7"/>
  <c r="AY497" i="7"/>
  <c r="BA497" i="7"/>
  <c r="AU497" i="7"/>
  <c r="M498" i="7"/>
  <c r="BC498" i="7" s="1"/>
  <c r="DV498" i="7"/>
  <c r="AV497" i="7"/>
  <c r="AT497" i="7"/>
  <c r="BC497" i="7"/>
  <c r="BB497" i="7"/>
  <c r="BE495" i="7"/>
  <c r="BF495" i="7"/>
  <c r="DP496" i="7"/>
  <c r="AF496" i="7"/>
  <c r="AI496" i="7" s="1"/>
  <c r="DN496" i="7"/>
  <c r="BD495" i="7"/>
  <c r="AH496" i="7"/>
  <c r="AG496" i="7"/>
  <c r="DO496" i="7"/>
  <c r="DQ496" i="7"/>
  <c r="DL496" i="7"/>
  <c r="DM496" i="7"/>
  <c r="DJ496" i="7"/>
  <c r="DR496" i="7"/>
  <c r="G490" i="7"/>
  <c r="BK146" i="7"/>
  <c r="BL146" i="7"/>
  <c r="F146" i="7"/>
  <c r="BJ146" i="7"/>
  <c r="BT502" i="7"/>
  <c r="CO502" i="7" s="1"/>
  <c r="BV500" i="7"/>
  <c r="CQ500" i="7" s="1"/>
  <c r="CI501" i="7"/>
  <c r="DD501" i="7" s="1"/>
  <c r="DS500" i="7"/>
  <c r="P500" i="7" s="1"/>
  <c r="CA494" i="7"/>
  <c r="CV494" i="7" s="1"/>
  <c r="BO492" i="7"/>
  <c r="CG495" i="7"/>
  <c r="DB495" i="7" s="1"/>
  <c r="BZ496" i="7"/>
  <c r="CU496" i="7" s="1"/>
  <c r="CD498" i="7"/>
  <c r="CY498" i="7" s="1"/>
  <c r="CF500" i="7"/>
  <c r="DA500" i="7" s="1"/>
  <c r="BN494" i="7"/>
  <c r="CH495" i="7"/>
  <c r="DC495" i="7" s="1"/>
  <c r="DI492" i="7"/>
  <c r="BP492" i="7" s="1"/>
  <c r="BQ491" i="7"/>
  <c r="H491" i="7" s="1"/>
  <c r="AF497" i="7"/>
  <c r="AI497" i="7" s="1"/>
  <c r="AH497" i="7"/>
  <c r="BS499" i="7"/>
  <c r="CN499" i="7" s="1"/>
  <c r="CE503" i="7"/>
  <c r="CZ503" i="7" s="1"/>
  <c r="AM503" i="7" l="1"/>
  <c r="AN500" i="7"/>
  <c r="CK501" i="7"/>
  <c r="DF501" i="7" s="1"/>
  <c r="AO495" i="7"/>
  <c r="EO502" i="7"/>
  <c r="EN496" i="7"/>
  <c r="CB503" i="7"/>
  <c r="CW503" i="7" s="1"/>
  <c r="CL499" i="7"/>
  <c r="DG499" i="7" s="1"/>
  <c r="EM498" i="7"/>
  <c r="DK497" i="7"/>
  <c r="DP497" i="7"/>
  <c r="DZ495" i="7"/>
  <c r="EA495" i="7"/>
  <c r="EF499" i="7"/>
  <c r="EC499" i="7"/>
  <c r="EB494" i="7"/>
  <c r="DX494" i="7"/>
  <c r="DW494" i="7"/>
  <c r="DN497" i="7"/>
  <c r="BB498" i="7"/>
  <c r="AZ498" i="7"/>
  <c r="AY498" i="7"/>
  <c r="BA498" i="7"/>
  <c r="AU498" i="7"/>
  <c r="DR497" i="7"/>
  <c r="AX498" i="7"/>
  <c r="DJ497" i="7"/>
  <c r="AW498" i="7"/>
  <c r="AV498" i="7"/>
  <c r="M499" i="7"/>
  <c r="AT499" i="7" s="1"/>
  <c r="DV499" i="7"/>
  <c r="AT498" i="7"/>
  <c r="BD496" i="7"/>
  <c r="BF496" i="7"/>
  <c r="BE496" i="7"/>
  <c r="DO497" i="7"/>
  <c r="DL497" i="7"/>
  <c r="DM497" i="7"/>
  <c r="AG497" i="7"/>
  <c r="DQ497" i="7"/>
  <c r="G491" i="7"/>
  <c r="BM146" i="7"/>
  <c r="BV501" i="7"/>
  <c r="CQ501" i="7" s="1"/>
  <c r="CI502" i="7"/>
  <c r="DD502" i="7" s="1"/>
  <c r="DS501" i="7"/>
  <c r="P501" i="7" s="1"/>
  <c r="BT503" i="7"/>
  <c r="CO503" i="7" s="1"/>
  <c r="CA495" i="7"/>
  <c r="CV495" i="7" s="1"/>
  <c r="BO493" i="7"/>
  <c r="CG496" i="7"/>
  <c r="DB496" i="7" s="1"/>
  <c r="BZ497" i="7"/>
  <c r="CU497" i="7" s="1"/>
  <c r="CD499" i="7"/>
  <c r="CY499" i="7" s="1"/>
  <c r="CF501" i="7"/>
  <c r="DA501" i="7" s="1"/>
  <c r="BQ492" i="7"/>
  <c r="H492" i="7" s="1"/>
  <c r="DI493" i="7"/>
  <c r="BP493" i="7" s="1"/>
  <c r="BN495" i="7"/>
  <c r="CH496" i="7"/>
  <c r="DC496" i="7" s="1"/>
  <c r="BF497" i="7"/>
  <c r="BS500" i="7"/>
  <c r="CN500" i="7" s="1"/>
  <c r="CE504" i="7"/>
  <c r="CZ504" i="7" s="1"/>
  <c r="EN497" i="7" l="1"/>
  <c r="EO503" i="7"/>
  <c r="AO496" i="7"/>
  <c r="AN501" i="7"/>
  <c r="AM504" i="7"/>
  <c r="CK502" i="7"/>
  <c r="DF502" i="7" s="1"/>
  <c r="CB504" i="7"/>
  <c r="CW504" i="7" s="1"/>
  <c r="CL500" i="7"/>
  <c r="DG500" i="7" s="1"/>
  <c r="EM499" i="7"/>
  <c r="DZ496" i="7"/>
  <c r="EA496" i="7"/>
  <c r="EB495" i="7"/>
  <c r="DX495" i="7"/>
  <c r="DW495" i="7"/>
  <c r="EC500" i="7"/>
  <c r="EF500" i="7"/>
  <c r="N147" i="7"/>
  <c r="D136" i="32"/>
  <c r="AU499" i="7"/>
  <c r="AV499" i="7"/>
  <c r="BA499" i="7"/>
  <c r="AY499" i="7"/>
  <c r="BB499" i="7"/>
  <c r="AW499" i="7"/>
  <c r="BC499" i="7"/>
  <c r="AX499" i="7"/>
  <c r="DK498" i="7"/>
  <c r="AZ499" i="7"/>
  <c r="M500" i="7"/>
  <c r="BC500" i="7" s="1"/>
  <c r="DV500" i="7"/>
  <c r="BD497" i="7"/>
  <c r="DN498" i="7"/>
  <c r="DO498" i="7"/>
  <c r="AH498" i="7"/>
  <c r="DR498" i="7"/>
  <c r="DL498" i="7"/>
  <c r="AF498" i="7"/>
  <c r="AI498" i="7" s="1"/>
  <c r="DQ498" i="7"/>
  <c r="DP498" i="7"/>
  <c r="AG498" i="7"/>
  <c r="DJ498" i="7"/>
  <c r="DM498" i="7"/>
  <c r="BE497" i="7"/>
  <c r="G492" i="7"/>
  <c r="B146" i="7"/>
  <c r="DS502" i="7"/>
  <c r="P502" i="7" s="1"/>
  <c r="CI503" i="7"/>
  <c r="DD503" i="7" s="1"/>
  <c r="BT504" i="7"/>
  <c r="CO504" i="7" s="1"/>
  <c r="BV502" i="7"/>
  <c r="CQ502" i="7" s="1"/>
  <c r="BO494" i="7"/>
  <c r="CA496" i="7"/>
  <c r="CV496" i="7" s="1"/>
  <c r="CG497" i="7"/>
  <c r="DB497" i="7" s="1"/>
  <c r="BZ498" i="7"/>
  <c r="CU498" i="7" s="1"/>
  <c r="CD500" i="7"/>
  <c r="CY500" i="7" s="1"/>
  <c r="CF502" i="7"/>
  <c r="DA502" i="7" s="1"/>
  <c r="BN496" i="7"/>
  <c r="CH497" i="7"/>
  <c r="DC497" i="7" s="1"/>
  <c r="DI494" i="7"/>
  <c r="BP494" i="7" s="1"/>
  <c r="BQ493" i="7"/>
  <c r="H493" i="7" s="1"/>
  <c r="AF499" i="7"/>
  <c r="AI499" i="7" s="1"/>
  <c r="BS501" i="7"/>
  <c r="CN501" i="7" s="1"/>
  <c r="CE505" i="7"/>
  <c r="CZ505" i="7" s="1"/>
  <c r="AM505" i="7" l="1"/>
  <c r="EN498" i="7"/>
  <c r="CK503" i="7"/>
  <c r="DF503" i="7" s="1"/>
  <c r="AO497" i="7"/>
  <c r="EO504" i="7"/>
  <c r="AN502" i="7"/>
  <c r="CB505" i="7"/>
  <c r="CW505" i="7" s="1"/>
  <c r="F136" i="32"/>
  <c r="G136" i="32" s="1"/>
  <c r="P136" i="32" s="1"/>
  <c r="Q136" i="32" s="1"/>
  <c r="AR147" i="7"/>
  <c r="BI147" i="7" s="1"/>
  <c r="AP147" i="7"/>
  <c r="BG147" i="7" s="1"/>
  <c r="AQ147" i="7"/>
  <c r="BH147" i="7" s="1"/>
  <c r="CL501" i="7"/>
  <c r="DG501" i="7" s="1"/>
  <c r="EM500" i="7"/>
  <c r="AL147" i="7"/>
  <c r="E147" i="7" s="1"/>
  <c r="DZ497" i="7"/>
  <c r="EA497" i="7"/>
  <c r="DX496" i="7"/>
  <c r="EB496" i="7"/>
  <c r="DW496" i="7"/>
  <c r="EF501" i="7"/>
  <c r="EC501" i="7"/>
  <c r="DQ499" i="7"/>
  <c r="DK499" i="7"/>
  <c r="AK147" i="7"/>
  <c r="D147" i="7" s="1"/>
  <c r="AJ147" i="7"/>
  <c r="C147" i="7" s="1"/>
  <c r="AZ500" i="7"/>
  <c r="AT500" i="7"/>
  <c r="BA500" i="7"/>
  <c r="AY500" i="7"/>
  <c r="AX500" i="7"/>
  <c r="AU500" i="7"/>
  <c r="M501" i="7"/>
  <c r="AX501" i="7" s="1"/>
  <c r="DV501" i="7"/>
  <c r="AW500" i="7"/>
  <c r="AV500" i="7"/>
  <c r="BB500" i="7"/>
  <c r="BE498" i="7"/>
  <c r="BF498" i="7"/>
  <c r="BD498" i="7"/>
  <c r="AG499" i="7"/>
  <c r="DM499" i="7"/>
  <c r="DJ499" i="7"/>
  <c r="DO499" i="7"/>
  <c r="AH499" i="7"/>
  <c r="DN499" i="7"/>
  <c r="DR499" i="7"/>
  <c r="DP499" i="7"/>
  <c r="DL499" i="7"/>
  <c r="G493" i="7"/>
  <c r="BT505" i="7"/>
  <c r="CO505" i="7" s="1"/>
  <c r="BV503" i="7"/>
  <c r="CQ503" i="7" s="1"/>
  <c r="CI504" i="7"/>
  <c r="DD504" i="7" s="1"/>
  <c r="DS503" i="7"/>
  <c r="P503" i="7" s="1"/>
  <c r="CA497" i="7"/>
  <c r="CV497" i="7" s="1"/>
  <c r="BO495" i="7"/>
  <c r="CG498" i="7"/>
  <c r="DB498" i="7" s="1"/>
  <c r="BZ499" i="7"/>
  <c r="CU499" i="7" s="1"/>
  <c r="CD501" i="7"/>
  <c r="CY501" i="7" s="1"/>
  <c r="CH498" i="7"/>
  <c r="DC498" i="7" s="1"/>
  <c r="BN497" i="7"/>
  <c r="CF503" i="7"/>
  <c r="DA503" i="7" s="1"/>
  <c r="DI495" i="7"/>
  <c r="BP495" i="7" s="1"/>
  <c r="BQ494" i="7"/>
  <c r="H494" i="7" s="1"/>
  <c r="BS502" i="7"/>
  <c r="CN502" i="7" s="1"/>
  <c r="CE506" i="7"/>
  <c r="CZ506" i="7" s="1"/>
  <c r="AM506" i="7" l="1"/>
  <c r="AN503" i="7"/>
  <c r="EN499" i="7"/>
  <c r="AO498" i="7"/>
  <c r="EO505" i="7"/>
  <c r="CK504" i="7"/>
  <c r="DF504" i="7" s="1"/>
  <c r="CB506" i="7"/>
  <c r="CW506" i="7" s="1"/>
  <c r="CL502" i="7"/>
  <c r="DG502" i="7" s="1"/>
  <c r="EM501" i="7"/>
  <c r="EF502" i="7"/>
  <c r="EC502" i="7"/>
  <c r="DZ498" i="7"/>
  <c r="EA498" i="7"/>
  <c r="EB497" i="7"/>
  <c r="DW497" i="7"/>
  <c r="DX497" i="7"/>
  <c r="AV501" i="7"/>
  <c r="AT501" i="7"/>
  <c r="BC501" i="7"/>
  <c r="BA501" i="7"/>
  <c r="AZ501" i="7"/>
  <c r="M502" i="7"/>
  <c r="BC502" i="7" s="1"/>
  <c r="DV502" i="7"/>
  <c r="AU501" i="7"/>
  <c r="BB501" i="7"/>
  <c r="AW501" i="7"/>
  <c r="AY501" i="7"/>
  <c r="BD499" i="7"/>
  <c r="DO500" i="7"/>
  <c r="BE499" i="7"/>
  <c r="DM500" i="7"/>
  <c r="DL500" i="7"/>
  <c r="DN500" i="7"/>
  <c r="DQ500" i="7"/>
  <c r="AG500" i="7"/>
  <c r="DK500" i="7"/>
  <c r="DJ500" i="7"/>
  <c r="AH500" i="7"/>
  <c r="AF500" i="7"/>
  <c r="AI500" i="7" s="1"/>
  <c r="DR500" i="7"/>
  <c r="DP500" i="7"/>
  <c r="BF499" i="7"/>
  <c r="G494" i="7"/>
  <c r="BJ147" i="7"/>
  <c r="F147" i="7"/>
  <c r="BL147" i="7"/>
  <c r="BK147" i="7"/>
  <c r="BV504" i="7"/>
  <c r="CQ504" i="7" s="1"/>
  <c r="BT506" i="7"/>
  <c r="CO506" i="7" s="1"/>
  <c r="DS504" i="7"/>
  <c r="P504" i="7" s="1"/>
  <c r="CI505" i="7"/>
  <c r="DD505" i="7" s="1"/>
  <c r="BO496" i="7"/>
  <c r="CA498" i="7"/>
  <c r="CV498" i="7" s="1"/>
  <c r="CG499" i="7"/>
  <c r="DB499" i="7" s="1"/>
  <c r="BZ500" i="7"/>
  <c r="CU500" i="7" s="1"/>
  <c r="CD502" i="7"/>
  <c r="CY502" i="7" s="1"/>
  <c r="CF504" i="7"/>
  <c r="DA504" i="7" s="1"/>
  <c r="DI496" i="7"/>
  <c r="BP496" i="7" s="1"/>
  <c r="BQ495" i="7"/>
  <c r="H495" i="7" s="1"/>
  <c r="CH499" i="7"/>
  <c r="DC499" i="7" s="1"/>
  <c r="BN498" i="7"/>
  <c r="AG501" i="7"/>
  <c r="BS503" i="7"/>
  <c r="CN503" i="7" s="1"/>
  <c r="CE507" i="7"/>
  <c r="CZ507" i="7" s="1"/>
  <c r="AN504" i="7" l="1"/>
  <c r="EO506" i="7"/>
  <c r="CK505" i="7"/>
  <c r="DF505" i="7" s="1"/>
  <c r="AM507" i="7"/>
  <c r="AO499" i="7"/>
  <c r="EN500" i="7"/>
  <c r="CB507" i="7"/>
  <c r="CW507" i="7" s="1"/>
  <c r="CL503" i="7"/>
  <c r="DG503" i="7" s="1"/>
  <c r="EM502" i="7"/>
  <c r="EF503" i="7"/>
  <c r="EC503" i="7"/>
  <c r="DZ499" i="7"/>
  <c r="EA499" i="7"/>
  <c r="EB498" i="7"/>
  <c r="DX498" i="7"/>
  <c r="DW498" i="7"/>
  <c r="AZ502" i="7"/>
  <c r="AX502" i="7"/>
  <c r="AY502" i="7"/>
  <c r="AW502" i="7"/>
  <c r="AT502" i="7"/>
  <c r="AU502" i="7"/>
  <c r="BA502" i="7"/>
  <c r="AV502" i="7"/>
  <c r="BB502" i="7"/>
  <c r="M503" i="7"/>
  <c r="AT503" i="7" s="1"/>
  <c r="DV503" i="7"/>
  <c r="DJ501" i="7"/>
  <c r="DQ501" i="7"/>
  <c r="DP501" i="7"/>
  <c r="DM501" i="7"/>
  <c r="BE500" i="7"/>
  <c r="DK501" i="7"/>
  <c r="BD500" i="7"/>
  <c r="DR501" i="7"/>
  <c r="BF500" i="7"/>
  <c r="DO501" i="7"/>
  <c r="AH501" i="7"/>
  <c r="DL501" i="7"/>
  <c r="AF501" i="7"/>
  <c r="AI501" i="7" s="1"/>
  <c r="DN501" i="7"/>
  <c r="G495" i="7"/>
  <c r="BM147" i="7"/>
  <c r="BT507" i="7"/>
  <c r="CO507" i="7" s="1"/>
  <c r="DS505" i="7"/>
  <c r="P505" i="7" s="1"/>
  <c r="CI506" i="7"/>
  <c r="DD506" i="7" s="1"/>
  <c r="BV505" i="7"/>
  <c r="CQ505" i="7" s="1"/>
  <c r="CA499" i="7"/>
  <c r="CV499" i="7" s="1"/>
  <c r="BO497" i="7"/>
  <c r="CG500" i="7"/>
  <c r="DB500" i="7" s="1"/>
  <c r="BZ501" i="7"/>
  <c r="CU501" i="7" s="1"/>
  <c r="CD503" i="7"/>
  <c r="CY503" i="7" s="1"/>
  <c r="CF505" i="7"/>
  <c r="DA505" i="7" s="1"/>
  <c r="CH500" i="7"/>
  <c r="DC500" i="7" s="1"/>
  <c r="BN499" i="7"/>
  <c r="DI497" i="7"/>
  <c r="BP497" i="7" s="1"/>
  <c r="BQ496" i="7"/>
  <c r="H496" i="7" s="1"/>
  <c r="BS504" i="7"/>
  <c r="CN504" i="7" s="1"/>
  <c r="AH502" i="7"/>
  <c r="BF501" i="7"/>
  <c r="CE508" i="7"/>
  <c r="CZ508" i="7" s="1"/>
  <c r="AM508" i="7" l="1"/>
  <c r="AN505" i="7"/>
  <c r="EO507" i="7"/>
  <c r="AO500" i="7"/>
  <c r="EN501" i="7"/>
  <c r="CK506" i="7"/>
  <c r="DF506" i="7" s="1"/>
  <c r="CB508" i="7"/>
  <c r="CW508" i="7" s="1"/>
  <c r="CL504" i="7"/>
  <c r="DG504" i="7" s="1"/>
  <c r="EM503" i="7"/>
  <c r="DQ502" i="7"/>
  <c r="EC504" i="7"/>
  <c r="EF504" i="7"/>
  <c r="DZ500" i="7"/>
  <c r="EA500" i="7"/>
  <c r="DW499" i="7"/>
  <c r="EB499" i="7"/>
  <c r="DX499" i="7"/>
  <c r="N148" i="7"/>
  <c r="D137" i="32"/>
  <c r="BC503" i="7"/>
  <c r="BA503" i="7"/>
  <c r="AV503" i="7"/>
  <c r="AZ503" i="7"/>
  <c r="BB503" i="7"/>
  <c r="AW503" i="7"/>
  <c r="M504" i="7"/>
  <c r="AV504" i="7" s="1"/>
  <c r="DV504" i="7"/>
  <c r="AY503" i="7"/>
  <c r="AX503" i="7"/>
  <c r="AU503" i="7"/>
  <c r="DM502" i="7"/>
  <c r="BD501" i="7"/>
  <c r="DP502" i="7"/>
  <c r="DR502" i="7"/>
  <c r="BE501" i="7"/>
  <c r="DO502" i="7"/>
  <c r="AF502" i="7"/>
  <c r="AI502" i="7" s="1"/>
  <c r="AG502" i="7"/>
  <c r="DL502" i="7"/>
  <c r="DK502" i="7"/>
  <c r="DJ502" i="7"/>
  <c r="DN502" i="7"/>
  <c r="G496" i="7"/>
  <c r="B147" i="7"/>
  <c r="BV506" i="7"/>
  <c r="CQ506" i="7" s="1"/>
  <c r="BT508" i="7"/>
  <c r="CO508" i="7" s="1"/>
  <c r="CI507" i="7"/>
  <c r="DD507" i="7" s="1"/>
  <c r="DS506" i="7"/>
  <c r="P506" i="7" s="1"/>
  <c r="BO498" i="7"/>
  <c r="CA500" i="7"/>
  <c r="CV500" i="7" s="1"/>
  <c r="CG501" i="7"/>
  <c r="DB501" i="7" s="1"/>
  <c r="BZ502" i="7"/>
  <c r="CU502" i="7" s="1"/>
  <c r="CD504" i="7"/>
  <c r="CY504" i="7" s="1"/>
  <c r="BN500" i="7"/>
  <c r="CH501" i="7"/>
  <c r="DC501" i="7" s="1"/>
  <c r="BQ497" i="7"/>
  <c r="H497" i="7" s="1"/>
  <c r="DI498" i="7"/>
  <c r="BP498" i="7" s="1"/>
  <c r="CF506" i="7"/>
  <c r="DA506" i="7" s="1"/>
  <c r="AF503" i="7"/>
  <c r="AI503" i="7" s="1"/>
  <c r="BS505" i="7"/>
  <c r="CN505" i="7" s="1"/>
  <c r="CE509" i="7"/>
  <c r="CZ509" i="7" s="1"/>
  <c r="AN506" i="7" l="1"/>
  <c r="EO508" i="7"/>
  <c r="AM509" i="7"/>
  <c r="CK507" i="7"/>
  <c r="DF507" i="7" s="1"/>
  <c r="EN502" i="7"/>
  <c r="AO501" i="7"/>
  <c r="CB509" i="7"/>
  <c r="CW509" i="7" s="1"/>
  <c r="F137" i="32"/>
  <c r="G137" i="32" s="1"/>
  <c r="P137" i="32" s="1"/>
  <c r="Q137" i="32" s="1"/>
  <c r="AP148" i="7"/>
  <c r="BG148" i="7" s="1"/>
  <c r="AQ148" i="7"/>
  <c r="BH148" i="7" s="1"/>
  <c r="AR148" i="7"/>
  <c r="BI148" i="7" s="1"/>
  <c r="CL505" i="7"/>
  <c r="DG505" i="7" s="1"/>
  <c r="EM504" i="7"/>
  <c r="DX500" i="7"/>
  <c r="EB500" i="7"/>
  <c r="DW500" i="7"/>
  <c r="EF505" i="7"/>
  <c r="EC505" i="7"/>
  <c r="DZ501" i="7"/>
  <c r="EA501" i="7"/>
  <c r="AK148" i="7"/>
  <c r="D148" i="7" s="1"/>
  <c r="AJ148" i="7"/>
  <c r="C148" i="7" s="1"/>
  <c r="AL148" i="7"/>
  <c r="E148" i="7" s="1"/>
  <c r="BB504" i="7"/>
  <c r="DJ503" i="7"/>
  <c r="BC504" i="7"/>
  <c r="AW504" i="7"/>
  <c r="AT504" i="7"/>
  <c r="AY504" i="7"/>
  <c r="BA504" i="7"/>
  <c r="AZ504" i="7"/>
  <c r="AU504" i="7"/>
  <c r="M505" i="7"/>
  <c r="AT505" i="7" s="1"/>
  <c r="DV505" i="7"/>
  <c r="AX504" i="7"/>
  <c r="BD502" i="7"/>
  <c r="DK503" i="7"/>
  <c r="BF502" i="7"/>
  <c r="BE502" i="7"/>
  <c r="DO503" i="7"/>
  <c r="AH503" i="7"/>
  <c r="DN503" i="7"/>
  <c r="DM503" i="7"/>
  <c r="DP503" i="7"/>
  <c r="DQ503" i="7"/>
  <c r="DL503" i="7"/>
  <c r="DR503" i="7"/>
  <c r="AG503" i="7"/>
  <c r="G497" i="7"/>
  <c r="BT509" i="7"/>
  <c r="CO509" i="7" s="1"/>
  <c r="DS507" i="7"/>
  <c r="P507" i="7" s="1"/>
  <c r="CI508" i="7"/>
  <c r="DD508" i="7" s="1"/>
  <c r="BV507" i="7"/>
  <c r="CQ507" i="7" s="1"/>
  <c r="BO499" i="7"/>
  <c r="CA501" i="7"/>
  <c r="CV501" i="7" s="1"/>
  <c r="CG502" i="7"/>
  <c r="DB502" i="7" s="1"/>
  <c r="BZ503" i="7"/>
  <c r="CU503" i="7" s="1"/>
  <c r="CD505" i="7"/>
  <c r="CY505" i="7" s="1"/>
  <c r="BQ498" i="7"/>
  <c r="H498" i="7" s="1"/>
  <c r="DI499" i="7"/>
  <c r="BP499" i="7" s="1"/>
  <c r="CH502" i="7"/>
  <c r="DC502" i="7" s="1"/>
  <c r="BN501" i="7"/>
  <c r="CF507" i="7"/>
  <c r="DA507" i="7" s="1"/>
  <c r="BS506" i="7"/>
  <c r="CN506" i="7" s="1"/>
  <c r="AF504" i="7"/>
  <c r="AI504" i="7" s="1"/>
  <c r="AH504" i="7"/>
  <c r="AG504" i="7"/>
  <c r="EN503" i="7" l="1"/>
  <c r="CK508" i="7"/>
  <c r="DF508" i="7" s="1"/>
  <c r="AO502" i="7"/>
  <c r="AN507" i="7"/>
  <c r="CL506" i="7"/>
  <c r="DG506" i="7" s="1"/>
  <c r="EM505" i="7"/>
  <c r="DJ504" i="7"/>
  <c r="DQ504" i="7"/>
  <c r="EF506" i="7"/>
  <c r="EC506" i="7"/>
  <c r="DX501" i="7"/>
  <c r="EB501" i="7"/>
  <c r="DW501" i="7"/>
  <c r="EO509" i="7"/>
  <c r="DZ502" i="7"/>
  <c r="EA502" i="7"/>
  <c r="AY505" i="7"/>
  <c r="BB505" i="7"/>
  <c r="AZ505" i="7"/>
  <c r="BA505" i="7"/>
  <c r="DR504" i="7"/>
  <c r="BC505" i="7"/>
  <c r="AW505" i="7"/>
  <c r="AU505" i="7"/>
  <c r="AX505" i="7"/>
  <c r="M506" i="7"/>
  <c r="AY506" i="7" s="1"/>
  <c r="DV506" i="7"/>
  <c r="AV505" i="7"/>
  <c r="DO504" i="7"/>
  <c r="DP504" i="7"/>
  <c r="DM504" i="7"/>
  <c r="BD503" i="7"/>
  <c r="DN504" i="7"/>
  <c r="BF503" i="7"/>
  <c r="BE503" i="7"/>
  <c r="DL504" i="7"/>
  <c r="DK504" i="7"/>
  <c r="G498" i="7"/>
  <c r="BK148" i="7"/>
  <c r="F148" i="7"/>
  <c r="BJ148" i="7"/>
  <c r="BL148" i="7"/>
  <c r="BV508" i="7"/>
  <c r="CQ508" i="7" s="1"/>
  <c r="CI509" i="7"/>
  <c r="DD509" i="7" s="1"/>
  <c r="DS508" i="7"/>
  <c r="P508" i="7" s="1"/>
  <c r="BO500" i="7"/>
  <c r="CA502" i="7"/>
  <c r="CV502" i="7" s="1"/>
  <c r="CG503" i="7"/>
  <c r="DB503" i="7" s="1"/>
  <c r="BZ504" i="7"/>
  <c r="CU504" i="7" s="1"/>
  <c r="CD506" i="7"/>
  <c r="CY506" i="7" s="1"/>
  <c r="CF508" i="7"/>
  <c r="DA508" i="7" s="1"/>
  <c r="CH503" i="7"/>
  <c r="DC503" i="7" s="1"/>
  <c r="BN502" i="7"/>
  <c r="DI500" i="7"/>
  <c r="BP500" i="7" s="1"/>
  <c r="BQ499" i="7"/>
  <c r="H499" i="7" s="1"/>
  <c r="BS507" i="7"/>
  <c r="CN507" i="7" s="1"/>
  <c r="AN508" i="7" l="1"/>
  <c r="CK509" i="7"/>
  <c r="DF509" i="7" s="1"/>
  <c r="AO503" i="7"/>
  <c r="EN504" i="7"/>
  <c r="CL507" i="7"/>
  <c r="DG507" i="7" s="1"/>
  <c r="EM506" i="7"/>
  <c r="EA503" i="7"/>
  <c r="DZ503" i="7"/>
  <c r="EF507" i="7"/>
  <c r="EC507" i="7"/>
  <c r="EB502" i="7"/>
  <c r="DX502" i="7"/>
  <c r="DW502" i="7"/>
  <c r="AU506" i="7"/>
  <c r="BA506" i="7"/>
  <c r="AZ506" i="7"/>
  <c r="AV506" i="7"/>
  <c r="AW506" i="7"/>
  <c r="BB506" i="7"/>
  <c r="BC506" i="7"/>
  <c r="M507" i="7"/>
  <c r="AW507" i="7" s="1"/>
  <c r="DV507" i="7"/>
  <c r="AT506" i="7"/>
  <c r="AX506" i="7"/>
  <c r="DO505" i="7"/>
  <c r="BD504" i="7"/>
  <c r="BF504" i="7"/>
  <c r="BE504" i="7"/>
  <c r="AF505" i="7"/>
  <c r="AI505" i="7" s="1"/>
  <c r="DM505" i="7"/>
  <c r="DL505" i="7"/>
  <c r="DN505" i="7"/>
  <c r="DQ505" i="7"/>
  <c r="DP505" i="7"/>
  <c r="DK505" i="7"/>
  <c r="DJ505" i="7"/>
  <c r="DR505" i="7"/>
  <c r="AG505" i="7"/>
  <c r="AH505" i="7"/>
  <c r="G499" i="7"/>
  <c r="BM148" i="7"/>
  <c r="N149" i="7" s="1"/>
  <c r="DS509" i="7"/>
  <c r="P509" i="7" s="1"/>
  <c r="BV509" i="7"/>
  <c r="CQ509" i="7" s="1"/>
  <c r="BO501" i="7"/>
  <c r="CA503" i="7"/>
  <c r="CV503" i="7" s="1"/>
  <c r="CG504" i="7"/>
  <c r="DB504" i="7" s="1"/>
  <c r="BZ505" i="7"/>
  <c r="CU505" i="7" s="1"/>
  <c r="CD507" i="7"/>
  <c r="CY507" i="7" s="1"/>
  <c r="BN503" i="7"/>
  <c r="CH504" i="7"/>
  <c r="DC504" i="7" s="1"/>
  <c r="CF509" i="7"/>
  <c r="DA509" i="7" s="1"/>
  <c r="BQ500" i="7"/>
  <c r="H500" i="7" s="1"/>
  <c r="DI501" i="7"/>
  <c r="BP501" i="7" s="1"/>
  <c r="BS508" i="7"/>
  <c r="CN508" i="7" s="1"/>
  <c r="AN509" i="7" l="1"/>
  <c r="EN505" i="7"/>
  <c r="AO504" i="7"/>
  <c r="AP149" i="7"/>
  <c r="BG149" i="7" s="1"/>
  <c r="AQ149" i="7"/>
  <c r="BH149" i="7" s="1"/>
  <c r="AR149" i="7"/>
  <c r="BI149" i="7" s="1"/>
  <c r="CL508" i="7"/>
  <c r="DG508" i="7" s="1"/>
  <c r="EM507" i="7"/>
  <c r="EF508" i="7"/>
  <c r="EC508" i="7"/>
  <c r="EA504" i="7"/>
  <c r="DZ504" i="7"/>
  <c r="EB503" i="7"/>
  <c r="DX503" i="7"/>
  <c r="DW503" i="7"/>
  <c r="AY507" i="7"/>
  <c r="AU507" i="7"/>
  <c r="AX507" i="7"/>
  <c r="AT507" i="7"/>
  <c r="BC507" i="7"/>
  <c r="AV507" i="7"/>
  <c r="BA507" i="7"/>
  <c r="M508" i="7"/>
  <c r="AU508" i="7" s="1"/>
  <c r="DV508" i="7"/>
  <c r="AZ507" i="7"/>
  <c r="BB507" i="7"/>
  <c r="BF505" i="7"/>
  <c r="BE505" i="7"/>
  <c r="BD505" i="7"/>
  <c r="DK506" i="7"/>
  <c r="DJ506" i="7"/>
  <c r="AF506" i="7"/>
  <c r="AI506" i="7" s="1"/>
  <c r="DO506" i="7"/>
  <c r="DP506" i="7"/>
  <c r="DM506" i="7"/>
  <c r="DL506" i="7"/>
  <c r="DQ506" i="7"/>
  <c r="AG506" i="7"/>
  <c r="AH506" i="7"/>
  <c r="DR506" i="7"/>
  <c r="DN506" i="7"/>
  <c r="AL149" i="7"/>
  <c r="E149" i="7" s="1"/>
  <c r="AJ149" i="7"/>
  <c r="C149" i="7" s="1"/>
  <c r="AK149" i="7"/>
  <c r="D149" i="7" s="1"/>
  <c r="G500" i="7"/>
  <c r="B148" i="7"/>
  <c r="BO502" i="7"/>
  <c r="CA504" i="7"/>
  <c r="CV504" i="7" s="1"/>
  <c r="CG505" i="7"/>
  <c r="DB505" i="7" s="1"/>
  <c r="BZ506" i="7"/>
  <c r="CU506" i="7" s="1"/>
  <c r="CD508" i="7"/>
  <c r="CY508" i="7" s="1"/>
  <c r="CH505" i="7"/>
  <c r="DC505" i="7" s="1"/>
  <c r="BN504" i="7"/>
  <c r="BQ501" i="7"/>
  <c r="H501" i="7" s="1"/>
  <c r="DI502" i="7"/>
  <c r="BP502" i="7" s="1"/>
  <c r="BS509" i="7"/>
  <c r="CN509" i="7" s="1"/>
  <c r="AO505" i="7" l="1"/>
  <c r="EN506" i="7"/>
  <c r="CL509" i="7"/>
  <c r="EM508" i="7"/>
  <c r="EF509" i="7"/>
  <c r="EC509" i="7"/>
  <c r="EA505" i="7"/>
  <c r="DZ505" i="7"/>
  <c r="EB504" i="7"/>
  <c r="DX504" i="7"/>
  <c r="DW504" i="7"/>
  <c r="AX508" i="7"/>
  <c r="AV508" i="7"/>
  <c r="M509" i="7"/>
  <c r="AW509" i="7" s="1"/>
  <c r="DV509" i="7"/>
  <c r="BB508" i="7"/>
  <c r="BC508" i="7"/>
  <c r="AW508" i="7"/>
  <c r="AT508" i="7"/>
  <c r="AY508" i="7"/>
  <c r="BA508" i="7"/>
  <c r="AZ508" i="7"/>
  <c r="BE506" i="7"/>
  <c r="BD506" i="7"/>
  <c r="DL507" i="7"/>
  <c r="BF506" i="7"/>
  <c r="AF507" i="7"/>
  <c r="AI507" i="7" s="1"/>
  <c r="DM507" i="7"/>
  <c r="DN507" i="7"/>
  <c r="AH507" i="7"/>
  <c r="AG507" i="7"/>
  <c r="DK507" i="7"/>
  <c r="DP507" i="7"/>
  <c r="DO507" i="7"/>
  <c r="DJ507" i="7"/>
  <c r="DR507" i="7"/>
  <c r="DQ507" i="7"/>
  <c r="G501" i="7"/>
  <c r="CA505" i="7"/>
  <c r="CV505" i="7" s="1"/>
  <c r="BO503" i="7"/>
  <c r="CG506" i="7"/>
  <c r="DB506" i="7" s="1"/>
  <c r="BZ507" i="7"/>
  <c r="CU507" i="7" s="1"/>
  <c r="CD509" i="7"/>
  <c r="CY509" i="7" s="1"/>
  <c r="DI503" i="7"/>
  <c r="BP503" i="7" s="1"/>
  <c r="BQ502" i="7"/>
  <c r="H502" i="7" s="1"/>
  <c r="CH506" i="7"/>
  <c r="DC506" i="7" s="1"/>
  <c r="BN505" i="7"/>
  <c r="EM509" i="7" l="1"/>
  <c r="DG509" i="7"/>
  <c r="AO506" i="7"/>
  <c r="EN507" i="7"/>
  <c r="DZ506" i="7"/>
  <c r="EA506" i="7"/>
  <c r="DW505" i="7"/>
  <c r="DX505" i="7"/>
  <c r="EB505" i="7"/>
  <c r="AZ509" i="7"/>
  <c r="AV509" i="7"/>
  <c r="AY509" i="7"/>
  <c r="BA509" i="7"/>
  <c r="BB509" i="7"/>
  <c r="BC509" i="7"/>
  <c r="AX509" i="7"/>
  <c r="AU509" i="7"/>
  <c r="AT509" i="7"/>
  <c r="DK508" i="7"/>
  <c r="BD507" i="7"/>
  <c r="DN508" i="7"/>
  <c r="DQ508" i="7"/>
  <c r="DR508" i="7"/>
  <c r="BF507" i="7"/>
  <c r="DL508" i="7"/>
  <c r="DJ508" i="7"/>
  <c r="AG508" i="7"/>
  <c r="AF508" i="7"/>
  <c r="AI508" i="7" s="1"/>
  <c r="DO508" i="7"/>
  <c r="DM508" i="7"/>
  <c r="AH508" i="7"/>
  <c r="DP508" i="7"/>
  <c r="BE507" i="7"/>
  <c r="G502" i="7"/>
  <c r="F149" i="7"/>
  <c r="BJ149" i="7"/>
  <c r="BL149" i="7"/>
  <c r="BK149" i="7"/>
  <c r="BO504" i="7"/>
  <c r="CA506" i="7"/>
  <c r="CV506" i="7" s="1"/>
  <c r="CG507" i="7"/>
  <c r="DB507" i="7" s="1"/>
  <c r="BZ508" i="7"/>
  <c r="CU508" i="7" s="1"/>
  <c r="DI504" i="7"/>
  <c r="BP504" i="7" s="1"/>
  <c r="BQ503" i="7"/>
  <c r="H503" i="7" s="1"/>
  <c r="BN506" i="7"/>
  <c r="CH507" i="7"/>
  <c r="DC507" i="7" s="1"/>
  <c r="EN508" i="7" l="1"/>
  <c r="AO507" i="7"/>
  <c r="DZ507" i="7"/>
  <c r="EA507" i="7"/>
  <c r="EB506" i="7"/>
  <c r="DW506" i="7"/>
  <c r="DX506" i="7"/>
  <c r="BF508" i="7"/>
  <c r="DO509" i="7"/>
  <c r="BE508" i="7"/>
  <c r="BD508" i="7"/>
  <c r="DQ509" i="7"/>
  <c r="DL509" i="7"/>
  <c r="AH509" i="7"/>
  <c r="DN509" i="7"/>
  <c r="DM509" i="7"/>
  <c r="DP509" i="7"/>
  <c r="DJ509" i="7"/>
  <c r="AF509" i="7"/>
  <c r="AI509" i="7" s="1"/>
  <c r="DR509" i="7"/>
  <c r="AG509" i="7"/>
  <c r="DK509" i="7"/>
  <c r="G503" i="7"/>
  <c r="BM149" i="7"/>
  <c r="N150" i="7" s="1"/>
  <c r="CA507" i="7"/>
  <c r="CV507" i="7" s="1"/>
  <c r="BO505" i="7"/>
  <c r="CG508" i="7"/>
  <c r="DB508" i="7" s="1"/>
  <c r="BZ509" i="7"/>
  <c r="CU509" i="7" s="1"/>
  <c r="BN507" i="7"/>
  <c r="CH508" i="7"/>
  <c r="DC508" i="7" s="1"/>
  <c r="BQ504" i="7"/>
  <c r="H504" i="7" s="1"/>
  <c r="DI505" i="7"/>
  <c r="BP505" i="7" s="1"/>
  <c r="AO508" i="7" l="1"/>
  <c r="AQ150" i="7"/>
  <c r="BH150" i="7" s="1"/>
  <c r="AR150" i="7"/>
  <c r="BI150" i="7" s="1"/>
  <c r="AP150" i="7"/>
  <c r="BG150" i="7" s="1"/>
  <c r="EN509" i="7"/>
  <c r="EA508" i="7"/>
  <c r="DZ508" i="7"/>
  <c r="DW507" i="7"/>
  <c r="EB507" i="7"/>
  <c r="DX507" i="7"/>
  <c r="BD509" i="7"/>
  <c r="BF509" i="7"/>
  <c r="BE509" i="7"/>
  <c r="AJ150" i="7"/>
  <c r="C150" i="7" s="1"/>
  <c r="AK150" i="7"/>
  <c r="D150" i="7" s="1"/>
  <c r="AL150" i="7"/>
  <c r="E150" i="7" s="1"/>
  <c r="G504" i="7"/>
  <c r="B149" i="7"/>
  <c r="CA508" i="7"/>
  <c r="CV508" i="7" s="1"/>
  <c r="BO506" i="7"/>
  <c r="CG509" i="7"/>
  <c r="DB509" i="7" s="1"/>
  <c r="CH509" i="7"/>
  <c r="DC509" i="7" s="1"/>
  <c r="BN508" i="7"/>
  <c r="BQ505" i="7"/>
  <c r="H505" i="7" s="1"/>
  <c r="DI506" i="7"/>
  <c r="BP506" i="7" s="1"/>
  <c r="AO509" i="7" l="1"/>
  <c r="DZ509" i="7"/>
  <c r="EA509" i="7"/>
  <c r="EB508" i="7"/>
  <c r="DX508" i="7"/>
  <c r="DW508" i="7"/>
  <c r="G505" i="7"/>
  <c r="BO507" i="7"/>
  <c r="CA509" i="7"/>
  <c r="CV509" i="7" s="1"/>
  <c r="DI507" i="7"/>
  <c r="BP507" i="7" s="1"/>
  <c r="BQ506" i="7"/>
  <c r="H506" i="7" s="1"/>
  <c r="BN509" i="7"/>
  <c r="EB509" i="7" l="1"/>
  <c r="DW509" i="7"/>
  <c r="DX509" i="7"/>
  <c r="BO508" i="7"/>
  <c r="G506" i="7"/>
  <c r="BK150" i="7"/>
  <c r="BL150" i="7"/>
  <c r="F150" i="7"/>
  <c r="BJ150" i="7"/>
  <c r="DI508" i="7"/>
  <c r="BP508" i="7" s="1"/>
  <c r="BQ507" i="7"/>
  <c r="H507" i="7" s="1"/>
  <c r="G507" i="7" l="1"/>
  <c r="BM150" i="7"/>
  <c r="N151" i="7" s="1"/>
  <c r="BQ508" i="7"/>
  <c r="H508" i="7" s="1"/>
  <c r="DI509" i="7"/>
  <c r="AR151" i="7" l="1"/>
  <c r="BI151" i="7" s="1"/>
  <c r="AP151" i="7"/>
  <c r="BG151" i="7" s="1"/>
  <c r="AQ151" i="7"/>
  <c r="BH151" i="7" s="1"/>
  <c r="AJ151" i="7"/>
  <c r="C151" i="7" s="1"/>
  <c r="AK151" i="7"/>
  <c r="D151" i="7" s="1"/>
  <c r="AL151" i="7"/>
  <c r="E151" i="7" s="1"/>
  <c r="BP509" i="7"/>
  <c r="BQ509" i="7" s="1"/>
  <c r="H509" i="7" s="1"/>
  <c r="G508" i="7"/>
  <c r="B150" i="7"/>
  <c r="G509" i="7" l="1"/>
  <c r="BK151" i="7" l="1"/>
  <c r="F151" i="7"/>
  <c r="BJ151" i="7"/>
  <c r="BL151" i="7"/>
  <c r="BM151" i="7" l="1"/>
  <c r="N152" i="7" s="1"/>
  <c r="AP152" i="7" l="1"/>
  <c r="BG152" i="7" s="1"/>
  <c r="AQ152" i="7"/>
  <c r="BH152" i="7" s="1"/>
  <c r="AR152" i="7"/>
  <c r="BI152" i="7" s="1"/>
  <c r="AK152" i="7"/>
  <c r="D152" i="7" s="1"/>
  <c r="AL152" i="7"/>
  <c r="E152" i="7" s="1"/>
  <c r="AJ152" i="7"/>
  <c r="C152" i="7" s="1"/>
  <c r="B151" i="7"/>
  <c r="BK152" i="7" l="1"/>
  <c r="BL152" i="7"/>
  <c r="F152" i="7"/>
  <c r="BJ152" i="7"/>
  <c r="BM152" i="7" l="1"/>
  <c r="N153" i="7" s="1"/>
  <c r="AP153" i="7" l="1"/>
  <c r="BG153" i="7" s="1"/>
  <c r="AQ153" i="7"/>
  <c r="BH153" i="7" s="1"/>
  <c r="AR153" i="7"/>
  <c r="BI153" i="7" s="1"/>
  <c r="AL153" i="7"/>
  <c r="E153" i="7" s="1"/>
  <c r="AJ153" i="7"/>
  <c r="C153" i="7" s="1"/>
  <c r="AK153" i="7"/>
  <c r="D153" i="7" s="1"/>
  <c r="B152" i="7"/>
  <c r="BJ153" i="7" l="1"/>
  <c r="F153" i="7"/>
  <c r="BL153" i="7"/>
  <c r="BK153" i="7"/>
  <c r="BM153" i="7" l="1"/>
  <c r="N154" i="7" s="1"/>
  <c r="AQ154" i="7" l="1"/>
  <c r="BH154" i="7" s="1"/>
  <c r="AR154" i="7"/>
  <c r="BI154" i="7" s="1"/>
  <c r="AP154" i="7"/>
  <c r="BG154" i="7" s="1"/>
  <c r="AJ154" i="7"/>
  <c r="C154" i="7" s="1"/>
  <c r="AK154" i="7"/>
  <c r="D154" i="7" s="1"/>
  <c r="AL154" i="7"/>
  <c r="E154" i="7" s="1"/>
  <c r="B153" i="7"/>
  <c r="BJ154" i="7" l="1"/>
  <c r="F154" i="7"/>
  <c r="BL154" i="7"/>
  <c r="BK154" i="7"/>
  <c r="BM154" i="7" l="1"/>
  <c r="N155" i="7" s="1"/>
  <c r="AR155" i="7" l="1"/>
  <c r="BI155" i="7" s="1"/>
  <c r="AP155" i="7"/>
  <c r="BG155" i="7" s="1"/>
  <c r="AQ155" i="7"/>
  <c r="BH155" i="7" s="1"/>
  <c r="AJ155" i="7"/>
  <c r="C155" i="7" s="1"/>
  <c r="AK155" i="7"/>
  <c r="D155" i="7" s="1"/>
  <c r="AL155" i="7"/>
  <c r="E155" i="7" s="1"/>
  <c r="B154" i="7"/>
  <c r="BJ155" i="7" l="1"/>
  <c r="F155" i="7"/>
  <c r="BL155" i="7"/>
  <c r="BK155" i="7"/>
  <c r="BM155" i="7" l="1"/>
  <c r="N156" i="7" s="1"/>
  <c r="AP156" i="7" l="1"/>
  <c r="BG156" i="7" s="1"/>
  <c r="AQ156" i="7"/>
  <c r="BH156" i="7" s="1"/>
  <c r="AR156" i="7"/>
  <c r="BI156" i="7" s="1"/>
  <c r="AK156" i="7"/>
  <c r="D156" i="7" s="1"/>
  <c r="AL156" i="7"/>
  <c r="E156" i="7" s="1"/>
  <c r="AJ156" i="7"/>
  <c r="C156" i="7" s="1"/>
  <c r="B155" i="7"/>
  <c r="BK156" i="7" l="1"/>
  <c r="F156" i="7"/>
  <c r="BJ156" i="7"/>
  <c r="BL156" i="7"/>
  <c r="BM156" i="7" l="1"/>
  <c r="N157" i="7" s="1"/>
  <c r="AP157" i="7" l="1"/>
  <c r="BG157" i="7" s="1"/>
  <c r="AQ157" i="7"/>
  <c r="BH157" i="7" s="1"/>
  <c r="AR157" i="7"/>
  <c r="BI157" i="7" s="1"/>
  <c r="AL157" i="7"/>
  <c r="E157" i="7" s="1"/>
  <c r="AJ157" i="7"/>
  <c r="C157" i="7" s="1"/>
  <c r="AK157" i="7"/>
  <c r="D157" i="7" s="1"/>
  <c r="B156" i="7"/>
  <c r="F157" i="7" l="1"/>
  <c r="BJ157" i="7"/>
  <c r="BL157" i="7"/>
  <c r="BK157" i="7"/>
  <c r="BM157" i="7" l="1"/>
  <c r="N158" i="7" s="1"/>
  <c r="AQ158" i="7" l="1"/>
  <c r="BH158" i="7" s="1"/>
  <c r="AR158" i="7"/>
  <c r="BI158" i="7" s="1"/>
  <c r="AP158" i="7"/>
  <c r="BG158" i="7" s="1"/>
  <c r="AJ158" i="7"/>
  <c r="C158" i="7" s="1"/>
  <c r="AK158" i="7"/>
  <c r="D158" i="7" s="1"/>
  <c r="AL158" i="7"/>
  <c r="E158" i="7" s="1"/>
  <c r="B157" i="7"/>
  <c r="BJ158" i="7" l="1"/>
  <c r="F158" i="7"/>
  <c r="BL158" i="7"/>
  <c r="BK158" i="7"/>
  <c r="BM158" i="7" l="1"/>
  <c r="N159" i="7" s="1"/>
  <c r="AR159" i="7" l="1"/>
  <c r="BI159" i="7" s="1"/>
  <c r="AP159" i="7"/>
  <c r="BG159" i="7" s="1"/>
  <c r="AQ159" i="7"/>
  <c r="BH159" i="7" s="1"/>
  <c r="AJ159" i="7"/>
  <c r="C159" i="7" s="1"/>
  <c r="AK159" i="7"/>
  <c r="D159" i="7" s="1"/>
  <c r="AL159" i="7"/>
  <c r="E159" i="7" s="1"/>
  <c r="B158" i="7"/>
  <c r="F159" i="7" l="1"/>
  <c r="BJ159" i="7"/>
  <c r="BL159" i="7"/>
  <c r="BK159" i="7"/>
  <c r="BM159" i="7" l="1"/>
  <c r="N160" i="7" s="1"/>
  <c r="AP160" i="7" l="1"/>
  <c r="BG160" i="7" s="1"/>
  <c r="AQ160" i="7"/>
  <c r="BH160" i="7" s="1"/>
  <c r="AR160" i="7"/>
  <c r="BI160" i="7" s="1"/>
  <c r="AK160" i="7"/>
  <c r="D160" i="7" s="1"/>
  <c r="AL160" i="7"/>
  <c r="E160" i="7" s="1"/>
  <c r="AJ160" i="7"/>
  <c r="C160" i="7" s="1"/>
  <c r="B159" i="7"/>
  <c r="BL160" i="7" l="1"/>
  <c r="BK160" i="7"/>
  <c r="F160" i="7"/>
  <c r="BJ160" i="7"/>
  <c r="BM160" i="7" l="1"/>
  <c r="N161" i="7" s="1"/>
  <c r="AP161" i="7" l="1"/>
  <c r="BG161" i="7" s="1"/>
  <c r="AQ161" i="7"/>
  <c r="BH161" i="7" s="1"/>
  <c r="AR161" i="7"/>
  <c r="BI161" i="7" s="1"/>
  <c r="AL161" i="7"/>
  <c r="E161" i="7" s="1"/>
  <c r="AJ161" i="7"/>
  <c r="C161" i="7" s="1"/>
  <c r="AK161" i="7"/>
  <c r="D161" i="7" s="1"/>
  <c r="B160" i="7"/>
  <c r="BK161" i="7" l="1"/>
  <c r="BJ161" i="7"/>
  <c r="F161" i="7"/>
  <c r="BL161" i="7"/>
  <c r="BM161" i="7" l="1"/>
  <c r="N162" i="7" s="1"/>
  <c r="AQ162" i="7" l="1"/>
  <c r="BH162" i="7" s="1"/>
  <c r="AR162" i="7"/>
  <c r="BI162" i="7" s="1"/>
  <c r="AP162" i="7"/>
  <c r="BG162" i="7" s="1"/>
  <c r="AJ162" i="7"/>
  <c r="C162" i="7" s="1"/>
  <c r="AK162" i="7"/>
  <c r="D162" i="7" s="1"/>
  <c r="AL162" i="7"/>
  <c r="E162" i="7" s="1"/>
  <c r="B161" i="7"/>
  <c r="BJ162" i="7" l="1"/>
  <c r="F162" i="7"/>
  <c r="BL162" i="7"/>
  <c r="BK162" i="7"/>
  <c r="BM162" i="7" l="1"/>
  <c r="N163" i="7" s="1"/>
  <c r="AR163" i="7" l="1"/>
  <c r="BI163" i="7" s="1"/>
  <c r="AP163" i="7"/>
  <c r="BG163" i="7" s="1"/>
  <c r="AQ163" i="7"/>
  <c r="BH163" i="7" s="1"/>
  <c r="AJ163" i="7"/>
  <c r="C163" i="7" s="1"/>
  <c r="AK163" i="7"/>
  <c r="D163" i="7" s="1"/>
  <c r="AL163" i="7"/>
  <c r="E163" i="7" s="1"/>
  <c r="B162" i="7"/>
  <c r="BJ163" i="7" l="1"/>
  <c r="F163" i="7"/>
  <c r="BL163" i="7"/>
  <c r="BK163" i="7"/>
  <c r="BM163" i="7" l="1"/>
  <c r="N164" i="7" s="1"/>
  <c r="AP164" i="7" l="1"/>
  <c r="BG164" i="7" s="1"/>
  <c r="AQ164" i="7"/>
  <c r="BH164" i="7" s="1"/>
  <c r="AR164" i="7"/>
  <c r="BI164" i="7" s="1"/>
  <c r="AK164" i="7"/>
  <c r="D164" i="7" s="1"/>
  <c r="AL164" i="7"/>
  <c r="E164" i="7" s="1"/>
  <c r="AJ164" i="7"/>
  <c r="C164" i="7" s="1"/>
  <c r="B163" i="7"/>
  <c r="BL164" i="7" l="1"/>
  <c r="BK164" i="7"/>
  <c r="F164" i="7"/>
  <c r="BJ164" i="7"/>
  <c r="BM164" i="7" l="1"/>
  <c r="N165" i="7" s="1"/>
  <c r="AP165" i="7" l="1"/>
  <c r="BG165" i="7" s="1"/>
  <c r="AQ165" i="7"/>
  <c r="BH165" i="7" s="1"/>
  <c r="AR165" i="7"/>
  <c r="BI165" i="7" s="1"/>
  <c r="AL165" i="7"/>
  <c r="E165" i="7" s="1"/>
  <c r="AJ165" i="7"/>
  <c r="C165" i="7" s="1"/>
  <c r="AK165" i="7"/>
  <c r="D165" i="7" s="1"/>
  <c r="B164" i="7"/>
  <c r="BJ165" i="7" l="1"/>
  <c r="F165" i="7"/>
  <c r="BL165" i="7"/>
  <c r="BK165" i="7"/>
  <c r="BM165" i="7" l="1"/>
  <c r="N166" i="7" s="1"/>
  <c r="AQ166" i="7" l="1"/>
  <c r="BH166" i="7" s="1"/>
  <c r="AR166" i="7"/>
  <c r="BI166" i="7" s="1"/>
  <c r="AP166" i="7"/>
  <c r="BG166" i="7" s="1"/>
  <c r="AJ166" i="7"/>
  <c r="C166" i="7" s="1"/>
  <c r="AK166" i="7"/>
  <c r="D166" i="7" s="1"/>
  <c r="AL166" i="7"/>
  <c r="E166" i="7" s="1"/>
  <c r="B165" i="7"/>
  <c r="BL166" i="7" l="1"/>
  <c r="F166" i="7"/>
  <c r="BJ166" i="7"/>
  <c r="BK166" i="7"/>
  <c r="BM166" i="7" l="1"/>
  <c r="N167" i="7" s="1"/>
  <c r="AR167" i="7" l="1"/>
  <c r="BI167" i="7" s="1"/>
  <c r="AP167" i="7"/>
  <c r="BG167" i="7" s="1"/>
  <c r="AQ167" i="7"/>
  <c r="BH167" i="7" s="1"/>
  <c r="AJ167" i="7"/>
  <c r="C167" i="7" s="1"/>
  <c r="AK167" i="7"/>
  <c r="D167" i="7" s="1"/>
  <c r="AL167" i="7"/>
  <c r="E167" i="7" s="1"/>
  <c r="B166" i="7"/>
  <c r="BL167" i="7" l="1"/>
  <c r="F167" i="7"/>
  <c r="BJ167" i="7"/>
  <c r="BK167" i="7"/>
  <c r="BM167" i="7" l="1"/>
  <c r="N168" i="7" s="1"/>
  <c r="AP168" i="7" l="1"/>
  <c r="BG168" i="7" s="1"/>
  <c r="AQ168" i="7"/>
  <c r="BH168" i="7" s="1"/>
  <c r="AR168" i="7"/>
  <c r="BI168" i="7" s="1"/>
  <c r="AK168" i="7"/>
  <c r="D168" i="7" s="1"/>
  <c r="AL168" i="7"/>
  <c r="E168" i="7" s="1"/>
  <c r="AJ168" i="7"/>
  <c r="C168" i="7" s="1"/>
  <c r="B167" i="7"/>
  <c r="BK168" i="7" l="1"/>
  <c r="F168" i="7"/>
  <c r="BJ168" i="7"/>
  <c r="BL168" i="7"/>
  <c r="BM168" i="7" l="1"/>
  <c r="N169" i="7" s="1"/>
  <c r="AP169" i="7" l="1"/>
  <c r="BG169" i="7" s="1"/>
  <c r="AQ169" i="7"/>
  <c r="BH169" i="7" s="1"/>
  <c r="AR169" i="7"/>
  <c r="BI169" i="7" s="1"/>
  <c r="AL169" i="7"/>
  <c r="E169" i="7" s="1"/>
  <c r="AJ169" i="7"/>
  <c r="C169" i="7" s="1"/>
  <c r="AK169" i="7"/>
  <c r="D169" i="7" s="1"/>
  <c r="B168" i="7"/>
  <c r="BJ169" i="7" l="1"/>
  <c r="F169" i="7"/>
  <c r="BL169" i="7"/>
  <c r="BK169" i="7"/>
  <c r="BM169" i="7" l="1"/>
  <c r="N170" i="7" s="1"/>
  <c r="AQ170" i="7" l="1"/>
  <c r="BH170" i="7" s="1"/>
  <c r="AR170" i="7"/>
  <c r="BI170" i="7" s="1"/>
  <c r="AP170" i="7"/>
  <c r="BG170" i="7" s="1"/>
  <c r="AJ170" i="7"/>
  <c r="C170" i="7" s="1"/>
  <c r="AK170" i="7"/>
  <c r="D170" i="7" s="1"/>
  <c r="AL170" i="7"/>
  <c r="E170" i="7" s="1"/>
  <c r="B169" i="7"/>
  <c r="BJ170" i="7" l="1"/>
  <c r="F170" i="7"/>
  <c r="BK170" i="7"/>
  <c r="BL170" i="7"/>
  <c r="BM170" i="7" l="1"/>
  <c r="N171" i="7" s="1"/>
  <c r="AR171" i="7" l="1"/>
  <c r="BI171" i="7" s="1"/>
  <c r="AP171" i="7"/>
  <c r="BG171" i="7" s="1"/>
  <c r="AQ171" i="7"/>
  <c r="BH171" i="7" s="1"/>
  <c r="AJ171" i="7"/>
  <c r="C171" i="7" s="1"/>
  <c r="AK171" i="7"/>
  <c r="D171" i="7" s="1"/>
  <c r="AL171" i="7"/>
  <c r="E171" i="7" s="1"/>
  <c r="B170" i="7"/>
  <c r="BJ171" i="7" l="1"/>
  <c r="F171" i="7"/>
  <c r="BL171" i="7"/>
  <c r="BK171" i="7"/>
  <c r="BM171" i="7" l="1"/>
  <c r="N172" i="7" s="1"/>
  <c r="AP172" i="7" l="1"/>
  <c r="BG172" i="7" s="1"/>
  <c r="AQ172" i="7"/>
  <c r="BH172" i="7" s="1"/>
  <c r="AR172" i="7"/>
  <c r="BI172" i="7" s="1"/>
  <c r="AK172" i="7"/>
  <c r="D172" i="7" s="1"/>
  <c r="AL172" i="7"/>
  <c r="E172" i="7" s="1"/>
  <c r="AJ172" i="7"/>
  <c r="C172" i="7" s="1"/>
  <c r="B171" i="7"/>
  <c r="BL172" i="7" l="1"/>
  <c r="BK172" i="7"/>
  <c r="F172" i="7"/>
  <c r="BJ172" i="7"/>
  <c r="BM172" i="7" l="1"/>
  <c r="N173" i="7" s="1"/>
  <c r="AP173" i="7" l="1"/>
  <c r="BG173" i="7" s="1"/>
  <c r="AQ173" i="7"/>
  <c r="BH173" i="7" s="1"/>
  <c r="AR173" i="7"/>
  <c r="BI173" i="7" s="1"/>
  <c r="AL173" i="7"/>
  <c r="E173" i="7" s="1"/>
  <c r="AJ173" i="7"/>
  <c r="C173" i="7" s="1"/>
  <c r="AK173" i="7"/>
  <c r="D173" i="7" s="1"/>
  <c r="B172" i="7"/>
  <c r="F173" i="7" l="1"/>
  <c r="BJ173" i="7"/>
  <c r="BL173" i="7"/>
  <c r="BK173" i="7"/>
  <c r="BM173" i="7" l="1"/>
  <c r="N174" i="7" s="1"/>
  <c r="AQ174" i="7" l="1"/>
  <c r="BH174" i="7" s="1"/>
  <c r="AR174" i="7"/>
  <c r="BI174" i="7" s="1"/>
  <c r="AP174" i="7"/>
  <c r="BG174" i="7" s="1"/>
  <c r="AJ174" i="7"/>
  <c r="C174" i="7" s="1"/>
  <c r="AK174" i="7"/>
  <c r="D174" i="7" s="1"/>
  <c r="AL174" i="7"/>
  <c r="E174" i="7" s="1"/>
  <c r="B173" i="7"/>
  <c r="BL174" i="7" l="1"/>
  <c r="BK174" i="7"/>
  <c r="F174" i="7"/>
  <c r="BJ174" i="7"/>
  <c r="BM174" i="7" l="1"/>
  <c r="N175" i="7" s="1"/>
  <c r="AR175" i="7" l="1"/>
  <c r="BI175" i="7" s="1"/>
  <c r="AP175" i="7"/>
  <c r="BG175" i="7" s="1"/>
  <c r="AQ175" i="7"/>
  <c r="BH175" i="7" s="1"/>
  <c r="AJ175" i="7"/>
  <c r="C175" i="7" s="1"/>
  <c r="AK175" i="7"/>
  <c r="D175" i="7" s="1"/>
  <c r="AL175" i="7"/>
  <c r="E175" i="7" s="1"/>
  <c r="B174" i="7"/>
  <c r="F175" i="7" l="1"/>
  <c r="BJ175" i="7"/>
  <c r="BL175" i="7"/>
  <c r="BK175" i="7"/>
  <c r="BM175" i="7" l="1"/>
  <c r="N176" i="7" s="1"/>
  <c r="AP176" i="7" l="1"/>
  <c r="BG176" i="7" s="1"/>
  <c r="AQ176" i="7"/>
  <c r="BH176" i="7" s="1"/>
  <c r="AR176" i="7"/>
  <c r="BI176" i="7" s="1"/>
  <c r="AK176" i="7"/>
  <c r="D176" i="7" s="1"/>
  <c r="AL176" i="7"/>
  <c r="E176" i="7" s="1"/>
  <c r="AJ176" i="7"/>
  <c r="C176" i="7" s="1"/>
  <c r="B175" i="7"/>
  <c r="BK176" i="7" l="1"/>
  <c r="BL176" i="7"/>
  <c r="F176" i="7"/>
  <c r="BJ176" i="7"/>
  <c r="BM176" i="7" l="1"/>
  <c r="N177" i="7" s="1"/>
  <c r="AP177" i="7" l="1"/>
  <c r="BG177" i="7" s="1"/>
  <c r="AQ177" i="7"/>
  <c r="BH177" i="7" s="1"/>
  <c r="AR177" i="7"/>
  <c r="BI177" i="7" s="1"/>
  <c r="AL177" i="7"/>
  <c r="E177" i="7" s="1"/>
  <c r="AJ177" i="7"/>
  <c r="C177" i="7" s="1"/>
  <c r="AK177" i="7"/>
  <c r="D177" i="7" s="1"/>
  <c r="B176" i="7"/>
  <c r="BJ177" i="7" l="1"/>
  <c r="F177" i="7"/>
  <c r="BL177" i="7"/>
  <c r="BK177" i="7"/>
  <c r="BM177" i="7" l="1"/>
  <c r="N178" i="7" s="1"/>
  <c r="AQ178" i="7" l="1"/>
  <c r="BH178" i="7" s="1"/>
  <c r="AR178" i="7"/>
  <c r="BI178" i="7" s="1"/>
  <c r="AP178" i="7"/>
  <c r="BG178" i="7" s="1"/>
  <c r="AJ178" i="7"/>
  <c r="C178" i="7" s="1"/>
  <c r="AK178" i="7"/>
  <c r="D178" i="7" s="1"/>
  <c r="AL178" i="7"/>
  <c r="E178" i="7" s="1"/>
  <c r="B177" i="7"/>
  <c r="BL178" i="7" l="1"/>
  <c r="BK178" i="7"/>
  <c r="F178" i="7"/>
  <c r="BJ178" i="7"/>
  <c r="BM178" i="7" l="1"/>
  <c r="N179" i="7" s="1"/>
  <c r="AR179" i="7" l="1"/>
  <c r="BI179" i="7" s="1"/>
  <c r="AP179" i="7"/>
  <c r="BG179" i="7" s="1"/>
  <c r="AQ179" i="7"/>
  <c r="BH179" i="7" s="1"/>
  <c r="AJ179" i="7"/>
  <c r="C179" i="7" s="1"/>
  <c r="AK179" i="7"/>
  <c r="D179" i="7" s="1"/>
  <c r="AL179" i="7"/>
  <c r="E179" i="7" s="1"/>
  <c r="B178" i="7"/>
  <c r="F179" i="7" l="1"/>
  <c r="BJ179" i="7"/>
  <c r="BL179" i="7"/>
  <c r="BK179" i="7"/>
  <c r="BM179" i="7" l="1"/>
  <c r="N180" i="7" s="1"/>
  <c r="AP180" i="7" l="1"/>
  <c r="BG180" i="7" s="1"/>
  <c r="AQ180" i="7"/>
  <c r="BH180" i="7" s="1"/>
  <c r="AR180" i="7"/>
  <c r="BI180" i="7" s="1"/>
  <c r="AK180" i="7"/>
  <c r="D180" i="7" s="1"/>
  <c r="AL180" i="7"/>
  <c r="E180" i="7" s="1"/>
  <c r="AJ180" i="7"/>
  <c r="C180" i="7" s="1"/>
  <c r="B179" i="7"/>
  <c r="BK180" i="7" l="1"/>
  <c r="F180" i="7"/>
  <c r="BJ180" i="7"/>
  <c r="BL180" i="7"/>
  <c r="BM180" i="7" l="1"/>
  <c r="N181" i="7" s="1"/>
  <c r="AP181" i="7" l="1"/>
  <c r="BG181" i="7" s="1"/>
  <c r="AQ181" i="7"/>
  <c r="BH181" i="7" s="1"/>
  <c r="AR181" i="7"/>
  <c r="BI181" i="7" s="1"/>
  <c r="AL181" i="7"/>
  <c r="E181" i="7" s="1"/>
  <c r="AJ181" i="7"/>
  <c r="C181" i="7" s="1"/>
  <c r="AK181" i="7"/>
  <c r="D181" i="7" s="1"/>
  <c r="B180" i="7"/>
  <c r="BJ181" i="7" l="1"/>
  <c r="F181" i="7"/>
  <c r="BL181" i="7"/>
  <c r="BK181" i="7"/>
  <c r="BM181" i="7" l="1"/>
  <c r="N182" i="7" s="1"/>
  <c r="AQ182" i="7" l="1"/>
  <c r="BH182" i="7" s="1"/>
  <c r="AR182" i="7"/>
  <c r="BI182" i="7" s="1"/>
  <c r="AP182" i="7"/>
  <c r="BG182" i="7" s="1"/>
  <c r="AJ182" i="7"/>
  <c r="C182" i="7" s="1"/>
  <c r="AK182" i="7"/>
  <c r="D182" i="7" s="1"/>
  <c r="AL182" i="7"/>
  <c r="E182" i="7" s="1"/>
  <c r="B181" i="7"/>
  <c r="BL182" i="7" l="1"/>
  <c r="BK182" i="7"/>
  <c r="F182" i="7"/>
  <c r="BJ182" i="7"/>
  <c r="BM182" i="7" l="1"/>
  <c r="N183" i="7" s="1"/>
  <c r="AR183" i="7" l="1"/>
  <c r="BI183" i="7" s="1"/>
  <c r="AP183" i="7"/>
  <c r="BG183" i="7" s="1"/>
  <c r="AQ183" i="7"/>
  <c r="BH183" i="7" s="1"/>
  <c r="AJ183" i="7"/>
  <c r="C183" i="7" s="1"/>
  <c r="AK183" i="7"/>
  <c r="D183" i="7" s="1"/>
  <c r="AL183" i="7"/>
  <c r="E183" i="7" s="1"/>
  <c r="B182" i="7"/>
  <c r="BJ183" i="7" l="1"/>
  <c r="F183" i="7"/>
  <c r="BL183" i="7"/>
  <c r="BK183" i="7"/>
  <c r="BM183" i="7" l="1"/>
  <c r="N184" i="7" s="1"/>
  <c r="AP184" i="7" l="1"/>
  <c r="BG184" i="7" s="1"/>
  <c r="AQ184" i="7"/>
  <c r="BH184" i="7" s="1"/>
  <c r="AR184" i="7"/>
  <c r="BI184" i="7" s="1"/>
  <c r="AK184" i="7"/>
  <c r="D184" i="7" s="1"/>
  <c r="AL184" i="7"/>
  <c r="E184" i="7" s="1"/>
  <c r="AJ184" i="7"/>
  <c r="C184" i="7" s="1"/>
  <c r="B183" i="7"/>
  <c r="BK184" i="7" l="1"/>
  <c r="F184" i="7"/>
  <c r="BJ184" i="7"/>
  <c r="BL184" i="7"/>
  <c r="BM184" i="7" l="1"/>
  <c r="N185" i="7" s="1"/>
  <c r="AP185" i="7" l="1"/>
  <c r="BG185" i="7" s="1"/>
  <c r="AQ185" i="7"/>
  <c r="BH185" i="7" s="1"/>
  <c r="AR185" i="7"/>
  <c r="BI185" i="7" s="1"/>
  <c r="AL185" i="7"/>
  <c r="E185" i="7" s="1"/>
  <c r="AJ185" i="7"/>
  <c r="C185" i="7" s="1"/>
  <c r="AK185" i="7"/>
  <c r="D185" i="7" s="1"/>
  <c r="B184" i="7"/>
  <c r="BK185" i="7" l="1"/>
  <c r="BL185" i="7"/>
  <c r="F185" i="7"/>
  <c r="BJ185" i="7"/>
  <c r="BM185" i="7" l="1"/>
  <c r="N186" i="7" s="1"/>
  <c r="AQ186" i="7" l="1"/>
  <c r="BH186" i="7" s="1"/>
  <c r="AR186" i="7"/>
  <c r="BI186" i="7" s="1"/>
  <c r="AP186" i="7"/>
  <c r="BG186" i="7" s="1"/>
  <c r="AJ186" i="7"/>
  <c r="C186" i="7" s="1"/>
  <c r="AK186" i="7"/>
  <c r="D186" i="7" s="1"/>
  <c r="AL186" i="7"/>
  <c r="E186" i="7" s="1"/>
  <c r="B185" i="7"/>
  <c r="BL186" i="7" l="1"/>
  <c r="BK186" i="7"/>
  <c r="F186" i="7"/>
  <c r="BJ186" i="7"/>
  <c r="BM186" i="7" l="1"/>
  <c r="N187" i="7" s="1"/>
  <c r="AR187" i="7" l="1"/>
  <c r="BI187" i="7" s="1"/>
  <c r="AP187" i="7"/>
  <c r="BG187" i="7" s="1"/>
  <c r="AQ187" i="7"/>
  <c r="BH187" i="7" s="1"/>
  <c r="AJ187" i="7"/>
  <c r="C187" i="7" s="1"/>
  <c r="AK187" i="7"/>
  <c r="D187" i="7" s="1"/>
  <c r="AL187" i="7"/>
  <c r="E187" i="7" s="1"/>
  <c r="B186" i="7"/>
  <c r="F187" i="7" l="1"/>
  <c r="BJ187" i="7"/>
  <c r="BK187" i="7"/>
  <c r="BL187" i="7"/>
  <c r="BM187" i="7" l="1"/>
  <c r="N188" i="7" s="1"/>
  <c r="AP188" i="7" l="1"/>
  <c r="BG188" i="7" s="1"/>
  <c r="AQ188" i="7"/>
  <c r="BH188" i="7" s="1"/>
  <c r="AR188" i="7"/>
  <c r="BI188" i="7" s="1"/>
  <c r="AK188" i="7"/>
  <c r="D188" i="7" s="1"/>
  <c r="AL188" i="7"/>
  <c r="E188" i="7" s="1"/>
  <c r="AJ188" i="7"/>
  <c r="C188" i="7" s="1"/>
  <c r="B187" i="7"/>
  <c r="BL188" i="7" l="1"/>
  <c r="BK188" i="7"/>
  <c r="F188" i="7"/>
  <c r="BJ188" i="7"/>
  <c r="BM188" i="7" l="1"/>
  <c r="N189" i="7" s="1"/>
  <c r="AP189" i="7" l="1"/>
  <c r="BG189" i="7" s="1"/>
  <c r="AQ189" i="7"/>
  <c r="BH189" i="7" s="1"/>
  <c r="AR189" i="7"/>
  <c r="BI189" i="7" s="1"/>
  <c r="AL189" i="7"/>
  <c r="E189" i="7" s="1"/>
  <c r="AJ189" i="7"/>
  <c r="C189" i="7" s="1"/>
  <c r="AK189" i="7"/>
  <c r="D189" i="7" s="1"/>
  <c r="B188" i="7"/>
  <c r="BL189" i="7" l="1"/>
  <c r="F189" i="7"/>
  <c r="BJ189" i="7"/>
  <c r="BK189" i="7"/>
  <c r="BM189" i="7" l="1"/>
  <c r="N190" i="7" s="1"/>
  <c r="AQ190" i="7" l="1"/>
  <c r="BH190" i="7" s="1"/>
  <c r="AR190" i="7"/>
  <c r="BI190" i="7" s="1"/>
  <c r="AP190" i="7"/>
  <c r="BG190" i="7" s="1"/>
  <c r="AJ190" i="7"/>
  <c r="C190" i="7" s="1"/>
  <c r="AK190" i="7"/>
  <c r="D190" i="7" s="1"/>
  <c r="AL190" i="7"/>
  <c r="E190" i="7" s="1"/>
  <c r="B189" i="7"/>
  <c r="BK190" i="7" l="1"/>
  <c r="BL190" i="7"/>
  <c r="F190" i="7"/>
  <c r="BJ190" i="7"/>
  <c r="BM190" i="7" l="1"/>
  <c r="N191" i="7" s="1"/>
  <c r="AR191" i="7" l="1"/>
  <c r="BI191" i="7" s="1"/>
  <c r="AP191" i="7"/>
  <c r="BG191" i="7" s="1"/>
  <c r="AQ191" i="7"/>
  <c r="BH191" i="7" s="1"/>
  <c r="AJ191" i="7"/>
  <c r="C191" i="7" s="1"/>
  <c r="AK191" i="7"/>
  <c r="D191" i="7" s="1"/>
  <c r="AL191" i="7"/>
  <c r="E191" i="7" s="1"/>
  <c r="B190" i="7"/>
  <c r="BL191" i="7" l="1"/>
  <c r="BJ191" i="7"/>
  <c r="F191" i="7"/>
  <c r="BK191" i="7"/>
  <c r="BM191" i="7" l="1"/>
  <c r="N192" i="7" s="1"/>
  <c r="AP192" i="7" l="1"/>
  <c r="BG192" i="7" s="1"/>
  <c r="AQ192" i="7"/>
  <c r="BH192" i="7" s="1"/>
  <c r="AR192" i="7"/>
  <c r="BI192" i="7" s="1"/>
  <c r="AK192" i="7"/>
  <c r="D192" i="7" s="1"/>
  <c r="AL192" i="7"/>
  <c r="E192" i="7" s="1"/>
  <c r="AJ192" i="7"/>
  <c r="C192" i="7" s="1"/>
  <c r="B191" i="7"/>
  <c r="BL192" i="7" l="1"/>
  <c r="BK192" i="7"/>
  <c r="F192" i="7"/>
  <c r="BJ192" i="7"/>
  <c r="BM192" i="7" l="1"/>
  <c r="N193" i="7" s="1"/>
  <c r="AP193" i="7" l="1"/>
  <c r="BG193" i="7" s="1"/>
  <c r="AQ193" i="7"/>
  <c r="BH193" i="7" s="1"/>
  <c r="AR193" i="7"/>
  <c r="BI193" i="7" s="1"/>
  <c r="AL193" i="7"/>
  <c r="E193" i="7" s="1"/>
  <c r="AJ193" i="7"/>
  <c r="C193" i="7" s="1"/>
  <c r="AK193" i="7"/>
  <c r="D193" i="7" s="1"/>
  <c r="B192" i="7"/>
  <c r="BL193" i="7" l="1"/>
  <c r="BK193" i="7"/>
  <c r="F193" i="7"/>
  <c r="BJ193" i="7"/>
  <c r="BM193" i="7" l="1"/>
  <c r="N194" i="7" s="1"/>
  <c r="AQ194" i="7" l="1"/>
  <c r="BH194" i="7" s="1"/>
  <c r="AR194" i="7"/>
  <c r="BI194" i="7" s="1"/>
  <c r="AP194" i="7"/>
  <c r="BG194" i="7" s="1"/>
  <c r="AJ194" i="7"/>
  <c r="C194" i="7" s="1"/>
  <c r="AK194" i="7"/>
  <c r="D194" i="7" s="1"/>
  <c r="AL194" i="7"/>
  <c r="E194" i="7" s="1"/>
  <c r="B193" i="7"/>
  <c r="F194" i="7" l="1"/>
  <c r="BJ194" i="7"/>
  <c r="BL194" i="7"/>
  <c r="BK194" i="7"/>
  <c r="BM194" i="7" l="1"/>
  <c r="N195" i="7" s="1"/>
  <c r="AR195" i="7" l="1"/>
  <c r="BI195" i="7" s="1"/>
  <c r="AP195" i="7"/>
  <c r="BG195" i="7" s="1"/>
  <c r="AQ195" i="7"/>
  <c r="BH195" i="7" s="1"/>
  <c r="AJ195" i="7"/>
  <c r="C195" i="7" s="1"/>
  <c r="AK195" i="7"/>
  <c r="D195" i="7" s="1"/>
  <c r="AL195" i="7"/>
  <c r="E195" i="7" s="1"/>
  <c r="B194" i="7"/>
  <c r="BL195" i="7" l="1"/>
  <c r="BJ195" i="7"/>
  <c r="F195" i="7"/>
  <c r="BK195" i="7"/>
  <c r="BM195" i="7" l="1"/>
  <c r="N196" i="7" s="1"/>
  <c r="AP196" i="7" l="1"/>
  <c r="BG196" i="7" s="1"/>
  <c r="AQ196" i="7"/>
  <c r="BH196" i="7" s="1"/>
  <c r="AR196" i="7"/>
  <c r="BI196" i="7" s="1"/>
  <c r="AK196" i="7"/>
  <c r="D196" i="7" s="1"/>
  <c r="AL196" i="7"/>
  <c r="E196" i="7" s="1"/>
  <c r="AJ196" i="7"/>
  <c r="C196" i="7" s="1"/>
  <c r="B195" i="7"/>
  <c r="BK196" i="7" l="1"/>
  <c r="BJ196" i="7"/>
  <c r="F196" i="7"/>
  <c r="BL196" i="7"/>
  <c r="BM196" i="7" l="1"/>
  <c r="N197" i="7" s="1"/>
  <c r="AP197" i="7" l="1"/>
  <c r="BG197" i="7" s="1"/>
  <c r="AQ197" i="7"/>
  <c r="BH197" i="7" s="1"/>
  <c r="AR197" i="7"/>
  <c r="BI197" i="7" s="1"/>
  <c r="AL197" i="7"/>
  <c r="E197" i="7" s="1"/>
  <c r="AJ197" i="7"/>
  <c r="C197" i="7" s="1"/>
  <c r="AK197" i="7"/>
  <c r="D197" i="7" s="1"/>
  <c r="B196" i="7"/>
  <c r="BK197" i="7" l="1"/>
  <c r="BL197" i="7"/>
  <c r="F197" i="7"/>
  <c r="BJ197" i="7"/>
  <c r="BM197" i="7" l="1"/>
  <c r="N198" i="7" s="1"/>
  <c r="AQ198" i="7" l="1"/>
  <c r="BH198" i="7" s="1"/>
  <c r="AR198" i="7"/>
  <c r="BI198" i="7" s="1"/>
  <c r="AP198" i="7"/>
  <c r="BG198" i="7" s="1"/>
  <c r="AJ198" i="7"/>
  <c r="C198" i="7" s="1"/>
  <c r="AK198" i="7"/>
  <c r="D198" i="7" s="1"/>
  <c r="AL198" i="7"/>
  <c r="E198" i="7" s="1"/>
  <c r="B197" i="7"/>
  <c r="BL198" i="7" l="1"/>
  <c r="F198" i="7"/>
  <c r="BJ198" i="7"/>
  <c r="BK198" i="7"/>
  <c r="BM198" i="7" l="1"/>
  <c r="N199" i="7" s="1"/>
  <c r="AR199" i="7" l="1"/>
  <c r="BI199" i="7" s="1"/>
  <c r="AP199" i="7"/>
  <c r="BG199" i="7" s="1"/>
  <c r="AQ199" i="7"/>
  <c r="BH199" i="7" s="1"/>
  <c r="AJ199" i="7"/>
  <c r="C199" i="7" s="1"/>
  <c r="AK199" i="7"/>
  <c r="D199" i="7" s="1"/>
  <c r="AL199" i="7"/>
  <c r="E199" i="7" s="1"/>
  <c r="B198" i="7"/>
  <c r="BK199" i="7" l="1"/>
  <c r="F199" i="7"/>
  <c r="BJ199" i="7"/>
  <c r="BL199" i="7"/>
  <c r="BM199" i="7" l="1"/>
  <c r="N200" i="7" s="1"/>
  <c r="AP200" i="7" l="1"/>
  <c r="BG200" i="7" s="1"/>
  <c r="AQ200" i="7"/>
  <c r="BH200" i="7" s="1"/>
  <c r="AR200" i="7"/>
  <c r="BI200" i="7" s="1"/>
  <c r="AK200" i="7"/>
  <c r="D200" i="7" s="1"/>
  <c r="AL200" i="7"/>
  <c r="E200" i="7" s="1"/>
  <c r="AJ200" i="7"/>
  <c r="C200" i="7" s="1"/>
  <c r="B199" i="7"/>
  <c r="F200" i="7" l="1"/>
  <c r="BJ200" i="7"/>
  <c r="BL200" i="7"/>
  <c r="BK200" i="7"/>
  <c r="BM200" i="7" l="1"/>
  <c r="N201" i="7" s="1"/>
  <c r="AP201" i="7" l="1"/>
  <c r="BG201" i="7" s="1"/>
  <c r="AQ201" i="7"/>
  <c r="BH201" i="7" s="1"/>
  <c r="AR201" i="7"/>
  <c r="BI201" i="7" s="1"/>
  <c r="AL201" i="7"/>
  <c r="E201" i="7" s="1"/>
  <c r="AJ201" i="7"/>
  <c r="C201" i="7" s="1"/>
  <c r="AK201" i="7"/>
  <c r="D201" i="7" s="1"/>
  <c r="B200" i="7"/>
  <c r="BK201" i="7" l="1"/>
  <c r="BJ201" i="7"/>
  <c r="F201" i="7"/>
  <c r="BL201" i="7"/>
  <c r="BM201" i="7" l="1"/>
  <c r="N202" i="7" s="1"/>
  <c r="AQ202" i="7" l="1"/>
  <c r="BH202" i="7" s="1"/>
  <c r="AR202" i="7"/>
  <c r="BI202" i="7" s="1"/>
  <c r="AP202" i="7"/>
  <c r="BG202" i="7" s="1"/>
  <c r="AJ202" i="7"/>
  <c r="C202" i="7" s="1"/>
  <c r="AK202" i="7"/>
  <c r="D202" i="7" s="1"/>
  <c r="AL202" i="7"/>
  <c r="E202" i="7" s="1"/>
  <c r="B201" i="7"/>
  <c r="BJ202" i="7" l="1"/>
  <c r="F202" i="7"/>
  <c r="BK202" i="7"/>
  <c r="BL202" i="7"/>
  <c r="BM202" i="7" l="1"/>
  <c r="N203" i="7" s="1"/>
  <c r="AR203" i="7" l="1"/>
  <c r="BI203" i="7" s="1"/>
  <c r="AP203" i="7"/>
  <c r="BG203" i="7" s="1"/>
  <c r="AQ203" i="7"/>
  <c r="BH203" i="7" s="1"/>
  <c r="AJ203" i="7"/>
  <c r="C203" i="7" s="1"/>
  <c r="AK203" i="7"/>
  <c r="D203" i="7" s="1"/>
  <c r="AL203" i="7"/>
  <c r="E203" i="7" s="1"/>
  <c r="B202" i="7"/>
  <c r="BJ203" i="7" l="1"/>
  <c r="F203" i="7"/>
  <c r="BL203" i="7"/>
  <c r="BK203" i="7"/>
  <c r="BM203" i="7" l="1"/>
  <c r="N204" i="7" s="1"/>
  <c r="AP204" i="7" l="1"/>
  <c r="BG204" i="7" s="1"/>
  <c r="AQ204" i="7"/>
  <c r="BH204" i="7" s="1"/>
  <c r="AR204" i="7"/>
  <c r="BI204" i="7" s="1"/>
  <c r="AK204" i="7"/>
  <c r="D204" i="7" s="1"/>
  <c r="AL204" i="7"/>
  <c r="E204" i="7" s="1"/>
  <c r="AJ204" i="7"/>
  <c r="C204" i="7" s="1"/>
  <c r="B203" i="7"/>
  <c r="BK204" i="7" l="1"/>
  <c r="BJ204" i="7"/>
  <c r="F204" i="7"/>
  <c r="BL204" i="7"/>
  <c r="BM204" i="7" l="1"/>
  <c r="N205" i="7" s="1"/>
  <c r="AP205" i="7" l="1"/>
  <c r="BG205" i="7" s="1"/>
  <c r="AQ205" i="7"/>
  <c r="BH205" i="7" s="1"/>
  <c r="AR205" i="7"/>
  <c r="BI205" i="7" s="1"/>
  <c r="AL205" i="7"/>
  <c r="E205" i="7" s="1"/>
  <c r="AJ205" i="7"/>
  <c r="C205" i="7" s="1"/>
  <c r="AK205" i="7"/>
  <c r="D205" i="7" s="1"/>
  <c r="B204" i="7"/>
  <c r="BK205" i="7" l="1"/>
  <c r="F205" i="7"/>
  <c r="BJ205" i="7"/>
  <c r="BL205" i="7"/>
  <c r="BM205" i="7" l="1"/>
  <c r="N206" i="7" s="1"/>
  <c r="AQ206" i="7" l="1"/>
  <c r="BH206" i="7" s="1"/>
  <c r="AR206" i="7"/>
  <c r="BI206" i="7" s="1"/>
  <c r="AP206" i="7"/>
  <c r="BG206" i="7" s="1"/>
  <c r="AJ206" i="7"/>
  <c r="C206" i="7" s="1"/>
  <c r="AK206" i="7"/>
  <c r="D206" i="7" s="1"/>
  <c r="AL206" i="7"/>
  <c r="E206" i="7" s="1"/>
  <c r="B205" i="7"/>
  <c r="F206" i="7" l="1"/>
  <c r="BJ206" i="7"/>
  <c r="BL206" i="7"/>
  <c r="BK206" i="7"/>
  <c r="BM206" i="7" l="1"/>
  <c r="N207" i="7" s="1"/>
  <c r="AR207" i="7" l="1"/>
  <c r="BI207" i="7" s="1"/>
  <c r="AP207" i="7"/>
  <c r="BG207" i="7" s="1"/>
  <c r="AQ207" i="7"/>
  <c r="BH207" i="7" s="1"/>
  <c r="AJ207" i="7"/>
  <c r="C207" i="7" s="1"/>
  <c r="AK207" i="7"/>
  <c r="D207" i="7" s="1"/>
  <c r="AL207" i="7"/>
  <c r="E207" i="7" s="1"/>
  <c r="B206" i="7"/>
  <c r="BK207" i="7" l="1"/>
  <c r="BJ207" i="7"/>
  <c r="F207" i="7"/>
  <c r="BL207" i="7"/>
  <c r="BM207" i="7" l="1"/>
  <c r="N208" i="7" s="1"/>
  <c r="AP208" i="7" l="1"/>
  <c r="BG208" i="7" s="1"/>
  <c r="AQ208" i="7"/>
  <c r="BH208" i="7" s="1"/>
  <c r="AR208" i="7"/>
  <c r="BI208" i="7" s="1"/>
  <c r="AK208" i="7"/>
  <c r="D208" i="7" s="1"/>
  <c r="AL208" i="7"/>
  <c r="E208" i="7" s="1"/>
  <c r="AJ208" i="7"/>
  <c r="C208" i="7" s="1"/>
  <c r="B207" i="7"/>
  <c r="F208" i="7" l="1"/>
  <c r="BJ208" i="7"/>
  <c r="BK208" i="7"/>
  <c r="BL208" i="7"/>
  <c r="BM208" i="7" l="1"/>
  <c r="N209" i="7" s="1"/>
  <c r="AP209" i="7" l="1"/>
  <c r="BG209" i="7" s="1"/>
  <c r="AQ209" i="7"/>
  <c r="BH209" i="7" s="1"/>
  <c r="AR209" i="7"/>
  <c r="BI209" i="7" s="1"/>
  <c r="AL209" i="7"/>
  <c r="E209" i="7" s="1"/>
  <c r="AJ209" i="7"/>
  <c r="C209" i="7" s="1"/>
  <c r="AK209" i="7"/>
  <c r="D209" i="7" s="1"/>
  <c r="B208" i="7"/>
  <c r="BK209" i="7" l="1"/>
  <c r="BL209" i="7"/>
  <c r="F209" i="7"/>
  <c r="BJ209" i="7"/>
  <c r="BM209" i="7" l="1"/>
  <c r="N210" i="7" s="1"/>
  <c r="AQ210" i="7" l="1"/>
  <c r="BH210" i="7" s="1"/>
  <c r="AR210" i="7"/>
  <c r="BI210" i="7" s="1"/>
  <c r="AP210" i="7"/>
  <c r="BG210" i="7" s="1"/>
  <c r="AJ210" i="7"/>
  <c r="C210" i="7" s="1"/>
  <c r="AK210" i="7"/>
  <c r="D210" i="7" s="1"/>
  <c r="AL210" i="7"/>
  <c r="E210" i="7" s="1"/>
  <c r="B209" i="7"/>
  <c r="F210" i="7" l="1"/>
  <c r="BJ210" i="7"/>
  <c r="BK210" i="7"/>
  <c r="BL210" i="7"/>
  <c r="BM210" i="7" l="1"/>
  <c r="N211" i="7" s="1"/>
  <c r="AR211" i="7" l="1"/>
  <c r="BI211" i="7" s="1"/>
  <c r="AP211" i="7"/>
  <c r="BG211" i="7" s="1"/>
  <c r="AQ211" i="7"/>
  <c r="BH211" i="7" s="1"/>
  <c r="AJ211" i="7"/>
  <c r="C211" i="7" s="1"/>
  <c r="AK211" i="7"/>
  <c r="D211" i="7" s="1"/>
  <c r="AL211" i="7"/>
  <c r="E211" i="7" s="1"/>
  <c r="B210" i="7"/>
  <c r="F211" i="7" l="1"/>
  <c r="BJ211" i="7"/>
  <c r="BL211" i="7"/>
  <c r="BK211" i="7"/>
  <c r="BM211" i="7" l="1"/>
  <c r="N212" i="7" s="1"/>
  <c r="AP212" i="7" l="1"/>
  <c r="BG212" i="7" s="1"/>
  <c r="AQ212" i="7"/>
  <c r="BH212" i="7" s="1"/>
  <c r="AR212" i="7"/>
  <c r="BI212" i="7" s="1"/>
  <c r="AK212" i="7"/>
  <c r="D212" i="7" s="1"/>
  <c r="AL212" i="7"/>
  <c r="E212" i="7" s="1"/>
  <c r="AJ212" i="7"/>
  <c r="C212" i="7" s="1"/>
  <c r="B211" i="7"/>
  <c r="BK212" i="7" l="1"/>
  <c r="F212" i="7"/>
  <c r="BJ212" i="7"/>
  <c r="BL212" i="7"/>
  <c r="BM212" i="7" l="1"/>
  <c r="N213" i="7" s="1"/>
  <c r="AP213" i="7" l="1"/>
  <c r="BG213" i="7" s="1"/>
  <c r="AQ213" i="7"/>
  <c r="BH213" i="7" s="1"/>
  <c r="AR213" i="7"/>
  <c r="BI213" i="7" s="1"/>
  <c r="AL213" i="7"/>
  <c r="E213" i="7" s="1"/>
  <c r="AJ213" i="7"/>
  <c r="C213" i="7" s="1"/>
  <c r="AK213" i="7"/>
  <c r="D213" i="7" s="1"/>
  <c r="B212" i="7"/>
  <c r="BK213" i="7" l="1"/>
  <c r="F213" i="7"/>
  <c r="BJ213" i="7"/>
  <c r="BL213" i="7"/>
  <c r="BM213" i="7" l="1"/>
  <c r="N214" i="7" s="1"/>
  <c r="AQ214" i="7" l="1"/>
  <c r="BH214" i="7" s="1"/>
  <c r="AR214" i="7"/>
  <c r="BI214" i="7" s="1"/>
  <c r="AP214" i="7"/>
  <c r="BG214" i="7" s="1"/>
  <c r="AJ214" i="7"/>
  <c r="C214" i="7" s="1"/>
  <c r="AK214" i="7"/>
  <c r="D214" i="7" s="1"/>
  <c r="AL214" i="7"/>
  <c r="E214" i="7" s="1"/>
  <c r="B213" i="7"/>
  <c r="F214" i="7" l="1"/>
  <c r="BJ214" i="7"/>
  <c r="BK214" i="7"/>
  <c r="BL214" i="7"/>
  <c r="BM214" i="7" l="1"/>
  <c r="N215" i="7" s="1"/>
  <c r="AP215" i="7" l="1"/>
  <c r="BG215" i="7" s="1"/>
  <c r="AQ215" i="7"/>
  <c r="BH215" i="7" s="1"/>
  <c r="AR215" i="7"/>
  <c r="BI215" i="7" s="1"/>
  <c r="AJ215" i="7"/>
  <c r="C215" i="7" s="1"/>
  <c r="AK215" i="7"/>
  <c r="D215" i="7" s="1"/>
  <c r="AL215" i="7"/>
  <c r="E215" i="7" s="1"/>
  <c r="B214" i="7"/>
  <c r="BL215" i="7" l="1"/>
  <c r="BK215" i="7"/>
  <c r="F215" i="7"/>
  <c r="BJ215" i="7"/>
  <c r="BM215" i="7" l="1"/>
  <c r="N216" i="7" s="1"/>
  <c r="AQ216" i="7" l="1"/>
  <c r="BH216" i="7" s="1"/>
  <c r="AP216" i="7"/>
  <c r="BG216" i="7" s="1"/>
  <c r="AR216" i="7"/>
  <c r="BI216" i="7" s="1"/>
  <c r="AK216" i="7"/>
  <c r="D216" i="7" s="1"/>
  <c r="AL216" i="7"/>
  <c r="E216" i="7" s="1"/>
  <c r="AJ216" i="7"/>
  <c r="C216" i="7" s="1"/>
  <c r="B215" i="7"/>
  <c r="F216" i="7" l="1"/>
  <c r="BJ216" i="7"/>
  <c r="BL216" i="7"/>
  <c r="BK216" i="7"/>
  <c r="BM216" i="7" l="1"/>
  <c r="N217" i="7" s="1"/>
  <c r="AP217" i="7" l="1"/>
  <c r="BG217" i="7" s="1"/>
  <c r="AQ217" i="7"/>
  <c r="BH217" i="7" s="1"/>
  <c r="AR217" i="7"/>
  <c r="BI217" i="7" s="1"/>
  <c r="AL217" i="7"/>
  <c r="E217" i="7" s="1"/>
  <c r="AJ217" i="7"/>
  <c r="C217" i="7" s="1"/>
  <c r="AK217" i="7"/>
  <c r="D217" i="7" s="1"/>
  <c r="B216" i="7"/>
  <c r="BK217" i="7" l="1"/>
  <c r="F217" i="7"/>
  <c r="BJ217" i="7"/>
  <c r="BL217" i="7"/>
  <c r="BM217" i="7" l="1"/>
  <c r="N218" i="7" s="1"/>
  <c r="AQ218" i="7" l="1"/>
  <c r="BH218" i="7" s="1"/>
  <c r="AR218" i="7"/>
  <c r="BI218" i="7" s="1"/>
  <c r="AP218" i="7"/>
  <c r="BG218" i="7" s="1"/>
  <c r="AJ218" i="7"/>
  <c r="C218" i="7" s="1"/>
  <c r="AK218" i="7"/>
  <c r="D218" i="7" s="1"/>
  <c r="AL218" i="7"/>
  <c r="E218" i="7" s="1"/>
  <c r="B217" i="7"/>
  <c r="BK218" i="7" l="1"/>
  <c r="F218" i="7"/>
  <c r="BJ218" i="7"/>
  <c r="BL218" i="7"/>
  <c r="BM218" i="7" l="1"/>
  <c r="N219" i="7" s="1"/>
  <c r="AR219" i="7" l="1"/>
  <c r="BI219" i="7" s="1"/>
  <c r="AP219" i="7"/>
  <c r="BG219" i="7" s="1"/>
  <c r="AQ219" i="7"/>
  <c r="BH219" i="7" s="1"/>
  <c r="AJ219" i="7"/>
  <c r="C219" i="7" s="1"/>
  <c r="AK219" i="7"/>
  <c r="D219" i="7" s="1"/>
  <c r="AL219" i="7"/>
  <c r="E219" i="7" s="1"/>
  <c r="B218" i="7"/>
  <c r="BL219" i="7" l="1"/>
  <c r="BK219" i="7"/>
  <c r="F219" i="7"/>
  <c r="BJ219" i="7"/>
  <c r="BM219" i="7" l="1"/>
  <c r="N220" i="7" s="1"/>
  <c r="AP220" i="7" l="1"/>
  <c r="BG220" i="7" s="1"/>
  <c r="AQ220" i="7"/>
  <c r="BH220" i="7" s="1"/>
  <c r="AR220" i="7"/>
  <c r="BI220" i="7" s="1"/>
  <c r="AK220" i="7"/>
  <c r="D220" i="7" s="1"/>
  <c r="AL220" i="7"/>
  <c r="E220" i="7" s="1"/>
  <c r="AJ220" i="7"/>
  <c r="C220" i="7" s="1"/>
  <c r="B219" i="7"/>
  <c r="BK220" i="7" l="1"/>
  <c r="F220" i="7"/>
  <c r="BJ220" i="7"/>
  <c r="BL220" i="7"/>
  <c r="BM220" i="7" l="1"/>
  <c r="N221" i="7" s="1"/>
  <c r="AP221" i="7" l="1"/>
  <c r="BG221" i="7" s="1"/>
  <c r="AQ221" i="7"/>
  <c r="BH221" i="7" s="1"/>
  <c r="AR221" i="7"/>
  <c r="BI221" i="7" s="1"/>
  <c r="AL221" i="7"/>
  <c r="E221" i="7" s="1"/>
  <c r="AJ221" i="7"/>
  <c r="C221" i="7" s="1"/>
  <c r="AK221" i="7"/>
  <c r="D221" i="7" s="1"/>
  <c r="B220" i="7"/>
  <c r="BK221" i="7" l="1"/>
  <c r="F221" i="7"/>
  <c r="BJ221" i="7"/>
  <c r="BL221" i="7"/>
  <c r="BM221" i="7" l="1"/>
  <c r="N222" i="7" s="1"/>
  <c r="AQ222" i="7" l="1"/>
  <c r="BH222" i="7" s="1"/>
  <c r="AR222" i="7"/>
  <c r="BI222" i="7" s="1"/>
  <c r="AP222" i="7"/>
  <c r="BG222" i="7" s="1"/>
  <c r="AJ222" i="7"/>
  <c r="C222" i="7" s="1"/>
  <c r="AK222" i="7"/>
  <c r="D222" i="7" s="1"/>
  <c r="AL222" i="7"/>
  <c r="E222" i="7" s="1"/>
  <c r="B221" i="7"/>
  <c r="BK222" i="7" l="1"/>
  <c r="F222" i="7"/>
  <c r="BJ222" i="7"/>
  <c r="BL222" i="7"/>
  <c r="BM222" i="7" l="1"/>
  <c r="N223" i="7" s="1"/>
  <c r="AR223" i="7" l="1"/>
  <c r="BI223" i="7" s="1"/>
  <c r="AP223" i="7"/>
  <c r="BG223" i="7" s="1"/>
  <c r="AQ223" i="7"/>
  <c r="BH223" i="7" s="1"/>
  <c r="AJ223" i="7"/>
  <c r="C223" i="7" s="1"/>
  <c r="AK223" i="7"/>
  <c r="D223" i="7" s="1"/>
  <c r="AL223" i="7"/>
  <c r="E223" i="7" s="1"/>
  <c r="B222" i="7"/>
  <c r="BL223" i="7" l="1"/>
  <c r="BK223" i="7"/>
  <c r="F223" i="7"/>
  <c r="BJ223" i="7"/>
  <c r="BM223" i="7" l="1"/>
  <c r="N224" i="7" s="1"/>
  <c r="AP224" i="7" l="1"/>
  <c r="BG224" i="7" s="1"/>
  <c r="AQ224" i="7"/>
  <c r="BH224" i="7" s="1"/>
  <c r="AR224" i="7"/>
  <c r="BI224" i="7" s="1"/>
  <c r="AK224" i="7"/>
  <c r="D224" i="7" s="1"/>
  <c r="AL224" i="7"/>
  <c r="E224" i="7" s="1"/>
  <c r="AJ224" i="7"/>
  <c r="C224" i="7" s="1"/>
  <c r="B223" i="7"/>
  <c r="F224" i="7" l="1"/>
  <c r="BJ224" i="7"/>
  <c r="BL224" i="7"/>
  <c r="BK224" i="7"/>
  <c r="BM224" i="7" l="1"/>
  <c r="N225" i="7" s="1"/>
  <c r="AP225" i="7" l="1"/>
  <c r="BG225" i="7" s="1"/>
  <c r="AQ225" i="7"/>
  <c r="BH225" i="7" s="1"/>
  <c r="AR225" i="7"/>
  <c r="BI225" i="7" s="1"/>
  <c r="AL225" i="7"/>
  <c r="E225" i="7" s="1"/>
  <c r="AJ225" i="7"/>
  <c r="C225" i="7" s="1"/>
  <c r="AK225" i="7"/>
  <c r="D225" i="7" s="1"/>
  <c r="B224" i="7"/>
  <c r="BK225" i="7" l="1"/>
  <c r="F225" i="7"/>
  <c r="BJ225" i="7"/>
  <c r="BL225" i="7"/>
  <c r="BM225" i="7" l="1"/>
  <c r="N226" i="7" s="1"/>
  <c r="AQ226" i="7" l="1"/>
  <c r="BH226" i="7" s="1"/>
  <c r="AR226" i="7"/>
  <c r="BI226" i="7" s="1"/>
  <c r="AP226" i="7"/>
  <c r="BG226" i="7" s="1"/>
  <c r="AJ226" i="7"/>
  <c r="C226" i="7" s="1"/>
  <c r="AK226" i="7"/>
  <c r="D226" i="7" s="1"/>
  <c r="AL226" i="7"/>
  <c r="E226" i="7" s="1"/>
  <c r="B225" i="7"/>
  <c r="BK226" i="7" l="1"/>
  <c r="F226" i="7"/>
  <c r="BJ226" i="7"/>
  <c r="BL226" i="7"/>
  <c r="BM226" i="7" l="1"/>
  <c r="N227" i="7" s="1"/>
  <c r="AR227" i="7" l="1"/>
  <c r="BI227" i="7" s="1"/>
  <c r="AP227" i="7"/>
  <c r="BG227" i="7" s="1"/>
  <c r="AQ227" i="7"/>
  <c r="BH227" i="7" s="1"/>
  <c r="AJ227" i="7"/>
  <c r="C227" i="7" s="1"/>
  <c r="AK227" i="7"/>
  <c r="D227" i="7" s="1"/>
  <c r="AL227" i="7"/>
  <c r="E227" i="7" s="1"/>
  <c r="B226" i="7"/>
  <c r="BL227" i="7" l="1"/>
  <c r="BK227" i="7"/>
  <c r="F227" i="7"/>
  <c r="BJ227" i="7"/>
  <c r="BM227" i="7" l="1"/>
  <c r="N228" i="7" s="1"/>
  <c r="AP228" i="7" l="1"/>
  <c r="BG228" i="7" s="1"/>
  <c r="AQ228" i="7"/>
  <c r="BH228" i="7" s="1"/>
  <c r="AR228" i="7"/>
  <c r="BI228" i="7" s="1"/>
  <c r="AK228" i="7"/>
  <c r="D228" i="7" s="1"/>
  <c r="AL228" i="7"/>
  <c r="E228" i="7" s="1"/>
  <c r="AJ228" i="7"/>
  <c r="C228" i="7" s="1"/>
  <c r="B227" i="7"/>
  <c r="F228" i="7" l="1"/>
  <c r="BJ228" i="7"/>
  <c r="BL228" i="7"/>
  <c r="BK228" i="7"/>
  <c r="BM228" i="7" l="1"/>
  <c r="N229" i="7" s="1"/>
  <c r="AP229" i="7" l="1"/>
  <c r="BG229" i="7" s="1"/>
  <c r="AQ229" i="7"/>
  <c r="BH229" i="7" s="1"/>
  <c r="AR229" i="7"/>
  <c r="BI229" i="7" s="1"/>
  <c r="AL229" i="7"/>
  <c r="E229" i="7" s="1"/>
  <c r="AJ229" i="7"/>
  <c r="C229" i="7" s="1"/>
  <c r="AK229" i="7"/>
  <c r="D229" i="7" s="1"/>
  <c r="B228" i="7"/>
  <c r="BK229" i="7" l="1"/>
  <c r="BL229" i="7"/>
  <c r="F229" i="7"/>
  <c r="BJ229" i="7"/>
  <c r="BM229" i="7" l="1"/>
  <c r="N230" i="7" s="1"/>
  <c r="AQ230" i="7" l="1"/>
  <c r="BH230" i="7" s="1"/>
  <c r="AR230" i="7"/>
  <c r="BI230" i="7" s="1"/>
  <c r="AP230" i="7"/>
  <c r="BG230" i="7" s="1"/>
  <c r="AJ230" i="7"/>
  <c r="C230" i="7" s="1"/>
  <c r="AK230" i="7"/>
  <c r="D230" i="7" s="1"/>
  <c r="AL230" i="7"/>
  <c r="E230" i="7" s="1"/>
  <c r="B229" i="7"/>
  <c r="BK230" i="7" l="1"/>
  <c r="F230" i="7"/>
  <c r="BJ230" i="7"/>
  <c r="BL230" i="7"/>
  <c r="BM230" i="7" l="1"/>
  <c r="N231" i="7" s="1"/>
  <c r="AR231" i="7" l="1"/>
  <c r="BI231" i="7" s="1"/>
  <c r="AP231" i="7"/>
  <c r="BG231" i="7" s="1"/>
  <c r="AQ231" i="7"/>
  <c r="BH231" i="7" s="1"/>
  <c r="AJ231" i="7"/>
  <c r="C231" i="7" s="1"/>
  <c r="AK231" i="7"/>
  <c r="D231" i="7" s="1"/>
  <c r="AL231" i="7"/>
  <c r="E231" i="7" s="1"/>
  <c r="B230" i="7"/>
  <c r="BK231" i="7" l="1"/>
  <c r="BL231" i="7"/>
  <c r="F231" i="7"/>
  <c r="BJ231" i="7"/>
  <c r="BM231" i="7" l="1"/>
  <c r="N232" i="7" s="1"/>
  <c r="AP232" i="7" l="1"/>
  <c r="BG232" i="7" s="1"/>
  <c r="AQ232" i="7"/>
  <c r="BH232" i="7" s="1"/>
  <c r="AR232" i="7"/>
  <c r="BI232" i="7" s="1"/>
  <c r="AK232" i="7"/>
  <c r="D232" i="7" s="1"/>
  <c r="AL232" i="7"/>
  <c r="E232" i="7" s="1"/>
  <c r="AJ232" i="7"/>
  <c r="C232" i="7" s="1"/>
  <c r="B231" i="7"/>
  <c r="F232" i="7" l="1"/>
  <c r="BJ232" i="7"/>
  <c r="BL232" i="7"/>
  <c r="BK232" i="7"/>
  <c r="BM232" i="7" l="1"/>
  <c r="N233" i="7" s="1"/>
  <c r="AP233" i="7" l="1"/>
  <c r="BG233" i="7" s="1"/>
  <c r="AQ233" i="7"/>
  <c r="BH233" i="7" s="1"/>
  <c r="AR233" i="7"/>
  <c r="BI233" i="7" s="1"/>
  <c r="AL233" i="7"/>
  <c r="E233" i="7" s="1"/>
  <c r="AJ233" i="7"/>
  <c r="C233" i="7" s="1"/>
  <c r="AK233" i="7"/>
  <c r="D233" i="7" s="1"/>
  <c r="B232" i="7"/>
  <c r="BK233" i="7" l="1"/>
  <c r="F233" i="7"/>
  <c r="BJ233" i="7"/>
  <c r="BL233" i="7"/>
  <c r="BM233" i="7" l="1"/>
  <c r="N234" i="7" s="1"/>
  <c r="AQ234" i="7" l="1"/>
  <c r="BH234" i="7" s="1"/>
  <c r="AR234" i="7"/>
  <c r="BI234" i="7" s="1"/>
  <c r="AP234" i="7"/>
  <c r="BG234" i="7" s="1"/>
  <c r="AJ234" i="7"/>
  <c r="C234" i="7" s="1"/>
  <c r="AK234" i="7"/>
  <c r="D234" i="7" s="1"/>
  <c r="AL234" i="7"/>
  <c r="E234" i="7" s="1"/>
  <c r="B233" i="7"/>
  <c r="BK234" i="7" l="1"/>
  <c r="F234" i="7"/>
  <c r="BJ234" i="7"/>
  <c r="BL234" i="7"/>
  <c r="BM234" i="7" l="1"/>
  <c r="N235" i="7" s="1"/>
  <c r="AR235" i="7" l="1"/>
  <c r="BI235" i="7" s="1"/>
  <c r="AP235" i="7"/>
  <c r="BG235" i="7" s="1"/>
  <c r="AQ235" i="7"/>
  <c r="BH235" i="7" s="1"/>
  <c r="AJ235" i="7"/>
  <c r="C235" i="7" s="1"/>
  <c r="AK235" i="7"/>
  <c r="D235" i="7" s="1"/>
  <c r="AL235" i="7"/>
  <c r="E235" i="7" s="1"/>
  <c r="B234" i="7"/>
  <c r="BK235" i="7" l="1"/>
  <c r="BL235" i="7"/>
  <c r="F235" i="7"/>
  <c r="BJ235" i="7"/>
  <c r="BM235" i="7" l="1"/>
  <c r="N236" i="7" s="1"/>
  <c r="AP236" i="7" l="1"/>
  <c r="BG236" i="7" s="1"/>
  <c r="AQ236" i="7"/>
  <c r="BH236" i="7" s="1"/>
  <c r="AR236" i="7"/>
  <c r="BI236" i="7" s="1"/>
  <c r="AK236" i="7"/>
  <c r="D236" i="7" s="1"/>
  <c r="AL236" i="7"/>
  <c r="E236" i="7" s="1"/>
  <c r="AJ236" i="7"/>
  <c r="C236" i="7" s="1"/>
  <c r="B235" i="7"/>
  <c r="F236" i="7" l="1"/>
  <c r="BJ236" i="7"/>
  <c r="BL236" i="7"/>
  <c r="BK236" i="7"/>
  <c r="BM236" i="7" l="1"/>
  <c r="N237" i="7" s="1"/>
  <c r="AP237" i="7" l="1"/>
  <c r="BG237" i="7" s="1"/>
  <c r="AQ237" i="7"/>
  <c r="BH237" i="7" s="1"/>
  <c r="AR237" i="7"/>
  <c r="BI237" i="7" s="1"/>
  <c r="AL237" i="7"/>
  <c r="E237" i="7" s="1"/>
  <c r="AJ237" i="7"/>
  <c r="C237" i="7" s="1"/>
  <c r="AK237" i="7"/>
  <c r="D237" i="7" s="1"/>
  <c r="B236" i="7"/>
  <c r="BK237" i="7" l="1"/>
  <c r="F237" i="7"/>
  <c r="BJ237" i="7"/>
  <c r="BL237" i="7"/>
  <c r="BM237" i="7" l="1"/>
  <c r="N238" i="7" s="1"/>
  <c r="AQ238" i="7" l="1"/>
  <c r="BH238" i="7" s="1"/>
  <c r="AR238" i="7"/>
  <c r="BI238" i="7" s="1"/>
  <c r="AP238" i="7"/>
  <c r="BG238" i="7" s="1"/>
  <c r="AJ238" i="7"/>
  <c r="C238" i="7" s="1"/>
  <c r="AK238" i="7"/>
  <c r="D238" i="7" s="1"/>
  <c r="AL238" i="7"/>
  <c r="E238" i="7" s="1"/>
  <c r="B237" i="7"/>
  <c r="F238" i="7" l="1"/>
  <c r="BJ238" i="7"/>
  <c r="BK238" i="7"/>
  <c r="BL238" i="7"/>
  <c r="BM238" i="7" l="1"/>
  <c r="N239" i="7" s="1"/>
  <c r="AR239" i="7" l="1"/>
  <c r="BI239" i="7" s="1"/>
  <c r="AP239" i="7"/>
  <c r="BG239" i="7" s="1"/>
  <c r="AQ239" i="7"/>
  <c r="BH239" i="7" s="1"/>
  <c r="AJ239" i="7"/>
  <c r="C239" i="7" s="1"/>
  <c r="AK239" i="7"/>
  <c r="D239" i="7" s="1"/>
  <c r="AL239" i="7"/>
  <c r="E239" i="7" s="1"/>
  <c r="B238" i="7"/>
  <c r="BK239" i="7" l="1"/>
  <c r="BL239" i="7"/>
  <c r="F239" i="7"/>
  <c r="BJ239" i="7"/>
  <c r="BM239" i="7" l="1"/>
  <c r="N240" i="7" s="1"/>
  <c r="AP240" i="7" l="1"/>
  <c r="BG240" i="7" s="1"/>
  <c r="AQ240" i="7"/>
  <c r="BH240" i="7" s="1"/>
  <c r="AR240" i="7"/>
  <c r="BI240" i="7" s="1"/>
  <c r="AK240" i="7"/>
  <c r="D240" i="7" s="1"/>
  <c r="AL240" i="7"/>
  <c r="E240" i="7" s="1"/>
  <c r="AJ240" i="7"/>
  <c r="C240" i="7" s="1"/>
  <c r="B239" i="7"/>
  <c r="BL240" i="7" l="1"/>
  <c r="F240" i="7"/>
  <c r="BJ240" i="7"/>
  <c r="BK240" i="7"/>
  <c r="BM240" i="7" l="1"/>
  <c r="N241" i="7" s="1"/>
  <c r="AP241" i="7" l="1"/>
  <c r="BG241" i="7" s="1"/>
  <c r="AQ241" i="7"/>
  <c r="BH241" i="7" s="1"/>
  <c r="AR241" i="7"/>
  <c r="BI241" i="7" s="1"/>
  <c r="AL241" i="7"/>
  <c r="E241" i="7" s="1"/>
  <c r="AJ241" i="7"/>
  <c r="C241" i="7" s="1"/>
  <c r="AK241" i="7"/>
  <c r="D241" i="7" s="1"/>
  <c r="B240" i="7"/>
  <c r="BK241" i="7" l="1"/>
  <c r="BL241" i="7"/>
  <c r="F241" i="7"/>
  <c r="BJ241" i="7"/>
  <c r="BM241" i="7" l="1"/>
  <c r="N242" i="7" s="1"/>
  <c r="AQ242" i="7" l="1"/>
  <c r="BH242" i="7" s="1"/>
  <c r="AR242" i="7"/>
  <c r="BI242" i="7" s="1"/>
  <c r="AP242" i="7"/>
  <c r="BG242" i="7" s="1"/>
  <c r="AJ242" i="7"/>
  <c r="C242" i="7" s="1"/>
  <c r="AK242" i="7"/>
  <c r="D242" i="7" s="1"/>
  <c r="AL242" i="7"/>
  <c r="E242" i="7" s="1"/>
  <c r="B241" i="7"/>
  <c r="BK242" i="7" l="1"/>
  <c r="F242" i="7"/>
  <c r="BJ242" i="7"/>
  <c r="BL242" i="7"/>
  <c r="BM242" i="7" l="1"/>
  <c r="N243" i="7" s="1"/>
  <c r="AR243" i="7" l="1"/>
  <c r="BI243" i="7" s="1"/>
  <c r="AP243" i="7"/>
  <c r="BG243" i="7" s="1"/>
  <c r="AQ243" i="7"/>
  <c r="BH243" i="7" s="1"/>
  <c r="AJ243" i="7"/>
  <c r="C243" i="7" s="1"/>
  <c r="AK243" i="7"/>
  <c r="D243" i="7" s="1"/>
  <c r="AL243" i="7"/>
  <c r="E243" i="7" s="1"/>
  <c r="B242" i="7"/>
  <c r="BL243" i="7" l="1"/>
  <c r="BK243" i="7"/>
  <c r="F243" i="7"/>
  <c r="BJ243" i="7"/>
  <c r="BM243" i="7" l="1"/>
  <c r="N244" i="7" s="1"/>
  <c r="AP244" i="7" l="1"/>
  <c r="BG244" i="7" s="1"/>
  <c r="AQ244" i="7"/>
  <c r="BH244" i="7" s="1"/>
  <c r="AR244" i="7"/>
  <c r="BI244" i="7" s="1"/>
  <c r="AK244" i="7"/>
  <c r="D244" i="7" s="1"/>
  <c r="AL244" i="7"/>
  <c r="E244" i="7" s="1"/>
  <c r="AJ244" i="7"/>
  <c r="C244" i="7" s="1"/>
  <c r="B243" i="7"/>
  <c r="BK244" i="7" l="1"/>
  <c r="F244" i="7"/>
  <c r="BJ244" i="7"/>
  <c r="BL244" i="7"/>
  <c r="BM244" i="7" l="1"/>
  <c r="N245" i="7" s="1"/>
  <c r="AP245" i="7" l="1"/>
  <c r="BG245" i="7" s="1"/>
  <c r="AQ245" i="7"/>
  <c r="BH245" i="7" s="1"/>
  <c r="AR245" i="7"/>
  <c r="BI245" i="7" s="1"/>
  <c r="AL245" i="7"/>
  <c r="E245" i="7" s="1"/>
  <c r="AJ245" i="7"/>
  <c r="C245" i="7" s="1"/>
  <c r="AK245" i="7"/>
  <c r="D245" i="7" s="1"/>
  <c r="B244" i="7"/>
  <c r="BK245" i="7" l="1"/>
  <c r="F245" i="7"/>
  <c r="BJ245" i="7"/>
  <c r="BL245" i="7"/>
  <c r="BM245" i="7" l="1"/>
  <c r="N246" i="7" s="1"/>
  <c r="AQ246" i="7" l="1"/>
  <c r="BH246" i="7" s="1"/>
  <c r="AR246" i="7"/>
  <c r="BI246" i="7" s="1"/>
  <c r="AP246" i="7"/>
  <c r="BG246" i="7" s="1"/>
  <c r="AJ246" i="7"/>
  <c r="C246" i="7" s="1"/>
  <c r="AK246" i="7"/>
  <c r="D246" i="7" s="1"/>
  <c r="AL246" i="7"/>
  <c r="E246" i="7" s="1"/>
  <c r="B245" i="7"/>
  <c r="BK246" i="7" l="1"/>
  <c r="F246" i="7"/>
  <c r="BJ246" i="7"/>
  <c r="BL246" i="7"/>
  <c r="BM246" i="7" l="1"/>
  <c r="N247" i="7" s="1"/>
  <c r="AR247" i="7" l="1"/>
  <c r="BI247" i="7" s="1"/>
  <c r="AP247" i="7"/>
  <c r="BG247" i="7" s="1"/>
  <c r="AQ247" i="7"/>
  <c r="BH247" i="7" s="1"/>
  <c r="AJ247" i="7"/>
  <c r="C247" i="7" s="1"/>
  <c r="AK247" i="7"/>
  <c r="D247" i="7" s="1"/>
  <c r="AL247" i="7"/>
  <c r="E247" i="7" s="1"/>
  <c r="B246" i="7"/>
  <c r="BL247" i="7" l="1"/>
  <c r="BK247" i="7"/>
  <c r="F247" i="7"/>
  <c r="BJ247" i="7"/>
  <c r="BM247" i="7" l="1"/>
  <c r="N248" i="7" s="1"/>
  <c r="AP248" i="7" l="1"/>
  <c r="BG248" i="7" s="1"/>
  <c r="AQ248" i="7"/>
  <c r="BH248" i="7" s="1"/>
  <c r="AR248" i="7"/>
  <c r="BI248" i="7" s="1"/>
  <c r="AK248" i="7"/>
  <c r="D248" i="7" s="1"/>
  <c r="AL248" i="7"/>
  <c r="E248" i="7" s="1"/>
  <c r="AJ248" i="7"/>
  <c r="C248" i="7" s="1"/>
  <c r="B247" i="7"/>
  <c r="F248" i="7" l="1"/>
  <c r="BJ248" i="7"/>
  <c r="BL248" i="7"/>
  <c r="BK248" i="7"/>
  <c r="BM248" i="7" l="1"/>
  <c r="N249" i="7" s="1"/>
  <c r="AP249" i="7" l="1"/>
  <c r="BG249" i="7" s="1"/>
  <c r="AQ249" i="7"/>
  <c r="BH249" i="7" s="1"/>
  <c r="AR249" i="7"/>
  <c r="BI249" i="7" s="1"/>
  <c r="AL249" i="7"/>
  <c r="E249" i="7" s="1"/>
  <c r="AJ249" i="7"/>
  <c r="C249" i="7" s="1"/>
  <c r="AK249" i="7"/>
  <c r="D249" i="7" s="1"/>
  <c r="B248" i="7"/>
  <c r="BK249" i="7" l="1"/>
  <c r="F249" i="7"/>
  <c r="BJ249" i="7"/>
  <c r="BL249" i="7"/>
  <c r="BM249" i="7" l="1"/>
  <c r="N250" i="7" s="1"/>
  <c r="AQ250" i="7" l="1"/>
  <c r="BH250" i="7" s="1"/>
  <c r="AR250" i="7"/>
  <c r="BI250" i="7" s="1"/>
  <c r="AP250" i="7"/>
  <c r="BG250" i="7" s="1"/>
  <c r="AJ250" i="7"/>
  <c r="C250" i="7" s="1"/>
  <c r="AK250" i="7"/>
  <c r="D250" i="7" s="1"/>
  <c r="AL250" i="7"/>
  <c r="E250" i="7" s="1"/>
  <c r="B249" i="7"/>
  <c r="BK250" i="7" l="1"/>
  <c r="F250" i="7"/>
  <c r="BJ250" i="7"/>
  <c r="BL250" i="7"/>
  <c r="BM250" i="7" l="1"/>
  <c r="N251" i="7" s="1"/>
  <c r="AR251" i="7" l="1"/>
  <c r="BI251" i="7" s="1"/>
  <c r="AP251" i="7"/>
  <c r="BG251" i="7" s="1"/>
  <c r="AQ251" i="7"/>
  <c r="BH251" i="7" s="1"/>
  <c r="AJ251" i="7"/>
  <c r="C251" i="7" s="1"/>
  <c r="AK251" i="7"/>
  <c r="D251" i="7" s="1"/>
  <c r="AL251" i="7"/>
  <c r="E251" i="7" s="1"/>
  <c r="B250" i="7"/>
  <c r="BL251" i="7" l="1"/>
  <c r="BK251" i="7"/>
  <c r="F251" i="7"/>
  <c r="BJ251" i="7"/>
  <c r="BM251" i="7" l="1"/>
  <c r="N252" i="7" s="1"/>
  <c r="AP252" i="7" l="1"/>
  <c r="BG252" i="7" s="1"/>
  <c r="AQ252" i="7"/>
  <c r="BH252" i="7" s="1"/>
  <c r="AR252" i="7"/>
  <c r="BI252" i="7" s="1"/>
  <c r="AK252" i="7"/>
  <c r="D252" i="7" s="1"/>
  <c r="AL252" i="7"/>
  <c r="E252" i="7" s="1"/>
  <c r="AJ252" i="7"/>
  <c r="C252" i="7" s="1"/>
  <c r="B251" i="7"/>
  <c r="F252" i="7" l="1"/>
  <c r="BJ252" i="7"/>
  <c r="BL252" i="7"/>
  <c r="BK252" i="7"/>
  <c r="BM252" i="7" l="1"/>
  <c r="N253" i="7" s="1"/>
  <c r="AP253" i="7" l="1"/>
  <c r="BG253" i="7" s="1"/>
  <c r="AQ253" i="7"/>
  <c r="BH253" i="7" s="1"/>
  <c r="AR253" i="7"/>
  <c r="BI253" i="7" s="1"/>
  <c r="AL253" i="7"/>
  <c r="E253" i="7" s="1"/>
  <c r="AJ253" i="7"/>
  <c r="C253" i="7" s="1"/>
  <c r="AK253" i="7"/>
  <c r="D253" i="7" s="1"/>
  <c r="B252" i="7"/>
  <c r="BK253" i="7" l="1"/>
  <c r="F253" i="7"/>
  <c r="BJ253" i="7"/>
  <c r="BL253" i="7"/>
  <c r="BM253" i="7" l="1"/>
  <c r="N254" i="7" s="1"/>
  <c r="AQ254" i="7" l="1"/>
  <c r="BH254" i="7" s="1"/>
  <c r="AR254" i="7"/>
  <c r="BI254" i="7" s="1"/>
  <c r="AP254" i="7"/>
  <c r="BG254" i="7" s="1"/>
  <c r="AJ254" i="7"/>
  <c r="C254" i="7" s="1"/>
  <c r="AK254" i="7"/>
  <c r="D254" i="7" s="1"/>
  <c r="AL254" i="7"/>
  <c r="E254" i="7" s="1"/>
  <c r="B253" i="7"/>
  <c r="BK254" i="7" l="1"/>
  <c r="F254" i="7"/>
  <c r="BJ254" i="7"/>
  <c r="BL254" i="7"/>
  <c r="BM254" i="7" l="1"/>
  <c r="N255" i="7" s="1"/>
  <c r="AR255" i="7" l="1"/>
  <c r="BI255" i="7" s="1"/>
  <c r="AP255" i="7"/>
  <c r="BG255" i="7" s="1"/>
  <c r="AQ255" i="7"/>
  <c r="BH255" i="7" s="1"/>
  <c r="AJ255" i="7"/>
  <c r="C255" i="7" s="1"/>
  <c r="AK255" i="7"/>
  <c r="D255" i="7" s="1"/>
  <c r="AL255" i="7"/>
  <c r="E255" i="7" s="1"/>
  <c r="B254" i="7"/>
  <c r="BL255" i="7" l="1"/>
  <c r="BK255" i="7"/>
  <c r="F255" i="7"/>
  <c r="BJ255" i="7"/>
  <c r="BM255" i="7" l="1"/>
  <c r="N256" i="7" s="1"/>
  <c r="AP256" i="7" l="1"/>
  <c r="BG256" i="7" s="1"/>
  <c r="AQ256" i="7"/>
  <c r="BH256" i="7" s="1"/>
  <c r="AR256" i="7"/>
  <c r="BI256" i="7" s="1"/>
  <c r="AK256" i="7"/>
  <c r="D256" i="7" s="1"/>
  <c r="AL256" i="7"/>
  <c r="E256" i="7" s="1"/>
  <c r="AJ256" i="7"/>
  <c r="C256" i="7" s="1"/>
  <c r="B255" i="7"/>
  <c r="F256" i="7" l="1"/>
  <c r="BJ256" i="7"/>
  <c r="BL256" i="7"/>
  <c r="BK256" i="7"/>
  <c r="BM256" i="7" l="1"/>
  <c r="N257" i="7" s="1"/>
  <c r="AP257" i="7" l="1"/>
  <c r="BG257" i="7" s="1"/>
  <c r="AQ257" i="7"/>
  <c r="BH257" i="7" s="1"/>
  <c r="AR257" i="7"/>
  <c r="BI257" i="7" s="1"/>
  <c r="AL257" i="7"/>
  <c r="E257" i="7" s="1"/>
  <c r="AJ257" i="7"/>
  <c r="C257" i="7" s="1"/>
  <c r="AK257" i="7"/>
  <c r="D257" i="7" s="1"/>
  <c r="B256" i="7"/>
  <c r="BK257" i="7" l="1"/>
  <c r="F257" i="7"/>
  <c r="BJ257" i="7"/>
  <c r="BL257" i="7"/>
  <c r="BM257" i="7" l="1"/>
  <c r="N258" i="7" s="1"/>
  <c r="AQ258" i="7" l="1"/>
  <c r="BH258" i="7" s="1"/>
  <c r="AR258" i="7"/>
  <c r="BI258" i="7" s="1"/>
  <c r="AP258" i="7"/>
  <c r="BG258" i="7" s="1"/>
  <c r="AJ258" i="7"/>
  <c r="C258" i="7" s="1"/>
  <c r="AK258" i="7"/>
  <c r="D258" i="7" s="1"/>
  <c r="AL258" i="7"/>
  <c r="E258" i="7" s="1"/>
  <c r="B257" i="7"/>
  <c r="BK258" i="7" l="1"/>
  <c r="F258" i="7"/>
  <c r="BJ258" i="7"/>
  <c r="BL258" i="7"/>
  <c r="BM258" i="7" l="1"/>
  <c r="N259" i="7" s="1"/>
  <c r="AR259" i="7" l="1"/>
  <c r="BI259" i="7" s="1"/>
  <c r="AP259" i="7"/>
  <c r="BG259" i="7" s="1"/>
  <c r="AQ259" i="7"/>
  <c r="BH259" i="7" s="1"/>
  <c r="AJ259" i="7"/>
  <c r="C259" i="7" s="1"/>
  <c r="AK259" i="7"/>
  <c r="D259" i="7" s="1"/>
  <c r="AL259" i="7"/>
  <c r="E259" i="7" s="1"/>
  <c r="B258" i="7"/>
  <c r="F259" i="7" l="1"/>
  <c r="BJ259" i="7"/>
  <c r="BL259" i="7"/>
  <c r="BK259" i="7"/>
  <c r="BM259" i="7" l="1"/>
  <c r="N260" i="7" s="1"/>
  <c r="AP260" i="7" l="1"/>
  <c r="BG260" i="7" s="1"/>
  <c r="AQ260" i="7"/>
  <c r="BH260" i="7" s="1"/>
  <c r="AR260" i="7"/>
  <c r="BI260" i="7" s="1"/>
  <c r="AK260" i="7"/>
  <c r="D260" i="7" s="1"/>
  <c r="AL260" i="7"/>
  <c r="E260" i="7" s="1"/>
  <c r="AJ260" i="7"/>
  <c r="C260" i="7" s="1"/>
  <c r="B259" i="7"/>
  <c r="F260" i="7" l="1"/>
  <c r="BJ260" i="7"/>
  <c r="BL260" i="7"/>
  <c r="BK260" i="7"/>
  <c r="BM260" i="7" l="1"/>
  <c r="N261" i="7" s="1"/>
  <c r="AP261" i="7" l="1"/>
  <c r="BG261" i="7" s="1"/>
  <c r="AQ261" i="7"/>
  <c r="BH261" i="7" s="1"/>
  <c r="AR261" i="7"/>
  <c r="BI261" i="7" s="1"/>
  <c r="AL261" i="7"/>
  <c r="E261" i="7" s="1"/>
  <c r="AJ261" i="7"/>
  <c r="C261" i="7" s="1"/>
  <c r="AK261" i="7"/>
  <c r="D261" i="7" s="1"/>
  <c r="B260" i="7"/>
  <c r="BK261" i="7" l="1"/>
  <c r="F261" i="7"/>
  <c r="BJ261" i="7"/>
  <c r="BL261" i="7"/>
  <c r="BM261" i="7" l="1"/>
  <c r="N262" i="7" s="1"/>
  <c r="AQ262" i="7" l="1"/>
  <c r="BH262" i="7" s="1"/>
  <c r="AR262" i="7"/>
  <c r="BI262" i="7" s="1"/>
  <c r="AP262" i="7"/>
  <c r="BG262" i="7" s="1"/>
  <c r="AJ262" i="7"/>
  <c r="C262" i="7" s="1"/>
  <c r="AK262" i="7"/>
  <c r="D262" i="7" s="1"/>
  <c r="AL262" i="7"/>
  <c r="E262" i="7" s="1"/>
  <c r="B261" i="7"/>
  <c r="F262" i="7" l="1"/>
  <c r="BJ262" i="7"/>
  <c r="BK262" i="7"/>
  <c r="BL262" i="7"/>
  <c r="BM262" i="7" l="1"/>
  <c r="N263" i="7" s="1"/>
  <c r="AR263" i="7" l="1"/>
  <c r="BI263" i="7" s="1"/>
  <c r="AP263" i="7"/>
  <c r="BG263" i="7" s="1"/>
  <c r="AQ263" i="7"/>
  <c r="BH263" i="7" s="1"/>
  <c r="AJ263" i="7"/>
  <c r="C263" i="7" s="1"/>
  <c r="AK263" i="7"/>
  <c r="D263" i="7" s="1"/>
  <c r="AL263" i="7"/>
  <c r="E263" i="7" s="1"/>
  <c r="B262" i="7"/>
  <c r="BK263" i="7" l="1"/>
  <c r="BL263" i="7"/>
  <c r="F263" i="7"/>
  <c r="BJ263" i="7"/>
  <c r="BM263" i="7" l="1"/>
  <c r="N264" i="7" s="1"/>
  <c r="AP264" i="7" l="1"/>
  <c r="BG264" i="7" s="1"/>
  <c r="AQ264" i="7"/>
  <c r="BH264" i="7" s="1"/>
  <c r="AR264" i="7"/>
  <c r="BI264" i="7" s="1"/>
  <c r="AK264" i="7"/>
  <c r="D264" i="7" s="1"/>
  <c r="AL264" i="7"/>
  <c r="E264" i="7" s="1"/>
  <c r="AJ264" i="7"/>
  <c r="C264" i="7" s="1"/>
  <c r="B263" i="7"/>
  <c r="F264" i="7" l="1"/>
  <c r="BJ264" i="7"/>
  <c r="BL264" i="7"/>
  <c r="BK264" i="7"/>
  <c r="BM264" i="7" l="1"/>
  <c r="N265" i="7" s="1"/>
  <c r="AP265" i="7" l="1"/>
  <c r="BG265" i="7" s="1"/>
  <c r="AQ265" i="7"/>
  <c r="BH265" i="7" s="1"/>
  <c r="AR265" i="7"/>
  <c r="BI265" i="7" s="1"/>
  <c r="AL265" i="7"/>
  <c r="E265" i="7" s="1"/>
  <c r="AJ265" i="7"/>
  <c r="C265" i="7" s="1"/>
  <c r="AK265" i="7"/>
  <c r="D265" i="7" s="1"/>
  <c r="B264" i="7"/>
  <c r="F265" i="7" l="1"/>
  <c r="BJ265" i="7"/>
  <c r="BK265" i="7"/>
  <c r="BL265" i="7"/>
  <c r="BM265" i="7" l="1"/>
  <c r="N266" i="7" s="1"/>
  <c r="AQ266" i="7" l="1"/>
  <c r="BH266" i="7" s="1"/>
  <c r="AR266" i="7"/>
  <c r="BI266" i="7" s="1"/>
  <c r="AP266" i="7"/>
  <c r="BG266" i="7" s="1"/>
  <c r="AJ266" i="7"/>
  <c r="C266" i="7" s="1"/>
  <c r="AK266" i="7"/>
  <c r="D266" i="7" s="1"/>
  <c r="AL266" i="7"/>
  <c r="E266" i="7" s="1"/>
  <c r="B265" i="7"/>
  <c r="F266" i="7" l="1"/>
  <c r="BJ266" i="7"/>
  <c r="BK266" i="7"/>
  <c r="BL266" i="7"/>
  <c r="BM266" i="7" l="1"/>
  <c r="N267" i="7" s="1"/>
  <c r="AR267" i="7" l="1"/>
  <c r="BI267" i="7" s="1"/>
  <c r="AP267" i="7"/>
  <c r="BG267" i="7" s="1"/>
  <c r="AQ267" i="7"/>
  <c r="BH267" i="7" s="1"/>
  <c r="AJ267" i="7"/>
  <c r="C267" i="7" s="1"/>
  <c r="AK267" i="7"/>
  <c r="D267" i="7" s="1"/>
  <c r="AL267" i="7"/>
  <c r="E267" i="7" s="1"/>
  <c r="B266" i="7"/>
  <c r="BL267" i="7" l="1"/>
  <c r="F267" i="7"/>
  <c r="BJ267" i="7"/>
  <c r="BK267" i="7"/>
  <c r="BM267" i="7" l="1"/>
  <c r="N268" i="7" s="1"/>
  <c r="AP268" i="7" l="1"/>
  <c r="BG268" i="7" s="1"/>
  <c r="AQ268" i="7"/>
  <c r="BH268" i="7" s="1"/>
  <c r="AR268" i="7"/>
  <c r="BI268" i="7" s="1"/>
  <c r="AK268" i="7"/>
  <c r="D268" i="7" s="1"/>
  <c r="AL268" i="7"/>
  <c r="E268" i="7" s="1"/>
  <c r="AJ268" i="7"/>
  <c r="C268" i="7" s="1"/>
  <c r="B267" i="7"/>
  <c r="BL268" i="7" l="1"/>
  <c r="F268" i="7"/>
  <c r="BJ268" i="7"/>
  <c r="BK268" i="7"/>
  <c r="BM268" i="7" l="1"/>
  <c r="N269" i="7" s="1"/>
  <c r="AP269" i="7" l="1"/>
  <c r="BG269" i="7" s="1"/>
  <c r="AQ269" i="7"/>
  <c r="BH269" i="7" s="1"/>
  <c r="AR269" i="7"/>
  <c r="BI269" i="7" s="1"/>
  <c r="AL269" i="7"/>
  <c r="E269" i="7" s="1"/>
  <c r="AJ269" i="7"/>
  <c r="C269" i="7" s="1"/>
  <c r="AK269" i="7"/>
  <c r="D269" i="7" s="1"/>
  <c r="B268" i="7"/>
  <c r="BK269" i="7" l="1"/>
  <c r="F269" i="7"/>
  <c r="BJ269" i="7"/>
  <c r="BL269" i="7"/>
  <c r="BM269" i="7" l="1"/>
  <c r="N270" i="7" s="1"/>
  <c r="AQ270" i="7" l="1"/>
  <c r="BH270" i="7" s="1"/>
  <c r="AR270" i="7"/>
  <c r="BI270" i="7" s="1"/>
  <c r="AP270" i="7"/>
  <c r="BG270" i="7" s="1"/>
  <c r="AJ270" i="7"/>
  <c r="C270" i="7" s="1"/>
  <c r="AK270" i="7"/>
  <c r="D270" i="7" s="1"/>
  <c r="AL270" i="7"/>
  <c r="E270" i="7" s="1"/>
  <c r="B269" i="7"/>
  <c r="F270" i="7" l="1"/>
  <c r="BJ270" i="7"/>
  <c r="BK270" i="7"/>
  <c r="BL270" i="7"/>
  <c r="BM270" i="7" l="1"/>
  <c r="N271" i="7" s="1"/>
  <c r="AR271" i="7" l="1"/>
  <c r="BI271" i="7" s="1"/>
  <c r="AP271" i="7"/>
  <c r="BG271" i="7" s="1"/>
  <c r="AQ271" i="7"/>
  <c r="BH271" i="7" s="1"/>
  <c r="AJ271" i="7"/>
  <c r="C271" i="7" s="1"/>
  <c r="AK271" i="7"/>
  <c r="D271" i="7" s="1"/>
  <c r="AL271" i="7"/>
  <c r="E271" i="7" s="1"/>
  <c r="B270" i="7"/>
  <c r="BK271" i="7" l="1"/>
  <c r="BL271" i="7"/>
  <c r="F271" i="7"/>
  <c r="BJ271" i="7"/>
  <c r="BM271" i="7" l="1"/>
  <c r="N272" i="7" s="1"/>
  <c r="AP272" i="7" l="1"/>
  <c r="BG272" i="7" s="1"/>
  <c r="AQ272" i="7"/>
  <c r="BH272" i="7" s="1"/>
  <c r="AR272" i="7"/>
  <c r="BI272" i="7" s="1"/>
  <c r="AK272" i="7"/>
  <c r="D272" i="7" s="1"/>
  <c r="AL272" i="7"/>
  <c r="E272" i="7" s="1"/>
  <c r="AJ272" i="7"/>
  <c r="C272" i="7" s="1"/>
  <c r="B271" i="7"/>
  <c r="F272" i="7" l="1"/>
  <c r="BJ272" i="7"/>
  <c r="BL272" i="7"/>
  <c r="BK272" i="7"/>
  <c r="BM272" i="7" l="1"/>
  <c r="N273" i="7" s="1"/>
  <c r="AP273" i="7" l="1"/>
  <c r="BG273" i="7" s="1"/>
  <c r="AQ273" i="7"/>
  <c r="BH273" i="7" s="1"/>
  <c r="AR273" i="7"/>
  <c r="BI273" i="7" s="1"/>
  <c r="AL273" i="7"/>
  <c r="E273" i="7" s="1"/>
  <c r="AJ273" i="7"/>
  <c r="C273" i="7" s="1"/>
  <c r="AK273" i="7"/>
  <c r="D273" i="7" s="1"/>
  <c r="B272" i="7"/>
  <c r="BK273" i="7" l="1"/>
  <c r="F273" i="7"/>
  <c r="BJ273" i="7"/>
  <c r="BL273" i="7"/>
  <c r="BM273" i="7" l="1"/>
  <c r="N274" i="7" s="1"/>
  <c r="AQ274" i="7" l="1"/>
  <c r="BH274" i="7" s="1"/>
  <c r="AR274" i="7"/>
  <c r="BI274" i="7" s="1"/>
  <c r="AP274" i="7"/>
  <c r="BG274" i="7" s="1"/>
  <c r="AJ274" i="7"/>
  <c r="C274" i="7" s="1"/>
  <c r="AK274" i="7"/>
  <c r="D274" i="7" s="1"/>
  <c r="AL274" i="7"/>
  <c r="E274" i="7" s="1"/>
  <c r="B273" i="7"/>
  <c r="BK274" i="7" l="1"/>
  <c r="F274" i="7"/>
  <c r="BJ274" i="7"/>
  <c r="BL274" i="7"/>
  <c r="BM274" i="7" l="1"/>
  <c r="N275" i="7" s="1"/>
  <c r="AR275" i="7" l="1"/>
  <c r="BI275" i="7" s="1"/>
  <c r="AP275" i="7"/>
  <c r="BG275" i="7" s="1"/>
  <c r="AQ275" i="7"/>
  <c r="BH275" i="7" s="1"/>
  <c r="AJ275" i="7"/>
  <c r="C275" i="7" s="1"/>
  <c r="AK275" i="7"/>
  <c r="D275" i="7" s="1"/>
  <c r="AL275" i="7"/>
  <c r="E275" i="7" s="1"/>
  <c r="B274" i="7"/>
  <c r="BL275" i="7" l="1"/>
  <c r="BK275" i="7"/>
  <c r="F275" i="7"/>
  <c r="BJ275" i="7"/>
  <c r="BM275" i="7" l="1"/>
  <c r="N276" i="7" s="1"/>
  <c r="AP276" i="7" l="1"/>
  <c r="BG276" i="7" s="1"/>
  <c r="AQ276" i="7"/>
  <c r="BH276" i="7" s="1"/>
  <c r="AR276" i="7"/>
  <c r="BI276" i="7" s="1"/>
  <c r="AK276" i="7"/>
  <c r="D276" i="7" s="1"/>
  <c r="AL276" i="7"/>
  <c r="E276" i="7" s="1"/>
  <c r="AJ276" i="7"/>
  <c r="C276" i="7" s="1"/>
  <c r="B275" i="7"/>
  <c r="F276" i="7" l="1"/>
  <c r="BJ276" i="7"/>
  <c r="BL276" i="7"/>
  <c r="BK276" i="7"/>
  <c r="BM276" i="7" l="1"/>
  <c r="N277" i="7" s="1"/>
  <c r="AP277" i="7" l="1"/>
  <c r="BG277" i="7" s="1"/>
  <c r="AQ277" i="7"/>
  <c r="BH277" i="7" s="1"/>
  <c r="AR277" i="7"/>
  <c r="BI277" i="7" s="1"/>
  <c r="AL277" i="7"/>
  <c r="E277" i="7" s="1"/>
  <c r="AJ277" i="7"/>
  <c r="C277" i="7" s="1"/>
  <c r="AK277" i="7"/>
  <c r="D277" i="7" s="1"/>
  <c r="B276" i="7"/>
  <c r="BK277" i="7" l="1"/>
  <c r="F277" i="7"/>
  <c r="BJ277" i="7"/>
  <c r="BL277" i="7"/>
  <c r="BM277" i="7" l="1"/>
  <c r="N278" i="7" s="1"/>
  <c r="AQ278" i="7" l="1"/>
  <c r="BH278" i="7" s="1"/>
  <c r="AR278" i="7"/>
  <c r="BI278" i="7" s="1"/>
  <c r="AP278" i="7"/>
  <c r="BG278" i="7" s="1"/>
  <c r="AJ278" i="7"/>
  <c r="C278" i="7" s="1"/>
  <c r="AK278" i="7"/>
  <c r="D278" i="7" s="1"/>
  <c r="AL278" i="7"/>
  <c r="E278" i="7" s="1"/>
  <c r="B277" i="7"/>
  <c r="BK278" i="7" l="1"/>
  <c r="F278" i="7"/>
  <c r="BJ278" i="7"/>
  <c r="BL278" i="7"/>
  <c r="BM278" i="7" l="1"/>
  <c r="N279" i="7" s="1"/>
  <c r="AR279" i="7" l="1"/>
  <c r="BI279" i="7" s="1"/>
  <c r="AP279" i="7"/>
  <c r="BG279" i="7" s="1"/>
  <c r="AQ279" i="7"/>
  <c r="BH279" i="7" s="1"/>
  <c r="AJ279" i="7"/>
  <c r="C279" i="7" s="1"/>
  <c r="AK279" i="7"/>
  <c r="D279" i="7" s="1"/>
  <c r="AL279" i="7"/>
  <c r="E279" i="7" s="1"/>
  <c r="B278" i="7"/>
  <c r="BK279" i="7" l="1"/>
  <c r="BL279" i="7"/>
  <c r="F279" i="7"/>
  <c r="BJ279" i="7"/>
  <c r="BM279" i="7" l="1"/>
  <c r="N280" i="7" s="1"/>
  <c r="AP280" i="7" l="1"/>
  <c r="BG280" i="7" s="1"/>
  <c r="AQ280" i="7"/>
  <c r="BH280" i="7" s="1"/>
  <c r="AR280" i="7"/>
  <c r="BI280" i="7" s="1"/>
  <c r="AK280" i="7"/>
  <c r="D280" i="7" s="1"/>
  <c r="AL280" i="7"/>
  <c r="E280" i="7" s="1"/>
  <c r="AJ280" i="7"/>
  <c r="C280" i="7" s="1"/>
  <c r="B279" i="7"/>
  <c r="F280" i="7" l="1"/>
  <c r="BJ280" i="7"/>
  <c r="BL280" i="7"/>
  <c r="BK280" i="7"/>
  <c r="BM280" i="7" l="1"/>
  <c r="N281" i="7" s="1"/>
  <c r="AP281" i="7" l="1"/>
  <c r="BG281" i="7" s="1"/>
  <c r="AQ281" i="7"/>
  <c r="BH281" i="7" s="1"/>
  <c r="AR281" i="7"/>
  <c r="BI281" i="7" s="1"/>
  <c r="AL281" i="7"/>
  <c r="E281" i="7" s="1"/>
  <c r="AJ281" i="7"/>
  <c r="C281" i="7" s="1"/>
  <c r="AK281" i="7"/>
  <c r="D281" i="7" s="1"/>
  <c r="B280" i="7"/>
  <c r="BK281" i="7" l="1"/>
  <c r="F281" i="7"/>
  <c r="BJ281" i="7"/>
  <c r="BL281" i="7"/>
  <c r="BM281" i="7" l="1"/>
  <c r="N282" i="7" s="1"/>
  <c r="AQ282" i="7" l="1"/>
  <c r="BH282" i="7" s="1"/>
  <c r="AR282" i="7"/>
  <c r="BI282" i="7" s="1"/>
  <c r="AP282" i="7"/>
  <c r="BG282" i="7" s="1"/>
  <c r="AJ282" i="7"/>
  <c r="C282" i="7" s="1"/>
  <c r="AK282" i="7"/>
  <c r="D282" i="7" s="1"/>
  <c r="AL282" i="7"/>
  <c r="E282" i="7" s="1"/>
  <c r="B281" i="7"/>
  <c r="BK282" i="7" l="1"/>
  <c r="F282" i="7"/>
  <c r="BJ282" i="7"/>
  <c r="BL282" i="7"/>
  <c r="BM282" i="7" l="1"/>
  <c r="N283" i="7" s="1"/>
  <c r="AR283" i="7" l="1"/>
  <c r="BI283" i="7" s="1"/>
  <c r="AP283" i="7"/>
  <c r="BG283" i="7" s="1"/>
  <c r="AQ283" i="7"/>
  <c r="BH283" i="7" s="1"/>
  <c r="AJ283" i="7"/>
  <c r="C283" i="7" s="1"/>
  <c r="AK283" i="7"/>
  <c r="D283" i="7" s="1"/>
  <c r="AL283" i="7"/>
  <c r="E283" i="7" s="1"/>
  <c r="B282" i="7"/>
  <c r="BL283" i="7" l="1"/>
  <c r="BK283" i="7"/>
  <c r="F283" i="7"/>
  <c r="BJ283" i="7"/>
  <c r="BM283" i="7" l="1"/>
  <c r="N284" i="7" s="1"/>
  <c r="AP284" i="7" l="1"/>
  <c r="BG284" i="7" s="1"/>
  <c r="AQ284" i="7"/>
  <c r="BH284" i="7" s="1"/>
  <c r="AR284" i="7"/>
  <c r="BI284" i="7" s="1"/>
  <c r="AK284" i="7"/>
  <c r="D284" i="7" s="1"/>
  <c r="AL284" i="7"/>
  <c r="E284" i="7" s="1"/>
  <c r="AJ284" i="7"/>
  <c r="C284" i="7" s="1"/>
  <c r="B283" i="7"/>
  <c r="BL284" i="7" l="1"/>
  <c r="F284" i="7"/>
  <c r="BJ284" i="7"/>
  <c r="BK284" i="7"/>
  <c r="BM284" i="7" l="1"/>
  <c r="N285" i="7" s="1"/>
  <c r="AP285" i="7" l="1"/>
  <c r="BG285" i="7" s="1"/>
  <c r="AQ285" i="7"/>
  <c r="BH285" i="7" s="1"/>
  <c r="AR285" i="7"/>
  <c r="BI285" i="7" s="1"/>
  <c r="AL285" i="7"/>
  <c r="E285" i="7" s="1"/>
  <c r="AJ285" i="7"/>
  <c r="C285" i="7" s="1"/>
  <c r="AK285" i="7"/>
  <c r="D285" i="7" s="1"/>
  <c r="B284" i="7"/>
  <c r="F285" i="7" l="1"/>
  <c r="BJ285" i="7"/>
  <c r="BK285" i="7"/>
  <c r="BL285" i="7"/>
  <c r="BM285" i="7" l="1"/>
  <c r="N286" i="7" s="1"/>
  <c r="AQ286" i="7" l="1"/>
  <c r="BH286" i="7" s="1"/>
  <c r="AR286" i="7"/>
  <c r="BI286" i="7" s="1"/>
  <c r="AP286" i="7"/>
  <c r="BG286" i="7" s="1"/>
  <c r="AJ286" i="7"/>
  <c r="C286" i="7" s="1"/>
  <c r="AK286" i="7"/>
  <c r="D286" i="7" s="1"/>
  <c r="AL286" i="7"/>
  <c r="E286" i="7" s="1"/>
  <c r="B285" i="7"/>
  <c r="BK286" i="7" l="1"/>
  <c r="F286" i="7"/>
  <c r="BJ286" i="7"/>
  <c r="BL286" i="7"/>
  <c r="BM286" i="7" l="1"/>
  <c r="N287" i="7" s="1"/>
  <c r="AR287" i="7" l="1"/>
  <c r="BI287" i="7" s="1"/>
  <c r="AP287" i="7"/>
  <c r="BG287" i="7" s="1"/>
  <c r="AQ287" i="7"/>
  <c r="BH287" i="7" s="1"/>
  <c r="AJ287" i="7"/>
  <c r="C287" i="7" s="1"/>
  <c r="AK287" i="7"/>
  <c r="D287" i="7" s="1"/>
  <c r="AL287" i="7"/>
  <c r="E287" i="7" s="1"/>
  <c r="B286" i="7"/>
  <c r="BL287" i="7" l="1"/>
  <c r="BK287" i="7"/>
  <c r="F287" i="7"/>
  <c r="BJ287" i="7"/>
  <c r="BM287" i="7" l="1"/>
  <c r="N288" i="7" s="1"/>
  <c r="AP288" i="7" l="1"/>
  <c r="BG288" i="7" s="1"/>
  <c r="AQ288" i="7"/>
  <c r="BH288" i="7" s="1"/>
  <c r="AR288" i="7"/>
  <c r="BI288" i="7" s="1"/>
  <c r="AK288" i="7"/>
  <c r="D288" i="7" s="1"/>
  <c r="AL288" i="7"/>
  <c r="E288" i="7" s="1"/>
  <c r="AJ288" i="7"/>
  <c r="C288" i="7" s="1"/>
  <c r="B287" i="7"/>
  <c r="F288" i="7" l="1"/>
  <c r="BJ288" i="7"/>
  <c r="BL288" i="7"/>
  <c r="BK288" i="7"/>
  <c r="BM288" i="7" l="1"/>
  <c r="N289" i="7" s="1"/>
  <c r="AP289" i="7" l="1"/>
  <c r="BG289" i="7" s="1"/>
  <c r="AQ289" i="7"/>
  <c r="BH289" i="7" s="1"/>
  <c r="AR289" i="7"/>
  <c r="BI289" i="7" s="1"/>
  <c r="AL289" i="7"/>
  <c r="E289" i="7" s="1"/>
  <c r="AJ289" i="7"/>
  <c r="C289" i="7" s="1"/>
  <c r="AK289" i="7"/>
  <c r="D289" i="7" s="1"/>
  <c r="B288" i="7"/>
  <c r="BK289" i="7" l="1"/>
  <c r="F289" i="7"/>
  <c r="BJ289" i="7"/>
  <c r="BL289" i="7"/>
  <c r="BM289" i="7" l="1"/>
  <c r="N290" i="7" s="1"/>
  <c r="AQ290" i="7" l="1"/>
  <c r="BH290" i="7" s="1"/>
  <c r="AR290" i="7"/>
  <c r="BI290" i="7" s="1"/>
  <c r="AP290" i="7"/>
  <c r="BG290" i="7" s="1"/>
  <c r="AJ290" i="7"/>
  <c r="C290" i="7" s="1"/>
  <c r="AK290" i="7"/>
  <c r="D290" i="7" s="1"/>
  <c r="AL290" i="7"/>
  <c r="E290" i="7" s="1"/>
  <c r="B289" i="7"/>
  <c r="BK290" i="7" l="1"/>
  <c r="F290" i="7"/>
  <c r="BJ290" i="7"/>
  <c r="BL290" i="7"/>
  <c r="BM290" i="7" l="1"/>
  <c r="N291" i="7" s="1"/>
  <c r="AR291" i="7" l="1"/>
  <c r="BI291" i="7" s="1"/>
  <c r="AP291" i="7"/>
  <c r="BG291" i="7" s="1"/>
  <c r="AQ291" i="7"/>
  <c r="BH291" i="7" s="1"/>
  <c r="AJ291" i="7"/>
  <c r="C291" i="7" s="1"/>
  <c r="AK291" i="7"/>
  <c r="D291" i="7" s="1"/>
  <c r="AL291" i="7"/>
  <c r="E291" i="7" s="1"/>
  <c r="B290" i="7"/>
  <c r="BL291" i="7" l="1"/>
  <c r="BK291" i="7"/>
  <c r="F291" i="7"/>
  <c r="BJ291" i="7"/>
  <c r="BM291" i="7" l="1"/>
  <c r="N292" i="7" s="1"/>
  <c r="AP292" i="7" l="1"/>
  <c r="BG292" i="7" s="1"/>
  <c r="AQ292" i="7"/>
  <c r="BH292" i="7" s="1"/>
  <c r="AR292" i="7"/>
  <c r="BI292" i="7" s="1"/>
  <c r="AK292" i="7"/>
  <c r="D292" i="7" s="1"/>
  <c r="AL292" i="7"/>
  <c r="E292" i="7" s="1"/>
  <c r="AJ292" i="7"/>
  <c r="C292" i="7" s="1"/>
  <c r="B291" i="7"/>
  <c r="BL292" i="7" l="1"/>
  <c r="F292" i="7"/>
  <c r="BJ292" i="7"/>
  <c r="BK292" i="7"/>
  <c r="BM292" i="7" l="1"/>
  <c r="N293" i="7" s="1"/>
  <c r="AP293" i="7" l="1"/>
  <c r="BG293" i="7" s="1"/>
  <c r="AQ293" i="7"/>
  <c r="BH293" i="7" s="1"/>
  <c r="AR293" i="7"/>
  <c r="BI293" i="7" s="1"/>
  <c r="AL293" i="7"/>
  <c r="E293" i="7" s="1"/>
  <c r="AJ293" i="7"/>
  <c r="C293" i="7" s="1"/>
  <c r="AK293" i="7"/>
  <c r="D293" i="7" s="1"/>
  <c r="B292" i="7"/>
  <c r="BL293" i="7" l="1"/>
  <c r="BK293" i="7"/>
  <c r="F293" i="7"/>
  <c r="BJ293" i="7"/>
  <c r="BM293" i="7" l="1"/>
  <c r="N294" i="7" s="1"/>
  <c r="AQ294" i="7" l="1"/>
  <c r="BH294" i="7" s="1"/>
  <c r="AR294" i="7"/>
  <c r="BI294" i="7" s="1"/>
  <c r="AP294" i="7"/>
  <c r="BG294" i="7" s="1"/>
  <c r="AJ294" i="7"/>
  <c r="C294" i="7" s="1"/>
  <c r="AK294" i="7"/>
  <c r="D294" i="7" s="1"/>
  <c r="AL294" i="7"/>
  <c r="E294" i="7" s="1"/>
  <c r="B293" i="7"/>
  <c r="BK294" i="7" l="1"/>
  <c r="F294" i="7"/>
  <c r="BJ294" i="7"/>
  <c r="BL294" i="7"/>
  <c r="BM294" i="7" l="1"/>
  <c r="N295" i="7" s="1"/>
  <c r="AR295" i="7" l="1"/>
  <c r="BI295" i="7" s="1"/>
  <c r="AP295" i="7"/>
  <c r="BG295" i="7" s="1"/>
  <c r="AQ295" i="7"/>
  <c r="BH295" i="7" s="1"/>
  <c r="AJ295" i="7"/>
  <c r="C295" i="7" s="1"/>
  <c r="AK295" i="7"/>
  <c r="D295" i="7" s="1"/>
  <c r="AL295" i="7"/>
  <c r="E295" i="7" s="1"/>
  <c r="B294" i="7"/>
  <c r="F295" i="7" l="1"/>
  <c r="BJ295" i="7"/>
  <c r="BL295" i="7"/>
  <c r="BK295" i="7"/>
  <c r="BM295" i="7" l="1"/>
  <c r="N296" i="7" s="1"/>
  <c r="AP296" i="7" l="1"/>
  <c r="BG296" i="7" s="1"/>
  <c r="AQ296" i="7"/>
  <c r="BH296" i="7" s="1"/>
  <c r="AR296" i="7"/>
  <c r="BI296" i="7" s="1"/>
  <c r="AK296" i="7"/>
  <c r="D296" i="7" s="1"/>
  <c r="AL296" i="7"/>
  <c r="E296" i="7" s="1"/>
  <c r="AJ296" i="7"/>
  <c r="C296" i="7" s="1"/>
  <c r="B295" i="7"/>
  <c r="F296" i="7" l="1"/>
  <c r="BJ296" i="7"/>
  <c r="BL296" i="7"/>
  <c r="BK296" i="7"/>
  <c r="BM296" i="7" l="1"/>
  <c r="N297" i="7" s="1"/>
  <c r="AP297" i="7" l="1"/>
  <c r="BG297" i="7" s="1"/>
  <c r="AQ297" i="7"/>
  <c r="BH297" i="7" s="1"/>
  <c r="AR297" i="7"/>
  <c r="BI297" i="7" s="1"/>
  <c r="AL297" i="7"/>
  <c r="E297" i="7" s="1"/>
  <c r="AJ297" i="7"/>
  <c r="C297" i="7" s="1"/>
  <c r="AK297" i="7"/>
  <c r="D297" i="7" s="1"/>
  <c r="B296" i="7"/>
  <c r="BK297" i="7" l="1"/>
  <c r="F297" i="7"/>
  <c r="BJ297" i="7"/>
  <c r="BL297" i="7"/>
  <c r="BM297" i="7" l="1"/>
  <c r="N298" i="7" s="1"/>
  <c r="AQ298" i="7" l="1"/>
  <c r="BH298" i="7" s="1"/>
  <c r="AR298" i="7"/>
  <c r="BI298" i="7" s="1"/>
  <c r="AP298" i="7"/>
  <c r="BG298" i="7" s="1"/>
  <c r="AJ298" i="7"/>
  <c r="C298" i="7" s="1"/>
  <c r="AK298" i="7"/>
  <c r="D298" i="7" s="1"/>
  <c r="AL298" i="7"/>
  <c r="E298" i="7" s="1"/>
  <c r="B297" i="7"/>
  <c r="BK298" i="7" l="1"/>
  <c r="F298" i="7"/>
  <c r="BJ298" i="7"/>
  <c r="BL298" i="7"/>
  <c r="BM298" i="7" l="1"/>
  <c r="N299" i="7" s="1"/>
  <c r="AR299" i="7" l="1"/>
  <c r="BI299" i="7" s="1"/>
  <c r="AP299" i="7"/>
  <c r="BG299" i="7" s="1"/>
  <c r="AQ299" i="7"/>
  <c r="BH299" i="7" s="1"/>
  <c r="AJ299" i="7"/>
  <c r="C299" i="7" s="1"/>
  <c r="AK299" i="7"/>
  <c r="D299" i="7" s="1"/>
  <c r="AL299" i="7"/>
  <c r="E299" i="7" s="1"/>
  <c r="B298" i="7"/>
  <c r="BL299" i="7" l="1"/>
  <c r="BK299" i="7"/>
  <c r="F299" i="7"/>
  <c r="BJ299" i="7"/>
  <c r="BM299" i="7" l="1"/>
  <c r="N300" i="7" s="1"/>
  <c r="AP300" i="7" l="1"/>
  <c r="BG300" i="7" s="1"/>
  <c r="AQ300" i="7"/>
  <c r="BH300" i="7" s="1"/>
  <c r="AR300" i="7"/>
  <c r="BI300" i="7" s="1"/>
  <c r="AK300" i="7"/>
  <c r="D300" i="7" s="1"/>
  <c r="AL300" i="7"/>
  <c r="E300" i="7" s="1"/>
  <c r="AJ300" i="7"/>
  <c r="C300" i="7" s="1"/>
  <c r="B299" i="7"/>
  <c r="BK300" i="7" l="1"/>
  <c r="F300" i="7"/>
  <c r="BJ300" i="7"/>
  <c r="BL300" i="7"/>
  <c r="BM300" i="7" l="1"/>
  <c r="N301" i="7" s="1"/>
  <c r="AP301" i="7" l="1"/>
  <c r="BG301" i="7" s="1"/>
  <c r="AQ301" i="7"/>
  <c r="BH301" i="7" s="1"/>
  <c r="AR301" i="7"/>
  <c r="BI301" i="7" s="1"/>
  <c r="AL301" i="7"/>
  <c r="E301" i="7" s="1"/>
  <c r="AJ301" i="7"/>
  <c r="C301" i="7" s="1"/>
  <c r="AK301" i="7"/>
  <c r="D301" i="7" s="1"/>
  <c r="B300" i="7"/>
  <c r="BK301" i="7" l="1"/>
  <c r="F301" i="7"/>
  <c r="BJ301" i="7"/>
  <c r="BL301" i="7"/>
  <c r="BM301" i="7" l="1"/>
  <c r="N302" i="7" s="1"/>
  <c r="AQ302" i="7" l="1"/>
  <c r="BH302" i="7" s="1"/>
  <c r="AR302" i="7"/>
  <c r="BI302" i="7" s="1"/>
  <c r="AP302" i="7"/>
  <c r="BG302" i="7" s="1"/>
  <c r="AJ302" i="7"/>
  <c r="C302" i="7" s="1"/>
  <c r="AK302" i="7"/>
  <c r="D302" i="7" s="1"/>
  <c r="AL302" i="7"/>
  <c r="E302" i="7" s="1"/>
  <c r="B301" i="7"/>
  <c r="BK302" i="7" l="1"/>
  <c r="F302" i="7"/>
  <c r="BJ302" i="7"/>
  <c r="BL302" i="7"/>
  <c r="BM302" i="7" l="1"/>
  <c r="N303" i="7" s="1"/>
  <c r="AR303" i="7" l="1"/>
  <c r="BI303" i="7" s="1"/>
  <c r="AP303" i="7"/>
  <c r="BG303" i="7" s="1"/>
  <c r="AQ303" i="7"/>
  <c r="BH303" i="7" s="1"/>
  <c r="AJ303" i="7"/>
  <c r="C303" i="7" s="1"/>
  <c r="AK303" i="7"/>
  <c r="D303" i="7" s="1"/>
  <c r="AL303" i="7"/>
  <c r="E303" i="7" s="1"/>
  <c r="B302" i="7"/>
  <c r="BL303" i="7" l="1"/>
  <c r="BK303" i="7"/>
  <c r="F303" i="7"/>
  <c r="BJ303" i="7"/>
  <c r="BM303" i="7" l="1"/>
  <c r="N304" i="7" s="1"/>
  <c r="AP304" i="7" l="1"/>
  <c r="BG304" i="7" s="1"/>
  <c r="AQ304" i="7"/>
  <c r="BH304" i="7" s="1"/>
  <c r="AR304" i="7"/>
  <c r="BI304" i="7" s="1"/>
  <c r="AK304" i="7"/>
  <c r="D304" i="7" s="1"/>
  <c r="AL304" i="7"/>
  <c r="E304" i="7" s="1"/>
  <c r="AJ304" i="7"/>
  <c r="C304" i="7" s="1"/>
  <c r="B303" i="7"/>
  <c r="BK304" i="7" l="1"/>
  <c r="F304" i="7"/>
  <c r="BJ304" i="7"/>
  <c r="BL304" i="7"/>
  <c r="BM304" i="7" l="1"/>
  <c r="N305" i="7" s="1"/>
  <c r="AP305" i="7" l="1"/>
  <c r="BG305" i="7" s="1"/>
  <c r="AQ305" i="7"/>
  <c r="BH305" i="7" s="1"/>
  <c r="AR305" i="7"/>
  <c r="BI305" i="7" s="1"/>
  <c r="AL305" i="7"/>
  <c r="E305" i="7" s="1"/>
  <c r="AJ305" i="7"/>
  <c r="C305" i="7" s="1"/>
  <c r="AK305" i="7"/>
  <c r="D305" i="7" s="1"/>
  <c r="B304" i="7"/>
  <c r="BK305" i="7" l="1"/>
  <c r="F305" i="7"/>
  <c r="BJ305" i="7"/>
  <c r="BL305" i="7"/>
  <c r="BM305" i="7" l="1"/>
  <c r="N306" i="7" s="1"/>
  <c r="AQ306" i="7" l="1"/>
  <c r="BH306" i="7" s="1"/>
  <c r="AR306" i="7"/>
  <c r="BI306" i="7" s="1"/>
  <c r="AP306" i="7"/>
  <c r="BG306" i="7" s="1"/>
  <c r="AJ306" i="7"/>
  <c r="C306" i="7" s="1"/>
  <c r="AK306" i="7"/>
  <c r="D306" i="7" s="1"/>
  <c r="AL306" i="7"/>
  <c r="E306" i="7" s="1"/>
  <c r="B305" i="7"/>
  <c r="BL306" i="7" l="1"/>
  <c r="BK306" i="7"/>
  <c r="F306" i="7"/>
  <c r="BJ306" i="7"/>
  <c r="BM306" i="7" l="1"/>
  <c r="N307" i="7" s="1"/>
  <c r="AR307" i="7" l="1"/>
  <c r="BI307" i="7" s="1"/>
  <c r="AP307" i="7"/>
  <c r="BG307" i="7" s="1"/>
  <c r="AQ307" i="7"/>
  <c r="BH307" i="7" s="1"/>
  <c r="AJ307" i="7"/>
  <c r="C307" i="7" s="1"/>
  <c r="AK307" i="7"/>
  <c r="D307" i="7" s="1"/>
  <c r="AL307" i="7"/>
  <c r="E307" i="7" s="1"/>
  <c r="B306" i="7"/>
  <c r="F307" i="7" l="1"/>
  <c r="BJ307" i="7"/>
  <c r="BL307" i="7"/>
  <c r="BK307" i="7"/>
  <c r="BM307" i="7" l="1"/>
  <c r="N308" i="7" s="1"/>
  <c r="AP308" i="7" l="1"/>
  <c r="BG308" i="7" s="1"/>
  <c r="AQ308" i="7"/>
  <c r="BH308" i="7" s="1"/>
  <c r="AR308" i="7"/>
  <c r="BI308" i="7" s="1"/>
  <c r="AK308" i="7"/>
  <c r="D308" i="7" s="1"/>
  <c r="AL308" i="7"/>
  <c r="E308" i="7" s="1"/>
  <c r="AJ308" i="7"/>
  <c r="C308" i="7" s="1"/>
  <c r="B307" i="7"/>
  <c r="BK308" i="7" l="1"/>
  <c r="F308" i="7"/>
  <c r="BJ308" i="7"/>
  <c r="BL308" i="7"/>
  <c r="BM308" i="7" l="1"/>
  <c r="N309" i="7" s="1"/>
  <c r="AP309" i="7" l="1"/>
  <c r="BG309" i="7" s="1"/>
  <c r="AQ309" i="7"/>
  <c r="BH309" i="7" s="1"/>
  <c r="AR309" i="7"/>
  <c r="BI309" i="7" s="1"/>
  <c r="AL309" i="7"/>
  <c r="E309" i="7" s="1"/>
  <c r="AJ309" i="7"/>
  <c r="C309" i="7" s="1"/>
  <c r="AK309" i="7"/>
  <c r="D309" i="7" s="1"/>
  <c r="B308" i="7"/>
  <c r="BK309" i="7" l="1"/>
  <c r="F309" i="7"/>
  <c r="BJ309" i="7"/>
  <c r="BL309" i="7"/>
  <c r="BM309" i="7" l="1"/>
  <c r="N310" i="7" s="1"/>
  <c r="AQ310" i="7" l="1"/>
  <c r="BH310" i="7" s="1"/>
  <c r="AR310" i="7"/>
  <c r="BI310" i="7" s="1"/>
  <c r="AP310" i="7"/>
  <c r="BG310" i="7" s="1"/>
  <c r="AJ310" i="7"/>
  <c r="C310" i="7" s="1"/>
  <c r="AK310" i="7"/>
  <c r="D310" i="7" s="1"/>
  <c r="AL310" i="7"/>
  <c r="E310" i="7" s="1"/>
  <c r="B309" i="7"/>
  <c r="F310" i="7" l="1"/>
  <c r="BJ310" i="7"/>
  <c r="BL310" i="7"/>
  <c r="BK310" i="7"/>
  <c r="BM310" i="7" l="1"/>
  <c r="N311" i="7" s="1"/>
  <c r="AR311" i="7" l="1"/>
  <c r="BI311" i="7" s="1"/>
  <c r="AP311" i="7"/>
  <c r="BG311" i="7" s="1"/>
  <c r="AQ311" i="7"/>
  <c r="BH311" i="7" s="1"/>
  <c r="AJ311" i="7"/>
  <c r="C311" i="7" s="1"/>
  <c r="AK311" i="7"/>
  <c r="D311" i="7" s="1"/>
  <c r="AL311" i="7"/>
  <c r="E311" i="7" s="1"/>
  <c r="B310" i="7"/>
  <c r="BL311" i="7" l="1"/>
  <c r="F311" i="7"/>
  <c r="BJ311" i="7"/>
  <c r="BK311" i="7"/>
  <c r="BM311" i="7" l="1"/>
  <c r="N312" i="7" s="1"/>
  <c r="AP312" i="7" l="1"/>
  <c r="BG312" i="7" s="1"/>
  <c r="AQ312" i="7"/>
  <c r="BH312" i="7" s="1"/>
  <c r="AR312" i="7"/>
  <c r="BI312" i="7" s="1"/>
  <c r="AK312" i="7"/>
  <c r="D312" i="7" s="1"/>
  <c r="AL312" i="7"/>
  <c r="E312" i="7" s="1"/>
  <c r="AJ312" i="7"/>
  <c r="C312" i="7" s="1"/>
  <c r="B311" i="7"/>
  <c r="BK312" i="7" l="1"/>
  <c r="F312" i="7"/>
  <c r="BJ312" i="7"/>
  <c r="BL312" i="7"/>
  <c r="BM312" i="7" l="1"/>
  <c r="N313" i="7" s="1"/>
  <c r="AP313" i="7" l="1"/>
  <c r="BG313" i="7" s="1"/>
  <c r="AQ313" i="7"/>
  <c r="BH313" i="7" s="1"/>
  <c r="AR313" i="7"/>
  <c r="BI313" i="7" s="1"/>
  <c r="AL313" i="7"/>
  <c r="E313" i="7" s="1"/>
  <c r="AJ313" i="7"/>
  <c r="C313" i="7" s="1"/>
  <c r="AK313" i="7"/>
  <c r="D313" i="7" s="1"/>
  <c r="B312" i="7"/>
  <c r="BK313" i="7" l="1"/>
  <c r="F313" i="7"/>
  <c r="BJ313" i="7"/>
  <c r="BL313" i="7"/>
  <c r="BM313" i="7" l="1"/>
  <c r="N314" i="7" s="1"/>
  <c r="AQ314" i="7" l="1"/>
  <c r="BH314" i="7" s="1"/>
  <c r="AR314" i="7"/>
  <c r="BI314" i="7" s="1"/>
  <c r="AP314" i="7"/>
  <c r="BG314" i="7" s="1"/>
  <c r="AJ314" i="7"/>
  <c r="C314" i="7" s="1"/>
  <c r="AK314" i="7"/>
  <c r="D314" i="7" s="1"/>
  <c r="AL314" i="7"/>
  <c r="E314" i="7" s="1"/>
  <c r="B313" i="7"/>
  <c r="BL314" i="7" l="1"/>
  <c r="BK314" i="7"/>
  <c r="F314" i="7"/>
  <c r="BJ314" i="7"/>
  <c r="BM314" i="7" l="1"/>
  <c r="N315" i="7" s="1"/>
  <c r="AR315" i="7" l="1"/>
  <c r="BI315" i="7" s="1"/>
  <c r="AP315" i="7"/>
  <c r="BG315" i="7" s="1"/>
  <c r="AQ315" i="7"/>
  <c r="BH315" i="7" s="1"/>
  <c r="AJ315" i="7"/>
  <c r="C315" i="7" s="1"/>
  <c r="AK315" i="7"/>
  <c r="D315" i="7" s="1"/>
  <c r="AL315" i="7"/>
  <c r="E315" i="7" s="1"/>
  <c r="B314" i="7"/>
  <c r="BK315" i="7" l="1"/>
  <c r="F315" i="7"/>
  <c r="BJ315" i="7"/>
  <c r="BL315" i="7"/>
  <c r="BM315" i="7" l="1"/>
  <c r="N316" i="7" s="1"/>
  <c r="AP316" i="7" l="1"/>
  <c r="BG316" i="7" s="1"/>
  <c r="AQ316" i="7"/>
  <c r="BH316" i="7" s="1"/>
  <c r="AR316" i="7"/>
  <c r="BI316" i="7" s="1"/>
  <c r="AK316" i="7"/>
  <c r="D316" i="7" s="1"/>
  <c r="AL316" i="7"/>
  <c r="E316" i="7" s="1"/>
  <c r="AJ316" i="7"/>
  <c r="C316" i="7" s="1"/>
  <c r="B315" i="7"/>
  <c r="BK316" i="7" l="1"/>
  <c r="F316" i="7"/>
  <c r="BJ316" i="7"/>
  <c r="BL316" i="7"/>
  <c r="BM316" i="7" l="1"/>
  <c r="N317" i="7" s="1"/>
  <c r="AP317" i="7" l="1"/>
  <c r="BG317" i="7" s="1"/>
  <c r="AQ317" i="7"/>
  <c r="BH317" i="7" s="1"/>
  <c r="AR317" i="7"/>
  <c r="BI317" i="7" s="1"/>
  <c r="AL317" i="7"/>
  <c r="E317" i="7" s="1"/>
  <c r="AJ317" i="7"/>
  <c r="C317" i="7" s="1"/>
  <c r="AK317" i="7"/>
  <c r="D317" i="7" s="1"/>
  <c r="B316" i="7"/>
  <c r="BK317" i="7" l="1"/>
  <c r="F317" i="7"/>
  <c r="BJ317" i="7"/>
  <c r="BL317" i="7"/>
  <c r="BM317" i="7" l="1"/>
  <c r="N318" i="7" s="1"/>
  <c r="AQ318" i="7" l="1"/>
  <c r="BH318" i="7" s="1"/>
  <c r="AR318" i="7"/>
  <c r="BI318" i="7" s="1"/>
  <c r="AP318" i="7"/>
  <c r="BG318" i="7" s="1"/>
  <c r="AJ318" i="7"/>
  <c r="C318" i="7" s="1"/>
  <c r="AK318" i="7"/>
  <c r="D318" i="7" s="1"/>
  <c r="AL318" i="7"/>
  <c r="E318" i="7" s="1"/>
  <c r="B317" i="7"/>
  <c r="BL318" i="7" l="1"/>
  <c r="BK318" i="7"/>
  <c r="F318" i="7"/>
  <c r="BJ318" i="7"/>
  <c r="BM318" i="7" l="1"/>
  <c r="N319" i="7" s="1"/>
  <c r="AR319" i="7" l="1"/>
  <c r="BI319" i="7" s="1"/>
  <c r="AP319" i="7"/>
  <c r="BG319" i="7" s="1"/>
  <c r="AQ319" i="7"/>
  <c r="BH319" i="7" s="1"/>
  <c r="AJ319" i="7"/>
  <c r="C319" i="7" s="1"/>
  <c r="AK319" i="7"/>
  <c r="D319" i="7" s="1"/>
  <c r="AL319" i="7"/>
  <c r="E319" i="7" s="1"/>
  <c r="B318" i="7"/>
  <c r="F319" i="7" l="1"/>
  <c r="BJ319" i="7"/>
  <c r="BL319" i="7"/>
  <c r="BK319" i="7"/>
  <c r="BM319" i="7" l="1"/>
  <c r="N320" i="7" s="1"/>
  <c r="AP320" i="7" l="1"/>
  <c r="BG320" i="7" s="1"/>
  <c r="AQ320" i="7"/>
  <c r="BH320" i="7" s="1"/>
  <c r="AR320" i="7"/>
  <c r="BI320" i="7" s="1"/>
  <c r="AK320" i="7"/>
  <c r="D320" i="7" s="1"/>
  <c r="AL320" i="7"/>
  <c r="E320" i="7" s="1"/>
  <c r="AJ320" i="7"/>
  <c r="C320" i="7" s="1"/>
  <c r="B319" i="7"/>
  <c r="F320" i="7" l="1"/>
  <c r="BJ320" i="7"/>
  <c r="BK320" i="7"/>
  <c r="BL320" i="7"/>
  <c r="BM320" i="7" l="1"/>
  <c r="N321" i="7" s="1"/>
  <c r="AP321" i="7" l="1"/>
  <c r="BG321" i="7" s="1"/>
  <c r="AQ321" i="7"/>
  <c r="BH321" i="7" s="1"/>
  <c r="AR321" i="7"/>
  <c r="BI321" i="7" s="1"/>
  <c r="AL321" i="7"/>
  <c r="E321" i="7" s="1"/>
  <c r="AJ321" i="7"/>
  <c r="C321" i="7" s="1"/>
  <c r="AK321" i="7"/>
  <c r="D321" i="7" s="1"/>
  <c r="B320" i="7"/>
  <c r="BK321" i="7" l="1"/>
  <c r="F321" i="7"/>
  <c r="BJ321" i="7"/>
  <c r="BL321" i="7"/>
  <c r="BM321" i="7" l="1"/>
  <c r="N322" i="7" s="1"/>
  <c r="AQ322" i="7" l="1"/>
  <c r="BH322" i="7" s="1"/>
  <c r="AR322" i="7"/>
  <c r="BI322" i="7" s="1"/>
  <c r="AP322" i="7"/>
  <c r="BG322" i="7" s="1"/>
  <c r="AJ322" i="7"/>
  <c r="C322" i="7" s="1"/>
  <c r="AK322" i="7"/>
  <c r="D322" i="7" s="1"/>
  <c r="AL322" i="7"/>
  <c r="E322" i="7" s="1"/>
  <c r="B321" i="7"/>
  <c r="BL322" i="7" l="1"/>
  <c r="BK322" i="7"/>
  <c r="F322" i="7"/>
  <c r="BJ322" i="7"/>
  <c r="BM322" i="7" l="1"/>
  <c r="N323" i="7" s="1"/>
  <c r="AR323" i="7" l="1"/>
  <c r="BI323" i="7" s="1"/>
  <c r="AP323" i="7"/>
  <c r="BG323" i="7" s="1"/>
  <c r="AQ323" i="7"/>
  <c r="BH323" i="7" s="1"/>
  <c r="AJ323" i="7"/>
  <c r="C323" i="7" s="1"/>
  <c r="AK323" i="7"/>
  <c r="D323" i="7" s="1"/>
  <c r="AL323" i="7"/>
  <c r="E323" i="7" s="1"/>
  <c r="B322" i="7"/>
  <c r="F323" i="7" l="1"/>
  <c r="BJ323" i="7"/>
  <c r="BL323" i="7"/>
  <c r="BK323" i="7"/>
  <c r="BM323" i="7" l="1"/>
  <c r="N324" i="7" s="1"/>
  <c r="AP324" i="7" l="1"/>
  <c r="BG324" i="7" s="1"/>
  <c r="AQ324" i="7"/>
  <c r="BH324" i="7" s="1"/>
  <c r="AR324" i="7"/>
  <c r="BI324" i="7" s="1"/>
  <c r="AK324" i="7"/>
  <c r="D324" i="7" s="1"/>
  <c r="AL324" i="7"/>
  <c r="E324" i="7" s="1"/>
  <c r="AJ324" i="7"/>
  <c r="C324" i="7" s="1"/>
  <c r="B323" i="7"/>
  <c r="BK324" i="7" l="1"/>
  <c r="F324" i="7"/>
  <c r="BJ324" i="7"/>
  <c r="BL324" i="7"/>
  <c r="BM324" i="7" l="1"/>
  <c r="N325" i="7" s="1"/>
  <c r="AP325" i="7" l="1"/>
  <c r="BG325" i="7" s="1"/>
  <c r="AQ325" i="7"/>
  <c r="BH325" i="7" s="1"/>
  <c r="AR325" i="7"/>
  <c r="BI325" i="7" s="1"/>
  <c r="AL325" i="7"/>
  <c r="E325" i="7" s="1"/>
  <c r="AJ325" i="7"/>
  <c r="C325" i="7" s="1"/>
  <c r="AK325" i="7"/>
  <c r="D325" i="7" s="1"/>
  <c r="B324" i="7"/>
  <c r="BK325" i="7" l="1"/>
  <c r="F325" i="7"/>
  <c r="BJ325" i="7"/>
  <c r="BL325" i="7"/>
  <c r="BM325" i="7" l="1"/>
  <c r="N326" i="7" s="1"/>
  <c r="AQ326" i="7" l="1"/>
  <c r="BH326" i="7" s="1"/>
  <c r="AR326" i="7"/>
  <c r="BI326" i="7" s="1"/>
  <c r="AP326" i="7"/>
  <c r="BG326" i="7" s="1"/>
  <c r="AJ326" i="7"/>
  <c r="C326" i="7" s="1"/>
  <c r="AK326" i="7"/>
  <c r="D326" i="7" s="1"/>
  <c r="AL326" i="7"/>
  <c r="E326" i="7" s="1"/>
  <c r="B325" i="7"/>
  <c r="BL326" i="7" l="1"/>
  <c r="BK326" i="7"/>
  <c r="F326" i="7"/>
  <c r="BJ326" i="7"/>
  <c r="BM326" i="7" l="1"/>
  <c r="N327" i="7" s="1"/>
  <c r="AR327" i="7" l="1"/>
  <c r="BI327" i="7" s="1"/>
  <c r="AP327" i="7"/>
  <c r="BG327" i="7" s="1"/>
  <c r="AQ327" i="7"/>
  <c r="BH327" i="7" s="1"/>
  <c r="AJ327" i="7"/>
  <c r="C327" i="7" s="1"/>
  <c r="AK327" i="7"/>
  <c r="D327" i="7" s="1"/>
  <c r="AL327" i="7"/>
  <c r="E327" i="7" s="1"/>
  <c r="B326" i="7"/>
  <c r="F327" i="7" l="1"/>
  <c r="BJ327" i="7"/>
  <c r="BL327" i="7"/>
  <c r="BK327" i="7"/>
  <c r="BM327" i="7" l="1"/>
  <c r="N328" i="7" s="1"/>
  <c r="AP328" i="7" l="1"/>
  <c r="BG328" i="7" s="1"/>
  <c r="AQ328" i="7"/>
  <c r="BH328" i="7" s="1"/>
  <c r="AR328" i="7"/>
  <c r="BI328" i="7" s="1"/>
  <c r="AK328" i="7"/>
  <c r="D328" i="7" s="1"/>
  <c r="AL328" i="7"/>
  <c r="E328" i="7" s="1"/>
  <c r="AJ328" i="7"/>
  <c r="C328" i="7" s="1"/>
  <c r="B327" i="7"/>
  <c r="BK328" i="7" l="1"/>
  <c r="F328" i="7"/>
  <c r="BJ328" i="7"/>
  <c r="BL328" i="7"/>
  <c r="BM328" i="7" l="1"/>
  <c r="N329" i="7" s="1"/>
  <c r="AP329" i="7" l="1"/>
  <c r="BG329" i="7" s="1"/>
  <c r="AQ329" i="7"/>
  <c r="BH329" i="7" s="1"/>
  <c r="AR329" i="7"/>
  <c r="BI329" i="7" s="1"/>
  <c r="AL329" i="7"/>
  <c r="E329" i="7" s="1"/>
  <c r="AJ329" i="7"/>
  <c r="C329" i="7" s="1"/>
  <c r="AK329" i="7"/>
  <c r="D329" i="7" s="1"/>
  <c r="B328" i="7"/>
  <c r="BK329" i="7" l="1"/>
  <c r="F329" i="7"/>
  <c r="BJ329" i="7"/>
  <c r="BL329" i="7"/>
  <c r="BM329" i="7" l="1"/>
  <c r="N330" i="7" s="1"/>
  <c r="AQ330" i="7" l="1"/>
  <c r="BH330" i="7" s="1"/>
  <c r="AR330" i="7"/>
  <c r="BI330" i="7" s="1"/>
  <c r="AP330" i="7"/>
  <c r="BG330" i="7" s="1"/>
  <c r="AJ330" i="7"/>
  <c r="C330" i="7" s="1"/>
  <c r="AK330" i="7"/>
  <c r="D330" i="7" s="1"/>
  <c r="AL330" i="7"/>
  <c r="E330" i="7" s="1"/>
  <c r="B329" i="7"/>
  <c r="BL330" i="7" l="1"/>
  <c r="BK330" i="7"/>
  <c r="F330" i="7"/>
  <c r="BJ330" i="7"/>
  <c r="BM330" i="7" l="1"/>
  <c r="N331" i="7" s="1"/>
  <c r="AR331" i="7" l="1"/>
  <c r="BI331" i="7" s="1"/>
  <c r="AP331" i="7"/>
  <c r="BG331" i="7" s="1"/>
  <c r="AQ331" i="7"/>
  <c r="BH331" i="7" s="1"/>
  <c r="AL331" i="7"/>
  <c r="E331" i="7" s="1"/>
  <c r="AJ331" i="7"/>
  <c r="C331" i="7" s="1"/>
  <c r="AK331" i="7"/>
  <c r="D331" i="7" s="1"/>
  <c r="B330" i="7"/>
  <c r="F331" i="7" l="1"/>
  <c r="BJ331" i="7"/>
  <c r="BL331" i="7"/>
  <c r="BK331" i="7"/>
  <c r="BM331" i="7" l="1"/>
  <c r="N332" i="7" s="1"/>
  <c r="AP332" i="7" l="1"/>
  <c r="BG332" i="7" s="1"/>
  <c r="AQ332" i="7"/>
  <c r="BH332" i="7" s="1"/>
  <c r="AR332" i="7"/>
  <c r="BI332" i="7" s="1"/>
  <c r="AJ332" i="7"/>
  <c r="C332" i="7" s="1"/>
  <c r="AK332" i="7"/>
  <c r="D332" i="7" s="1"/>
  <c r="AL332" i="7"/>
  <c r="E332" i="7" s="1"/>
  <c r="B331" i="7"/>
  <c r="BK332" i="7" l="1"/>
  <c r="F332" i="7"/>
  <c r="BJ332" i="7"/>
  <c r="BL332" i="7"/>
  <c r="BM332" i="7" l="1"/>
  <c r="N333" i="7" s="1"/>
  <c r="AP333" i="7" l="1"/>
  <c r="BG333" i="7" s="1"/>
  <c r="AQ333" i="7"/>
  <c r="BH333" i="7" s="1"/>
  <c r="AR333" i="7"/>
  <c r="BI333" i="7" s="1"/>
  <c r="AJ333" i="7"/>
  <c r="C333" i="7" s="1"/>
  <c r="AK333" i="7"/>
  <c r="D333" i="7" s="1"/>
  <c r="AL333" i="7"/>
  <c r="E333" i="7" s="1"/>
  <c r="B332" i="7"/>
  <c r="BK333" i="7" l="1"/>
  <c r="F333" i="7"/>
  <c r="BJ333" i="7"/>
  <c r="BL333" i="7"/>
  <c r="BM333" i="7" l="1"/>
  <c r="N334" i="7" s="1"/>
  <c r="AQ334" i="7" l="1"/>
  <c r="BH334" i="7" s="1"/>
  <c r="AR334" i="7"/>
  <c r="BI334" i="7" s="1"/>
  <c r="AP334" i="7"/>
  <c r="BG334" i="7" s="1"/>
  <c r="AK334" i="7"/>
  <c r="D334" i="7" s="1"/>
  <c r="AL334" i="7"/>
  <c r="E334" i="7" s="1"/>
  <c r="AJ334" i="7"/>
  <c r="C334" i="7" s="1"/>
  <c r="B333" i="7"/>
  <c r="BL334" i="7" l="1"/>
  <c r="BK334" i="7"/>
  <c r="F334" i="7"/>
  <c r="BJ334" i="7"/>
  <c r="BM334" i="7" l="1"/>
  <c r="N335" i="7" s="1"/>
  <c r="AR335" i="7" l="1"/>
  <c r="BI335" i="7" s="1"/>
  <c r="AP335" i="7"/>
  <c r="BG335" i="7" s="1"/>
  <c r="AQ335" i="7"/>
  <c r="BH335" i="7" s="1"/>
  <c r="AL335" i="7"/>
  <c r="E335" i="7" s="1"/>
  <c r="AJ335" i="7"/>
  <c r="C335" i="7" s="1"/>
  <c r="AK335" i="7"/>
  <c r="D335" i="7" s="1"/>
  <c r="B334" i="7"/>
  <c r="BK335" i="7" l="1"/>
  <c r="F335" i="7"/>
  <c r="BJ335" i="7"/>
  <c r="BL335" i="7"/>
  <c r="BM335" i="7" l="1"/>
  <c r="N336" i="7" s="1"/>
  <c r="AP336" i="7" l="1"/>
  <c r="BG336" i="7" s="1"/>
  <c r="AQ336" i="7"/>
  <c r="BH336" i="7" s="1"/>
  <c r="AR336" i="7"/>
  <c r="BI336" i="7" s="1"/>
  <c r="AJ336" i="7"/>
  <c r="C336" i="7" s="1"/>
  <c r="AK336" i="7"/>
  <c r="D336" i="7" s="1"/>
  <c r="AL336" i="7"/>
  <c r="E336" i="7" s="1"/>
  <c r="B335" i="7"/>
  <c r="BK336" i="7" l="1"/>
  <c r="F336" i="7"/>
  <c r="BJ336" i="7"/>
  <c r="BL336" i="7"/>
  <c r="BM336" i="7" l="1"/>
  <c r="N337" i="7" s="1"/>
  <c r="AP337" i="7" l="1"/>
  <c r="BG337" i="7" s="1"/>
  <c r="AQ337" i="7"/>
  <c r="BH337" i="7" s="1"/>
  <c r="AR337" i="7"/>
  <c r="BI337" i="7" s="1"/>
  <c r="AJ337" i="7"/>
  <c r="C337" i="7" s="1"/>
  <c r="AK337" i="7"/>
  <c r="D337" i="7" s="1"/>
  <c r="AL337" i="7"/>
  <c r="E337" i="7" s="1"/>
  <c r="B336" i="7"/>
  <c r="BK337" i="7" l="1"/>
  <c r="F337" i="7"/>
  <c r="BJ337" i="7"/>
  <c r="BL337" i="7"/>
  <c r="BM337" i="7" l="1"/>
  <c r="N338" i="7" s="1"/>
  <c r="AQ338" i="7" l="1"/>
  <c r="BH338" i="7" s="1"/>
  <c r="AR338" i="7"/>
  <c r="BI338" i="7" s="1"/>
  <c r="AP338" i="7"/>
  <c r="BG338" i="7" s="1"/>
  <c r="AK338" i="7"/>
  <c r="D338" i="7" s="1"/>
  <c r="AL338" i="7"/>
  <c r="E338" i="7" s="1"/>
  <c r="AJ338" i="7"/>
  <c r="C338" i="7" s="1"/>
  <c r="B337" i="7"/>
  <c r="BK338" i="7" l="1"/>
  <c r="BL338" i="7"/>
  <c r="F338" i="7"/>
  <c r="BJ338" i="7"/>
  <c r="BM338" i="7" l="1"/>
  <c r="N339" i="7" s="1"/>
  <c r="AR339" i="7" l="1"/>
  <c r="BI339" i="7" s="1"/>
  <c r="AP339" i="7"/>
  <c r="BG339" i="7" s="1"/>
  <c r="AQ339" i="7"/>
  <c r="BH339" i="7" s="1"/>
  <c r="AL339" i="7"/>
  <c r="E339" i="7" s="1"/>
  <c r="AJ339" i="7"/>
  <c r="C339" i="7" s="1"/>
  <c r="AK339" i="7"/>
  <c r="D339" i="7" s="1"/>
  <c r="B338" i="7"/>
  <c r="BL339" i="7" l="1"/>
  <c r="F339" i="7"/>
  <c r="BJ339" i="7"/>
  <c r="BK339" i="7"/>
  <c r="BM339" i="7" l="1"/>
  <c r="N340" i="7" s="1"/>
  <c r="AP340" i="7" l="1"/>
  <c r="BG340" i="7" s="1"/>
  <c r="AQ340" i="7"/>
  <c r="BH340" i="7" s="1"/>
  <c r="AR340" i="7"/>
  <c r="BI340" i="7" s="1"/>
  <c r="AJ340" i="7"/>
  <c r="C340" i="7" s="1"/>
  <c r="AK340" i="7"/>
  <c r="D340" i="7" s="1"/>
  <c r="AL340" i="7"/>
  <c r="E340" i="7" s="1"/>
  <c r="B339" i="7"/>
  <c r="BL340" i="7" l="1"/>
  <c r="BK340" i="7"/>
  <c r="F340" i="7"/>
  <c r="BJ340" i="7"/>
  <c r="BM340" i="7" l="1"/>
  <c r="N341" i="7" s="1"/>
  <c r="AP341" i="7" l="1"/>
  <c r="BG341" i="7" s="1"/>
  <c r="AQ341" i="7"/>
  <c r="BH341" i="7" s="1"/>
  <c r="AR341" i="7"/>
  <c r="BI341" i="7" s="1"/>
  <c r="AJ341" i="7"/>
  <c r="C341" i="7" s="1"/>
  <c r="AK341" i="7"/>
  <c r="D341" i="7" s="1"/>
  <c r="AL341" i="7"/>
  <c r="E341" i="7" s="1"/>
  <c r="B340" i="7"/>
  <c r="F341" i="7" l="1"/>
  <c r="BJ341" i="7"/>
  <c r="BK341" i="7"/>
  <c r="BL341" i="7"/>
  <c r="BM341" i="7" l="1"/>
  <c r="N342" i="7" s="1"/>
  <c r="AQ342" i="7" l="1"/>
  <c r="BH342" i="7" s="1"/>
  <c r="AR342" i="7"/>
  <c r="BI342" i="7" s="1"/>
  <c r="AP342" i="7"/>
  <c r="BG342" i="7" s="1"/>
  <c r="AK342" i="7"/>
  <c r="D342" i="7" s="1"/>
  <c r="AL342" i="7"/>
  <c r="E342" i="7" s="1"/>
  <c r="AJ342" i="7"/>
  <c r="C342" i="7" s="1"/>
  <c r="B341" i="7"/>
  <c r="BK342" i="7" l="1"/>
  <c r="BL342" i="7"/>
  <c r="F342" i="7"/>
  <c r="BJ342" i="7"/>
  <c r="BM342" i="7" l="1"/>
  <c r="N343" i="7" s="1"/>
  <c r="AR343" i="7" l="1"/>
  <c r="BI343" i="7" s="1"/>
  <c r="AP343" i="7"/>
  <c r="BG343" i="7" s="1"/>
  <c r="AQ343" i="7"/>
  <c r="BH343" i="7" s="1"/>
  <c r="AL343" i="7"/>
  <c r="E343" i="7" s="1"/>
  <c r="AJ343" i="7"/>
  <c r="C343" i="7" s="1"/>
  <c r="AK343" i="7"/>
  <c r="D343" i="7" s="1"/>
  <c r="B342" i="7"/>
  <c r="F343" i="7" l="1"/>
  <c r="BJ343" i="7"/>
  <c r="BL343" i="7"/>
  <c r="BK343" i="7"/>
  <c r="BM343" i="7" l="1"/>
  <c r="N344" i="7" s="1"/>
  <c r="AP344" i="7" l="1"/>
  <c r="BG344" i="7" s="1"/>
  <c r="AQ344" i="7"/>
  <c r="BH344" i="7" s="1"/>
  <c r="AR344" i="7"/>
  <c r="BI344" i="7" s="1"/>
  <c r="AJ344" i="7"/>
  <c r="C344" i="7" s="1"/>
  <c r="AK344" i="7"/>
  <c r="D344" i="7" s="1"/>
  <c r="AL344" i="7"/>
  <c r="E344" i="7" s="1"/>
  <c r="B343" i="7"/>
  <c r="BK344" i="7" l="1"/>
  <c r="F344" i="7"/>
  <c r="BJ344" i="7"/>
  <c r="BL344" i="7"/>
  <c r="BM344" i="7" l="1"/>
  <c r="N345" i="7" s="1"/>
  <c r="AP345" i="7" l="1"/>
  <c r="BG345" i="7" s="1"/>
  <c r="AQ345" i="7"/>
  <c r="BH345" i="7" s="1"/>
  <c r="AR345" i="7"/>
  <c r="BI345" i="7" s="1"/>
  <c r="AJ345" i="7"/>
  <c r="C345" i="7" s="1"/>
  <c r="AK345" i="7"/>
  <c r="D345" i="7" s="1"/>
  <c r="AL345" i="7"/>
  <c r="E345" i="7" s="1"/>
  <c r="B344" i="7"/>
  <c r="F345" i="7" l="1"/>
  <c r="BJ345" i="7"/>
  <c r="BK345" i="7"/>
  <c r="BL345" i="7"/>
  <c r="BM345" i="7" l="1"/>
  <c r="N346" i="7" s="1"/>
  <c r="AQ346" i="7" l="1"/>
  <c r="BH346" i="7" s="1"/>
  <c r="AR346" i="7"/>
  <c r="BI346" i="7" s="1"/>
  <c r="AP346" i="7"/>
  <c r="BG346" i="7" s="1"/>
  <c r="AK346" i="7"/>
  <c r="D346" i="7" s="1"/>
  <c r="AL346" i="7"/>
  <c r="E346" i="7" s="1"/>
  <c r="AJ346" i="7"/>
  <c r="C346" i="7" s="1"/>
  <c r="B345" i="7"/>
  <c r="BL346" i="7" l="1"/>
  <c r="BK346" i="7"/>
  <c r="F346" i="7"/>
  <c r="BJ346" i="7"/>
  <c r="BM346" i="7" l="1"/>
  <c r="N347" i="7" s="1"/>
  <c r="AR347" i="7" l="1"/>
  <c r="BI347" i="7" s="1"/>
  <c r="AP347" i="7"/>
  <c r="BG347" i="7" s="1"/>
  <c r="AQ347" i="7"/>
  <c r="BH347" i="7" s="1"/>
  <c r="AL347" i="7"/>
  <c r="E347" i="7" s="1"/>
  <c r="AJ347" i="7"/>
  <c r="C347" i="7" s="1"/>
  <c r="AK347" i="7"/>
  <c r="D347" i="7" s="1"/>
  <c r="B346" i="7"/>
  <c r="BK347" i="7" l="1"/>
  <c r="F347" i="7"/>
  <c r="BJ347" i="7"/>
  <c r="BL347" i="7"/>
  <c r="BM347" i="7" l="1"/>
  <c r="N348" i="7" s="1"/>
  <c r="AP348" i="7" l="1"/>
  <c r="BG348" i="7" s="1"/>
  <c r="AQ348" i="7"/>
  <c r="BH348" i="7" s="1"/>
  <c r="AR348" i="7"/>
  <c r="BI348" i="7" s="1"/>
  <c r="AJ348" i="7"/>
  <c r="C348" i="7" s="1"/>
  <c r="AK348" i="7"/>
  <c r="D348" i="7" s="1"/>
  <c r="AL348" i="7"/>
  <c r="E348" i="7" s="1"/>
  <c r="B347" i="7"/>
  <c r="BK348" i="7" l="1"/>
  <c r="F348" i="7"/>
  <c r="BJ348" i="7"/>
  <c r="BL348" i="7"/>
  <c r="BM348" i="7" l="1"/>
  <c r="N349" i="7" s="1"/>
  <c r="AP349" i="7" l="1"/>
  <c r="BG349" i="7" s="1"/>
  <c r="AQ349" i="7"/>
  <c r="BH349" i="7" s="1"/>
  <c r="AR349" i="7"/>
  <c r="BI349" i="7" s="1"/>
  <c r="AJ349" i="7"/>
  <c r="C349" i="7" s="1"/>
  <c r="AK349" i="7"/>
  <c r="D349" i="7" s="1"/>
  <c r="AL349" i="7"/>
  <c r="E349" i="7" s="1"/>
  <c r="B348" i="7"/>
  <c r="BL349" i="7" l="1"/>
  <c r="BK349" i="7"/>
  <c r="F349" i="7"/>
  <c r="BJ349" i="7"/>
  <c r="BM349" i="7" l="1"/>
  <c r="N350" i="7" s="1"/>
  <c r="AQ350" i="7" l="1"/>
  <c r="BH350" i="7" s="1"/>
  <c r="AR350" i="7"/>
  <c r="BI350" i="7" s="1"/>
  <c r="AP350" i="7"/>
  <c r="BG350" i="7" s="1"/>
  <c r="AK350" i="7"/>
  <c r="D350" i="7" s="1"/>
  <c r="AL350" i="7"/>
  <c r="E350" i="7" s="1"/>
  <c r="AJ350" i="7"/>
  <c r="C350" i="7" s="1"/>
  <c r="B349" i="7"/>
  <c r="BL350" i="7" l="1"/>
  <c r="BK350" i="7"/>
  <c r="F350" i="7"/>
  <c r="BJ350" i="7"/>
  <c r="BM350" i="7" l="1"/>
  <c r="N351" i="7" s="1"/>
  <c r="AR351" i="7" l="1"/>
  <c r="BI351" i="7" s="1"/>
  <c r="AP351" i="7"/>
  <c r="BG351" i="7" s="1"/>
  <c r="AQ351" i="7"/>
  <c r="BH351" i="7" s="1"/>
  <c r="AL351" i="7"/>
  <c r="E351" i="7" s="1"/>
  <c r="AJ351" i="7"/>
  <c r="C351" i="7" s="1"/>
  <c r="AK351" i="7"/>
  <c r="D351" i="7" s="1"/>
  <c r="B350" i="7"/>
  <c r="BL351" i="7" l="1"/>
  <c r="F351" i="7"/>
  <c r="BJ351" i="7"/>
  <c r="BK351" i="7"/>
  <c r="BM351" i="7" l="1"/>
  <c r="N352" i="7" s="1"/>
  <c r="AP352" i="7" l="1"/>
  <c r="BG352" i="7" s="1"/>
  <c r="AQ352" i="7"/>
  <c r="BH352" i="7" s="1"/>
  <c r="AR352" i="7"/>
  <c r="BI352" i="7" s="1"/>
  <c r="AJ352" i="7"/>
  <c r="C352" i="7" s="1"/>
  <c r="AK352" i="7"/>
  <c r="D352" i="7" s="1"/>
  <c r="AL352" i="7"/>
  <c r="E352" i="7" s="1"/>
  <c r="B351" i="7"/>
  <c r="F352" i="7" l="1"/>
  <c r="BJ352" i="7"/>
  <c r="BK352" i="7"/>
  <c r="BL352" i="7"/>
  <c r="BM352" i="7" l="1"/>
  <c r="N353" i="7" s="1"/>
  <c r="AP353" i="7" l="1"/>
  <c r="BG353" i="7" s="1"/>
  <c r="AQ353" i="7"/>
  <c r="BH353" i="7" s="1"/>
  <c r="AR353" i="7"/>
  <c r="BI353" i="7" s="1"/>
  <c r="AJ353" i="7"/>
  <c r="C353" i="7" s="1"/>
  <c r="AK353" i="7"/>
  <c r="D353" i="7" s="1"/>
  <c r="AL353" i="7"/>
  <c r="E353" i="7" s="1"/>
  <c r="B352" i="7"/>
  <c r="BK353" i="7" l="1"/>
  <c r="F353" i="7"/>
  <c r="BJ353" i="7"/>
  <c r="BL353" i="7"/>
  <c r="BM353" i="7" l="1"/>
  <c r="N354" i="7" s="1"/>
  <c r="AQ354" i="7" l="1"/>
  <c r="BH354" i="7" s="1"/>
  <c r="AR354" i="7"/>
  <c r="BI354" i="7" s="1"/>
  <c r="AP354" i="7"/>
  <c r="BG354" i="7" s="1"/>
  <c r="AK354" i="7"/>
  <c r="D354" i="7" s="1"/>
  <c r="AL354" i="7"/>
  <c r="E354" i="7" s="1"/>
  <c r="AJ354" i="7"/>
  <c r="C354" i="7" s="1"/>
  <c r="B353" i="7"/>
  <c r="BL354" i="7" l="1"/>
  <c r="BK354" i="7"/>
  <c r="F354" i="7"/>
  <c r="BJ354" i="7"/>
  <c r="BM354" i="7" l="1"/>
  <c r="N355" i="7" s="1"/>
  <c r="AR355" i="7" l="1"/>
  <c r="BI355" i="7" s="1"/>
  <c r="AP355" i="7"/>
  <c r="BG355" i="7" s="1"/>
  <c r="AQ355" i="7"/>
  <c r="BH355" i="7" s="1"/>
  <c r="AL355" i="7"/>
  <c r="E355" i="7" s="1"/>
  <c r="AJ355" i="7"/>
  <c r="C355" i="7" s="1"/>
  <c r="AK355" i="7"/>
  <c r="D355" i="7" s="1"/>
  <c r="B354" i="7"/>
  <c r="F355" i="7" l="1"/>
  <c r="BJ355" i="7"/>
  <c r="BL355" i="7"/>
  <c r="BK355" i="7"/>
  <c r="BM355" i="7" l="1"/>
  <c r="N356" i="7" s="1"/>
  <c r="AP356" i="7" l="1"/>
  <c r="BG356" i="7" s="1"/>
  <c r="AQ356" i="7"/>
  <c r="BH356" i="7" s="1"/>
  <c r="AR356" i="7"/>
  <c r="BI356" i="7" s="1"/>
  <c r="AJ356" i="7"/>
  <c r="C356" i="7" s="1"/>
  <c r="AK356" i="7"/>
  <c r="D356" i="7" s="1"/>
  <c r="AL356" i="7"/>
  <c r="E356" i="7" s="1"/>
  <c r="B355" i="7"/>
  <c r="BK356" i="7" l="1"/>
  <c r="F356" i="7"/>
  <c r="BJ356" i="7"/>
  <c r="BL356" i="7"/>
  <c r="BM356" i="7" l="1"/>
  <c r="N357" i="7" s="1"/>
  <c r="AP357" i="7" l="1"/>
  <c r="BG357" i="7" s="1"/>
  <c r="AQ357" i="7"/>
  <c r="BH357" i="7" s="1"/>
  <c r="AR357" i="7"/>
  <c r="BI357" i="7" s="1"/>
  <c r="AJ357" i="7"/>
  <c r="C357" i="7" s="1"/>
  <c r="AK357" i="7"/>
  <c r="D357" i="7" s="1"/>
  <c r="AL357" i="7"/>
  <c r="E357" i="7" s="1"/>
  <c r="B356" i="7"/>
  <c r="BK357" i="7" l="1"/>
  <c r="F357" i="7"/>
  <c r="BJ357" i="7"/>
  <c r="BL357" i="7"/>
  <c r="BM357" i="7" l="1"/>
  <c r="N358" i="7" s="1"/>
  <c r="AQ358" i="7" l="1"/>
  <c r="BH358" i="7" s="1"/>
  <c r="AR358" i="7"/>
  <c r="BI358" i="7" s="1"/>
  <c r="AP358" i="7"/>
  <c r="BG358" i="7" s="1"/>
  <c r="AK358" i="7"/>
  <c r="D358" i="7" s="1"/>
  <c r="AL358" i="7"/>
  <c r="E358" i="7" s="1"/>
  <c r="AJ358" i="7"/>
  <c r="C358" i="7" s="1"/>
  <c r="B357" i="7"/>
  <c r="BL358" i="7" l="1"/>
  <c r="BK358" i="7"/>
  <c r="F358" i="7"/>
  <c r="BJ358" i="7"/>
  <c r="BM358" i="7" l="1"/>
  <c r="N359" i="7" s="1"/>
  <c r="AR359" i="7" l="1"/>
  <c r="BI359" i="7" s="1"/>
  <c r="AP359" i="7"/>
  <c r="BG359" i="7" s="1"/>
  <c r="AQ359" i="7"/>
  <c r="BH359" i="7" s="1"/>
  <c r="AL359" i="7"/>
  <c r="E359" i="7" s="1"/>
  <c r="AJ359" i="7"/>
  <c r="C359" i="7" s="1"/>
  <c r="AK359" i="7"/>
  <c r="D359" i="7" s="1"/>
  <c r="B358" i="7"/>
  <c r="F359" i="7" l="1"/>
  <c r="BJ359" i="7"/>
  <c r="BL359" i="7"/>
  <c r="BK359" i="7"/>
  <c r="BM359" i="7" l="1"/>
  <c r="N360" i="7" s="1"/>
  <c r="AP360" i="7" l="1"/>
  <c r="BG360" i="7" s="1"/>
  <c r="AQ360" i="7"/>
  <c r="BH360" i="7" s="1"/>
  <c r="AR360" i="7"/>
  <c r="BI360" i="7" s="1"/>
  <c r="AJ360" i="7"/>
  <c r="C360" i="7" s="1"/>
  <c r="AK360" i="7"/>
  <c r="D360" i="7" s="1"/>
  <c r="AL360" i="7"/>
  <c r="E360" i="7" s="1"/>
  <c r="B359" i="7"/>
  <c r="BK360" i="7" l="1"/>
  <c r="F360" i="7"/>
  <c r="BJ360" i="7"/>
  <c r="BL360" i="7"/>
  <c r="BM360" i="7" l="1"/>
  <c r="N361" i="7" s="1"/>
  <c r="AP361" i="7" l="1"/>
  <c r="BG361" i="7" s="1"/>
  <c r="AQ361" i="7"/>
  <c r="BH361" i="7" s="1"/>
  <c r="AR361" i="7"/>
  <c r="BI361" i="7" s="1"/>
  <c r="AJ361" i="7"/>
  <c r="C361" i="7" s="1"/>
  <c r="AK361" i="7"/>
  <c r="D361" i="7" s="1"/>
  <c r="AL361" i="7"/>
  <c r="E361" i="7" s="1"/>
  <c r="B360" i="7"/>
  <c r="BK361" i="7" l="1"/>
  <c r="F361" i="7"/>
  <c r="BJ361" i="7"/>
  <c r="BL361" i="7"/>
  <c r="BM361" i="7" l="1"/>
  <c r="N362" i="7" s="1"/>
  <c r="AQ362" i="7" l="1"/>
  <c r="BH362" i="7" s="1"/>
  <c r="AR362" i="7"/>
  <c r="BI362" i="7" s="1"/>
  <c r="AP362" i="7"/>
  <c r="BG362" i="7" s="1"/>
  <c r="AK362" i="7"/>
  <c r="D362" i="7" s="1"/>
  <c r="AL362" i="7"/>
  <c r="E362" i="7" s="1"/>
  <c r="AJ362" i="7"/>
  <c r="C362" i="7" s="1"/>
  <c r="B361" i="7"/>
  <c r="BK362" i="7" l="1"/>
  <c r="BL362" i="7"/>
  <c r="F362" i="7"/>
  <c r="BJ362" i="7"/>
  <c r="BM362" i="7" l="1"/>
  <c r="N363" i="7" s="1"/>
  <c r="AR363" i="7" l="1"/>
  <c r="BI363" i="7" s="1"/>
  <c r="AP363" i="7"/>
  <c r="BG363" i="7" s="1"/>
  <c r="AQ363" i="7"/>
  <c r="BH363" i="7" s="1"/>
  <c r="AL363" i="7"/>
  <c r="E363" i="7" s="1"/>
  <c r="AJ363" i="7"/>
  <c r="C363" i="7" s="1"/>
  <c r="AK363" i="7"/>
  <c r="D363" i="7" s="1"/>
  <c r="B362" i="7"/>
  <c r="F363" i="7" l="1"/>
  <c r="BJ363" i="7"/>
  <c r="BL363" i="7"/>
  <c r="BK363" i="7"/>
  <c r="BM363" i="7" l="1"/>
  <c r="N364" i="7" s="1"/>
  <c r="AP364" i="7" l="1"/>
  <c r="BG364" i="7" s="1"/>
  <c r="AQ364" i="7"/>
  <c r="BH364" i="7" s="1"/>
  <c r="AR364" i="7"/>
  <c r="BI364" i="7" s="1"/>
  <c r="AJ364" i="7"/>
  <c r="C364" i="7" s="1"/>
  <c r="AK364" i="7"/>
  <c r="D364" i="7" s="1"/>
  <c r="AL364" i="7"/>
  <c r="E364" i="7" s="1"/>
  <c r="B363" i="7"/>
  <c r="F364" i="7" l="1"/>
  <c r="BJ364" i="7"/>
  <c r="BK364" i="7"/>
  <c r="BL364" i="7"/>
  <c r="BM364" i="7" l="1"/>
  <c r="N365" i="7" s="1"/>
  <c r="AP365" i="7" l="1"/>
  <c r="BG365" i="7" s="1"/>
  <c r="AQ365" i="7"/>
  <c r="BH365" i="7" s="1"/>
  <c r="AR365" i="7"/>
  <c r="BI365" i="7" s="1"/>
  <c r="AJ365" i="7"/>
  <c r="C365" i="7" s="1"/>
  <c r="AK365" i="7"/>
  <c r="D365" i="7" s="1"/>
  <c r="AL365" i="7"/>
  <c r="E365" i="7" s="1"/>
  <c r="B364" i="7"/>
  <c r="BK365" i="7" l="1"/>
  <c r="F365" i="7"/>
  <c r="BJ365" i="7"/>
  <c r="BL365" i="7"/>
  <c r="BM365" i="7" l="1"/>
  <c r="N366" i="7" s="1"/>
  <c r="AQ366" i="7" l="1"/>
  <c r="BH366" i="7" s="1"/>
  <c r="AR366" i="7"/>
  <c r="BI366" i="7" s="1"/>
  <c r="AP366" i="7"/>
  <c r="BG366" i="7" s="1"/>
  <c r="AK366" i="7"/>
  <c r="D366" i="7" s="1"/>
  <c r="AL366" i="7"/>
  <c r="E366" i="7" s="1"/>
  <c r="AJ366" i="7"/>
  <c r="C366" i="7" s="1"/>
  <c r="B365" i="7"/>
  <c r="BK366" i="7" l="1"/>
  <c r="BL366" i="7"/>
  <c r="F366" i="7"/>
  <c r="BJ366" i="7"/>
  <c r="BM366" i="7" l="1"/>
  <c r="N367" i="7" s="1"/>
  <c r="AR367" i="7" l="1"/>
  <c r="BI367" i="7" s="1"/>
  <c r="AP367" i="7"/>
  <c r="BG367" i="7" s="1"/>
  <c r="AQ367" i="7"/>
  <c r="BH367" i="7" s="1"/>
  <c r="AL367" i="7"/>
  <c r="E367" i="7" s="1"/>
  <c r="AJ367" i="7"/>
  <c r="C367" i="7" s="1"/>
  <c r="AK367" i="7"/>
  <c r="D367" i="7" s="1"/>
  <c r="B366" i="7"/>
  <c r="BK367" i="7" l="1"/>
  <c r="F367" i="7"/>
  <c r="BJ367" i="7"/>
  <c r="BL367" i="7"/>
  <c r="BM367" i="7" l="1"/>
  <c r="N368" i="7" s="1"/>
  <c r="AP368" i="7" l="1"/>
  <c r="BG368" i="7" s="1"/>
  <c r="AQ368" i="7"/>
  <c r="BH368" i="7" s="1"/>
  <c r="AR368" i="7"/>
  <c r="BI368" i="7" s="1"/>
  <c r="AJ368" i="7"/>
  <c r="C368" i="7" s="1"/>
  <c r="AK368" i="7"/>
  <c r="D368" i="7" s="1"/>
  <c r="AL368" i="7"/>
  <c r="E368" i="7" s="1"/>
  <c r="B367" i="7"/>
  <c r="BK368" i="7" l="1"/>
  <c r="F368" i="7"/>
  <c r="BJ368" i="7"/>
  <c r="BL368" i="7"/>
  <c r="BM368" i="7" l="1"/>
  <c r="N369" i="7" s="1"/>
  <c r="AP369" i="7" l="1"/>
  <c r="BG369" i="7" s="1"/>
  <c r="AQ369" i="7"/>
  <c r="BH369" i="7" s="1"/>
  <c r="AR369" i="7"/>
  <c r="BI369" i="7" s="1"/>
  <c r="AJ369" i="7"/>
  <c r="C369" i="7" s="1"/>
  <c r="AK369" i="7"/>
  <c r="D369" i="7" s="1"/>
  <c r="AL369" i="7"/>
  <c r="E369" i="7" s="1"/>
  <c r="B368" i="7"/>
  <c r="BK369" i="7" l="1"/>
  <c r="F369" i="7"/>
  <c r="BJ369" i="7"/>
  <c r="BL369" i="7"/>
  <c r="BM369" i="7" l="1"/>
  <c r="N370" i="7" s="1"/>
  <c r="AQ370" i="7" l="1"/>
  <c r="BH370" i="7" s="1"/>
  <c r="AR370" i="7"/>
  <c r="BI370" i="7" s="1"/>
  <c r="AP370" i="7"/>
  <c r="BG370" i="7" s="1"/>
  <c r="AK370" i="7"/>
  <c r="D370" i="7" s="1"/>
  <c r="AL370" i="7"/>
  <c r="E370" i="7" s="1"/>
  <c r="AJ370" i="7"/>
  <c r="C370" i="7" s="1"/>
  <c r="B369" i="7"/>
  <c r="BL370" i="7" l="1"/>
  <c r="BK370" i="7"/>
  <c r="F370" i="7"/>
  <c r="BJ370" i="7"/>
  <c r="BM370" i="7" l="1"/>
  <c r="N371" i="7" s="1"/>
  <c r="AR371" i="7" l="1"/>
  <c r="BI371" i="7" s="1"/>
  <c r="AP371" i="7"/>
  <c r="BG371" i="7" s="1"/>
  <c r="AQ371" i="7"/>
  <c r="BH371" i="7" s="1"/>
  <c r="AL371" i="7"/>
  <c r="E371" i="7" s="1"/>
  <c r="AJ371" i="7"/>
  <c r="C371" i="7" s="1"/>
  <c r="AK371" i="7"/>
  <c r="D371" i="7" s="1"/>
  <c r="B370" i="7"/>
  <c r="BK371" i="7" l="1"/>
  <c r="F371" i="7"/>
  <c r="BJ371" i="7"/>
  <c r="BL371" i="7"/>
  <c r="BM371" i="7" l="1"/>
  <c r="N372" i="7" s="1"/>
  <c r="AP372" i="7" l="1"/>
  <c r="BG372" i="7" s="1"/>
  <c r="AQ372" i="7"/>
  <c r="BH372" i="7" s="1"/>
  <c r="AR372" i="7"/>
  <c r="BI372" i="7" s="1"/>
  <c r="AJ372" i="7"/>
  <c r="C372" i="7" s="1"/>
  <c r="AK372" i="7"/>
  <c r="D372" i="7" s="1"/>
  <c r="AL372" i="7"/>
  <c r="E372" i="7" s="1"/>
  <c r="B371" i="7"/>
  <c r="BK372" i="7" l="1"/>
  <c r="F372" i="7"/>
  <c r="BJ372" i="7"/>
  <c r="BL372" i="7"/>
  <c r="BM372" i="7" l="1"/>
  <c r="N373" i="7" s="1"/>
  <c r="AP373" i="7" l="1"/>
  <c r="BG373" i="7" s="1"/>
  <c r="AQ373" i="7"/>
  <c r="BH373" i="7" s="1"/>
  <c r="AR373" i="7"/>
  <c r="BI373" i="7" s="1"/>
  <c r="AJ373" i="7"/>
  <c r="C373" i="7" s="1"/>
  <c r="AK373" i="7"/>
  <c r="D373" i="7" s="1"/>
  <c r="AL373" i="7"/>
  <c r="E373" i="7" s="1"/>
  <c r="B372" i="7"/>
  <c r="BK373" i="7" l="1"/>
  <c r="F373" i="7"/>
  <c r="BJ373" i="7"/>
  <c r="BL373" i="7"/>
  <c r="BM373" i="7" l="1"/>
  <c r="N374" i="7" s="1"/>
  <c r="AQ374" i="7" l="1"/>
  <c r="BH374" i="7" s="1"/>
  <c r="AR374" i="7"/>
  <c r="BI374" i="7" s="1"/>
  <c r="AP374" i="7"/>
  <c r="BG374" i="7" s="1"/>
  <c r="AK374" i="7"/>
  <c r="D374" i="7" s="1"/>
  <c r="AL374" i="7"/>
  <c r="E374" i="7" s="1"/>
  <c r="AJ374" i="7"/>
  <c r="C374" i="7" s="1"/>
  <c r="B373" i="7"/>
  <c r="F374" i="7" l="1"/>
  <c r="BJ374" i="7"/>
  <c r="BL374" i="7"/>
  <c r="BK374" i="7"/>
  <c r="BM374" i="7" l="1"/>
  <c r="N375" i="7" s="1"/>
  <c r="AR375" i="7" l="1"/>
  <c r="BI375" i="7" s="1"/>
  <c r="AP375" i="7"/>
  <c r="BG375" i="7" s="1"/>
  <c r="AQ375" i="7"/>
  <c r="BH375" i="7" s="1"/>
  <c r="AL375" i="7"/>
  <c r="E375" i="7" s="1"/>
  <c r="AJ375" i="7"/>
  <c r="C375" i="7" s="1"/>
  <c r="AK375" i="7"/>
  <c r="D375" i="7" s="1"/>
  <c r="B374" i="7"/>
  <c r="F375" i="7" l="1"/>
  <c r="BJ375" i="7"/>
  <c r="BL375" i="7"/>
  <c r="BK375" i="7"/>
  <c r="BM375" i="7" l="1"/>
  <c r="N376" i="7" s="1"/>
  <c r="AP376" i="7" l="1"/>
  <c r="BG376" i="7" s="1"/>
  <c r="AQ376" i="7"/>
  <c r="BH376" i="7" s="1"/>
  <c r="AR376" i="7"/>
  <c r="BI376" i="7" s="1"/>
  <c r="AJ376" i="7"/>
  <c r="C376" i="7" s="1"/>
  <c r="AK376" i="7"/>
  <c r="D376" i="7" s="1"/>
  <c r="AL376" i="7"/>
  <c r="E376" i="7" s="1"/>
  <c r="B375" i="7"/>
  <c r="BK376" i="7" l="1"/>
  <c r="F376" i="7"/>
  <c r="BJ376" i="7"/>
  <c r="BL376" i="7"/>
  <c r="BM376" i="7" l="1"/>
  <c r="N377" i="7" s="1"/>
  <c r="AP377" i="7" l="1"/>
  <c r="BG377" i="7" s="1"/>
  <c r="AQ377" i="7"/>
  <c r="BH377" i="7" s="1"/>
  <c r="AR377" i="7"/>
  <c r="BI377" i="7" s="1"/>
  <c r="AJ377" i="7"/>
  <c r="C377" i="7" s="1"/>
  <c r="AK377" i="7"/>
  <c r="D377" i="7" s="1"/>
  <c r="AL377" i="7"/>
  <c r="E377" i="7" s="1"/>
  <c r="B376" i="7"/>
  <c r="BK377" i="7" l="1"/>
  <c r="F377" i="7"/>
  <c r="BJ377" i="7"/>
  <c r="BL377" i="7"/>
  <c r="BM377" i="7" l="1"/>
  <c r="N378" i="7" s="1"/>
  <c r="AQ378" i="7" l="1"/>
  <c r="BH378" i="7" s="1"/>
  <c r="AR378" i="7"/>
  <c r="BI378" i="7" s="1"/>
  <c r="AP378" i="7"/>
  <c r="BG378" i="7" s="1"/>
  <c r="AK378" i="7"/>
  <c r="D378" i="7" s="1"/>
  <c r="AL378" i="7"/>
  <c r="E378" i="7" s="1"/>
  <c r="AJ378" i="7"/>
  <c r="C378" i="7" s="1"/>
  <c r="B377" i="7"/>
  <c r="BL378" i="7" l="1"/>
  <c r="BK378" i="7"/>
  <c r="F378" i="7"/>
  <c r="BJ378" i="7"/>
  <c r="BM378" i="7" l="1"/>
  <c r="N379" i="7" s="1"/>
  <c r="AR379" i="7" l="1"/>
  <c r="BI379" i="7" s="1"/>
  <c r="AP379" i="7"/>
  <c r="BG379" i="7" s="1"/>
  <c r="AQ379" i="7"/>
  <c r="BH379" i="7" s="1"/>
  <c r="AL379" i="7"/>
  <c r="E379" i="7" s="1"/>
  <c r="AJ379" i="7"/>
  <c r="C379" i="7" s="1"/>
  <c r="AK379" i="7"/>
  <c r="D379" i="7" s="1"/>
  <c r="B378" i="7"/>
  <c r="F379" i="7" l="1"/>
  <c r="BJ379" i="7"/>
  <c r="BL379" i="7"/>
  <c r="BK379" i="7"/>
  <c r="BM379" i="7" l="1"/>
  <c r="N380" i="7" s="1"/>
  <c r="AP380" i="7" l="1"/>
  <c r="BG380" i="7" s="1"/>
  <c r="AQ380" i="7"/>
  <c r="BH380" i="7" s="1"/>
  <c r="AR380" i="7"/>
  <c r="BI380" i="7" s="1"/>
  <c r="AJ380" i="7"/>
  <c r="C380" i="7" s="1"/>
  <c r="AK380" i="7"/>
  <c r="D380" i="7" s="1"/>
  <c r="AL380" i="7"/>
  <c r="E380" i="7" s="1"/>
  <c r="B379" i="7"/>
  <c r="BK380" i="7" l="1"/>
  <c r="F380" i="7"/>
  <c r="BJ380" i="7"/>
  <c r="BL380" i="7"/>
  <c r="BM380" i="7" l="1"/>
  <c r="N381" i="7" s="1"/>
  <c r="AP381" i="7" l="1"/>
  <c r="BG381" i="7" s="1"/>
  <c r="AQ381" i="7"/>
  <c r="BH381" i="7" s="1"/>
  <c r="AR381" i="7"/>
  <c r="BI381" i="7" s="1"/>
  <c r="AJ381" i="7"/>
  <c r="C381" i="7" s="1"/>
  <c r="AK381" i="7"/>
  <c r="D381" i="7" s="1"/>
  <c r="AL381" i="7"/>
  <c r="E381" i="7" s="1"/>
  <c r="B380" i="7"/>
  <c r="BK381" i="7" l="1"/>
  <c r="F381" i="7"/>
  <c r="BJ381" i="7"/>
  <c r="BL381" i="7"/>
  <c r="BM381" i="7" l="1"/>
  <c r="N382" i="7" s="1"/>
  <c r="AQ382" i="7" l="1"/>
  <c r="BH382" i="7" s="1"/>
  <c r="AR382" i="7"/>
  <c r="BI382" i="7" s="1"/>
  <c r="AP382" i="7"/>
  <c r="BG382" i="7" s="1"/>
  <c r="AK382" i="7"/>
  <c r="D382" i="7" s="1"/>
  <c r="AL382" i="7"/>
  <c r="E382" i="7" s="1"/>
  <c r="AJ382" i="7"/>
  <c r="C382" i="7" s="1"/>
  <c r="B381" i="7"/>
  <c r="F382" i="7" l="1"/>
  <c r="BJ382" i="7"/>
  <c r="BL382" i="7"/>
  <c r="BK382" i="7"/>
  <c r="BM382" i="7" l="1"/>
  <c r="N383" i="7" s="1"/>
  <c r="AR383" i="7" l="1"/>
  <c r="BI383" i="7" s="1"/>
  <c r="AP383" i="7"/>
  <c r="BG383" i="7" s="1"/>
  <c r="AQ383" i="7"/>
  <c r="BH383" i="7" s="1"/>
  <c r="AL383" i="7"/>
  <c r="E383" i="7" s="1"/>
  <c r="AJ383" i="7"/>
  <c r="C383" i="7" s="1"/>
  <c r="AK383" i="7"/>
  <c r="D383" i="7" s="1"/>
  <c r="B382" i="7"/>
  <c r="F383" i="7" l="1"/>
  <c r="BJ383" i="7"/>
  <c r="BL383" i="7"/>
  <c r="BK383" i="7"/>
  <c r="BM383" i="7" l="1"/>
  <c r="N384" i="7" s="1"/>
  <c r="AP384" i="7" l="1"/>
  <c r="BG384" i="7" s="1"/>
  <c r="AQ384" i="7"/>
  <c r="BH384" i="7" s="1"/>
  <c r="AR384" i="7"/>
  <c r="BI384" i="7" s="1"/>
  <c r="AJ384" i="7"/>
  <c r="C384" i="7" s="1"/>
  <c r="AK384" i="7"/>
  <c r="D384" i="7" s="1"/>
  <c r="AL384" i="7"/>
  <c r="E384" i="7" s="1"/>
  <c r="B383" i="7"/>
  <c r="BK384" i="7" l="1"/>
  <c r="F384" i="7"/>
  <c r="BJ384" i="7"/>
  <c r="BL384" i="7"/>
  <c r="BM384" i="7" l="1"/>
  <c r="N385" i="7" s="1"/>
  <c r="AP385" i="7" l="1"/>
  <c r="BG385" i="7" s="1"/>
  <c r="AQ385" i="7"/>
  <c r="BH385" i="7" s="1"/>
  <c r="AR385" i="7"/>
  <c r="BI385" i="7" s="1"/>
  <c r="AJ385" i="7"/>
  <c r="C385" i="7" s="1"/>
  <c r="AK385" i="7"/>
  <c r="D385" i="7" s="1"/>
  <c r="AL385" i="7"/>
  <c r="E385" i="7" s="1"/>
  <c r="B384" i="7"/>
  <c r="F385" i="7" l="1"/>
  <c r="BJ385" i="7"/>
  <c r="BK385" i="7"/>
  <c r="BL385" i="7"/>
  <c r="BM385" i="7" l="1"/>
  <c r="N386" i="7" s="1"/>
  <c r="AQ386" i="7" l="1"/>
  <c r="BH386" i="7" s="1"/>
  <c r="AR386" i="7"/>
  <c r="BI386" i="7" s="1"/>
  <c r="AP386" i="7"/>
  <c r="BG386" i="7" s="1"/>
  <c r="AK386" i="7"/>
  <c r="D386" i="7" s="1"/>
  <c r="AL386" i="7"/>
  <c r="E386" i="7" s="1"/>
  <c r="AJ386" i="7"/>
  <c r="C386" i="7" s="1"/>
  <c r="B385" i="7"/>
  <c r="BL386" i="7" l="1"/>
  <c r="BK386" i="7"/>
  <c r="F386" i="7"/>
  <c r="BJ386" i="7"/>
  <c r="BM386" i="7" l="1"/>
  <c r="N387" i="7" s="1"/>
  <c r="AR387" i="7" l="1"/>
  <c r="BI387" i="7" s="1"/>
  <c r="AP387" i="7"/>
  <c r="BG387" i="7" s="1"/>
  <c r="AQ387" i="7"/>
  <c r="BH387" i="7" s="1"/>
  <c r="AL387" i="7"/>
  <c r="E387" i="7" s="1"/>
  <c r="AJ387" i="7"/>
  <c r="C387" i="7" s="1"/>
  <c r="AK387" i="7"/>
  <c r="D387" i="7" s="1"/>
  <c r="B386" i="7"/>
  <c r="BL387" i="7" l="1"/>
  <c r="F387" i="7"/>
  <c r="BJ387" i="7"/>
  <c r="BK387" i="7"/>
  <c r="BM387" i="7" l="1"/>
  <c r="N388" i="7" s="1"/>
  <c r="AP388" i="7" l="1"/>
  <c r="BG388" i="7" s="1"/>
  <c r="AQ388" i="7"/>
  <c r="BH388" i="7" s="1"/>
  <c r="AR388" i="7"/>
  <c r="BI388" i="7" s="1"/>
  <c r="AJ388" i="7"/>
  <c r="C388" i="7" s="1"/>
  <c r="AK388" i="7"/>
  <c r="D388" i="7" s="1"/>
  <c r="AL388" i="7"/>
  <c r="E388" i="7" s="1"/>
  <c r="B387" i="7"/>
  <c r="BK388" i="7" l="1"/>
  <c r="F388" i="7"/>
  <c r="BJ388" i="7"/>
  <c r="BL388" i="7"/>
  <c r="BM388" i="7" l="1"/>
  <c r="N389" i="7" s="1"/>
  <c r="AP389" i="7" l="1"/>
  <c r="BG389" i="7" s="1"/>
  <c r="AQ389" i="7"/>
  <c r="BH389" i="7" s="1"/>
  <c r="AR389" i="7"/>
  <c r="BI389" i="7" s="1"/>
  <c r="AJ389" i="7"/>
  <c r="C389" i="7" s="1"/>
  <c r="AK389" i="7"/>
  <c r="D389" i="7" s="1"/>
  <c r="AL389" i="7"/>
  <c r="E389" i="7" s="1"/>
  <c r="B388" i="7"/>
  <c r="BK389" i="7" l="1"/>
  <c r="F389" i="7"/>
  <c r="BJ389" i="7"/>
  <c r="BL389" i="7"/>
  <c r="BM389" i="7" l="1"/>
  <c r="N390" i="7" s="1"/>
  <c r="AQ390" i="7" l="1"/>
  <c r="BH390" i="7" s="1"/>
  <c r="AR390" i="7"/>
  <c r="BI390" i="7" s="1"/>
  <c r="AP390" i="7"/>
  <c r="BG390" i="7" s="1"/>
  <c r="AK390" i="7"/>
  <c r="D390" i="7" s="1"/>
  <c r="AL390" i="7"/>
  <c r="E390" i="7" s="1"/>
  <c r="AJ390" i="7"/>
  <c r="C390" i="7" s="1"/>
  <c r="B389" i="7"/>
  <c r="BK390" i="7" l="1"/>
  <c r="BL390" i="7"/>
  <c r="F390" i="7"/>
  <c r="BJ390" i="7"/>
  <c r="BM390" i="7" l="1"/>
  <c r="N391" i="7" s="1"/>
  <c r="AR391" i="7" l="1"/>
  <c r="BI391" i="7" s="1"/>
  <c r="AP391" i="7"/>
  <c r="BG391" i="7" s="1"/>
  <c r="AQ391" i="7"/>
  <c r="BH391" i="7" s="1"/>
  <c r="AL391" i="7"/>
  <c r="E391" i="7" s="1"/>
  <c r="AJ391" i="7"/>
  <c r="C391" i="7" s="1"/>
  <c r="AK391" i="7"/>
  <c r="D391" i="7" s="1"/>
  <c r="B390" i="7"/>
  <c r="BK391" i="7" l="1"/>
  <c r="F391" i="7"/>
  <c r="BJ391" i="7"/>
  <c r="BL391" i="7"/>
  <c r="BM391" i="7" l="1"/>
  <c r="N392" i="7" s="1"/>
  <c r="AP392" i="7" l="1"/>
  <c r="BG392" i="7" s="1"/>
  <c r="AQ392" i="7"/>
  <c r="BH392" i="7" s="1"/>
  <c r="AR392" i="7"/>
  <c r="BI392" i="7" s="1"/>
  <c r="AJ392" i="7"/>
  <c r="C392" i="7" s="1"/>
  <c r="AK392" i="7"/>
  <c r="D392" i="7" s="1"/>
  <c r="AL392" i="7"/>
  <c r="E392" i="7" s="1"/>
  <c r="B391" i="7"/>
  <c r="BK392" i="7" l="1"/>
  <c r="F392" i="7"/>
  <c r="BJ392" i="7"/>
  <c r="BL392" i="7"/>
  <c r="BM392" i="7" l="1"/>
  <c r="N393" i="7" s="1"/>
  <c r="AP393" i="7" l="1"/>
  <c r="BG393" i="7" s="1"/>
  <c r="AQ393" i="7"/>
  <c r="BH393" i="7" s="1"/>
  <c r="AR393" i="7"/>
  <c r="BI393" i="7" s="1"/>
  <c r="AJ393" i="7"/>
  <c r="C393" i="7" s="1"/>
  <c r="AK393" i="7"/>
  <c r="D393" i="7" s="1"/>
  <c r="AL393" i="7"/>
  <c r="E393" i="7" s="1"/>
  <c r="B392" i="7"/>
  <c r="BK393" i="7" l="1"/>
  <c r="F393" i="7"/>
  <c r="BJ393" i="7"/>
  <c r="BL393" i="7"/>
  <c r="BM393" i="7" l="1"/>
  <c r="N394" i="7" s="1"/>
  <c r="AQ394" i="7" l="1"/>
  <c r="BH394" i="7" s="1"/>
  <c r="AR394" i="7"/>
  <c r="BI394" i="7" s="1"/>
  <c r="AP394" i="7"/>
  <c r="BG394" i="7" s="1"/>
  <c r="AK394" i="7"/>
  <c r="D394" i="7" s="1"/>
  <c r="AL394" i="7"/>
  <c r="E394" i="7" s="1"/>
  <c r="AJ394" i="7"/>
  <c r="C394" i="7" s="1"/>
  <c r="B393" i="7"/>
  <c r="BL394" i="7" l="1"/>
  <c r="BK394" i="7"/>
  <c r="F394" i="7"/>
  <c r="BJ394" i="7"/>
  <c r="BM394" i="7" l="1"/>
  <c r="N395" i="7" s="1"/>
  <c r="AR395" i="7" l="1"/>
  <c r="BI395" i="7" s="1"/>
  <c r="AP395" i="7"/>
  <c r="BG395" i="7" s="1"/>
  <c r="AQ395" i="7"/>
  <c r="BH395" i="7" s="1"/>
  <c r="AL395" i="7"/>
  <c r="E395" i="7" s="1"/>
  <c r="AJ395" i="7"/>
  <c r="C395" i="7" s="1"/>
  <c r="AK395" i="7"/>
  <c r="D395" i="7" s="1"/>
  <c r="B394" i="7"/>
  <c r="F395" i="7" l="1"/>
  <c r="BJ395" i="7"/>
  <c r="BL395" i="7"/>
  <c r="BK395" i="7"/>
  <c r="BM395" i="7" l="1"/>
  <c r="N396" i="7" s="1"/>
  <c r="AP396" i="7" l="1"/>
  <c r="BG396" i="7" s="1"/>
  <c r="AQ396" i="7"/>
  <c r="BH396" i="7" s="1"/>
  <c r="AR396" i="7"/>
  <c r="BI396" i="7" s="1"/>
  <c r="AJ396" i="7"/>
  <c r="C396" i="7" s="1"/>
  <c r="AK396" i="7"/>
  <c r="D396" i="7" s="1"/>
  <c r="AL396" i="7"/>
  <c r="E396" i="7" s="1"/>
  <c r="B395" i="7"/>
  <c r="BK396" i="7" l="1"/>
  <c r="F396" i="7"/>
  <c r="BJ396" i="7"/>
  <c r="BL396" i="7"/>
  <c r="BM396" i="7" l="1"/>
  <c r="N397" i="7" s="1"/>
  <c r="AP397" i="7" l="1"/>
  <c r="BG397" i="7" s="1"/>
  <c r="AQ397" i="7"/>
  <c r="BH397" i="7" s="1"/>
  <c r="AR397" i="7"/>
  <c r="BI397" i="7" s="1"/>
  <c r="AJ397" i="7"/>
  <c r="C397" i="7" s="1"/>
  <c r="AK397" i="7"/>
  <c r="D397" i="7" s="1"/>
  <c r="AL397" i="7"/>
  <c r="E397" i="7" s="1"/>
  <c r="B396" i="7"/>
  <c r="F397" i="7" l="1"/>
  <c r="BJ397" i="7"/>
  <c r="BK397" i="7"/>
  <c r="BL397" i="7"/>
  <c r="BM397" i="7" l="1"/>
  <c r="N398" i="7" s="1"/>
  <c r="AQ398" i="7" l="1"/>
  <c r="BH398" i="7" s="1"/>
  <c r="AR398" i="7"/>
  <c r="BI398" i="7" s="1"/>
  <c r="AP398" i="7"/>
  <c r="BG398" i="7" s="1"/>
  <c r="AK398" i="7"/>
  <c r="D398" i="7" s="1"/>
  <c r="AL398" i="7"/>
  <c r="E398" i="7" s="1"/>
  <c r="AJ398" i="7"/>
  <c r="C398" i="7" s="1"/>
  <c r="B397" i="7"/>
  <c r="BL398" i="7" l="1"/>
  <c r="BK398" i="7"/>
  <c r="F398" i="7"/>
  <c r="BJ398" i="7"/>
  <c r="BM398" i="7" l="1"/>
  <c r="N399" i="7" s="1"/>
  <c r="AR399" i="7" l="1"/>
  <c r="BI399" i="7" s="1"/>
  <c r="AP399" i="7"/>
  <c r="BG399" i="7" s="1"/>
  <c r="AQ399" i="7"/>
  <c r="BH399" i="7" s="1"/>
  <c r="AL399" i="7"/>
  <c r="E399" i="7" s="1"/>
  <c r="AJ399" i="7"/>
  <c r="C399" i="7" s="1"/>
  <c r="AK399" i="7"/>
  <c r="D399" i="7" s="1"/>
  <c r="B398" i="7"/>
  <c r="F399" i="7" l="1"/>
  <c r="BJ399" i="7"/>
  <c r="BL399" i="7"/>
  <c r="BK399" i="7"/>
  <c r="BM399" i="7" l="1"/>
  <c r="N400" i="7" s="1"/>
  <c r="AP400" i="7" l="1"/>
  <c r="BG400" i="7" s="1"/>
  <c r="AQ400" i="7"/>
  <c r="BH400" i="7" s="1"/>
  <c r="AR400" i="7"/>
  <c r="BI400" i="7" s="1"/>
  <c r="AJ400" i="7"/>
  <c r="C400" i="7" s="1"/>
  <c r="AK400" i="7"/>
  <c r="D400" i="7" s="1"/>
  <c r="AL400" i="7"/>
  <c r="E400" i="7" s="1"/>
  <c r="B399" i="7"/>
  <c r="BK400" i="7" l="1"/>
  <c r="F400" i="7"/>
  <c r="BJ400" i="7"/>
  <c r="BL400" i="7"/>
  <c r="BM400" i="7" l="1"/>
  <c r="N401" i="7" s="1"/>
  <c r="AP401" i="7" l="1"/>
  <c r="BG401" i="7" s="1"/>
  <c r="AQ401" i="7"/>
  <c r="BH401" i="7" s="1"/>
  <c r="AR401" i="7"/>
  <c r="BI401" i="7" s="1"/>
  <c r="AJ401" i="7"/>
  <c r="C401" i="7" s="1"/>
  <c r="AK401" i="7"/>
  <c r="D401" i="7" s="1"/>
  <c r="AL401" i="7"/>
  <c r="E401" i="7" s="1"/>
  <c r="B400" i="7"/>
  <c r="BK401" i="7" l="1"/>
  <c r="F401" i="7"/>
  <c r="BJ401" i="7"/>
  <c r="BL401" i="7"/>
  <c r="BM401" i="7" l="1"/>
  <c r="N402" i="7" s="1"/>
  <c r="AQ402" i="7" l="1"/>
  <c r="BH402" i="7" s="1"/>
  <c r="AR402" i="7"/>
  <c r="BI402" i="7" s="1"/>
  <c r="AP402" i="7"/>
  <c r="BG402" i="7" s="1"/>
  <c r="AK402" i="7"/>
  <c r="D402" i="7" s="1"/>
  <c r="AL402" i="7"/>
  <c r="E402" i="7" s="1"/>
  <c r="AJ402" i="7"/>
  <c r="C402" i="7" s="1"/>
  <c r="B401" i="7"/>
  <c r="BL402" i="7" l="1"/>
  <c r="BK402" i="7"/>
  <c r="F402" i="7"/>
  <c r="BJ402" i="7"/>
  <c r="BM402" i="7" l="1"/>
  <c r="N403" i="7" s="1"/>
  <c r="AR403" i="7" l="1"/>
  <c r="BI403" i="7" s="1"/>
  <c r="AP403" i="7"/>
  <c r="BG403" i="7" s="1"/>
  <c r="AQ403" i="7"/>
  <c r="BH403" i="7" s="1"/>
  <c r="AL403" i="7"/>
  <c r="E403" i="7" s="1"/>
  <c r="AJ403" i="7"/>
  <c r="C403" i="7" s="1"/>
  <c r="AK403" i="7"/>
  <c r="D403" i="7" s="1"/>
  <c r="B402" i="7"/>
  <c r="BL403" i="7" l="1"/>
  <c r="F403" i="7"/>
  <c r="BJ403" i="7"/>
  <c r="BK403" i="7"/>
  <c r="BM403" i="7" l="1"/>
  <c r="N404" i="7" s="1"/>
  <c r="AP404" i="7" l="1"/>
  <c r="BG404" i="7" s="1"/>
  <c r="AQ404" i="7"/>
  <c r="BH404" i="7" s="1"/>
  <c r="AR404" i="7"/>
  <c r="BI404" i="7" s="1"/>
  <c r="AJ404" i="7"/>
  <c r="C404" i="7" s="1"/>
  <c r="AK404" i="7"/>
  <c r="D404" i="7" s="1"/>
  <c r="AL404" i="7"/>
  <c r="E404" i="7" s="1"/>
  <c r="B403" i="7"/>
  <c r="BK404" i="7" l="1"/>
  <c r="F404" i="7"/>
  <c r="BJ404" i="7"/>
  <c r="BL404" i="7"/>
  <c r="BM404" i="7" l="1"/>
  <c r="N405" i="7" s="1"/>
  <c r="AP405" i="7" l="1"/>
  <c r="BG405" i="7" s="1"/>
  <c r="AQ405" i="7"/>
  <c r="BH405" i="7" s="1"/>
  <c r="AR405" i="7"/>
  <c r="BI405" i="7" s="1"/>
  <c r="AJ405" i="7"/>
  <c r="C405" i="7" s="1"/>
  <c r="AK405" i="7"/>
  <c r="D405" i="7" s="1"/>
  <c r="AL405" i="7"/>
  <c r="E405" i="7" s="1"/>
  <c r="B404" i="7"/>
  <c r="BK405" i="7" l="1"/>
  <c r="F405" i="7"/>
  <c r="BJ405" i="7"/>
  <c r="BL405" i="7"/>
  <c r="BM405" i="7" l="1"/>
  <c r="N406" i="7" s="1"/>
  <c r="AQ406" i="7" l="1"/>
  <c r="BH406" i="7" s="1"/>
  <c r="AR406" i="7"/>
  <c r="BI406" i="7" s="1"/>
  <c r="AP406" i="7"/>
  <c r="BG406" i="7" s="1"/>
  <c r="AK406" i="7"/>
  <c r="D406" i="7" s="1"/>
  <c r="AL406" i="7"/>
  <c r="E406" i="7" s="1"/>
  <c r="AJ406" i="7"/>
  <c r="C406" i="7" s="1"/>
  <c r="B405" i="7"/>
  <c r="BL406" i="7" l="1"/>
  <c r="BK406" i="7"/>
  <c r="F406" i="7"/>
  <c r="BJ406" i="7"/>
  <c r="BM406" i="7" l="1"/>
  <c r="N407" i="7" s="1"/>
  <c r="AR407" i="7" l="1"/>
  <c r="BI407" i="7" s="1"/>
  <c r="AP407" i="7"/>
  <c r="BG407" i="7" s="1"/>
  <c r="AQ407" i="7"/>
  <c r="BH407" i="7" s="1"/>
  <c r="AL407" i="7"/>
  <c r="E407" i="7" s="1"/>
  <c r="AJ407" i="7"/>
  <c r="C407" i="7" s="1"/>
  <c r="AK407" i="7"/>
  <c r="D407" i="7" s="1"/>
  <c r="B406" i="7"/>
  <c r="F407" i="7" l="1"/>
  <c r="BJ407" i="7"/>
  <c r="BL407" i="7"/>
  <c r="BK407" i="7"/>
  <c r="BM407" i="7" l="1"/>
  <c r="N408" i="7" s="1"/>
  <c r="AP408" i="7" l="1"/>
  <c r="BG408" i="7" s="1"/>
  <c r="AQ408" i="7"/>
  <c r="BH408" i="7" s="1"/>
  <c r="AR408" i="7"/>
  <c r="BI408" i="7" s="1"/>
  <c r="AJ408" i="7"/>
  <c r="C408" i="7" s="1"/>
  <c r="AK408" i="7"/>
  <c r="D408" i="7" s="1"/>
  <c r="AL408" i="7"/>
  <c r="E408" i="7" s="1"/>
  <c r="B407" i="7"/>
  <c r="BK408" i="7" l="1"/>
  <c r="F408" i="7"/>
  <c r="BJ408" i="7"/>
  <c r="BL408" i="7"/>
  <c r="BM408" i="7" l="1"/>
  <c r="N409" i="7" s="1"/>
  <c r="AP409" i="7" l="1"/>
  <c r="BG409" i="7" s="1"/>
  <c r="AQ409" i="7"/>
  <c r="BH409" i="7" s="1"/>
  <c r="AR409" i="7"/>
  <c r="BI409" i="7" s="1"/>
  <c r="AJ409" i="7"/>
  <c r="C409" i="7" s="1"/>
  <c r="AK409" i="7"/>
  <c r="D409" i="7" s="1"/>
  <c r="AL409" i="7"/>
  <c r="E409" i="7" s="1"/>
  <c r="B408" i="7"/>
  <c r="BK409" i="7" l="1"/>
  <c r="F409" i="7"/>
  <c r="BJ409" i="7"/>
  <c r="BL409" i="7"/>
  <c r="BM409" i="7" l="1"/>
  <c r="N410" i="7" s="1"/>
  <c r="AQ410" i="7" l="1"/>
  <c r="BH410" i="7" s="1"/>
  <c r="AR410" i="7"/>
  <c r="BI410" i="7" s="1"/>
  <c r="AP410" i="7"/>
  <c r="BG410" i="7" s="1"/>
  <c r="AK410" i="7"/>
  <c r="D410" i="7" s="1"/>
  <c r="AL410" i="7"/>
  <c r="E410" i="7" s="1"/>
  <c r="AJ410" i="7"/>
  <c r="C410" i="7" s="1"/>
  <c r="B409" i="7"/>
  <c r="BL410" i="7" l="1"/>
  <c r="BK410" i="7"/>
  <c r="F410" i="7"/>
  <c r="BJ410" i="7"/>
  <c r="BM410" i="7" l="1"/>
  <c r="N411" i="7" s="1"/>
  <c r="AR411" i="7" l="1"/>
  <c r="BI411" i="7" s="1"/>
  <c r="AP411" i="7"/>
  <c r="BG411" i="7" s="1"/>
  <c r="AQ411" i="7"/>
  <c r="BH411" i="7" s="1"/>
  <c r="AL411" i="7"/>
  <c r="E411" i="7" s="1"/>
  <c r="AJ411" i="7"/>
  <c r="C411" i="7" s="1"/>
  <c r="AK411" i="7"/>
  <c r="D411" i="7" s="1"/>
  <c r="B410" i="7"/>
  <c r="F411" i="7" l="1"/>
  <c r="BJ411" i="7"/>
  <c r="BL411" i="7"/>
  <c r="BK411" i="7"/>
  <c r="BM411" i="7" l="1"/>
  <c r="N412" i="7" s="1"/>
  <c r="AP412" i="7" l="1"/>
  <c r="BG412" i="7" s="1"/>
  <c r="AQ412" i="7"/>
  <c r="BH412" i="7" s="1"/>
  <c r="AR412" i="7"/>
  <c r="BI412" i="7" s="1"/>
  <c r="AJ412" i="7"/>
  <c r="C412" i="7" s="1"/>
  <c r="AK412" i="7"/>
  <c r="D412" i="7" s="1"/>
  <c r="AL412" i="7"/>
  <c r="E412" i="7" s="1"/>
  <c r="B411" i="7"/>
  <c r="BK412" i="7" l="1"/>
  <c r="F412" i="7"/>
  <c r="BJ412" i="7"/>
  <c r="BL412" i="7"/>
  <c r="BM412" i="7" l="1"/>
  <c r="N413" i="7" s="1"/>
  <c r="AP413" i="7" l="1"/>
  <c r="BG413" i="7" s="1"/>
  <c r="AQ413" i="7"/>
  <c r="BH413" i="7" s="1"/>
  <c r="AR413" i="7"/>
  <c r="BI413" i="7" s="1"/>
  <c r="AJ413" i="7"/>
  <c r="C413" i="7" s="1"/>
  <c r="AK413" i="7"/>
  <c r="D413" i="7" s="1"/>
  <c r="AL413" i="7"/>
  <c r="E413" i="7" s="1"/>
  <c r="B412" i="7"/>
  <c r="BK413" i="7" l="1"/>
  <c r="F413" i="7"/>
  <c r="BJ413" i="7"/>
  <c r="BL413" i="7"/>
  <c r="BM413" i="7" l="1"/>
  <c r="N414" i="7" s="1"/>
  <c r="AP414" i="7" l="1"/>
  <c r="BG414" i="7" s="1"/>
  <c r="AR414" i="7"/>
  <c r="BI414" i="7" s="1"/>
  <c r="AQ414" i="7"/>
  <c r="BH414" i="7" s="1"/>
  <c r="AK414" i="7"/>
  <c r="D414" i="7" s="1"/>
  <c r="AL414" i="7"/>
  <c r="E414" i="7" s="1"/>
  <c r="AJ414" i="7"/>
  <c r="C414" i="7" s="1"/>
  <c r="B413" i="7"/>
  <c r="BL414" i="7" l="1"/>
  <c r="BK414" i="7"/>
  <c r="F414" i="7"/>
  <c r="BJ414" i="7"/>
  <c r="BM414" i="7" l="1"/>
  <c r="N415" i="7" s="1"/>
  <c r="AP415" i="7" l="1"/>
  <c r="BG415" i="7" s="1"/>
  <c r="AQ415" i="7"/>
  <c r="BH415" i="7" s="1"/>
  <c r="AR415" i="7"/>
  <c r="BI415" i="7" s="1"/>
  <c r="AL415" i="7"/>
  <c r="E415" i="7" s="1"/>
  <c r="AJ415" i="7"/>
  <c r="C415" i="7" s="1"/>
  <c r="AK415" i="7"/>
  <c r="D415" i="7" s="1"/>
  <c r="B414" i="7"/>
  <c r="F415" i="7" l="1"/>
  <c r="BJ415" i="7"/>
  <c r="BL415" i="7"/>
  <c r="BK415" i="7"/>
  <c r="BM415" i="7" l="1"/>
  <c r="N416" i="7" s="1"/>
  <c r="AQ416" i="7" l="1"/>
  <c r="BH416" i="7" s="1"/>
  <c r="AR416" i="7"/>
  <c r="BI416" i="7" s="1"/>
  <c r="AP416" i="7"/>
  <c r="BG416" i="7" s="1"/>
  <c r="AJ416" i="7"/>
  <c r="C416" i="7" s="1"/>
  <c r="AK416" i="7"/>
  <c r="D416" i="7" s="1"/>
  <c r="AL416" i="7"/>
  <c r="E416" i="7" s="1"/>
  <c r="B415" i="7"/>
  <c r="BK416" i="7" l="1"/>
  <c r="F416" i="7"/>
  <c r="BJ416" i="7"/>
  <c r="BL416" i="7"/>
  <c r="BM416" i="7" l="1"/>
  <c r="N417" i="7" s="1"/>
  <c r="AR417" i="7" l="1"/>
  <c r="BI417" i="7" s="1"/>
  <c r="AQ417" i="7"/>
  <c r="BH417" i="7" s="1"/>
  <c r="AP417" i="7"/>
  <c r="BG417" i="7" s="1"/>
  <c r="AJ417" i="7"/>
  <c r="C417" i="7" s="1"/>
  <c r="AK417" i="7"/>
  <c r="D417" i="7" s="1"/>
  <c r="AL417" i="7"/>
  <c r="E417" i="7" s="1"/>
  <c r="B416" i="7"/>
  <c r="BK417" i="7" l="1"/>
  <c r="F417" i="7"/>
  <c r="BJ417" i="7"/>
  <c r="BL417" i="7"/>
  <c r="BM417" i="7" l="1"/>
  <c r="N418" i="7" s="1"/>
  <c r="AP418" i="7" l="1"/>
  <c r="BG418" i="7" s="1"/>
  <c r="AR418" i="7"/>
  <c r="BI418" i="7" s="1"/>
  <c r="AQ418" i="7"/>
  <c r="BH418" i="7" s="1"/>
  <c r="AK418" i="7"/>
  <c r="D418" i="7" s="1"/>
  <c r="AL418" i="7"/>
  <c r="E418" i="7" s="1"/>
  <c r="AJ418" i="7"/>
  <c r="C418" i="7" s="1"/>
  <c r="B417" i="7"/>
  <c r="BL418" i="7" l="1"/>
  <c r="BK418" i="7"/>
  <c r="F418" i="7"/>
  <c r="BJ418" i="7"/>
  <c r="BM418" i="7" l="1"/>
  <c r="N419" i="7" s="1"/>
  <c r="AP419" i="7" l="1"/>
  <c r="BG419" i="7" s="1"/>
  <c r="AQ419" i="7"/>
  <c r="BH419" i="7" s="1"/>
  <c r="AR419" i="7"/>
  <c r="BI419" i="7" s="1"/>
  <c r="AL419" i="7"/>
  <c r="E419" i="7" s="1"/>
  <c r="AJ419" i="7"/>
  <c r="C419" i="7" s="1"/>
  <c r="AK419" i="7"/>
  <c r="D419" i="7" s="1"/>
  <c r="B418" i="7"/>
  <c r="BL419" i="7" l="1"/>
  <c r="F419" i="7"/>
  <c r="BJ419" i="7"/>
  <c r="BK419" i="7"/>
  <c r="BM419" i="7" l="1"/>
  <c r="N420" i="7" s="1"/>
  <c r="AQ420" i="7" l="1"/>
  <c r="BH420" i="7" s="1"/>
  <c r="AR420" i="7"/>
  <c r="BI420" i="7" s="1"/>
  <c r="AP420" i="7"/>
  <c r="BG420" i="7" s="1"/>
  <c r="AJ420" i="7"/>
  <c r="C420" i="7" s="1"/>
  <c r="AK420" i="7"/>
  <c r="D420" i="7" s="1"/>
  <c r="AL420" i="7"/>
  <c r="E420" i="7" s="1"/>
  <c r="B419" i="7"/>
  <c r="BK420" i="7" l="1"/>
  <c r="F420" i="7"/>
  <c r="BJ420" i="7"/>
  <c r="BL420" i="7"/>
  <c r="BM420" i="7" l="1"/>
  <c r="N421" i="7" s="1"/>
  <c r="AR421" i="7" l="1"/>
  <c r="BI421" i="7" s="1"/>
  <c r="AQ421" i="7"/>
  <c r="BH421" i="7" s="1"/>
  <c r="AP421" i="7"/>
  <c r="BG421" i="7" s="1"/>
  <c r="AJ421" i="7"/>
  <c r="C421" i="7" s="1"/>
  <c r="AK421" i="7"/>
  <c r="D421" i="7" s="1"/>
  <c r="AL421" i="7"/>
  <c r="E421" i="7" s="1"/>
  <c r="B420" i="7"/>
  <c r="BK421" i="7" l="1"/>
  <c r="F421" i="7"/>
  <c r="BJ421" i="7"/>
  <c r="BL421" i="7"/>
  <c r="BM421" i="7" l="1"/>
  <c r="N422" i="7" s="1"/>
  <c r="AP422" i="7" l="1"/>
  <c r="BG422" i="7" s="1"/>
  <c r="AR422" i="7"/>
  <c r="BI422" i="7" s="1"/>
  <c r="AQ422" i="7"/>
  <c r="BH422" i="7" s="1"/>
  <c r="AK422" i="7"/>
  <c r="D422" i="7" s="1"/>
  <c r="AL422" i="7"/>
  <c r="E422" i="7" s="1"/>
  <c r="AJ422" i="7"/>
  <c r="C422" i="7" s="1"/>
  <c r="B421" i="7"/>
  <c r="BK422" i="7" l="1"/>
  <c r="BL422" i="7"/>
  <c r="F422" i="7"/>
  <c r="BJ422" i="7"/>
  <c r="BM422" i="7" l="1"/>
  <c r="N423" i="7" s="1"/>
  <c r="AP423" i="7" l="1"/>
  <c r="BG423" i="7" s="1"/>
  <c r="AQ423" i="7"/>
  <c r="BH423" i="7" s="1"/>
  <c r="AR423" i="7"/>
  <c r="BI423" i="7" s="1"/>
  <c r="AL423" i="7"/>
  <c r="E423" i="7" s="1"/>
  <c r="AJ423" i="7"/>
  <c r="C423" i="7" s="1"/>
  <c r="AK423" i="7"/>
  <c r="D423" i="7" s="1"/>
  <c r="B422" i="7"/>
  <c r="BL423" i="7" l="1"/>
  <c r="F423" i="7"/>
  <c r="BJ423" i="7"/>
  <c r="BK423" i="7"/>
  <c r="BM423" i="7" l="1"/>
  <c r="N424" i="7" s="1"/>
  <c r="AQ424" i="7" l="1"/>
  <c r="BH424" i="7" s="1"/>
  <c r="AR424" i="7"/>
  <c r="BI424" i="7" s="1"/>
  <c r="AP424" i="7"/>
  <c r="BG424" i="7" s="1"/>
  <c r="AJ424" i="7"/>
  <c r="C424" i="7" s="1"/>
  <c r="AK424" i="7"/>
  <c r="D424" i="7" s="1"/>
  <c r="AL424" i="7"/>
  <c r="E424" i="7" s="1"/>
  <c r="B423" i="7"/>
  <c r="BK424" i="7" l="1"/>
  <c r="F424" i="7"/>
  <c r="BJ424" i="7"/>
  <c r="BL424" i="7"/>
  <c r="BM424" i="7" l="1"/>
  <c r="N425" i="7" s="1"/>
  <c r="AR425" i="7" l="1"/>
  <c r="BI425" i="7" s="1"/>
  <c r="AQ425" i="7"/>
  <c r="BH425" i="7" s="1"/>
  <c r="AP425" i="7"/>
  <c r="BG425" i="7" s="1"/>
  <c r="AJ425" i="7"/>
  <c r="C425" i="7" s="1"/>
  <c r="AK425" i="7"/>
  <c r="D425" i="7" s="1"/>
  <c r="AL425" i="7"/>
  <c r="E425" i="7" s="1"/>
  <c r="B424" i="7"/>
  <c r="F425" i="7" l="1"/>
  <c r="BJ425" i="7"/>
  <c r="BK425" i="7"/>
  <c r="BL425" i="7"/>
  <c r="BM425" i="7" l="1"/>
  <c r="N426" i="7" s="1"/>
  <c r="AP426" i="7" l="1"/>
  <c r="BG426" i="7" s="1"/>
  <c r="AQ426" i="7"/>
  <c r="BH426" i="7" s="1"/>
  <c r="AR426" i="7"/>
  <c r="BI426" i="7" s="1"/>
  <c r="AK426" i="7"/>
  <c r="D426" i="7" s="1"/>
  <c r="AL426" i="7"/>
  <c r="E426" i="7" s="1"/>
  <c r="AJ426" i="7"/>
  <c r="C426" i="7" s="1"/>
  <c r="B425" i="7"/>
  <c r="BK426" i="7" l="1"/>
  <c r="BL426" i="7"/>
  <c r="F426" i="7"/>
  <c r="BJ426" i="7"/>
  <c r="BM426" i="7" l="1"/>
  <c r="N427" i="7" s="1"/>
  <c r="AP427" i="7" l="1"/>
  <c r="BG427" i="7" s="1"/>
  <c r="AQ427" i="7"/>
  <c r="BH427" i="7" s="1"/>
  <c r="AR427" i="7"/>
  <c r="BI427" i="7" s="1"/>
  <c r="AL427" i="7"/>
  <c r="E427" i="7" s="1"/>
  <c r="AJ427" i="7"/>
  <c r="C427" i="7" s="1"/>
  <c r="AK427" i="7"/>
  <c r="D427" i="7" s="1"/>
  <c r="B426" i="7"/>
  <c r="BL427" i="7" l="1"/>
  <c r="F427" i="7"/>
  <c r="BJ427" i="7"/>
  <c r="BK427" i="7"/>
  <c r="BM427" i="7" l="1"/>
  <c r="N428" i="7" s="1"/>
  <c r="AQ428" i="7" l="1"/>
  <c r="BH428" i="7" s="1"/>
  <c r="AR428" i="7"/>
  <c r="BI428" i="7" s="1"/>
  <c r="AP428" i="7"/>
  <c r="BG428" i="7" s="1"/>
  <c r="AJ428" i="7"/>
  <c r="C428" i="7" s="1"/>
  <c r="AK428" i="7"/>
  <c r="D428" i="7" s="1"/>
  <c r="AL428" i="7"/>
  <c r="E428" i="7" s="1"/>
  <c r="B427" i="7"/>
  <c r="BK428" i="7" l="1"/>
  <c r="F428" i="7"/>
  <c r="BJ428" i="7"/>
  <c r="BL428" i="7"/>
  <c r="BM428" i="7" l="1"/>
  <c r="N429" i="7" s="1"/>
  <c r="AR429" i="7" l="1"/>
  <c r="BI429" i="7" s="1"/>
  <c r="AQ429" i="7"/>
  <c r="BH429" i="7" s="1"/>
  <c r="AP429" i="7"/>
  <c r="BG429" i="7" s="1"/>
  <c r="AJ429" i="7"/>
  <c r="C429" i="7" s="1"/>
  <c r="AK429" i="7"/>
  <c r="D429" i="7" s="1"/>
  <c r="AL429" i="7"/>
  <c r="E429" i="7" s="1"/>
  <c r="B428" i="7"/>
  <c r="BK429" i="7" l="1"/>
  <c r="F429" i="7"/>
  <c r="BJ429" i="7"/>
  <c r="BL429" i="7"/>
  <c r="BM429" i="7" l="1"/>
  <c r="N430" i="7" s="1"/>
  <c r="AP430" i="7" l="1"/>
  <c r="BG430" i="7" s="1"/>
  <c r="AQ430" i="7"/>
  <c r="BH430" i="7" s="1"/>
  <c r="AR430" i="7"/>
  <c r="BI430" i="7" s="1"/>
  <c r="AK430" i="7"/>
  <c r="D430" i="7" s="1"/>
  <c r="AL430" i="7"/>
  <c r="E430" i="7" s="1"/>
  <c r="AJ430" i="7"/>
  <c r="C430" i="7" s="1"/>
  <c r="B429" i="7"/>
  <c r="BK430" i="7" l="1"/>
  <c r="BL430" i="7"/>
  <c r="F430" i="7"/>
  <c r="BJ430" i="7"/>
  <c r="BM430" i="7" l="1"/>
  <c r="N431" i="7" s="1"/>
  <c r="AP431" i="7" l="1"/>
  <c r="BG431" i="7" s="1"/>
  <c r="AQ431" i="7"/>
  <c r="BH431" i="7" s="1"/>
  <c r="AR431" i="7"/>
  <c r="BI431" i="7" s="1"/>
  <c r="AL431" i="7"/>
  <c r="E431" i="7" s="1"/>
  <c r="AJ431" i="7"/>
  <c r="C431" i="7" s="1"/>
  <c r="AK431" i="7"/>
  <c r="D431" i="7" s="1"/>
  <c r="B430" i="7"/>
  <c r="F431" i="7" l="1"/>
  <c r="BJ431" i="7"/>
  <c r="BL431" i="7"/>
  <c r="BK431" i="7"/>
  <c r="BM431" i="7" l="1"/>
  <c r="N432" i="7" s="1"/>
  <c r="AQ432" i="7" l="1"/>
  <c r="BH432" i="7" s="1"/>
  <c r="AR432" i="7"/>
  <c r="BI432" i="7" s="1"/>
  <c r="AP432" i="7"/>
  <c r="BG432" i="7" s="1"/>
  <c r="AJ432" i="7"/>
  <c r="C432" i="7" s="1"/>
  <c r="AK432" i="7"/>
  <c r="D432" i="7" s="1"/>
  <c r="AL432" i="7"/>
  <c r="E432" i="7" s="1"/>
  <c r="B431" i="7"/>
  <c r="BK432" i="7" l="1"/>
  <c r="F432" i="7"/>
  <c r="BJ432" i="7"/>
  <c r="BL432" i="7"/>
  <c r="BM432" i="7" l="1"/>
  <c r="N433" i="7" s="1"/>
  <c r="AR433" i="7" l="1"/>
  <c r="BI433" i="7" s="1"/>
  <c r="AQ433" i="7"/>
  <c r="BH433" i="7" s="1"/>
  <c r="AP433" i="7"/>
  <c r="BG433" i="7" s="1"/>
  <c r="AJ433" i="7"/>
  <c r="C433" i="7" s="1"/>
  <c r="AK433" i="7"/>
  <c r="D433" i="7" s="1"/>
  <c r="AL433" i="7"/>
  <c r="E433" i="7" s="1"/>
  <c r="B432" i="7"/>
  <c r="BK433" i="7" l="1"/>
  <c r="F433" i="7"/>
  <c r="BJ433" i="7"/>
  <c r="BL433" i="7"/>
  <c r="BM433" i="7" l="1"/>
  <c r="N434" i="7" s="1"/>
  <c r="AP434" i="7" l="1"/>
  <c r="BG434" i="7" s="1"/>
  <c r="AR434" i="7"/>
  <c r="BI434" i="7" s="1"/>
  <c r="AQ434" i="7"/>
  <c r="BH434" i="7" s="1"/>
  <c r="AK434" i="7"/>
  <c r="D434" i="7" s="1"/>
  <c r="AL434" i="7"/>
  <c r="E434" i="7" s="1"/>
  <c r="AJ434" i="7"/>
  <c r="C434" i="7" s="1"/>
  <c r="B433" i="7"/>
  <c r="BK434" i="7" l="1"/>
  <c r="BL434" i="7"/>
  <c r="F434" i="7"/>
  <c r="BJ434" i="7"/>
  <c r="BM434" i="7" l="1"/>
  <c r="N435" i="7" s="1"/>
  <c r="AP435" i="7" l="1"/>
  <c r="BG435" i="7" s="1"/>
  <c r="AQ435" i="7"/>
  <c r="BH435" i="7" s="1"/>
  <c r="AR435" i="7"/>
  <c r="BI435" i="7" s="1"/>
  <c r="AL435" i="7"/>
  <c r="E435" i="7" s="1"/>
  <c r="AJ435" i="7"/>
  <c r="C435" i="7" s="1"/>
  <c r="AK435" i="7"/>
  <c r="D435" i="7" s="1"/>
  <c r="B434" i="7"/>
  <c r="BL435" i="7" l="1"/>
  <c r="F435" i="7"/>
  <c r="BJ435" i="7"/>
  <c r="BK435" i="7"/>
  <c r="BM435" i="7" l="1"/>
  <c r="N436" i="7" s="1"/>
  <c r="AQ436" i="7" l="1"/>
  <c r="BH436" i="7" s="1"/>
  <c r="AR436" i="7"/>
  <c r="BI436" i="7" s="1"/>
  <c r="AP436" i="7"/>
  <c r="BG436" i="7" s="1"/>
  <c r="AJ436" i="7"/>
  <c r="C436" i="7" s="1"/>
  <c r="AK436" i="7"/>
  <c r="D436" i="7" s="1"/>
  <c r="AL436" i="7"/>
  <c r="E436" i="7" s="1"/>
  <c r="B435" i="7"/>
  <c r="F436" i="7" l="1"/>
  <c r="BJ436" i="7"/>
  <c r="BK436" i="7"/>
  <c r="BL436" i="7"/>
  <c r="BM436" i="7" l="1"/>
  <c r="N437" i="7" s="1"/>
  <c r="AR437" i="7" l="1"/>
  <c r="BI437" i="7" s="1"/>
  <c r="AQ437" i="7"/>
  <c r="BH437" i="7" s="1"/>
  <c r="AP437" i="7"/>
  <c r="BG437" i="7" s="1"/>
  <c r="AJ437" i="7"/>
  <c r="C437" i="7" s="1"/>
  <c r="AK437" i="7"/>
  <c r="D437" i="7" s="1"/>
  <c r="AL437" i="7"/>
  <c r="E437" i="7" s="1"/>
  <c r="B436" i="7"/>
  <c r="BK437" i="7" l="1"/>
  <c r="F437" i="7"/>
  <c r="BJ437" i="7"/>
  <c r="BL437" i="7"/>
  <c r="BM437" i="7" l="1"/>
  <c r="N438" i="7" s="1"/>
  <c r="AP438" i="7" l="1"/>
  <c r="BG438" i="7" s="1"/>
  <c r="AR438" i="7"/>
  <c r="BI438" i="7" s="1"/>
  <c r="AQ438" i="7"/>
  <c r="BH438" i="7" s="1"/>
  <c r="AK438" i="7"/>
  <c r="D438" i="7" s="1"/>
  <c r="AL438" i="7"/>
  <c r="E438" i="7" s="1"/>
  <c r="AJ438" i="7"/>
  <c r="C438" i="7" s="1"/>
  <c r="B437" i="7"/>
  <c r="BK438" i="7" l="1"/>
  <c r="BL438" i="7"/>
  <c r="F438" i="7"/>
  <c r="BJ438" i="7"/>
  <c r="BM438" i="7" l="1"/>
  <c r="N439" i="7" s="1"/>
  <c r="AP439" i="7" l="1"/>
  <c r="BG439" i="7" s="1"/>
  <c r="AQ439" i="7"/>
  <c r="BH439" i="7" s="1"/>
  <c r="AR439" i="7"/>
  <c r="BI439" i="7" s="1"/>
  <c r="AL439" i="7"/>
  <c r="E439" i="7" s="1"/>
  <c r="AJ439" i="7"/>
  <c r="C439" i="7" s="1"/>
  <c r="AK439" i="7"/>
  <c r="D439" i="7" s="1"/>
  <c r="B438" i="7"/>
  <c r="BL439" i="7" l="1"/>
  <c r="F439" i="7"/>
  <c r="BJ439" i="7"/>
  <c r="BK439" i="7"/>
  <c r="BM439" i="7" l="1"/>
  <c r="N440" i="7" s="1"/>
  <c r="AQ440" i="7" l="1"/>
  <c r="BH440" i="7" s="1"/>
  <c r="AR440" i="7"/>
  <c r="BI440" i="7" s="1"/>
  <c r="AP440" i="7"/>
  <c r="BG440" i="7" s="1"/>
  <c r="AJ440" i="7"/>
  <c r="C440" i="7" s="1"/>
  <c r="AK440" i="7"/>
  <c r="D440" i="7" s="1"/>
  <c r="AL440" i="7"/>
  <c r="E440" i="7" s="1"/>
  <c r="B439" i="7"/>
  <c r="BK440" i="7" l="1"/>
  <c r="F440" i="7"/>
  <c r="BJ440" i="7"/>
  <c r="BL440" i="7"/>
  <c r="BM440" i="7" l="1"/>
  <c r="N441" i="7" s="1"/>
  <c r="AR441" i="7" l="1"/>
  <c r="BI441" i="7" s="1"/>
  <c r="AQ441" i="7"/>
  <c r="BH441" i="7" s="1"/>
  <c r="AP441" i="7"/>
  <c r="BG441" i="7" s="1"/>
  <c r="AJ441" i="7"/>
  <c r="C441" i="7" s="1"/>
  <c r="AK441" i="7"/>
  <c r="D441" i="7" s="1"/>
  <c r="AL441" i="7"/>
  <c r="E441" i="7" s="1"/>
  <c r="B440" i="7"/>
  <c r="BK441" i="7" l="1"/>
  <c r="F441" i="7"/>
  <c r="BJ441" i="7"/>
  <c r="BL441" i="7"/>
  <c r="BM441" i="7" l="1"/>
  <c r="N442" i="7" s="1"/>
  <c r="AP442" i="7" l="1"/>
  <c r="BG442" i="7" s="1"/>
  <c r="AQ442" i="7"/>
  <c r="BH442" i="7" s="1"/>
  <c r="AR442" i="7"/>
  <c r="BI442" i="7" s="1"/>
  <c r="AK442" i="7"/>
  <c r="D442" i="7" s="1"/>
  <c r="AL442" i="7"/>
  <c r="E442" i="7" s="1"/>
  <c r="AJ442" i="7"/>
  <c r="C442" i="7" s="1"/>
  <c r="B441" i="7"/>
  <c r="BL442" i="7" l="1"/>
  <c r="BK442" i="7"/>
  <c r="F442" i="7"/>
  <c r="BJ442" i="7"/>
  <c r="BM442" i="7" l="1"/>
  <c r="N443" i="7" s="1"/>
  <c r="AP443" i="7" l="1"/>
  <c r="BG443" i="7" s="1"/>
  <c r="AQ443" i="7"/>
  <c r="BH443" i="7" s="1"/>
  <c r="AR443" i="7"/>
  <c r="BI443" i="7" s="1"/>
  <c r="AL443" i="7"/>
  <c r="E443" i="7" s="1"/>
  <c r="AJ443" i="7"/>
  <c r="C443" i="7" s="1"/>
  <c r="AK443" i="7"/>
  <c r="D443" i="7" s="1"/>
  <c r="B442" i="7"/>
  <c r="F443" i="7" l="1"/>
  <c r="BJ443" i="7"/>
  <c r="BL443" i="7"/>
  <c r="BK443" i="7"/>
  <c r="BM443" i="7" l="1"/>
  <c r="N444" i="7" s="1"/>
  <c r="AQ444" i="7" l="1"/>
  <c r="BH444" i="7" s="1"/>
  <c r="AR444" i="7"/>
  <c r="BI444" i="7" s="1"/>
  <c r="AP444" i="7"/>
  <c r="BG444" i="7" s="1"/>
  <c r="AJ444" i="7"/>
  <c r="C444" i="7" s="1"/>
  <c r="AK444" i="7"/>
  <c r="D444" i="7" s="1"/>
  <c r="AL444" i="7"/>
  <c r="E444" i="7" s="1"/>
  <c r="B443" i="7"/>
  <c r="BL444" i="7" l="1"/>
  <c r="BK444" i="7"/>
  <c r="F444" i="7"/>
  <c r="BJ444" i="7"/>
  <c r="BM444" i="7" l="1"/>
  <c r="N445" i="7" s="1"/>
  <c r="AR445" i="7" l="1"/>
  <c r="BI445" i="7" s="1"/>
  <c r="AP445" i="7"/>
  <c r="BG445" i="7" s="1"/>
  <c r="AQ445" i="7"/>
  <c r="BH445" i="7" s="1"/>
  <c r="AJ445" i="7"/>
  <c r="C445" i="7" s="1"/>
  <c r="AK445" i="7"/>
  <c r="D445" i="7" s="1"/>
  <c r="AL445" i="7"/>
  <c r="E445" i="7" s="1"/>
  <c r="B444" i="7"/>
  <c r="BK445" i="7" l="1"/>
  <c r="F445" i="7"/>
  <c r="BJ445" i="7"/>
  <c r="BL445" i="7"/>
  <c r="BM445" i="7" l="1"/>
  <c r="N446" i="7" s="1"/>
  <c r="AR446" i="7" l="1"/>
  <c r="BI446" i="7" s="1"/>
  <c r="AP446" i="7"/>
  <c r="BG446" i="7" s="1"/>
  <c r="AQ446" i="7"/>
  <c r="BH446" i="7" s="1"/>
  <c r="AK446" i="7"/>
  <c r="D446" i="7" s="1"/>
  <c r="AL446" i="7"/>
  <c r="E446" i="7" s="1"/>
  <c r="AJ446" i="7"/>
  <c r="C446" i="7" s="1"/>
  <c r="B445" i="7"/>
  <c r="BL446" i="7" l="1"/>
  <c r="BK446" i="7"/>
  <c r="F446" i="7"/>
  <c r="BJ446" i="7"/>
  <c r="BM446" i="7" l="1"/>
  <c r="N447" i="7" s="1"/>
  <c r="AP447" i="7" l="1"/>
  <c r="BG447" i="7" s="1"/>
  <c r="AQ447" i="7"/>
  <c r="BH447" i="7" s="1"/>
  <c r="AR447" i="7"/>
  <c r="BI447" i="7" s="1"/>
  <c r="AL447" i="7"/>
  <c r="E447" i="7" s="1"/>
  <c r="AJ447" i="7"/>
  <c r="C447" i="7" s="1"/>
  <c r="AK447" i="7"/>
  <c r="D447" i="7" s="1"/>
  <c r="B446" i="7"/>
  <c r="F447" i="7" l="1"/>
  <c r="BJ447" i="7"/>
  <c r="BL447" i="7"/>
  <c r="BK447" i="7"/>
  <c r="BM447" i="7" l="1"/>
  <c r="N448" i="7" s="1"/>
  <c r="AQ448" i="7" l="1"/>
  <c r="BH448" i="7" s="1"/>
  <c r="AR448" i="7"/>
  <c r="BI448" i="7" s="1"/>
  <c r="AP448" i="7"/>
  <c r="BG448" i="7" s="1"/>
  <c r="AJ448" i="7"/>
  <c r="C448" i="7" s="1"/>
  <c r="AK448" i="7"/>
  <c r="D448" i="7" s="1"/>
  <c r="AL448" i="7"/>
  <c r="E448" i="7" s="1"/>
  <c r="B447" i="7"/>
  <c r="BK448" i="7" l="1"/>
  <c r="F448" i="7"/>
  <c r="BJ448" i="7"/>
  <c r="BL448" i="7"/>
  <c r="BM448" i="7" l="1"/>
  <c r="N449" i="7" s="1"/>
  <c r="AR449" i="7" l="1"/>
  <c r="BI449" i="7" s="1"/>
  <c r="AP449" i="7"/>
  <c r="BG449" i="7" s="1"/>
  <c r="AQ449" i="7"/>
  <c r="BH449" i="7" s="1"/>
  <c r="AJ449" i="7"/>
  <c r="C449" i="7" s="1"/>
  <c r="AK449" i="7"/>
  <c r="D449" i="7" s="1"/>
  <c r="AL449" i="7"/>
  <c r="E449" i="7" s="1"/>
  <c r="B448" i="7"/>
  <c r="BK449" i="7" l="1"/>
  <c r="F449" i="7"/>
  <c r="BJ449" i="7"/>
  <c r="BL449" i="7"/>
  <c r="BM449" i="7" l="1"/>
  <c r="N450" i="7" s="1"/>
  <c r="AP450" i="7" l="1"/>
  <c r="BG450" i="7" s="1"/>
  <c r="AR450" i="7"/>
  <c r="BI450" i="7" s="1"/>
  <c r="AQ450" i="7"/>
  <c r="BH450" i="7" s="1"/>
  <c r="AK450" i="7"/>
  <c r="D450" i="7" s="1"/>
  <c r="AL450" i="7"/>
  <c r="E450" i="7" s="1"/>
  <c r="AJ450" i="7"/>
  <c r="C450" i="7" s="1"/>
  <c r="B449" i="7"/>
  <c r="BL450" i="7" l="1"/>
  <c r="BK450" i="7"/>
  <c r="F450" i="7"/>
  <c r="BJ450" i="7"/>
  <c r="BM450" i="7" l="1"/>
  <c r="N451" i="7" s="1"/>
  <c r="AP451" i="7" l="1"/>
  <c r="BG451" i="7" s="1"/>
  <c r="AQ451" i="7"/>
  <c r="BH451" i="7" s="1"/>
  <c r="AR451" i="7"/>
  <c r="BI451" i="7" s="1"/>
  <c r="AL451" i="7"/>
  <c r="E451" i="7" s="1"/>
  <c r="AJ451" i="7"/>
  <c r="C451" i="7" s="1"/>
  <c r="AK451" i="7"/>
  <c r="D451" i="7" s="1"/>
  <c r="B450" i="7"/>
  <c r="F451" i="7" l="1"/>
  <c r="BJ451" i="7"/>
  <c r="BL451" i="7"/>
  <c r="BK451" i="7"/>
  <c r="BM451" i="7" l="1"/>
  <c r="N452" i="7" s="1"/>
  <c r="AQ452" i="7" l="1"/>
  <c r="BH452" i="7" s="1"/>
  <c r="AP452" i="7"/>
  <c r="BG452" i="7" s="1"/>
  <c r="AR452" i="7"/>
  <c r="BI452" i="7" s="1"/>
  <c r="AJ452" i="7"/>
  <c r="C452" i="7" s="1"/>
  <c r="AK452" i="7"/>
  <c r="D452" i="7" s="1"/>
  <c r="AL452" i="7"/>
  <c r="E452" i="7" s="1"/>
  <c r="B451" i="7"/>
  <c r="BK452" i="7" l="1"/>
  <c r="F452" i="7"/>
  <c r="BJ452" i="7"/>
  <c r="BL452" i="7"/>
  <c r="BM452" i="7" l="1"/>
  <c r="N453" i="7" s="1"/>
  <c r="AR453" i="7" l="1"/>
  <c r="BI453" i="7" s="1"/>
  <c r="AP453" i="7"/>
  <c r="BG453" i="7" s="1"/>
  <c r="AQ453" i="7"/>
  <c r="BH453" i="7" s="1"/>
  <c r="AJ453" i="7"/>
  <c r="C453" i="7" s="1"/>
  <c r="AK453" i="7"/>
  <c r="D453" i="7" s="1"/>
  <c r="AL453" i="7"/>
  <c r="E453" i="7" s="1"/>
  <c r="B452" i="7"/>
  <c r="BK453" i="7" l="1"/>
  <c r="F453" i="7"/>
  <c r="BJ453" i="7"/>
  <c r="BL453" i="7"/>
  <c r="BM453" i="7" l="1"/>
  <c r="N454" i="7" s="1"/>
  <c r="AP454" i="7" l="1"/>
  <c r="BG454" i="7" s="1"/>
  <c r="AR454" i="7"/>
  <c r="BI454" i="7" s="1"/>
  <c r="AQ454" i="7"/>
  <c r="BH454" i="7" s="1"/>
  <c r="AK454" i="7"/>
  <c r="D454" i="7" s="1"/>
  <c r="AL454" i="7"/>
  <c r="E454" i="7" s="1"/>
  <c r="AJ454" i="7"/>
  <c r="C454" i="7" s="1"/>
  <c r="B453" i="7"/>
  <c r="BL454" i="7" l="1"/>
  <c r="BK454" i="7"/>
  <c r="F454" i="7"/>
  <c r="BJ454" i="7"/>
  <c r="BM454" i="7" l="1"/>
  <c r="N455" i="7" s="1"/>
  <c r="AP455" i="7" l="1"/>
  <c r="BG455" i="7" s="1"/>
  <c r="AQ455" i="7"/>
  <c r="BH455" i="7" s="1"/>
  <c r="AR455" i="7"/>
  <c r="BI455" i="7" s="1"/>
  <c r="AL455" i="7"/>
  <c r="E455" i="7" s="1"/>
  <c r="AJ455" i="7"/>
  <c r="C455" i="7" s="1"/>
  <c r="AK455" i="7"/>
  <c r="D455" i="7" s="1"/>
  <c r="B454" i="7"/>
  <c r="F455" i="7" l="1"/>
  <c r="BJ455" i="7"/>
  <c r="BL455" i="7"/>
  <c r="BK455" i="7"/>
  <c r="BM455" i="7" l="1"/>
  <c r="N456" i="7" s="1"/>
  <c r="AQ456" i="7" l="1"/>
  <c r="BH456" i="7" s="1"/>
  <c r="AP456" i="7"/>
  <c r="BG456" i="7" s="1"/>
  <c r="AR456" i="7"/>
  <c r="BI456" i="7" s="1"/>
  <c r="AJ456" i="7"/>
  <c r="C456" i="7" s="1"/>
  <c r="AK456" i="7"/>
  <c r="D456" i="7" s="1"/>
  <c r="AL456" i="7"/>
  <c r="E456" i="7" s="1"/>
  <c r="B455" i="7"/>
  <c r="BK456" i="7" l="1"/>
  <c r="F456" i="7"/>
  <c r="BJ456" i="7"/>
  <c r="BL456" i="7"/>
  <c r="BM456" i="7" l="1"/>
  <c r="N457" i="7" s="1"/>
  <c r="AR457" i="7" l="1"/>
  <c r="BI457" i="7" s="1"/>
  <c r="AP457" i="7"/>
  <c r="BG457" i="7" s="1"/>
  <c r="AQ457" i="7"/>
  <c r="BH457" i="7" s="1"/>
  <c r="AJ457" i="7"/>
  <c r="C457" i="7" s="1"/>
  <c r="AK457" i="7"/>
  <c r="D457" i="7" s="1"/>
  <c r="AL457" i="7"/>
  <c r="E457" i="7" s="1"/>
  <c r="B456" i="7"/>
  <c r="BK457" i="7" l="1"/>
  <c r="F457" i="7"/>
  <c r="BJ457" i="7"/>
  <c r="BL457" i="7"/>
  <c r="BM457" i="7" l="1"/>
  <c r="N458" i="7" s="1"/>
  <c r="AP458" i="7" l="1"/>
  <c r="BG458" i="7" s="1"/>
  <c r="AR458" i="7"/>
  <c r="BI458" i="7" s="1"/>
  <c r="AQ458" i="7"/>
  <c r="BH458" i="7" s="1"/>
  <c r="AK458" i="7"/>
  <c r="D458" i="7" s="1"/>
  <c r="AL458" i="7"/>
  <c r="E458" i="7" s="1"/>
  <c r="AJ458" i="7"/>
  <c r="C458" i="7" s="1"/>
  <c r="B457" i="7"/>
  <c r="BL458" i="7" l="1"/>
  <c r="BK458" i="7"/>
  <c r="F458" i="7"/>
  <c r="BJ458" i="7"/>
  <c r="BM458" i="7" l="1"/>
  <c r="N459" i="7" s="1"/>
  <c r="AP459" i="7" l="1"/>
  <c r="BG459" i="7" s="1"/>
  <c r="AQ459" i="7"/>
  <c r="BH459" i="7" s="1"/>
  <c r="AR459" i="7"/>
  <c r="BI459" i="7" s="1"/>
  <c r="AL459" i="7"/>
  <c r="E459" i="7" s="1"/>
  <c r="AJ459" i="7"/>
  <c r="C459" i="7" s="1"/>
  <c r="AK459" i="7"/>
  <c r="D459" i="7" s="1"/>
  <c r="B458" i="7"/>
  <c r="F459" i="7" l="1"/>
  <c r="BJ459" i="7"/>
  <c r="BL459" i="7"/>
  <c r="BK459" i="7"/>
  <c r="BM459" i="7" l="1"/>
  <c r="N460" i="7" s="1"/>
  <c r="AQ460" i="7" l="1"/>
  <c r="BH460" i="7" s="1"/>
  <c r="AP460" i="7"/>
  <c r="BG460" i="7" s="1"/>
  <c r="AR460" i="7"/>
  <c r="BI460" i="7" s="1"/>
  <c r="AJ460" i="7"/>
  <c r="C460" i="7" s="1"/>
  <c r="AK460" i="7"/>
  <c r="D460" i="7" s="1"/>
  <c r="AL460" i="7"/>
  <c r="E460" i="7" s="1"/>
  <c r="B459" i="7"/>
  <c r="BK460" i="7" l="1"/>
  <c r="F460" i="7"/>
  <c r="BJ460" i="7"/>
  <c r="BL460" i="7"/>
  <c r="BM460" i="7" l="1"/>
  <c r="N461" i="7" s="1"/>
  <c r="AR461" i="7" l="1"/>
  <c r="BI461" i="7" s="1"/>
  <c r="AP461" i="7"/>
  <c r="BG461" i="7" s="1"/>
  <c r="AQ461" i="7"/>
  <c r="BH461" i="7" s="1"/>
  <c r="AJ461" i="7"/>
  <c r="C461" i="7" s="1"/>
  <c r="AK461" i="7"/>
  <c r="D461" i="7" s="1"/>
  <c r="AL461" i="7"/>
  <c r="E461" i="7" s="1"/>
  <c r="B460" i="7"/>
  <c r="BK461" i="7" l="1"/>
  <c r="F461" i="7"/>
  <c r="BJ461" i="7"/>
  <c r="BL461" i="7"/>
  <c r="BM461" i="7" l="1"/>
  <c r="N462" i="7" s="1"/>
  <c r="AP462" i="7" l="1"/>
  <c r="BG462" i="7" s="1"/>
  <c r="AR462" i="7"/>
  <c r="BI462" i="7" s="1"/>
  <c r="AQ462" i="7"/>
  <c r="BH462" i="7" s="1"/>
  <c r="AK462" i="7"/>
  <c r="D462" i="7" s="1"/>
  <c r="AL462" i="7"/>
  <c r="E462" i="7" s="1"/>
  <c r="AJ462" i="7"/>
  <c r="C462" i="7" s="1"/>
  <c r="B461" i="7"/>
  <c r="BK462" i="7" l="1"/>
  <c r="BL462" i="7"/>
  <c r="F462" i="7"/>
  <c r="BJ462" i="7"/>
  <c r="BM462" i="7" l="1"/>
  <c r="N463" i="7" s="1"/>
  <c r="AP463" i="7" l="1"/>
  <c r="BG463" i="7" s="1"/>
  <c r="AQ463" i="7"/>
  <c r="BH463" i="7" s="1"/>
  <c r="AR463" i="7"/>
  <c r="BI463" i="7" s="1"/>
  <c r="AL463" i="7"/>
  <c r="E463" i="7" s="1"/>
  <c r="AJ463" i="7"/>
  <c r="C463" i="7" s="1"/>
  <c r="AK463" i="7"/>
  <c r="D463" i="7" s="1"/>
  <c r="B462" i="7"/>
  <c r="F463" i="7" l="1"/>
  <c r="BJ463" i="7"/>
  <c r="BL463" i="7"/>
  <c r="BK463" i="7"/>
  <c r="BM463" i="7" l="1"/>
  <c r="N464" i="7" s="1"/>
  <c r="AQ464" i="7" l="1"/>
  <c r="BH464" i="7" s="1"/>
  <c r="AP464" i="7"/>
  <c r="BG464" i="7" s="1"/>
  <c r="AR464" i="7"/>
  <c r="BI464" i="7" s="1"/>
  <c r="AJ464" i="7"/>
  <c r="C464" i="7" s="1"/>
  <c r="AK464" i="7"/>
  <c r="D464" i="7" s="1"/>
  <c r="AL464" i="7"/>
  <c r="E464" i="7" s="1"/>
  <c r="B463" i="7"/>
  <c r="BK464" i="7" l="1"/>
  <c r="F464" i="7"/>
  <c r="BJ464" i="7"/>
  <c r="BL464" i="7"/>
  <c r="BM464" i="7" l="1"/>
  <c r="N465" i="7" s="1"/>
  <c r="AR465" i="7" l="1"/>
  <c r="BI465" i="7" s="1"/>
  <c r="AP465" i="7"/>
  <c r="BG465" i="7" s="1"/>
  <c r="AQ465" i="7"/>
  <c r="BH465" i="7" s="1"/>
  <c r="AJ465" i="7"/>
  <c r="C465" i="7" s="1"/>
  <c r="AK465" i="7"/>
  <c r="D465" i="7" s="1"/>
  <c r="AL465" i="7"/>
  <c r="E465" i="7" s="1"/>
  <c r="B464" i="7"/>
  <c r="BK465" i="7" l="1"/>
  <c r="F465" i="7"/>
  <c r="BJ465" i="7"/>
  <c r="BL465" i="7"/>
  <c r="BM465" i="7" l="1"/>
  <c r="N466" i="7" s="1"/>
  <c r="AP466" i="7" l="1"/>
  <c r="BG466" i="7" s="1"/>
  <c r="AR466" i="7"/>
  <c r="BI466" i="7" s="1"/>
  <c r="AQ466" i="7"/>
  <c r="BH466" i="7" s="1"/>
  <c r="AK466" i="7"/>
  <c r="D466" i="7" s="1"/>
  <c r="AL466" i="7"/>
  <c r="E466" i="7" s="1"/>
  <c r="AJ466" i="7"/>
  <c r="C466" i="7" s="1"/>
  <c r="B465" i="7"/>
  <c r="BK466" i="7" l="1"/>
  <c r="BL466" i="7"/>
  <c r="F466" i="7"/>
  <c r="BJ466" i="7"/>
  <c r="BM466" i="7" l="1"/>
  <c r="N467" i="7" s="1"/>
  <c r="AP467" i="7" l="1"/>
  <c r="BG467" i="7" s="1"/>
  <c r="AQ467" i="7"/>
  <c r="BH467" i="7" s="1"/>
  <c r="AR467" i="7"/>
  <c r="BI467" i="7" s="1"/>
  <c r="AL467" i="7"/>
  <c r="E467" i="7" s="1"/>
  <c r="AJ467" i="7"/>
  <c r="C467" i="7" s="1"/>
  <c r="AK467" i="7"/>
  <c r="D467" i="7" s="1"/>
  <c r="B466" i="7"/>
  <c r="BL467" i="7" l="1"/>
  <c r="F467" i="7"/>
  <c r="BJ467" i="7"/>
  <c r="BK467" i="7"/>
  <c r="BM467" i="7" l="1"/>
  <c r="N468" i="7" s="1"/>
  <c r="AQ468" i="7" l="1"/>
  <c r="BH468" i="7" s="1"/>
  <c r="AP468" i="7"/>
  <c r="BG468" i="7" s="1"/>
  <c r="AR468" i="7"/>
  <c r="BI468" i="7" s="1"/>
  <c r="AJ468" i="7"/>
  <c r="C468" i="7" s="1"/>
  <c r="AK468" i="7"/>
  <c r="D468" i="7" s="1"/>
  <c r="AL468" i="7"/>
  <c r="E468" i="7" s="1"/>
  <c r="B467" i="7"/>
  <c r="BK468" i="7" l="1"/>
  <c r="F468" i="7"/>
  <c r="BJ468" i="7"/>
  <c r="BL468" i="7"/>
  <c r="BM468" i="7" l="1"/>
  <c r="N469" i="7" s="1"/>
  <c r="AR469" i="7" l="1"/>
  <c r="BI469" i="7" s="1"/>
  <c r="AP469" i="7"/>
  <c r="BG469" i="7" s="1"/>
  <c r="AQ469" i="7"/>
  <c r="BH469" i="7" s="1"/>
  <c r="AJ469" i="7"/>
  <c r="C469" i="7" s="1"/>
  <c r="AK469" i="7"/>
  <c r="D469" i="7" s="1"/>
  <c r="AL469" i="7"/>
  <c r="E469" i="7" s="1"/>
  <c r="B468" i="7"/>
  <c r="F469" i="7" l="1"/>
  <c r="BJ469" i="7"/>
  <c r="BK469" i="7"/>
  <c r="BL469" i="7"/>
  <c r="BM469" i="7" l="1"/>
  <c r="N470" i="7" s="1"/>
  <c r="AP470" i="7" l="1"/>
  <c r="BG470" i="7" s="1"/>
  <c r="AR470" i="7"/>
  <c r="BI470" i="7" s="1"/>
  <c r="AQ470" i="7"/>
  <c r="BH470" i="7" s="1"/>
  <c r="AK470" i="7"/>
  <c r="D470" i="7" s="1"/>
  <c r="AL470" i="7"/>
  <c r="E470" i="7" s="1"/>
  <c r="AJ470" i="7"/>
  <c r="C470" i="7" s="1"/>
  <c r="B469" i="7"/>
  <c r="BK470" i="7" l="1"/>
  <c r="BL470" i="7"/>
  <c r="F470" i="7"/>
  <c r="BJ470" i="7"/>
  <c r="BM470" i="7" l="1"/>
  <c r="N471" i="7" s="1"/>
  <c r="AP471" i="7" l="1"/>
  <c r="BG471" i="7" s="1"/>
  <c r="AQ471" i="7"/>
  <c r="BH471" i="7" s="1"/>
  <c r="AR471" i="7"/>
  <c r="BI471" i="7" s="1"/>
  <c r="AL471" i="7"/>
  <c r="E471" i="7" s="1"/>
  <c r="AJ471" i="7"/>
  <c r="C471" i="7" s="1"/>
  <c r="AK471" i="7"/>
  <c r="D471" i="7" s="1"/>
  <c r="B470" i="7"/>
  <c r="BL471" i="7" l="1"/>
  <c r="F471" i="7"/>
  <c r="BJ471" i="7"/>
  <c r="BK471" i="7"/>
  <c r="BM471" i="7" l="1"/>
  <c r="N472" i="7" s="1"/>
  <c r="AQ472" i="7" l="1"/>
  <c r="BH472" i="7" s="1"/>
  <c r="AP472" i="7"/>
  <c r="BG472" i="7" s="1"/>
  <c r="AR472" i="7"/>
  <c r="BI472" i="7" s="1"/>
  <c r="AJ472" i="7"/>
  <c r="C472" i="7" s="1"/>
  <c r="AK472" i="7"/>
  <c r="D472" i="7" s="1"/>
  <c r="AL472" i="7"/>
  <c r="E472" i="7" s="1"/>
  <c r="B471" i="7"/>
  <c r="BK472" i="7" l="1"/>
  <c r="F472" i="7"/>
  <c r="BJ472" i="7"/>
  <c r="BL472" i="7"/>
  <c r="BM472" i="7" l="1"/>
  <c r="N473" i="7" s="1"/>
  <c r="AR473" i="7" l="1"/>
  <c r="BI473" i="7" s="1"/>
  <c r="AP473" i="7"/>
  <c r="BG473" i="7" s="1"/>
  <c r="AQ473" i="7"/>
  <c r="BH473" i="7" s="1"/>
  <c r="AJ473" i="7"/>
  <c r="C473" i="7" s="1"/>
  <c r="AK473" i="7"/>
  <c r="D473" i="7" s="1"/>
  <c r="AL473" i="7"/>
  <c r="E473" i="7" s="1"/>
  <c r="B472" i="7"/>
  <c r="F473" i="7" l="1"/>
  <c r="BJ473" i="7"/>
  <c r="BK473" i="7"/>
  <c r="BL473" i="7"/>
  <c r="BM473" i="7" l="1"/>
  <c r="N474" i="7" s="1"/>
  <c r="AP474" i="7" l="1"/>
  <c r="BG474" i="7" s="1"/>
  <c r="AR474" i="7"/>
  <c r="BI474" i="7" s="1"/>
  <c r="AQ474" i="7"/>
  <c r="BH474" i="7" s="1"/>
  <c r="AK474" i="7"/>
  <c r="D474" i="7" s="1"/>
  <c r="AL474" i="7"/>
  <c r="E474" i="7" s="1"/>
  <c r="AJ474" i="7"/>
  <c r="C474" i="7" s="1"/>
  <c r="B473" i="7"/>
  <c r="BK474" i="7" l="1"/>
  <c r="BL474" i="7"/>
  <c r="F474" i="7"/>
  <c r="BJ474" i="7"/>
  <c r="BM474" i="7" l="1"/>
  <c r="N475" i="7" s="1"/>
  <c r="AP475" i="7" l="1"/>
  <c r="BG475" i="7" s="1"/>
  <c r="AQ475" i="7"/>
  <c r="BH475" i="7" s="1"/>
  <c r="AR475" i="7"/>
  <c r="BI475" i="7" s="1"/>
  <c r="AL475" i="7"/>
  <c r="E475" i="7" s="1"/>
  <c r="AJ475" i="7"/>
  <c r="C475" i="7" s="1"/>
  <c r="AK475" i="7"/>
  <c r="D475" i="7" s="1"/>
  <c r="B474" i="7"/>
  <c r="F475" i="7" l="1"/>
  <c r="BJ475" i="7"/>
  <c r="BL475" i="7"/>
  <c r="BK475" i="7"/>
  <c r="BM475" i="7" l="1"/>
  <c r="N476" i="7" s="1"/>
  <c r="AQ476" i="7" l="1"/>
  <c r="BH476" i="7" s="1"/>
  <c r="AP476" i="7"/>
  <c r="BG476" i="7" s="1"/>
  <c r="AR476" i="7"/>
  <c r="BI476" i="7" s="1"/>
  <c r="AJ476" i="7"/>
  <c r="C476" i="7" s="1"/>
  <c r="AK476" i="7"/>
  <c r="D476" i="7" s="1"/>
  <c r="AL476" i="7"/>
  <c r="E476" i="7" s="1"/>
  <c r="B475" i="7"/>
  <c r="BK476" i="7" l="1"/>
  <c r="F476" i="7"/>
  <c r="BJ476" i="7"/>
  <c r="BL476" i="7"/>
  <c r="BM476" i="7" l="1"/>
  <c r="N477" i="7" s="1"/>
  <c r="AR477" i="7" l="1"/>
  <c r="BI477" i="7" s="1"/>
  <c r="AQ477" i="7"/>
  <c r="BH477" i="7" s="1"/>
  <c r="AP477" i="7"/>
  <c r="BG477" i="7" s="1"/>
  <c r="AJ477" i="7"/>
  <c r="C477" i="7" s="1"/>
  <c r="AK477" i="7"/>
  <c r="D477" i="7" s="1"/>
  <c r="AL477" i="7"/>
  <c r="E477" i="7" s="1"/>
  <c r="B476" i="7"/>
  <c r="BK477" i="7" l="1"/>
  <c r="F477" i="7"/>
  <c r="BJ477" i="7"/>
  <c r="BL477" i="7"/>
  <c r="BM477" i="7" l="1"/>
  <c r="N478" i="7" s="1"/>
  <c r="AP478" i="7" l="1"/>
  <c r="BG478" i="7" s="1"/>
  <c r="AQ478" i="7"/>
  <c r="BH478" i="7" s="1"/>
  <c r="AR478" i="7"/>
  <c r="BI478" i="7" s="1"/>
  <c r="AK478" i="7"/>
  <c r="D478" i="7" s="1"/>
  <c r="AL478" i="7"/>
  <c r="E478" i="7" s="1"/>
  <c r="AJ478" i="7"/>
  <c r="C478" i="7" s="1"/>
  <c r="B477" i="7"/>
  <c r="BK478" i="7" l="1"/>
  <c r="BL478" i="7"/>
  <c r="F478" i="7"/>
  <c r="BJ478" i="7"/>
  <c r="BM478" i="7" l="1"/>
  <c r="N479" i="7" s="1"/>
  <c r="AP479" i="7" l="1"/>
  <c r="BG479" i="7" s="1"/>
  <c r="AQ479" i="7"/>
  <c r="BH479" i="7" s="1"/>
  <c r="AR479" i="7"/>
  <c r="BI479" i="7" s="1"/>
  <c r="AL479" i="7"/>
  <c r="E479" i="7" s="1"/>
  <c r="AJ479" i="7"/>
  <c r="C479" i="7" s="1"/>
  <c r="AK479" i="7"/>
  <c r="D479" i="7" s="1"/>
  <c r="B478" i="7"/>
  <c r="F479" i="7" l="1"/>
  <c r="BJ479" i="7"/>
  <c r="BL479" i="7"/>
  <c r="BK479" i="7"/>
  <c r="BM479" i="7" l="1"/>
  <c r="N480" i="7" s="1"/>
  <c r="AQ480" i="7" l="1"/>
  <c r="BH480" i="7" s="1"/>
  <c r="AP480" i="7"/>
  <c r="BG480" i="7" s="1"/>
  <c r="AR480" i="7"/>
  <c r="BI480" i="7" s="1"/>
  <c r="AJ480" i="7"/>
  <c r="C480" i="7" s="1"/>
  <c r="AK480" i="7"/>
  <c r="D480" i="7" s="1"/>
  <c r="AL480" i="7"/>
  <c r="E480" i="7" s="1"/>
  <c r="B479" i="7"/>
  <c r="BK480" i="7" l="1"/>
  <c r="F480" i="7"/>
  <c r="BJ480" i="7"/>
  <c r="BL480" i="7"/>
  <c r="BM480" i="7" l="1"/>
  <c r="N481" i="7" s="1"/>
  <c r="AR481" i="7" l="1"/>
  <c r="BI481" i="7" s="1"/>
  <c r="AP481" i="7"/>
  <c r="BG481" i="7" s="1"/>
  <c r="AQ481" i="7"/>
  <c r="BH481" i="7" s="1"/>
  <c r="AJ481" i="7"/>
  <c r="C481" i="7" s="1"/>
  <c r="AK481" i="7"/>
  <c r="D481" i="7" s="1"/>
  <c r="AL481" i="7"/>
  <c r="E481" i="7" s="1"/>
  <c r="B480" i="7"/>
  <c r="F481" i="7" l="1"/>
  <c r="BJ481" i="7"/>
  <c r="BK481" i="7"/>
  <c r="BL481" i="7"/>
  <c r="BM481" i="7" l="1"/>
  <c r="N482" i="7" s="1"/>
  <c r="AP482" i="7" l="1"/>
  <c r="BG482" i="7" s="1"/>
  <c r="AR482" i="7"/>
  <c r="BI482" i="7" s="1"/>
  <c r="AQ482" i="7"/>
  <c r="BH482" i="7" s="1"/>
  <c r="AK482" i="7"/>
  <c r="D482" i="7" s="1"/>
  <c r="AL482" i="7"/>
  <c r="E482" i="7" s="1"/>
  <c r="AJ482" i="7"/>
  <c r="C482" i="7" s="1"/>
  <c r="B481" i="7"/>
  <c r="BL482" i="7" l="1"/>
  <c r="BK482" i="7"/>
  <c r="F482" i="7"/>
  <c r="BJ482" i="7"/>
  <c r="BM482" i="7" l="1"/>
  <c r="N483" i="7" s="1"/>
  <c r="AP483" i="7" l="1"/>
  <c r="BG483" i="7" s="1"/>
  <c r="AQ483" i="7"/>
  <c r="BH483" i="7" s="1"/>
  <c r="AR483" i="7"/>
  <c r="BI483" i="7" s="1"/>
  <c r="AL483" i="7"/>
  <c r="E483" i="7" s="1"/>
  <c r="AJ483" i="7"/>
  <c r="C483" i="7" s="1"/>
  <c r="AK483" i="7"/>
  <c r="D483" i="7" s="1"/>
  <c r="B482" i="7"/>
  <c r="BL483" i="7" l="1"/>
  <c r="F483" i="7"/>
  <c r="BJ483" i="7"/>
  <c r="BK483" i="7"/>
  <c r="BM483" i="7" l="1"/>
  <c r="N484" i="7" s="1"/>
  <c r="AQ484" i="7" l="1"/>
  <c r="BH484" i="7" s="1"/>
  <c r="AP484" i="7"/>
  <c r="BG484" i="7" s="1"/>
  <c r="AR484" i="7"/>
  <c r="BI484" i="7" s="1"/>
  <c r="AJ484" i="7"/>
  <c r="C484" i="7" s="1"/>
  <c r="AK484" i="7"/>
  <c r="D484" i="7" s="1"/>
  <c r="AL484" i="7"/>
  <c r="E484" i="7" s="1"/>
  <c r="B483" i="7"/>
  <c r="F484" i="7" l="1"/>
  <c r="BJ484" i="7"/>
  <c r="BK484" i="7"/>
  <c r="BL484" i="7"/>
  <c r="BM484" i="7" l="1"/>
  <c r="N485" i="7" s="1"/>
  <c r="AR485" i="7" l="1"/>
  <c r="BI485" i="7" s="1"/>
  <c r="AQ485" i="7"/>
  <c r="BH485" i="7" s="1"/>
  <c r="AP485" i="7"/>
  <c r="BG485" i="7" s="1"/>
  <c r="AJ485" i="7"/>
  <c r="C485" i="7" s="1"/>
  <c r="AK485" i="7"/>
  <c r="D485" i="7" s="1"/>
  <c r="AL485" i="7"/>
  <c r="E485" i="7" s="1"/>
  <c r="B484" i="7"/>
  <c r="BK485" i="7" l="1"/>
  <c r="F485" i="7"/>
  <c r="BJ485" i="7"/>
  <c r="BL485" i="7"/>
  <c r="BM485" i="7" l="1"/>
  <c r="N486" i="7" s="1"/>
  <c r="AP486" i="7" l="1"/>
  <c r="BG486" i="7" s="1"/>
  <c r="AQ486" i="7"/>
  <c r="BH486" i="7" s="1"/>
  <c r="AR486" i="7"/>
  <c r="BI486" i="7" s="1"/>
  <c r="AK486" i="7"/>
  <c r="D486" i="7" s="1"/>
  <c r="AL486" i="7"/>
  <c r="E486" i="7" s="1"/>
  <c r="AJ486" i="7"/>
  <c r="C486" i="7" s="1"/>
  <c r="B485" i="7"/>
  <c r="BL486" i="7" l="1"/>
  <c r="BK486" i="7"/>
  <c r="F486" i="7"/>
  <c r="BJ486" i="7"/>
  <c r="BM486" i="7" l="1"/>
  <c r="N487" i="7" s="1"/>
  <c r="AP487" i="7" l="1"/>
  <c r="BG487" i="7" s="1"/>
  <c r="AQ487" i="7"/>
  <c r="BH487" i="7" s="1"/>
  <c r="AR487" i="7"/>
  <c r="BI487" i="7" s="1"/>
  <c r="AL487" i="7"/>
  <c r="E487" i="7" s="1"/>
  <c r="AJ487" i="7"/>
  <c r="C487" i="7" s="1"/>
  <c r="AK487" i="7"/>
  <c r="D487" i="7" s="1"/>
  <c r="B486" i="7"/>
  <c r="F487" i="7" l="1"/>
  <c r="BJ487" i="7"/>
  <c r="BL487" i="7"/>
  <c r="BK487" i="7"/>
  <c r="BM487" i="7" l="1"/>
  <c r="N488" i="7" s="1"/>
  <c r="AQ488" i="7" l="1"/>
  <c r="BH488" i="7" s="1"/>
  <c r="AP488" i="7"/>
  <c r="BG488" i="7" s="1"/>
  <c r="AR488" i="7"/>
  <c r="BI488" i="7" s="1"/>
  <c r="AJ488" i="7"/>
  <c r="C488" i="7" s="1"/>
  <c r="AK488" i="7"/>
  <c r="D488" i="7" s="1"/>
  <c r="AL488" i="7"/>
  <c r="E488" i="7" s="1"/>
  <c r="B487" i="7"/>
  <c r="BK488" i="7" l="1"/>
  <c r="F488" i="7"/>
  <c r="BJ488" i="7"/>
  <c r="BL488" i="7"/>
  <c r="BM488" i="7" l="1"/>
  <c r="N489" i="7" s="1"/>
  <c r="AR489" i="7" l="1"/>
  <c r="BI489" i="7" s="1"/>
  <c r="AP489" i="7"/>
  <c r="BG489" i="7" s="1"/>
  <c r="AQ489" i="7"/>
  <c r="BH489" i="7" s="1"/>
  <c r="AJ489" i="7"/>
  <c r="C489" i="7" s="1"/>
  <c r="AK489" i="7"/>
  <c r="D489" i="7" s="1"/>
  <c r="AL489" i="7"/>
  <c r="E489" i="7" s="1"/>
  <c r="B488" i="7"/>
  <c r="F489" i="7" l="1"/>
  <c r="BJ489" i="7"/>
  <c r="BK489" i="7"/>
  <c r="BL489" i="7"/>
  <c r="BM489" i="7" l="1"/>
  <c r="N490" i="7" s="1"/>
  <c r="AP490" i="7" l="1"/>
  <c r="BG490" i="7" s="1"/>
  <c r="AR490" i="7"/>
  <c r="BI490" i="7" s="1"/>
  <c r="AQ490" i="7"/>
  <c r="BH490" i="7" s="1"/>
  <c r="AK490" i="7"/>
  <c r="D490" i="7" s="1"/>
  <c r="AL490" i="7"/>
  <c r="E490" i="7" s="1"/>
  <c r="AJ490" i="7"/>
  <c r="C490" i="7" s="1"/>
  <c r="B489" i="7"/>
  <c r="BL490" i="7" l="1"/>
  <c r="BK490" i="7"/>
  <c r="F490" i="7"/>
  <c r="BJ490" i="7"/>
  <c r="BM490" i="7" l="1"/>
  <c r="N491" i="7" s="1"/>
  <c r="AP491" i="7" l="1"/>
  <c r="BG491" i="7" s="1"/>
  <c r="AQ491" i="7"/>
  <c r="BH491" i="7" s="1"/>
  <c r="AR491" i="7"/>
  <c r="BI491" i="7" s="1"/>
  <c r="AL491" i="7"/>
  <c r="E491" i="7" s="1"/>
  <c r="AJ491" i="7"/>
  <c r="C491" i="7" s="1"/>
  <c r="AK491" i="7"/>
  <c r="D491" i="7" s="1"/>
  <c r="B490" i="7"/>
  <c r="F491" i="7" l="1"/>
  <c r="BJ491" i="7"/>
  <c r="BL491" i="7"/>
  <c r="BK491" i="7"/>
  <c r="BM491" i="7" l="1"/>
  <c r="N492" i="7" s="1"/>
  <c r="AQ492" i="7" l="1"/>
  <c r="BH492" i="7" s="1"/>
  <c r="AP492" i="7"/>
  <c r="BG492" i="7" s="1"/>
  <c r="AR492" i="7"/>
  <c r="BI492" i="7" s="1"/>
  <c r="AJ492" i="7"/>
  <c r="C492" i="7" s="1"/>
  <c r="AK492" i="7"/>
  <c r="D492" i="7" s="1"/>
  <c r="AL492" i="7"/>
  <c r="E492" i="7" s="1"/>
  <c r="B491" i="7"/>
  <c r="BK492" i="7" l="1"/>
  <c r="F492" i="7"/>
  <c r="BJ492" i="7"/>
  <c r="BL492" i="7"/>
  <c r="BM492" i="7" l="1"/>
  <c r="N493" i="7" s="1"/>
  <c r="AR493" i="7" l="1"/>
  <c r="BI493" i="7" s="1"/>
  <c r="AP493" i="7"/>
  <c r="BG493" i="7" s="1"/>
  <c r="AQ493" i="7"/>
  <c r="BH493" i="7" s="1"/>
  <c r="AJ493" i="7"/>
  <c r="C493" i="7" s="1"/>
  <c r="AK493" i="7"/>
  <c r="D493" i="7" s="1"/>
  <c r="AL493" i="7"/>
  <c r="E493" i="7" s="1"/>
  <c r="B492" i="7"/>
  <c r="BK493" i="7" l="1"/>
  <c r="F493" i="7"/>
  <c r="BJ493" i="7"/>
  <c r="BL493" i="7"/>
  <c r="BM493" i="7" l="1"/>
  <c r="N494" i="7" s="1"/>
  <c r="AP494" i="7" l="1"/>
  <c r="BG494" i="7" s="1"/>
  <c r="AR494" i="7"/>
  <c r="BI494" i="7" s="1"/>
  <c r="AQ494" i="7"/>
  <c r="BH494" i="7" s="1"/>
  <c r="AK494" i="7"/>
  <c r="D494" i="7" s="1"/>
  <c r="AL494" i="7"/>
  <c r="E494" i="7" s="1"/>
  <c r="AJ494" i="7"/>
  <c r="C494" i="7" s="1"/>
  <c r="B493" i="7"/>
  <c r="BL494" i="7" l="1"/>
  <c r="BK494" i="7"/>
  <c r="F494" i="7"/>
  <c r="BJ494" i="7"/>
  <c r="BM494" i="7" l="1"/>
  <c r="N495" i="7" s="1"/>
  <c r="AP495" i="7" l="1"/>
  <c r="BG495" i="7" s="1"/>
  <c r="AQ495" i="7"/>
  <c r="BH495" i="7" s="1"/>
  <c r="AR495" i="7"/>
  <c r="BI495" i="7" s="1"/>
  <c r="AL495" i="7"/>
  <c r="E495" i="7" s="1"/>
  <c r="AJ495" i="7"/>
  <c r="C495" i="7" s="1"/>
  <c r="AK495" i="7"/>
  <c r="D495" i="7" s="1"/>
  <c r="B494" i="7"/>
  <c r="F495" i="7" l="1"/>
  <c r="BJ495" i="7"/>
  <c r="BL495" i="7"/>
  <c r="BK495" i="7"/>
  <c r="BM495" i="7" l="1"/>
  <c r="N496" i="7" s="1"/>
  <c r="AQ496" i="7" l="1"/>
  <c r="BH496" i="7" s="1"/>
  <c r="AP496" i="7"/>
  <c r="BG496" i="7" s="1"/>
  <c r="AR496" i="7"/>
  <c r="BI496" i="7" s="1"/>
  <c r="AJ496" i="7"/>
  <c r="C496" i="7" s="1"/>
  <c r="AK496" i="7"/>
  <c r="D496" i="7" s="1"/>
  <c r="AL496" i="7"/>
  <c r="E496" i="7" s="1"/>
  <c r="B495" i="7"/>
  <c r="BK496" i="7" l="1"/>
  <c r="F496" i="7"/>
  <c r="BJ496" i="7"/>
  <c r="BL496" i="7"/>
  <c r="BM496" i="7" l="1"/>
  <c r="N497" i="7" s="1"/>
  <c r="AR497" i="7" l="1"/>
  <c r="BI497" i="7" s="1"/>
  <c r="AP497" i="7"/>
  <c r="BG497" i="7" s="1"/>
  <c r="AQ497" i="7"/>
  <c r="BH497" i="7" s="1"/>
  <c r="AJ497" i="7"/>
  <c r="C497" i="7" s="1"/>
  <c r="AK497" i="7"/>
  <c r="D497" i="7" s="1"/>
  <c r="AL497" i="7"/>
  <c r="E497" i="7" s="1"/>
  <c r="B496" i="7"/>
  <c r="BK497" i="7" l="1"/>
  <c r="F497" i="7"/>
  <c r="BJ497" i="7"/>
  <c r="BL497" i="7"/>
  <c r="BM497" i="7" l="1"/>
  <c r="N498" i="7" s="1"/>
  <c r="AP498" i="7" l="1"/>
  <c r="BG498" i="7" s="1"/>
  <c r="AR498" i="7"/>
  <c r="BI498" i="7" s="1"/>
  <c r="AQ498" i="7"/>
  <c r="BH498" i="7" s="1"/>
  <c r="AK498" i="7"/>
  <c r="D498" i="7" s="1"/>
  <c r="AL498" i="7"/>
  <c r="E498" i="7" s="1"/>
  <c r="AJ498" i="7"/>
  <c r="C498" i="7" s="1"/>
  <c r="B497" i="7"/>
  <c r="BL498" i="7" l="1"/>
  <c r="BK498" i="7"/>
  <c r="F498" i="7"/>
  <c r="BJ498" i="7"/>
  <c r="BM498" i="7" l="1"/>
  <c r="N499" i="7" s="1"/>
  <c r="AP499" i="7" l="1"/>
  <c r="BG499" i="7" s="1"/>
  <c r="AQ499" i="7"/>
  <c r="BH499" i="7" s="1"/>
  <c r="AR499" i="7"/>
  <c r="BI499" i="7" s="1"/>
  <c r="AL499" i="7"/>
  <c r="E499" i="7" s="1"/>
  <c r="AJ499" i="7"/>
  <c r="C499" i="7" s="1"/>
  <c r="AK499" i="7"/>
  <c r="D499" i="7" s="1"/>
  <c r="B498" i="7"/>
  <c r="F499" i="7" l="1"/>
  <c r="BJ499" i="7"/>
  <c r="BL499" i="7"/>
  <c r="BK499" i="7"/>
  <c r="BM499" i="7" l="1"/>
  <c r="N500" i="7" s="1"/>
  <c r="AQ500" i="7" l="1"/>
  <c r="BH500" i="7" s="1"/>
  <c r="AP500" i="7"/>
  <c r="BG500" i="7" s="1"/>
  <c r="AR500" i="7"/>
  <c r="BI500" i="7" s="1"/>
  <c r="AJ500" i="7"/>
  <c r="C500" i="7" s="1"/>
  <c r="AK500" i="7"/>
  <c r="D500" i="7" s="1"/>
  <c r="AL500" i="7"/>
  <c r="E500" i="7" s="1"/>
  <c r="B499" i="7"/>
  <c r="BK500" i="7" l="1"/>
  <c r="F500" i="7"/>
  <c r="BJ500" i="7"/>
  <c r="BL500" i="7"/>
  <c r="BM500" i="7" l="1"/>
  <c r="N501" i="7" s="1"/>
  <c r="AR501" i="7" l="1"/>
  <c r="BI501" i="7" s="1"/>
  <c r="AP501" i="7"/>
  <c r="BG501" i="7" s="1"/>
  <c r="AQ501" i="7"/>
  <c r="BH501" i="7" s="1"/>
  <c r="AJ501" i="7"/>
  <c r="C501" i="7" s="1"/>
  <c r="AL501" i="7"/>
  <c r="E501" i="7" s="1"/>
  <c r="AK501" i="7"/>
  <c r="D501" i="7" s="1"/>
  <c r="B500" i="7"/>
  <c r="BL501" i="7" l="1"/>
  <c r="BK501" i="7"/>
  <c r="F501" i="7"/>
  <c r="BJ501" i="7"/>
  <c r="BM501" i="7" l="1"/>
  <c r="N502" i="7" s="1"/>
  <c r="AP502" i="7" l="1"/>
  <c r="BG502" i="7" s="1"/>
  <c r="AR502" i="7"/>
  <c r="BI502" i="7" s="1"/>
  <c r="AQ502" i="7"/>
  <c r="BH502" i="7" s="1"/>
  <c r="AJ502" i="7"/>
  <c r="C502" i="7" s="1"/>
  <c r="AK502" i="7"/>
  <c r="D502" i="7" s="1"/>
  <c r="AL502" i="7"/>
  <c r="E502" i="7" s="1"/>
  <c r="B501" i="7"/>
  <c r="BK502" i="7" l="1"/>
  <c r="F502" i="7"/>
  <c r="BJ502" i="7"/>
  <c r="BL502" i="7"/>
  <c r="BM502" i="7" l="1"/>
  <c r="N503" i="7" s="1"/>
  <c r="AP503" i="7" l="1"/>
  <c r="BG503" i="7" s="1"/>
  <c r="AQ503" i="7"/>
  <c r="BH503" i="7" s="1"/>
  <c r="AR503" i="7"/>
  <c r="BI503" i="7" s="1"/>
  <c r="AK503" i="7"/>
  <c r="D503" i="7" s="1"/>
  <c r="AJ503" i="7"/>
  <c r="C503" i="7" s="1"/>
  <c r="AL503" i="7"/>
  <c r="E503" i="7" s="1"/>
  <c r="B502" i="7"/>
  <c r="F503" i="7" l="1"/>
  <c r="BJ503" i="7"/>
  <c r="BK503" i="7"/>
  <c r="BL503" i="7"/>
  <c r="BM503" i="7" l="1"/>
  <c r="N504" i="7" s="1"/>
  <c r="AQ504" i="7" l="1"/>
  <c r="BH504" i="7" s="1"/>
  <c r="AP504" i="7"/>
  <c r="BG504" i="7" s="1"/>
  <c r="AR504" i="7"/>
  <c r="BI504" i="7" s="1"/>
  <c r="AL504" i="7"/>
  <c r="E504" i="7" s="1"/>
  <c r="AJ504" i="7"/>
  <c r="C504" i="7" s="1"/>
  <c r="AK504" i="7"/>
  <c r="D504" i="7" s="1"/>
  <c r="B503" i="7"/>
  <c r="BL504" i="7" l="1"/>
  <c r="BK504" i="7"/>
  <c r="F504" i="7"/>
  <c r="BJ504" i="7"/>
  <c r="BM504" i="7" l="1"/>
  <c r="N505" i="7" s="1"/>
  <c r="AR505" i="7" l="1"/>
  <c r="BI505" i="7" s="1"/>
  <c r="AQ505" i="7"/>
  <c r="BH505" i="7" s="1"/>
  <c r="AP505" i="7"/>
  <c r="BG505" i="7" s="1"/>
  <c r="AJ505" i="7"/>
  <c r="C505" i="7" s="1"/>
  <c r="AK505" i="7"/>
  <c r="D505" i="7" s="1"/>
  <c r="AL505" i="7"/>
  <c r="E505" i="7" s="1"/>
  <c r="B504" i="7"/>
  <c r="BK505" i="7" l="1"/>
  <c r="BL505" i="7"/>
  <c r="F505" i="7"/>
  <c r="BJ505" i="7"/>
  <c r="BM505" i="7" l="1"/>
  <c r="N506" i="7" s="1"/>
  <c r="AP506" i="7" l="1"/>
  <c r="BG506" i="7" s="1"/>
  <c r="AQ506" i="7"/>
  <c r="BH506" i="7" s="1"/>
  <c r="AR506" i="7"/>
  <c r="BI506" i="7" s="1"/>
  <c r="AJ506" i="7"/>
  <c r="C506" i="7" s="1"/>
  <c r="AK506" i="7"/>
  <c r="D506" i="7" s="1"/>
  <c r="AL506" i="7"/>
  <c r="E506" i="7" s="1"/>
  <c r="B505" i="7"/>
  <c r="BK506" i="7" l="1"/>
  <c r="F506" i="7"/>
  <c r="BJ506" i="7"/>
  <c r="BL506" i="7"/>
  <c r="BM506" i="7" l="1"/>
  <c r="N507" i="7" s="1"/>
  <c r="AP507" i="7" l="1"/>
  <c r="BG507" i="7" s="1"/>
  <c r="AQ507" i="7"/>
  <c r="BH507" i="7" s="1"/>
  <c r="AR507" i="7"/>
  <c r="BI507" i="7" s="1"/>
  <c r="AK507" i="7"/>
  <c r="D507" i="7" s="1"/>
  <c r="AJ507" i="7"/>
  <c r="C507" i="7" s="1"/>
  <c r="AL507" i="7"/>
  <c r="E507" i="7" s="1"/>
  <c r="B506" i="7"/>
  <c r="BK507" i="7" l="1"/>
  <c r="F507" i="7"/>
  <c r="BJ507" i="7"/>
  <c r="BL507" i="7"/>
  <c r="BM507" i="7" l="1"/>
  <c r="N508" i="7" s="1"/>
  <c r="AQ508" i="7" l="1"/>
  <c r="BH508" i="7" s="1"/>
  <c r="AP508" i="7"/>
  <c r="BG508" i="7" s="1"/>
  <c r="AR508" i="7"/>
  <c r="BI508" i="7" s="1"/>
  <c r="AL508" i="7"/>
  <c r="E508" i="7" s="1"/>
  <c r="AJ508" i="7"/>
  <c r="C508" i="7" s="1"/>
  <c r="AK508" i="7"/>
  <c r="D508" i="7" s="1"/>
  <c r="B507" i="7"/>
  <c r="BL508" i="7" l="1"/>
  <c r="BK508" i="7"/>
  <c r="F508" i="7"/>
  <c r="BJ508" i="7"/>
  <c r="BM508" i="7" l="1"/>
  <c r="N509" i="7" s="1"/>
  <c r="AR509" i="7" l="1"/>
  <c r="BI509" i="7" s="1"/>
  <c r="AP509" i="7"/>
  <c r="BG509" i="7" s="1"/>
  <c r="AQ509" i="7"/>
  <c r="BH509" i="7" s="1"/>
  <c r="AJ509" i="7"/>
  <c r="C509" i="7" s="1"/>
  <c r="AK509" i="7"/>
  <c r="D509" i="7" s="1"/>
  <c r="AL509" i="7"/>
  <c r="E509" i="7" s="1"/>
  <c r="B508" i="7"/>
  <c r="F509" i="7" l="1"/>
  <c r="BJ509" i="7"/>
  <c r="BL509" i="7"/>
  <c r="BK509" i="7"/>
  <c r="BM509" i="7" l="1"/>
  <c r="B509" i="7" l="1"/>
  <c r="AM6" i="11"/>
  <c r="AM7" i="11" s="1"/>
  <c r="AM8" i="11" s="1"/>
  <c r="AM9" i="11" s="1"/>
  <c r="AM10" i="11" s="1"/>
  <c r="AM11" i="11" s="1"/>
  <c r="AM12" i="11" s="1"/>
  <c r="AM13" i="11" s="1"/>
  <c r="AM14" i="11" s="1"/>
  <c r="AM15" i="11" s="1"/>
  <c r="W20" i="11"/>
  <c r="W21" i="11" s="1"/>
  <c r="W19" i="11"/>
  <c r="AI19" i="11"/>
  <c r="AI20" i="11" s="1"/>
  <c r="AI21" i="11" s="1"/>
</calcChain>
</file>

<file path=xl/sharedStrings.xml><?xml version="1.0" encoding="utf-8"?>
<sst xmlns="http://schemas.openxmlformats.org/spreadsheetml/2006/main" count="1545" uniqueCount="526">
  <si>
    <t>village headquarters</t>
  </si>
  <si>
    <t>barracks</t>
  </si>
  <si>
    <t>stable</t>
  </si>
  <si>
    <t>workshop</t>
  </si>
  <si>
    <t>academy</t>
  </si>
  <si>
    <t>smithy</t>
  </si>
  <si>
    <t>rally point</t>
  </si>
  <si>
    <t>statue</t>
  </si>
  <si>
    <t>market</t>
  </si>
  <si>
    <t>timber camp</t>
  </si>
  <si>
    <t>clay pit</t>
  </si>
  <si>
    <t>iron mine</t>
  </si>
  <si>
    <t>farm</t>
  </si>
  <si>
    <t>warehouse</t>
  </si>
  <si>
    <t>hiding place</t>
  </si>
  <si>
    <t>wall</t>
  </si>
  <si>
    <t>speed:</t>
  </si>
  <si>
    <t>base unit:</t>
  </si>
  <si>
    <t>hq modifier</t>
  </si>
  <si>
    <t>hq factor:</t>
  </si>
  <si>
    <t>factor</t>
  </si>
  <si>
    <t>capacity</t>
  </si>
  <si>
    <t>maximum population</t>
  </si>
  <si>
    <t>construction time</t>
  </si>
  <si>
    <t>Population</t>
  </si>
  <si>
    <t>available</t>
  </si>
  <si>
    <t>max</t>
  </si>
  <si>
    <t>next building</t>
  </si>
  <si>
    <t>upgrade to level</t>
  </si>
  <si>
    <t>timber</t>
  </si>
  <si>
    <t>clay</t>
  </si>
  <si>
    <t>iron</t>
  </si>
  <si>
    <t>stored resources</t>
  </si>
  <si>
    <t>Building Levels</t>
  </si>
  <si>
    <t>Construction Assignment</t>
  </si>
  <si>
    <t>time</t>
  </si>
  <si>
    <t>current time</t>
  </si>
  <si>
    <t>duration of construction</t>
  </si>
  <si>
    <t>begin constuction at</t>
  </si>
  <si>
    <t>timber available in</t>
  </si>
  <si>
    <t>Clay available in</t>
  </si>
  <si>
    <t>Iron available in</t>
  </si>
  <si>
    <t>waiting for resources</t>
  </si>
  <si>
    <t>resources produced per hour</t>
  </si>
  <si>
    <t>other income (per hour estimate)</t>
  </si>
  <si>
    <t>world speed:</t>
  </si>
  <si>
    <t>will use</t>
  </si>
  <si>
    <t>unit of measure for cost/time</t>
  </si>
  <si>
    <t>population breakdown</t>
  </si>
  <si>
    <t>total</t>
  </si>
  <si>
    <t>hour</t>
  </si>
  <si>
    <t>minute</t>
  </si>
  <si>
    <t>second</t>
  </si>
  <si>
    <t>total income per hour</t>
  </si>
  <si>
    <t>ready in</t>
  </si>
  <si>
    <t>warehouse capacity</t>
  </si>
  <si>
    <t>queue</t>
  </si>
  <si>
    <t>cost modifier</t>
  </si>
  <si>
    <t>base</t>
  </si>
  <si>
    <t>first church</t>
  </si>
  <si>
    <t>church</t>
  </si>
  <si>
    <t>upgrade by</t>
  </si>
  <si>
    <t>Spalte</t>
  </si>
  <si>
    <t>BH frei</t>
  </si>
  <si>
    <t>watchtower</t>
  </si>
  <si>
    <t>build time factor</t>
  </si>
  <si>
    <t>Speed</t>
  </si>
  <si>
    <t>Baracks</t>
  </si>
  <si>
    <t>Factor</t>
  </si>
  <si>
    <t>Stable</t>
  </si>
  <si>
    <t>Unit</t>
  </si>
  <si>
    <t>Scout</t>
  </si>
  <si>
    <t>lvl building</t>
  </si>
  <si>
    <t>Spear fighter</t>
  </si>
  <si>
    <t>Swordsman</t>
  </si>
  <si>
    <t>Axeman</t>
  </si>
  <si>
    <t>Light cavalry</t>
  </si>
  <si>
    <t>Heavy cavalry</t>
  </si>
  <si>
    <t>Ram</t>
  </si>
  <si>
    <t>Catapult</t>
  </si>
  <si>
    <t>Workshop</t>
  </si>
  <si>
    <t>Speed 1</t>
  </si>
  <si>
    <t>Total</t>
  </si>
  <si>
    <t>wood</t>
  </si>
  <si>
    <t>Wood</t>
  </si>
  <si>
    <t>Clay</t>
  </si>
  <si>
    <t>Iron</t>
  </si>
  <si>
    <t>Cost/ hour</t>
  </si>
  <si>
    <t>used building</t>
  </si>
  <si>
    <t>used troops</t>
  </si>
  <si>
    <t>Recruting Assignment</t>
  </si>
  <si>
    <t>cost building</t>
  </si>
  <si>
    <t>cost buildung/time</t>
  </si>
  <si>
    <t>Recruted Units during building construction</t>
  </si>
  <si>
    <t>costs for units</t>
  </si>
  <si>
    <t>3er tech</t>
  </si>
  <si>
    <t>1er tech</t>
  </si>
  <si>
    <t>10er tech</t>
  </si>
  <si>
    <t>research time</t>
  </si>
  <si>
    <t>Ressi Faktor</t>
  </si>
  <si>
    <t>Zeitfaktor</t>
  </si>
  <si>
    <t>Base</t>
  </si>
  <si>
    <t>Smith</t>
  </si>
  <si>
    <t>Level</t>
  </si>
  <si>
    <t>Smithy</t>
  </si>
  <si>
    <t>Rammbock</t>
  </si>
  <si>
    <t>coin</t>
  </si>
  <si>
    <t>noble</t>
  </si>
  <si>
    <t>Speicher inkl. Schleife</t>
  </si>
  <si>
    <t>mind. Frei</t>
  </si>
  <si>
    <t>BH frei inkl. Schleife</t>
  </si>
  <si>
    <t>Kampfkraft</t>
  </si>
  <si>
    <t>Gebäudestufe vor Angriff</t>
  </si>
  <si>
    <t>Anzahl gesenkter Stufen</t>
  </si>
  <si>
    <t>Katatech</t>
  </si>
  <si>
    <t>Stufe Bauernhof</t>
  </si>
  <si>
    <t>Einheiten je Stufe</t>
  </si>
  <si>
    <t>Aktuell im Dorf</t>
  </si>
  <si>
    <t>Speere</t>
  </si>
  <si>
    <t>Schwerter</t>
  </si>
  <si>
    <t>Äxte</t>
  </si>
  <si>
    <t>Späher</t>
  </si>
  <si>
    <t>Lkav</t>
  </si>
  <si>
    <t>Rammen</t>
  </si>
  <si>
    <t>Katas</t>
  </si>
  <si>
    <t>Skav</t>
  </si>
  <si>
    <t>Bei Stufe 30</t>
  </si>
  <si>
    <t>max. Truppen</t>
  </si>
  <si>
    <t>Techsystem</t>
  </si>
  <si>
    <t>Tech 10er</t>
  </si>
  <si>
    <t>Tech 3 er</t>
  </si>
  <si>
    <t>Tech 1er</t>
  </si>
  <si>
    <t>1er Tech</t>
  </si>
  <si>
    <t>3er Tech</t>
  </si>
  <si>
    <t>10er Tech</t>
  </si>
  <si>
    <t>Kampfkraft Rammen</t>
  </si>
  <si>
    <t>Rammentech</t>
  </si>
  <si>
    <t>Wallstufe</t>
  </si>
  <si>
    <t>Angreifende Rammen</t>
  </si>
  <si>
    <t>Anteil überlebende Rammen</t>
  </si>
  <si>
    <t>Rechnerische Anzahl an Rammen</t>
  </si>
  <si>
    <t>Mind. Rammen zum halbieren</t>
  </si>
  <si>
    <t>Academy</t>
  </si>
  <si>
    <t>Wenn angreifer gewinnt</t>
  </si>
  <si>
    <t>Wenn Verteidiger gewinnt</t>
  </si>
  <si>
    <t>Anteil besiegter Gegner</t>
  </si>
  <si>
    <t>ressourcen speed</t>
  </si>
  <si>
    <t>mine speed:</t>
  </si>
  <si>
    <t>Minenprodi</t>
  </si>
  <si>
    <t>Gesamt Ressi</t>
  </si>
  <si>
    <t>Dorf</t>
  </si>
  <si>
    <t>Holz</t>
  </si>
  <si>
    <t>Lehm</t>
  </si>
  <si>
    <t>Eisen</t>
  </si>
  <si>
    <t>Gesamt</t>
  </si>
  <si>
    <t>Minen</t>
  </si>
  <si>
    <t>Rohstoffe</t>
  </si>
  <si>
    <t>Bauzeit Truppen</t>
  </si>
  <si>
    <t>Auslastung Truppen</t>
  </si>
  <si>
    <t>Stundenrohstoff Verbrauch</t>
  </si>
  <si>
    <t>Speer</t>
  </si>
  <si>
    <t>Schwert</t>
  </si>
  <si>
    <t>Stundenproduktion:</t>
  </si>
  <si>
    <t>Beutelimit</t>
  </si>
  <si>
    <t>Farming</t>
  </si>
  <si>
    <t>AG Limit</t>
  </si>
  <si>
    <t>h</t>
  </si>
  <si>
    <t>Rekru Gebäude</t>
  </si>
  <si>
    <t>Kaserne</t>
  </si>
  <si>
    <t>Stall</t>
  </si>
  <si>
    <t>Werkstatt</t>
  </si>
  <si>
    <t>Axt</t>
  </si>
  <si>
    <t>Anzahl Ags</t>
  </si>
  <si>
    <t>Anzahl Dörfer</t>
  </si>
  <si>
    <t>Soll Ags</t>
  </si>
  <si>
    <t>Noch benötigte Ress.</t>
  </si>
  <si>
    <t>Gebäude/ Stunde</t>
  </si>
  <si>
    <t>Truppen/ Stunde</t>
  </si>
  <si>
    <t>Frei für Ags/ Stunde</t>
  </si>
  <si>
    <t>Sondereffekte</t>
  </si>
  <si>
    <t>Summe  Ressi für AG</t>
  </si>
  <si>
    <t>Einkommen/ Stunde</t>
  </si>
  <si>
    <t>Aktuelle Uhrzeit</t>
  </si>
  <si>
    <t>Dorftyp</t>
  </si>
  <si>
    <t>Off</t>
  </si>
  <si>
    <t>Dualdeff</t>
  </si>
  <si>
    <t>Frontdeff</t>
  </si>
  <si>
    <t>Sprache</t>
  </si>
  <si>
    <t>Deutsch</t>
  </si>
  <si>
    <t>Englisch</t>
  </si>
  <si>
    <t>Archer</t>
  </si>
  <si>
    <t>Mounted archer</t>
  </si>
  <si>
    <t>Paladin</t>
  </si>
  <si>
    <t>Nobleman</t>
  </si>
  <si>
    <t>Militia</t>
  </si>
  <si>
    <t>Mounted Archer</t>
  </si>
  <si>
    <t>Einheit</t>
  </si>
  <si>
    <t>Speerträger</t>
  </si>
  <si>
    <t>Schwertkämpfer</t>
  </si>
  <si>
    <t>Äxtkämpfer</t>
  </si>
  <si>
    <t>Bogenschütze</t>
  </si>
  <si>
    <t>Leichte Kavallerie</t>
  </si>
  <si>
    <t>Berittener Bogenschütze</t>
  </si>
  <si>
    <t>Schwere Kavallerie</t>
  </si>
  <si>
    <t>Katapult</t>
  </si>
  <si>
    <t>Adelsgeschlecht</t>
  </si>
  <si>
    <t>Miliz</t>
  </si>
  <si>
    <t>Kampfkraft Katapult</t>
  </si>
  <si>
    <t>Waiting</t>
  </si>
  <si>
    <t>Angriffswert</t>
  </si>
  <si>
    <t>Deff Infanterie</t>
  </si>
  <si>
    <t>Deff Kavallerie</t>
  </si>
  <si>
    <t>Deff Bogenschützen</t>
  </si>
  <si>
    <t>Angr.</t>
  </si>
  <si>
    <t>D. Inf.</t>
  </si>
  <si>
    <t>D. Kav.</t>
  </si>
  <si>
    <t>Tech</t>
  </si>
  <si>
    <t>D. Bogen</t>
  </si>
  <si>
    <t>Tech Faktor 10er Tech</t>
  </si>
  <si>
    <t>Attacker</t>
  </si>
  <si>
    <t>Defender</t>
  </si>
  <si>
    <t>Techs</t>
  </si>
  <si>
    <t>value attacker</t>
  </si>
  <si>
    <t>total value</t>
  </si>
  <si>
    <t>value inf.</t>
  </si>
  <si>
    <t>value cav</t>
  </si>
  <si>
    <t>Stufe</t>
  </si>
  <si>
    <t>Verh. Cav/Inf</t>
  </si>
  <si>
    <t>Faktor für Truppen</t>
  </si>
  <si>
    <t>Grundver- teidigung</t>
  </si>
  <si>
    <t>Glück</t>
  </si>
  <si>
    <t>Wall</t>
  </si>
  <si>
    <t>davor</t>
  </si>
  <si>
    <t>temporär</t>
  </si>
  <si>
    <t>danach</t>
  </si>
  <si>
    <t>Angreifer</t>
  </si>
  <si>
    <t>Truppen</t>
  </si>
  <si>
    <t>Verluste</t>
  </si>
  <si>
    <t>Überlebende</t>
  </si>
  <si>
    <t>Verteidiger</t>
  </si>
  <si>
    <t>Mit Wall/ Glück</t>
  </si>
  <si>
    <t>Altes Kampfsystem</t>
  </si>
  <si>
    <t>Verlust Verteidiger</t>
  </si>
  <si>
    <t>Verlust Angreifer</t>
  </si>
  <si>
    <t>calc. Ram</t>
  </si>
  <si>
    <t>Infanterie</t>
  </si>
  <si>
    <t>Neues Kampfsystem</t>
  </si>
  <si>
    <t>Kavalerie</t>
  </si>
  <si>
    <t>Verteidigung gegen Infanterie</t>
  </si>
  <si>
    <t>Verteidigung gegen Kavalerie</t>
  </si>
  <si>
    <t>BBogen</t>
  </si>
  <si>
    <t>Verteidigung gegen Berittene Bogen</t>
  </si>
  <si>
    <t>value BBogen</t>
  </si>
  <si>
    <t>Runde 1 - Mit diesen Daten eine erneute Runde simulieren</t>
  </si>
  <si>
    <t>Nachtbonus</t>
  </si>
  <si>
    <t>nein</t>
  </si>
  <si>
    <t>X-Koordinate</t>
  </si>
  <si>
    <t>Y-Koordinate</t>
  </si>
  <si>
    <t>Typ</t>
  </si>
  <si>
    <t>Basis LZ</t>
  </si>
  <si>
    <t>Welten LZ</t>
  </si>
  <si>
    <t>Herkunft</t>
  </si>
  <si>
    <t>Ziel</t>
  </si>
  <si>
    <t>Differenz</t>
  </si>
  <si>
    <t>Distanz</t>
  </si>
  <si>
    <t>LKAV</t>
  </si>
  <si>
    <t>AG</t>
  </si>
  <si>
    <t>SKAV</t>
  </si>
  <si>
    <t>Laufzeit je Feld</t>
  </si>
  <si>
    <t>Ramme</t>
  </si>
  <si>
    <t>Laufzeit gesamt</t>
  </si>
  <si>
    <t>Kata</t>
  </si>
  <si>
    <t>Abschickzeit</t>
  </si>
  <si>
    <t>Ankunftszeit</t>
  </si>
  <si>
    <t>Rückkehr</t>
  </si>
  <si>
    <t>Bogen</t>
  </si>
  <si>
    <t>Noble</t>
  </si>
  <si>
    <t>Offbash</t>
  </si>
  <si>
    <t>Deffbash</t>
  </si>
  <si>
    <t>Bashpunkte</t>
  </si>
  <si>
    <t>Minenproduktion</t>
  </si>
  <si>
    <t>Kosten Minen</t>
  </si>
  <si>
    <t>Amortisierungsdauer</t>
  </si>
  <si>
    <t>Anstieg (mal 3)</t>
  </si>
  <si>
    <t>Troops produced</t>
  </si>
  <si>
    <t>Building Levels at start</t>
  </si>
  <si>
    <t>Troops at start</t>
  </si>
  <si>
    <t>stored resources at start</t>
  </si>
  <si>
    <r>
      <t xml:space="preserve">Zeitpunkt </t>
    </r>
    <r>
      <rPr>
        <b/>
        <sz val="11"/>
        <color theme="1"/>
        <rFont val="Calibri"/>
        <family val="2"/>
        <scheme val="minor"/>
      </rPr>
      <t>mit</t>
    </r>
    <r>
      <rPr>
        <sz val="11"/>
        <color theme="1"/>
        <rFont val="Calibri"/>
        <family val="2"/>
        <scheme val="minor"/>
      </rPr>
      <t xml:space="preserve"> Truppen</t>
    </r>
  </si>
  <si>
    <r>
      <t xml:space="preserve">Zeitpunkt </t>
    </r>
    <r>
      <rPr>
        <b/>
        <sz val="11"/>
        <color theme="1"/>
        <rFont val="Calibri"/>
        <family val="2"/>
        <scheme val="minor"/>
      </rPr>
      <t>ohne</t>
    </r>
    <r>
      <rPr>
        <sz val="11"/>
        <color theme="1"/>
        <rFont val="Calibri"/>
        <family val="2"/>
        <scheme val="minor"/>
      </rPr>
      <t xml:space="preserve"> Truppen</t>
    </r>
  </si>
  <si>
    <t>Punkte</t>
  </si>
  <si>
    <t>525|480</t>
  </si>
  <si>
    <t>kummuliert</t>
  </si>
  <si>
    <t>HG Stufe</t>
  </si>
  <si>
    <t>BH Plätze</t>
  </si>
  <si>
    <t>Bauernhofplätze frei für Truppen</t>
  </si>
  <si>
    <t>Erfolg ist Erfolg (522|500) K55 </t>
  </si>
  <si>
    <t>Erfolg ist Erfolg (521|498) K45 </t>
  </si>
  <si>
    <t>522|500</t>
  </si>
  <si>
    <t>521|498</t>
  </si>
  <si>
    <t> Erfolg ist Erfolg (522|500) K55 </t>
  </si>
  <si>
    <t>8604 / 24000</t>
  </si>
  <si>
    <t>2. Deff</t>
  </si>
  <si>
    <t>» bearbeiten</t>
  </si>
  <si>
    <t> Erfolg ist Erfolg (521|498) K45 </t>
  </si>
  <si>
    <t>2024 / 4904</t>
  </si>
  <si>
    <t>Gewinner des Kampfs</t>
  </si>
  <si>
    <t>Rechnersiche Kattas</t>
  </si>
  <si>
    <t>Angreifende Katas</t>
  </si>
  <si>
    <t>Ressourcenboost</t>
  </si>
  <si>
    <t>Buildingspeedbooster</t>
  </si>
  <si>
    <t>Item</t>
  </si>
  <si>
    <t>Recruitingbooster</t>
  </si>
  <si>
    <t>Bh Regel?</t>
  </si>
  <si>
    <t>nicht zeitbasiert</t>
  </si>
  <si>
    <t>zeitbasiert</t>
  </si>
  <si>
    <t>Spielzeit Verteidiger</t>
  </si>
  <si>
    <t>kleinst mögliche Moral</t>
  </si>
  <si>
    <t>Mindest Moral später</t>
  </si>
  <si>
    <t>Spielzeit bis top limit</t>
  </si>
  <si>
    <t>Punkte Verteidiger</t>
  </si>
  <si>
    <t>Punkte Angreifer</t>
  </si>
  <si>
    <t>Moral</t>
  </si>
  <si>
    <t>Verhältnis</t>
  </si>
  <si>
    <t>Aktuell mindest Moral</t>
  </si>
  <si>
    <t>Erreicht bei Verhältnis</t>
  </si>
  <si>
    <t>100% bei Verhältnis</t>
  </si>
  <si>
    <t>100% ab Verteider P.</t>
  </si>
  <si>
    <t>mindest Moral bei P.</t>
  </si>
  <si>
    <t>Aktuell</t>
  </si>
  <si>
    <t>Zeit auf der Welt</t>
  </si>
  <si>
    <t>Dörfer</t>
  </si>
  <si>
    <t>Aktuelles Limit</t>
  </si>
  <si>
    <t>Ress je h</t>
  </si>
  <si>
    <t>Start des Spielers</t>
  </si>
  <si>
    <t>Gebäudevorraussetzung</t>
  </si>
  <si>
    <t>[table]</t>
  </si>
  <si>
    <t>Gebäude</t>
  </si>
  <si>
    <t>Baubeginn</t>
  </si>
  <si>
    <t>Dauer</t>
  </si>
  <si>
    <t>Ende</t>
  </si>
  <si>
    <t>Eisenmine</t>
  </si>
  <si>
    <t>Speicher</t>
  </si>
  <si>
    <t>Hauptgebäude</t>
  </si>
  <si>
    <t>Bauernhof</t>
  </si>
  <si>
    <t>Lehmgrube</t>
  </si>
  <si>
    <t>Holzfäller</t>
  </si>
  <si>
    <t>Markt</t>
  </si>
  <si>
    <t>Schmiede</t>
  </si>
  <si>
    <t>Adelshof</t>
  </si>
  <si>
    <t>Goldmünze</t>
  </si>
  <si>
    <t>[/table]</t>
  </si>
  <si>
    <t>Wachturm</t>
  </si>
  <si>
    <t>Kirche</t>
  </si>
  <si>
    <t>Erste Kirche</t>
  </si>
  <si>
    <t>Folgende Features sind in dem Dokument zu finden</t>
  </si>
  <si>
    <r>
      <rPr>
        <b/>
        <sz val="11"/>
        <color theme="1"/>
        <rFont val="Calibri"/>
        <family val="2"/>
        <scheme val="minor"/>
      </rPr>
      <t>Formatierung:</t>
    </r>
    <r>
      <rPr>
        <sz val="11"/>
        <color theme="1"/>
        <rFont val="Calibri"/>
        <family val="2"/>
        <scheme val="minor"/>
      </rPr>
      <t xml:space="preserve"> Ermöglicht es den "Construction Planner" als Tabelle Formatiert in DS zu exportieren</t>
    </r>
  </si>
  <si>
    <r>
      <rPr>
        <b/>
        <sz val="11"/>
        <color theme="1"/>
        <rFont val="Calibri"/>
        <family val="2"/>
        <scheme val="minor"/>
      </rPr>
      <t xml:space="preserve">Recruting Planner: </t>
    </r>
    <r>
      <rPr>
        <sz val="11"/>
        <color theme="1"/>
        <rFont val="Calibri"/>
        <family val="2"/>
        <scheme val="minor"/>
      </rPr>
      <t>Einfache Berechnung der Bauzeiten und Baukosten von Truppen in Abhängigkeit der Kaserne/ Stall/ Werkstatt Stufe.</t>
    </r>
  </si>
  <si>
    <r>
      <rPr>
        <b/>
        <sz val="11"/>
        <color theme="1"/>
        <rFont val="Calibri"/>
        <family val="2"/>
        <scheme val="minor"/>
      </rPr>
      <t>Village planner:</t>
    </r>
    <r>
      <rPr>
        <sz val="11"/>
        <color theme="1"/>
        <rFont val="Calibri"/>
        <family val="2"/>
        <scheme val="minor"/>
      </rPr>
      <t xml:space="preserve"> Ermittlung von BH-Plätzen und Punkten eines Dorfes</t>
    </r>
  </si>
  <si>
    <r>
      <rPr>
        <b/>
        <sz val="11"/>
        <color theme="1"/>
        <rFont val="Calibri"/>
        <family val="2"/>
        <scheme val="minor"/>
      </rPr>
      <t xml:space="preserve">Laufzeitrechner: </t>
    </r>
    <r>
      <rPr>
        <sz val="11"/>
        <color theme="1"/>
        <rFont val="Calibri"/>
        <family val="2"/>
        <scheme val="minor"/>
      </rPr>
      <t>Berechnung der Laufzeit, sowie der Abschick - bzw. Ankunftszeit und der Rückkehr</t>
    </r>
  </si>
  <si>
    <r>
      <rPr>
        <b/>
        <sz val="11"/>
        <color theme="1"/>
        <rFont val="Calibri"/>
        <family val="2"/>
        <scheme val="minor"/>
      </rPr>
      <t>Bashpointrechner:</t>
    </r>
    <r>
      <rPr>
        <sz val="11"/>
        <color theme="1"/>
        <rFont val="Calibri"/>
        <family val="2"/>
        <scheme val="minor"/>
      </rPr>
      <t xml:space="preserve"> Hier kann errechnet werden, wie viel Offbash, bzw. Deffbash es für die eingetragenen Verluste des Angreifers, bzw. Verteidigers es gibt</t>
    </r>
  </si>
  <si>
    <r>
      <rPr>
        <b/>
        <sz val="11"/>
        <color theme="1"/>
        <rFont val="Calibri"/>
        <family val="2"/>
        <scheme val="minor"/>
      </rPr>
      <t>Tech times:</t>
    </r>
    <r>
      <rPr>
        <sz val="11"/>
        <color theme="1"/>
        <rFont val="Calibri"/>
        <family val="2"/>
        <scheme val="minor"/>
      </rPr>
      <t xml:space="preserve"> Hier kann man die Forschungszeiten und Kosten in Abhängigkeit der Schmiedestufen anschauen</t>
    </r>
  </si>
  <si>
    <r>
      <rPr>
        <b/>
        <sz val="11"/>
        <color theme="1"/>
        <rFont val="Calibri"/>
        <family val="2"/>
        <scheme val="minor"/>
      </rPr>
      <t xml:space="preserve">Amortisierung Minen: </t>
    </r>
    <r>
      <rPr>
        <sz val="11"/>
        <color theme="1"/>
        <rFont val="Calibri"/>
        <family val="2"/>
        <scheme val="minor"/>
      </rPr>
      <t>Berechnung wie lange es dauert, bis die Kosten einer Stufe aller Minen sich durch die Produktionssteigerung rentiert.</t>
    </r>
  </si>
  <si>
    <r>
      <rPr>
        <b/>
        <sz val="11"/>
        <color theme="1"/>
        <rFont val="Calibri"/>
        <family val="2"/>
        <scheme val="minor"/>
      </rPr>
      <t>Rammentabelle</t>
    </r>
    <r>
      <rPr>
        <sz val="11"/>
        <color theme="1"/>
        <rFont val="Calibri"/>
        <family val="2"/>
        <scheme val="minor"/>
      </rPr>
      <t>: Hier kann man die Senkung der Wallstufen in Abhängigkeit der Rammentechs anschauen - Erklärungen siehe anderer Thread</t>
    </r>
  </si>
  <si>
    <r>
      <rPr>
        <b/>
        <sz val="11"/>
        <color theme="1"/>
        <rFont val="Calibri"/>
        <family val="2"/>
        <scheme val="minor"/>
      </rPr>
      <t>Catapult table:</t>
    </r>
    <r>
      <rPr>
        <sz val="11"/>
        <color theme="1"/>
        <rFont val="Calibri"/>
        <family val="2"/>
        <scheme val="minor"/>
      </rPr>
      <t xml:space="preserve"> Hier kann man sehen, wie viele Gebäudestufen mit wie vielen katas zerstört werden. Voraussetzung: Alle Katas überleben. Diese Tabelle ist techabhängig </t>
    </r>
  </si>
  <si>
    <r>
      <rPr>
        <b/>
        <sz val="11"/>
        <color theme="1"/>
        <rFont val="Calibri"/>
        <family val="2"/>
        <scheme val="minor"/>
      </rPr>
      <t>Catapult table_surviving:</t>
    </r>
    <r>
      <rPr>
        <sz val="11"/>
        <color theme="1"/>
        <rFont val="Calibri"/>
        <family val="2"/>
        <scheme val="minor"/>
      </rPr>
      <t xml:space="preserve"> Hier kann die rechnerische Anzahl an Kattapulten ermittelt werden und daran die Zerstörung ermittlt werden.</t>
    </r>
  </si>
  <si>
    <r>
      <rPr>
        <b/>
        <sz val="11"/>
        <color theme="1"/>
        <rFont val="Calibri"/>
        <family val="2"/>
        <scheme val="minor"/>
      </rPr>
      <t>Bauernhofregel:</t>
    </r>
    <r>
      <rPr>
        <sz val="11"/>
        <color theme="1"/>
        <rFont val="Calibri"/>
        <family val="2"/>
        <scheme val="minor"/>
      </rPr>
      <t xml:space="preserve"> Hier kann die Kampfkraft simuliert werden, wenn die BH-Regel aktiviert ist.</t>
    </r>
  </si>
  <si>
    <r>
      <rPr>
        <b/>
        <sz val="11"/>
        <color theme="1"/>
        <rFont val="Calibri"/>
        <family val="2"/>
        <scheme val="minor"/>
      </rPr>
      <t>Simulator alt:</t>
    </r>
    <r>
      <rPr>
        <sz val="11"/>
        <color theme="1"/>
        <rFont val="Calibri"/>
        <family val="2"/>
        <scheme val="minor"/>
      </rPr>
      <t xml:space="preserve"> Ein Simulator für das alte Kampfsystem (ohne Bogen!). </t>
    </r>
  </si>
  <si>
    <r>
      <rPr>
        <b/>
        <sz val="11"/>
        <color theme="1"/>
        <rFont val="Calibri"/>
        <family val="2"/>
        <scheme val="minor"/>
      </rPr>
      <t>Moralrechner</t>
    </r>
    <r>
      <rPr>
        <sz val="11"/>
        <color theme="1"/>
        <rFont val="Calibri"/>
        <family val="2"/>
        <scheme val="minor"/>
      </rPr>
      <t>: Im Prinzip dasselbe wie der Moralrechner im Simulator- allerdings sieht man hier mehr Informationen. Leider gibt es hier noch ein paar rundungsfehler bei einer serverlaufzeit von unter 125 Tagen</t>
    </r>
  </si>
  <si>
    <r>
      <rPr>
        <b/>
        <sz val="11"/>
        <color theme="1"/>
        <rFont val="Calibri"/>
        <family val="2"/>
        <scheme val="minor"/>
      </rPr>
      <t>Construction times:</t>
    </r>
    <r>
      <rPr>
        <sz val="11"/>
        <color theme="1"/>
        <rFont val="Calibri"/>
        <family val="2"/>
        <scheme val="minor"/>
      </rPr>
      <t xml:space="preserve"> Hier sind die Bauzeiten hinterlegt, welche im Construction Planner verwendet werden. (Hier ist noch etwas optimierungspotenzial)</t>
    </r>
  </si>
  <si>
    <r>
      <rPr>
        <b/>
        <sz val="11"/>
        <color theme="1"/>
        <rFont val="Calibri"/>
        <family val="2"/>
        <scheme val="minor"/>
      </rPr>
      <t>Construction Costs timber/ clay/ iron</t>
    </r>
    <r>
      <rPr>
        <sz val="11"/>
        <color theme="1"/>
        <rFont val="Calibri"/>
        <family val="2"/>
        <scheme val="minor"/>
      </rPr>
      <t>: Hier sind die Kosten der Gebäude für den Construction Planner hinterlegt</t>
    </r>
  </si>
  <si>
    <r>
      <rPr>
        <b/>
        <sz val="11"/>
        <color theme="1"/>
        <rFont val="Calibri"/>
        <family val="2"/>
        <scheme val="minor"/>
      </rPr>
      <t>Miscelaneous:</t>
    </r>
    <r>
      <rPr>
        <sz val="11"/>
        <color theme="1"/>
        <rFont val="Calibri"/>
        <family val="2"/>
        <scheme val="minor"/>
      </rPr>
      <t xml:space="preserve"> Hier sind ein paar Faktoren hinterlegt</t>
    </r>
  </si>
  <si>
    <r>
      <rPr>
        <b/>
        <sz val="11"/>
        <color theme="1"/>
        <rFont val="Calibri"/>
        <family val="2"/>
        <scheme val="minor"/>
      </rPr>
      <t xml:space="preserve">Translation: </t>
    </r>
    <r>
      <rPr>
        <sz val="11"/>
        <color theme="1"/>
        <rFont val="Calibri"/>
        <family val="2"/>
        <scheme val="minor"/>
      </rPr>
      <t>Hier sind ein paar Begriffsübersetzungen hinterlegt (ist noch im Aufbau)</t>
    </r>
  </si>
  <si>
    <t>Truppentyp</t>
  </si>
  <si>
    <t>Minen Stufen</t>
  </si>
  <si>
    <t>Produzierte Ressi je Stunde</t>
  </si>
  <si>
    <t>383|473</t>
  </si>
  <si>
    <t>lkavs je Stunde</t>
  </si>
  <si>
    <t>Angriffshäufigkeit</t>
  </si>
  <si>
    <t>Farmplanung</t>
  </si>
  <si>
    <t>381|474</t>
  </si>
  <si>
    <t>Wall Stufe</t>
  </si>
  <si>
    <t>Scripterstellung</t>
  </si>
  <si>
    <t>Goldmünzen</t>
  </si>
  <si>
    <t>Einlagerungen/ Goldmünzen</t>
  </si>
  <si>
    <t>Items</t>
  </si>
  <si>
    <t>Flag</t>
  </si>
  <si>
    <t>Eroberungssystem</t>
  </si>
  <si>
    <t>Ausschöpfung Farmlimit</t>
  </si>
  <si>
    <t>Anzahl Klammern</t>
  </si>
  <si>
    <t>Summe Klammern</t>
  </si>
  <si>
    <t>Nr.</t>
  </si>
  <si>
    <t>Userscript für die Schnelleiste</t>
  </si>
  <si>
    <t>Anzahl Lkavs bei Wall &gt; 0</t>
  </si>
  <si>
    <t>Eigenes Dorf</t>
  </si>
  <si>
    <t>382|475</t>
  </si>
  <si>
    <t>Laufzeit lkav</t>
  </si>
  <si>
    <t>Mindest Lkav je Angriff</t>
  </si>
  <si>
    <t>Dorf (2)</t>
  </si>
  <si>
    <r>
      <t xml:space="preserve">Dauer </t>
    </r>
    <r>
      <rPr>
        <b/>
        <sz val="11"/>
        <color theme="1"/>
        <rFont val="Calibri"/>
        <family val="2"/>
        <scheme val="minor"/>
      </rPr>
      <t>ohne</t>
    </r>
    <r>
      <rPr>
        <sz val="11"/>
        <color theme="1"/>
        <rFont val="Calibri"/>
        <family val="2"/>
        <scheme val="minor"/>
      </rPr>
      <t xml:space="preserve"> Truppen/ Gebäude</t>
    </r>
  </si>
  <si>
    <r>
      <t xml:space="preserve">Dauer </t>
    </r>
    <r>
      <rPr>
        <b/>
        <sz val="11"/>
        <color theme="1"/>
        <rFont val="Calibri"/>
        <family val="2"/>
        <scheme val="minor"/>
      </rPr>
      <t>mit</t>
    </r>
    <r>
      <rPr>
        <sz val="11"/>
        <color theme="1"/>
        <rFont val="Calibri"/>
        <family val="2"/>
        <scheme val="minor"/>
      </rPr>
      <t xml:space="preserve"> Truppen/ Gebäude</t>
    </r>
  </si>
  <si>
    <t>Building</t>
  </si>
  <si>
    <t>Total Time</t>
  </si>
  <si>
    <t>Building time</t>
  </si>
  <si>
    <t>Welteneinstellungen</t>
  </si>
  <si>
    <t>Beute</t>
  </si>
  <si>
    <t>aktiv</t>
  </si>
  <si>
    <t>inaktiv</t>
  </si>
  <si>
    <t>Plausibel?</t>
  </si>
  <si>
    <t>ja</t>
  </si>
  <si>
    <t>Start 21P (no farm)</t>
  </si>
  <si>
    <t>Start 26P</t>
  </si>
  <si>
    <t>10.019P (mit Pala)</t>
  </si>
  <si>
    <t>10.000P (mit Pala)</t>
  </si>
  <si>
    <t xml:space="preserve">9.995P </t>
  </si>
  <si>
    <t>9.969P  (no farm)</t>
  </si>
  <si>
    <t>9.995P (Kirche 3)</t>
  </si>
  <si>
    <t>9.995P (Kirche 2)</t>
  </si>
  <si>
    <t>9.995P (Kirche 1)</t>
  </si>
  <si>
    <t>9.995P (Wachturm 20)</t>
  </si>
  <si>
    <t>Einheitengeschwindigkeit</t>
  </si>
  <si>
    <t>Weltengeschwindigkeit</t>
  </si>
  <si>
    <t>Laufzeitgeschwindigkeit</t>
  </si>
  <si>
    <t>Ressourcen Speed</t>
  </si>
  <si>
    <t>Bögen</t>
  </si>
  <si>
    <t>Bbogen</t>
  </si>
  <si>
    <r>
      <rPr>
        <b/>
        <sz val="11"/>
        <color theme="1"/>
        <rFont val="Calibri"/>
        <family val="2"/>
        <scheme val="minor"/>
      </rPr>
      <t xml:space="preserve">Unit information: </t>
    </r>
    <r>
      <rPr>
        <sz val="11"/>
        <color theme="1"/>
        <rFont val="Calibri"/>
        <family val="2"/>
        <scheme val="minor"/>
      </rPr>
      <t>Hier sind die Bauzeiten, die Kampfkräfte und Kosten der Truppen hinterlegt (werden auch im Construction Planner verwendet)</t>
    </r>
  </si>
  <si>
    <t>Villagers: Hier ist die Bevölkerung der einzelnen Gebäudestufen hinterlegt -&gt; auch für den Construction PLanner</t>
  </si>
  <si>
    <t>Watchtower range</t>
  </si>
  <si>
    <t>376|480</t>
  </si>
  <si>
    <t>392|480</t>
  </si>
  <si>
    <t>392|481</t>
  </si>
  <si>
    <t>394|481</t>
  </si>
  <si>
    <t>392|484</t>
  </si>
  <si>
    <t>393|487</t>
  </si>
  <si>
    <t>394|487</t>
  </si>
  <si>
    <t>395|488</t>
  </si>
  <si>
    <t>395|492</t>
  </si>
  <si>
    <t>395|491</t>
  </si>
  <si>
    <t>396|490</t>
  </si>
  <si>
    <t>397|490</t>
  </si>
  <si>
    <t>397|491</t>
  </si>
  <si>
    <t>400|486</t>
  </si>
  <si>
    <t>399|481</t>
  </si>
  <si>
    <t>399|488</t>
  </si>
  <si>
    <t>401|489</t>
  </si>
  <si>
    <t>399|489</t>
  </si>
  <si>
    <t>391|454</t>
  </si>
  <si>
    <t>397|460</t>
  </si>
  <si>
    <t>373|469</t>
  </si>
  <si>
    <t>393|486</t>
  </si>
  <si>
    <t>391|485</t>
  </si>
  <si>
    <t>395|485</t>
  </si>
  <si>
    <t>396|487</t>
  </si>
  <si>
    <t>384|446</t>
  </si>
  <si>
    <t>383|451</t>
  </si>
  <si>
    <t>390|482</t>
  </si>
  <si>
    <t>386|482</t>
  </si>
  <si>
    <t>388|482</t>
  </si>
  <si>
    <t>390|487</t>
  </si>
  <si>
    <t>400|482</t>
  </si>
  <si>
    <t>388|473</t>
  </si>
  <si>
    <t>384|470</t>
  </si>
  <si>
    <t>387|474</t>
  </si>
  <si>
    <t>388|474</t>
  </si>
  <si>
    <t>391|474</t>
  </si>
  <si>
    <t>390|474</t>
  </si>
  <si>
    <t>386|468</t>
  </si>
  <si>
    <t>392|477</t>
  </si>
  <si>
    <t>386|470</t>
  </si>
  <si>
    <t>385|470</t>
  </si>
  <si>
    <t>387|476</t>
  </si>
  <si>
    <t>389|478</t>
  </si>
  <si>
    <t>392|460</t>
  </si>
  <si>
    <t>387|472</t>
  </si>
  <si>
    <t>383|464</t>
  </si>
  <si>
    <t>392|468</t>
  </si>
  <si>
    <t>388|465</t>
  </si>
  <si>
    <t>388|466</t>
  </si>
  <si>
    <t>387|468</t>
  </si>
  <si>
    <t>388|471</t>
  </si>
  <si>
    <t>388|476</t>
  </si>
  <si>
    <t>386|477</t>
  </si>
  <si>
    <t>389|468</t>
  </si>
  <si>
    <t>391|456</t>
  </si>
  <si>
    <t>390|465</t>
  </si>
  <si>
    <t>385|462</t>
  </si>
  <si>
    <t>387|463</t>
  </si>
  <si>
    <t>547|592</t>
  </si>
  <si>
    <t>384|465</t>
  </si>
  <si>
    <t>394|445</t>
  </si>
  <si>
    <t>387|473</t>
  </si>
  <si>
    <t>384|473</t>
  </si>
  <si>
    <t>392|459</t>
  </si>
  <si>
    <t>391|452</t>
  </si>
  <si>
    <t>388|453</t>
  </si>
  <si>
    <t>392|458</t>
  </si>
  <si>
    <t>390|455</t>
  </si>
  <si>
    <t>382|451</t>
  </si>
  <si>
    <t>390|464</t>
  </si>
  <si>
    <t>391|467</t>
  </si>
  <si>
    <t>393|457</t>
  </si>
  <si>
    <t>391|463</t>
  </si>
  <si>
    <t>385|461</t>
  </si>
  <si>
    <t>385|465</t>
  </si>
  <si>
    <t>386|463</t>
  </si>
  <si>
    <t>382|468</t>
  </si>
  <si>
    <t>382|474</t>
  </si>
  <si>
    <t>386|476</t>
  </si>
  <si>
    <t>381|473</t>
  </si>
  <si>
    <t>381|472</t>
  </si>
  <si>
    <t>387|458</t>
  </si>
  <si>
    <t>381|466</t>
  </si>
  <si>
    <t>385|474</t>
  </si>
  <si>
    <t>384|457</t>
  </si>
  <si>
    <t>Zieldörfer</t>
  </si>
  <si>
    <t>Abschickzeit Ende</t>
  </si>
  <si>
    <t>Abschickzeit Start</t>
  </si>
  <si>
    <t>Tribalwars Planner - Version 4.4 by Kis4m3</t>
  </si>
  <si>
    <r>
      <rPr>
        <b/>
        <sz val="11"/>
        <color theme="1"/>
        <rFont val="Calibri"/>
        <family val="2"/>
        <scheme val="minor"/>
      </rPr>
      <t xml:space="preserve">Construction Planner: </t>
    </r>
    <r>
      <rPr>
        <sz val="11"/>
        <color theme="1"/>
        <rFont val="Calibri"/>
        <family val="2"/>
        <scheme val="minor"/>
      </rPr>
      <t>Optimaler Ausbau eines Dorfes kann geplant werden (inkl. Truppen). Man kann ihn aber auch verwenden um ein ausgeglichene Accountmanager-Vorlage zu entwerfen. Auf diesem Blatt sollten auch die Welteneinstellungen (Geschwindigkeit und Minenproduktion, sowie Einheitengeschwindigkeit) eingestellt werden. Wenn man die Aktuellen Informationen eines Dorfes einträgt (Gebäude, Truppen und Ress), können alle weiteren Gebäude und die Rekrutierung (über die prozentuale Auslastung der Kaserne/Stall/Werkstatt) geplant werden. -&gt; Gut fürs early</t>
    </r>
  </si>
  <si>
    <r>
      <rPr>
        <b/>
        <sz val="11"/>
        <color theme="1"/>
        <rFont val="Calibri"/>
        <family val="2"/>
        <scheme val="minor"/>
      </rPr>
      <t>Farm Planner:</t>
    </r>
    <r>
      <rPr>
        <sz val="11"/>
        <color theme="1"/>
        <rFont val="Calibri"/>
        <family val="2"/>
        <scheme val="minor"/>
      </rPr>
      <t xml:space="preserve"> Berechnet die Rohstoffproduktion und die somit die Anzahl der benötigten lkavs zum farmen</t>
    </r>
  </si>
  <si>
    <r>
      <rPr>
        <b/>
        <sz val="11"/>
        <color theme="1"/>
        <rFont val="Calibri"/>
        <family val="2"/>
        <scheme val="minor"/>
      </rPr>
      <t>Noble Planner:</t>
    </r>
    <r>
      <rPr>
        <sz val="11"/>
        <color theme="1"/>
        <rFont val="Calibri"/>
        <family val="2"/>
        <scheme val="minor"/>
      </rPr>
      <t xml:space="preserve"> Hier wird unter Eingabe von den Minen und Rekrutierungsgebäuden, sowie dem Dorftyp (Off, Dualdeff, Flexdeff), sowie den aktuellen und den Soll-AGs errechnet, wann die Resisi für die Einlagerungen für die gewünschten AGs vorhanden sind. -&gt; Gut fürs Midgame</t>
    </r>
  </si>
  <si>
    <t>Mindest Laufzeit</t>
  </si>
  <si>
    <t>Maximale Laufzeit</t>
  </si>
  <si>
    <r>
      <t xml:space="preserve">Angriffsplaner_Abschickzeiten: </t>
    </r>
    <r>
      <rPr>
        <sz val="11"/>
        <color theme="1"/>
        <rFont val="Calibri"/>
        <family val="2"/>
        <scheme val="minor"/>
      </rPr>
      <t>Hier kann in einer Matrix die Abschickzeiten von mehreren Herkunftsdörfer auf mehrere Zieldörfer für eine Ankunftszeit ermittelt werden. Die Abschickzeit wird dabei eingefärbt auf Basis eines eingegebenen Zeitrahmens</t>
    </r>
  </si>
  <si>
    <r>
      <t xml:space="preserve">Angriffsplaner_Laufzeiten: </t>
    </r>
    <r>
      <rPr>
        <sz val="11"/>
        <color theme="1"/>
        <rFont val="Calibri"/>
        <family val="2"/>
        <scheme val="minor"/>
      </rPr>
      <t>Hier kann in einer Matrix die Laufzeiten von mehreren Herkunftsdörfer auf mehrere Zieldörfer ermittelt werden. Die Laufzeit wird dabei eingefärbt auf Basis eines eingegebenen Zeitrahmens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</si>
</sst>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 _€_-;\-* #,##0.00\ _€_-;_-* &quot;-&quot;??\ _€_-;_-@_-"/>
    <numFmt numFmtId="164" formatCode="[$-F400]h:mm:ss\ AM/PM"/>
    <numFmt numFmtId="165" formatCode="dd/mm/yyyy\ hh:mm:ss"/>
    <numFmt numFmtId="166" formatCode="0.000"/>
    <numFmt numFmtId="167" formatCode="0.0%"/>
    <numFmt numFmtId="168" formatCode="0.000000"/>
    <numFmt numFmtId="169" formatCode="0.0"/>
    <numFmt numFmtId="170" formatCode="dd/mm/\ hh:mm"/>
    <numFmt numFmtId="171" formatCode="0.00000000"/>
    <numFmt numFmtId="172" formatCode="0.00000"/>
    <numFmt numFmtId="173" formatCode="dd/mm\ hh:mm:ss"/>
  </numFmts>
  <fonts count="10" x14ac:knownFonts="1">
    <font>
      <sz val="11"/>
      <color theme="1"/>
      <name val="Calibri"/>
      <family val="2"/>
      <scheme val="minor"/>
    </font>
    <font>
      <sz val="11"/>
      <name val="Calibri"/>
      <family val="2"/>
      <scheme val="minor"/>
    </font>
    <font>
      <b/>
      <sz val="16"/>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6"/>
      <color theme="1"/>
      <name val="Calibri"/>
      <family val="2"/>
      <scheme val="minor"/>
    </font>
    <font>
      <sz val="12"/>
      <color theme="1"/>
      <name val="Calibri"/>
      <family val="2"/>
      <scheme val="minor"/>
    </font>
    <font>
      <sz val="10"/>
      <color theme="1"/>
      <name val="Calibri"/>
      <family val="2"/>
      <scheme val="minor"/>
    </font>
    <font>
      <sz val="11"/>
      <color rgb="FF464646"/>
      <name val="Arial"/>
      <family val="2"/>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9" tint="-0.249977111117893"/>
        <bgColor indexed="64"/>
      </patternFill>
    </fill>
    <fill>
      <patternFill patternType="solid">
        <fgColor theme="9"/>
        <bgColor indexed="64"/>
      </patternFill>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5" fillId="0" borderId="0" applyFont="0" applyFill="0" applyBorder="0" applyAlignment="0" applyProtection="0"/>
    <xf numFmtId="43" fontId="5" fillId="0" borderId="0" applyFont="0" applyFill="0" applyBorder="0" applyAlignment="0" applyProtection="0"/>
  </cellStyleXfs>
  <cellXfs count="474">
    <xf numFmtId="0" fontId="0" fillId="0" borderId="0" xfId="0"/>
    <xf numFmtId="0" fontId="0" fillId="0" borderId="0" xfId="0" applyFont="1" applyAlignment="1">
      <alignment horizontal="center"/>
    </xf>
    <xf numFmtId="21" fontId="0" fillId="0" borderId="0" xfId="0" applyNumberFormat="1"/>
    <xf numFmtId="0" fontId="0" fillId="0" borderId="0" xfId="0" applyNumberFormat="1"/>
    <xf numFmtId="0" fontId="0" fillId="2" borderId="0" xfId="0" applyFill="1"/>
    <xf numFmtId="0" fontId="0" fillId="0" borderId="0" xfId="0" applyAlignment="1">
      <alignment horizontal="center"/>
    </xf>
    <xf numFmtId="0" fontId="0" fillId="0" borderId="0" xfId="0" applyAlignment="1">
      <alignment horizontal="right"/>
    </xf>
    <xf numFmtId="46" fontId="0" fillId="0" borderId="0" xfId="0" applyNumberFormat="1"/>
    <xf numFmtId="0" fontId="0" fillId="0" borderId="0" xfId="0" applyAlignment="1">
      <alignment horizontal="left"/>
    </xf>
    <xf numFmtId="0" fontId="0" fillId="0" borderId="0" xfId="0" applyNumberFormat="1" applyFont="1" applyAlignment="1">
      <alignment horizontal="center"/>
    </xf>
    <xf numFmtId="0" fontId="0" fillId="0" borderId="0" xfId="0" applyFill="1"/>
    <xf numFmtId="0" fontId="0" fillId="2" borderId="1" xfId="0" applyFill="1" applyBorder="1"/>
    <xf numFmtId="0" fontId="0" fillId="0" borderId="0" xfId="0" applyBorder="1"/>
    <xf numFmtId="0" fontId="0" fillId="0" borderId="0" xfId="0" applyFill="1" applyBorder="1"/>
    <xf numFmtId="0" fontId="0" fillId="3" borderId="1" xfId="0" applyFill="1" applyBorder="1"/>
    <xf numFmtId="0" fontId="0" fillId="4" borderId="0" xfId="0" applyFill="1"/>
    <xf numFmtId="21" fontId="0" fillId="0" borderId="0" xfId="0" applyNumberFormat="1" applyFill="1" applyBorder="1"/>
    <xf numFmtId="0" fontId="1" fillId="0" borderId="0" xfId="0" applyFont="1" applyFill="1"/>
    <xf numFmtId="46" fontId="0" fillId="3" borderId="1" xfId="0" applyNumberFormat="1" applyFill="1" applyBorder="1"/>
    <xf numFmtId="0" fontId="0" fillId="0" borderId="0" xfId="0" applyFill="1" applyBorder="1" applyAlignment="1">
      <alignment horizontal="center"/>
    </xf>
    <xf numFmtId="0" fontId="0" fillId="0" borderId="0" xfId="0" applyBorder="1" applyAlignment="1">
      <alignment horizontal="center"/>
    </xf>
    <xf numFmtId="0" fontId="0" fillId="0" borderId="0" xfId="0" applyNumberFormat="1" applyFill="1"/>
    <xf numFmtId="46" fontId="0" fillId="0" borderId="0" xfId="0" applyNumberFormat="1" applyFill="1"/>
    <xf numFmtId="0" fontId="0" fillId="0" borderId="2" xfId="0" applyFill="1" applyBorder="1"/>
    <xf numFmtId="0" fontId="0" fillId="0" borderId="3" xfId="0" applyFill="1" applyBorder="1"/>
    <xf numFmtId="0" fontId="0" fillId="3" borderId="4" xfId="0" applyFill="1" applyBorder="1" applyAlignment="1"/>
    <xf numFmtId="0" fontId="0" fillId="0" borderId="2" xfId="0" applyBorder="1"/>
    <xf numFmtId="46" fontId="0" fillId="3" borderId="4" xfId="0" applyNumberFormat="1" applyFill="1" applyBorder="1"/>
    <xf numFmtId="46" fontId="0" fillId="3" borderId="5" xfId="0" applyNumberFormat="1" applyFill="1" applyBorder="1"/>
    <xf numFmtId="46" fontId="0" fillId="3" borderId="6" xfId="0" applyNumberFormat="1" applyFill="1" applyBorder="1"/>
    <xf numFmtId="46" fontId="0" fillId="3" borderId="7" xfId="0" applyNumberFormat="1" applyFill="1" applyBorder="1"/>
    <xf numFmtId="46" fontId="0" fillId="3" borderId="8" xfId="0" applyNumberFormat="1" applyFill="1" applyBorder="1"/>
    <xf numFmtId="0" fontId="0" fillId="0" borderId="3" xfId="0"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46" fontId="1" fillId="3" borderId="4" xfId="0" applyNumberFormat="1" applyFont="1" applyFill="1" applyBorder="1" applyAlignment="1"/>
    <xf numFmtId="0" fontId="0" fillId="2" borderId="4" xfId="0" applyFill="1" applyBorder="1"/>
    <xf numFmtId="0" fontId="0" fillId="2" borderId="5" xfId="0" applyFill="1" applyBorder="1"/>
    <xf numFmtId="0" fontId="0" fillId="3" borderId="9" xfId="0" applyFill="1" applyBorder="1" applyAlignment="1">
      <alignment horizontal="right"/>
    </xf>
    <xf numFmtId="21" fontId="0" fillId="3" borderId="10" xfId="0" applyNumberFormat="1" applyFill="1" applyBorder="1" applyAlignment="1">
      <alignment horizontal="left"/>
    </xf>
    <xf numFmtId="0" fontId="0" fillId="0" borderId="2" xfId="0" applyFont="1" applyBorder="1" applyAlignment="1">
      <alignment horizontal="center"/>
    </xf>
    <xf numFmtId="0" fontId="0" fillId="0" borderId="0" xfId="0" applyFont="1" applyBorder="1" applyAlignment="1">
      <alignment horizontal="center"/>
    </xf>
    <xf numFmtId="0" fontId="0" fillId="0" borderId="3" xfId="0" applyFont="1" applyBorder="1" applyAlignment="1">
      <alignment horizontal="center"/>
    </xf>
    <xf numFmtId="0" fontId="0" fillId="0" borderId="11" xfId="0" applyBorder="1"/>
    <xf numFmtId="0" fontId="0" fillId="0" borderId="14" xfId="0" applyBorder="1"/>
    <xf numFmtId="0" fontId="0" fillId="5" borderId="15" xfId="0" applyFill="1" applyBorder="1"/>
    <xf numFmtId="0" fontId="0" fillId="5" borderId="4" xfId="0" applyFill="1" applyBorder="1"/>
    <xf numFmtId="0" fontId="0" fillId="5" borderId="1" xfId="0" applyFill="1" applyBorder="1"/>
    <xf numFmtId="0" fontId="0" fillId="5" borderId="5" xfId="0" applyFill="1" applyBorder="1"/>
    <xf numFmtId="0" fontId="0" fillId="5" borderId="4" xfId="0" applyFill="1" applyBorder="1" applyAlignment="1"/>
    <xf numFmtId="0" fontId="0" fillId="5" borderId="1" xfId="0" applyFill="1" applyBorder="1" applyAlignment="1"/>
    <xf numFmtId="0" fontId="0" fillId="5" borderId="5" xfId="0" applyFill="1" applyBorder="1" applyAlignment="1"/>
    <xf numFmtId="0" fontId="0" fillId="5" borderId="6" xfId="0" applyFill="1" applyBorder="1"/>
    <xf numFmtId="0" fontId="0" fillId="5" borderId="7" xfId="0" applyFill="1" applyBorder="1"/>
    <xf numFmtId="0" fontId="0" fillId="5" borderId="8" xfId="0" applyFill="1" applyBorder="1"/>
    <xf numFmtId="0" fontId="0" fillId="0" borderId="0" xfId="0" applyAlignment="1">
      <alignment horizontal="center"/>
    </xf>
    <xf numFmtId="0" fontId="0" fillId="0" borderId="0" xfId="0" applyAlignment="1">
      <alignment horizontal="center"/>
    </xf>
    <xf numFmtId="21" fontId="0" fillId="6" borderId="10" xfId="0" applyNumberFormat="1" applyFill="1" applyBorder="1"/>
    <xf numFmtId="1" fontId="0" fillId="0" borderId="0" xfId="0" applyNumberFormat="1"/>
    <xf numFmtId="0" fontId="0" fillId="0" borderId="0" xfId="0" applyFont="1"/>
    <xf numFmtId="0" fontId="0" fillId="5" borderId="15" xfId="0" applyFont="1" applyFill="1" applyBorder="1"/>
    <xf numFmtId="0" fontId="0" fillId="2" borderId="4" xfId="0" applyFont="1" applyFill="1" applyBorder="1"/>
    <xf numFmtId="0" fontId="0" fillId="3" borderId="4" xfId="0" applyFont="1" applyFill="1" applyBorder="1"/>
    <xf numFmtId="0" fontId="0" fillId="3" borderId="1" xfId="0" applyFont="1" applyFill="1" applyBorder="1"/>
    <xf numFmtId="0" fontId="0" fillId="3" borderId="5" xfId="0" applyFont="1" applyFill="1" applyBorder="1"/>
    <xf numFmtId="0" fontId="0" fillId="5" borderId="4" xfId="0" applyFont="1" applyFill="1" applyBorder="1"/>
    <xf numFmtId="0" fontId="0" fillId="3" borderId="4" xfId="0" applyFont="1" applyFill="1" applyBorder="1" applyAlignment="1"/>
    <xf numFmtId="0" fontId="0" fillId="5" borderId="1" xfId="0" applyFont="1" applyFill="1" applyBorder="1"/>
    <xf numFmtId="0" fontId="0" fillId="5" borderId="5" xfId="0" applyFont="1" applyFill="1" applyBorder="1"/>
    <xf numFmtId="46" fontId="0" fillId="3" borderId="4" xfId="0" applyNumberFormat="1" applyFont="1" applyFill="1" applyBorder="1"/>
    <xf numFmtId="46" fontId="0" fillId="3" borderId="1" xfId="0" applyNumberFormat="1" applyFont="1" applyFill="1" applyBorder="1"/>
    <xf numFmtId="46" fontId="0" fillId="3" borderId="5" xfId="0" applyNumberFormat="1" applyFont="1" applyFill="1" applyBorder="1"/>
    <xf numFmtId="0" fontId="0" fillId="0" borderId="0" xfId="0" applyAlignment="1">
      <alignment horizontal="center"/>
    </xf>
    <xf numFmtId="0" fontId="0" fillId="0" borderId="0" xfId="0" applyAlignment="1"/>
    <xf numFmtId="2" fontId="0" fillId="0" borderId="0" xfId="0" applyNumberFormat="1"/>
    <xf numFmtId="46" fontId="0" fillId="2" borderId="0" xfId="0" applyNumberFormat="1" applyFill="1"/>
    <xf numFmtId="0" fontId="0" fillId="0" borderId="1" xfId="0" applyBorder="1"/>
    <xf numFmtId="164" fontId="0" fillId="0" borderId="1" xfId="0" applyNumberFormat="1" applyBorder="1"/>
    <xf numFmtId="0" fontId="0" fillId="0" borderId="4" xfId="0" applyBorder="1"/>
    <xf numFmtId="0" fontId="0" fillId="0" borderId="5" xfId="0"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0" fontId="0" fillId="0" borderId="6" xfId="0" applyBorder="1"/>
    <xf numFmtId="0" fontId="0" fillId="0" borderId="8" xfId="0" applyBorder="1"/>
    <xf numFmtId="0" fontId="3" fillId="0" borderId="23" xfId="0" applyFont="1" applyBorder="1"/>
    <xf numFmtId="0" fontId="0" fillId="0" borderId="24" xfId="0" applyBorder="1"/>
    <xf numFmtId="0" fontId="0" fillId="0" borderId="25" xfId="0" applyBorder="1"/>
    <xf numFmtId="0" fontId="0" fillId="0" borderId="7" xfId="0" applyBorder="1"/>
    <xf numFmtId="1" fontId="4" fillId="6" borderId="8" xfId="0" applyNumberFormat="1" applyFont="1" applyFill="1" applyBorder="1"/>
    <xf numFmtId="46" fontId="4" fillId="6" borderId="7" xfId="0" applyNumberFormat="1" applyFont="1" applyFill="1" applyBorder="1"/>
    <xf numFmtId="0" fontId="0" fillId="3" borderId="29" xfId="0" applyFill="1" applyBorder="1"/>
    <xf numFmtId="0" fontId="0" fillId="3" borderId="29" xfId="0" applyFont="1" applyFill="1" applyBorder="1"/>
    <xf numFmtId="0" fontId="0" fillId="3" borderId="30" xfId="0" applyFill="1" applyBorder="1"/>
    <xf numFmtId="0" fontId="0" fillId="0" borderId="3" xfId="0" applyFill="1" applyBorder="1" applyAlignment="1">
      <alignment horizontal="center"/>
    </xf>
    <xf numFmtId="0" fontId="0" fillId="0" borderId="23" xfId="0" applyBorder="1"/>
    <xf numFmtId="0" fontId="0" fillId="3" borderId="33" xfId="0" applyFill="1" applyBorder="1"/>
    <xf numFmtId="0" fontId="0" fillId="3" borderId="33" xfId="0" applyFont="1" applyFill="1" applyBorder="1"/>
    <xf numFmtId="10" fontId="0" fillId="5" borderId="4" xfId="0" applyNumberFormat="1" applyFill="1" applyBorder="1" applyAlignment="1"/>
    <xf numFmtId="10" fontId="0" fillId="5" borderId="1" xfId="0" applyNumberFormat="1" applyFill="1" applyBorder="1" applyAlignment="1"/>
    <xf numFmtId="10" fontId="0" fillId="5" borderId="5" xfId="0" applyNumberFormat="1" applyFill="1" applyBorder="1" applyAlignment="1"/>
    <xf numFmtId="2" fontId="0" fillId="5" borderId="4" xfId="0" applyNumberFormat="1" applyFill="1" applyBorder="1" applyAlignment="1"/>
    <xf numFmtId="2" fontId="0" fillId="5" borderId="1" xfId="0" applyNumberFormat="1" applyFill="1" applyBorder="1" applyAlignment="1"/>
    <xf numFmtId="2" fontId="0" fillId="5" borderId="5" xfId="0" applyNumberFormat="1" applyFill="1" applyBorder="1" applyAlignment="1"/>
    <xf numFmtId="1" fontId="0" fillId="5" borderId="4" xfId="0" applyNumberFormat="1" applyFill="1" applyBorder="1"/>
    <xf numFmtId="0" fontId="0" fillId="0" borderId="0" xfId="0" applyAlignment="1">
      <alignment horizontal="center"/>
    </xf>
    <xf numFmtId="9" fontId="0" fillId="0" borderId="0" xfId="0" applyNumberFormat="1"/>
    <xf numFmtId="166" fontId="0" fillId="0" borderId="0" xfId="0" applyNumberFormat="1"/>
    <xf numFmtId="0" fontId="0" fillId="0" borderId="34" xfId="0" applyBorder="1"/>
    <xf numFmtId="0" fontId="0" fillId="0" borderId="35" xfId="0" applyBorder="1"/>
    <xf numFmtId="0" fontId="0" fillId="0" borderId="36" xfId="0" applyBorder="1"/>
    <xf numFmtId="46" fontId="0" fillId="0" borderId="5" xfId="0" applyNumberFormat="1" applyBorder="1"/>
    <xf numFmtId="46" fontId="0" fillId="0" borderId="8" xfId="0" applyNumberFormat="1" applyBorder="1"/>
    <xf numFmtId="3" fontId="0" fillId="0" borderId="4" xfId="0" applyNumberFormat="1" applyBorder="1"/>
    <xf numFmtId="3" fontId="0" fillId="0" borderId="1" xfId="0" applyNumberFormat="1" applyBorder="1"/>
    <xf numFmtId="46" fontId="0" fillId="0" borderId="31" xfId="0" applyNumberFormat="1" applyBorder="1"/>
    <xf numFmtId="1" fontId="0" fillId="0" borderId="4" xfId="0" applyNumberFormat="1" applyBorder="1"/>
    <xf numFmtId="1" fontId="0" fillId="0" borderId="1" xfId="0" applyNumberFormat="1" applyBorder="1"/>
    <xf numFmtId="46" fontId="0" fillId="0" borderId="32" xfId="0" applyNumberFormat="1" applyBorder="1"/>
    <xf numFmtId="46" fontId="0" fillId="0" borderId="36" xfId="0" applyNumberFormat="1" applyBorder="1"/>
    <xf numFmtId="0" fontId="0" fillId="6" borderId="5" xfId="0" applyFill="1" applyBorder="1"/>
    <xf numFmtId="0" fontId="0" fillId="0" borderId="4" xfId="0" applyFill="1" applyBorder="1"/>
    <xf numFmtId="21" fontId="0" fillId="0" borderId="0" xfId="0" applyNumberFormat="1" applyAlignment="1">
      <alignment horizontal="left"/>
    </xf>
    <xf numFmtId="21" fontId="0" fillId="0" borderId="0" xfId="0" applyNumberFormat="1" applyAlignment="1">
      <alignment horizontal="right"/>
    </xf>
    <xf numFmtId="0" fontId="3" fillId="0" borderId="0" xfId="0" applyFont="1" applyFill="1" applyBorder="1"/>
    <xf numFmtId="46" fontId="0" fillId="0" borderId="0" xfId="0" applyNumberFormat="1" applyFill="1" applyBorder="1"/>
    <xf numFmtId="0" fontId="0" fillId="0" borderId="9" xfId="0" applyBorder="1"/>
    <xf numFmtId="0" fontId="0" fillId="6" borderId="10" xfId="0" applyFill="1" applyBorder="1"/>
    <xf numFmtId="164" fontId="0" fillId="0" borderId="0" xfId="0" applyNumberFormat="1"/>
    <xf numFmtId="167" fontId="0" fillId="0" borderId="0" xfId="1" applyNumberFormat="1" applyFont="1"/>
    <xf numFmtId="0" fontId="0" fillId="0" borderId="39" xfId="0" applyBorder="1"/>
    <xf numFmtId="0" fontId="6" fillId="0" borderId="0" xfId="0" applyFont="1" applyAlignment="1">
      <alignment horizontal="center"/>
    </xf>
    <xf numFmtId="20" fontId="0" fillId="0" borderId="0" xfId="0" applyNumberFormat="1"/>
    <xf numFmtId="168" fontId="0" fillId="0" borderId="0" xfId="0" applyNumberFormat="1"/>
    <xf numFmtId="0" fontId="3" fillId="0" borderId="0" xfId="0" applyFont="1"/>
    <xf numFmtId="0" fontId="0" fillId="2" borderId="25" xfId="0" applyFill="1" applyBorder="1"/>
    <xf numFmtId="9" fontId="0" fillId="2" borderId="5" xfId="0" applyNumberFormat="1" applyFill="1" applyBorder="1"/>
    <xf numFmtId="1" fontId="0" fillId="0" borderId="0" xfId="0" applyNumberFormat="1" applyFill="1" applyBorder="1"/>
    <xf numFmtId="0" fontId="0" fillId="0" borderId="31" xfId="0" applyBorder="1"/>
    <xf numFmtId="164" fontId="0" fillId="0" borderId="31" xfId="0" applyNumberFormat="1" applyBorder="1"/>
    <xf numFmtId="0" fontId="0" fillId="0" borderId="32" xfId="0" applyBorder="1"/>
    <xf numFmtId="0" fontId="0" fillId="0" borderId="12" xfId="0" applyFill="1" applyBorder="1"/>
    <xf numFmtId="0" fontId="0" fillId="0" borderId="12" xfId="0" applyBorder="1"/>
    <xf numFmtId="21" fontId="0" fillId="0" borderId="12" xfId="0" applyNumberFormat="1" applyBorder="1"/>
    <xf numFmtId="0" fontId="0" fillId="0" borderId="13" xfId="0" applyBorder="1"/>
    <xf numFmtId="0" fontId="0" fillId="2" borderId="25" xfId="0" applyFill="1" applyBorder="1" applyAlignment="1">
      <alignment horizontal="center"/>
    </xf>
    <xf numFmtId="0" fontId="0" fillId="2" borderId="8" xfId="0" applyFill="1" applyBorder="1" applyAlignment="1">
      <alignment horizontal="center"/>
    </xf>
    <xf numFmtId="0" fontId="0" fillId="6" borderId="10" xfId="0" applyFill="1" applyBorder="1" applyAlignment="1">
      <alignment horizontal="center"/>
    </xf>
    <xf numFmtId="49" fontId="0" fillId="0" borderId="0" xfId="0" applyNumberFormat="1"/>
    <xf numFmtId="3" fontId="0" fillId="0" borderId="0" xfId="0" applyNumberFormat="1"/>
    <xf numFmtId="3" fontId="3" fillId="0" borderId="0" xfId="0" applyNumberFormat="1" applyFont="1"/>
    <xf numFmtId="0" fontId="0" fillId="0" borderId="24" xfId="0" applyBorder="1" applyAlignment="1">
      <alignment horizontal="center"/>
    </xf>
    <xf numFmtId="0" fontId="0" fillId="0" borderId="25" xfId="0" applyBorder="1" applyAlignment="1">
      <alignment horizontal="center"/>
    </xf>
    <xf numFmtId="49" fontId="0" fillId="0" borderId="23" xfId="0" applyNumberFormat="1" applyBorder="1"/>
    <xf numFmtId="49" fontId="0" fillId="0" borderId="4" xfId="0" applyNumberFormat="1" applyBorder="1"/>
    <xf numFmtId="21" fontId="0" fillId="0" borderId="1" xfId="0" applyNumberFormat="1" applyBorder="1"/>
    <xf numFmtId="0" fontId="0" fillId="0" borderId="0" xfId="0" applyBorder="1" applyAlignment="1"/>
    <xf numFmtId="0" fontId="0" fillId="0" borderId="9" xfId="0" applyBorder="1" applyAlignment="1"/>
    <xf numFmtId="1" fontId="0" fillId="0" borderId="25" xfId="0" applyNumberFormat="1" applyBorder="1" applyAlignment="1">
      <alignment horizontal="right"/>
    </xf>
    <xf numFmtId="0" fontId="0" fillId="6" borderId="1" xfId="0" applyFill="1" applyBorder="1"/>
    <xf numFmtId="0" fontId="0" fillId="0" borderId="33" xfId="0" applyBorder="1"/>
    <xf numFmtId="0" fontId="0" fillId="0" borderId="23" xfId="0" applyBorder="1" applyAlignment="1">
      <alignment horizontal="center"/>
    </xf>
    <xf numFmtId="0" fontId="0" fillId="0" borderId="25" xfId="0" applyBorder="1" applyAlignment="1">
      <alignment horizontal="center"/>
    </xf>
    <xf numFmtId="164" fontId="0" fillId="0" borderId="32" xfId="0" applyNumberFormat="1" applyBorder="1"/>
    <xf numFmtId="0" fontId="3" fillId="0" borderId="1" xfId="0" applyFont="1" applyBorder="1"/>
    <xf numFmtId="0" fontId="0" fillId="0" borderId="1" xfId="0" applyFill="1" applyBorder="1"/>
    <xf numFmtId="0" fontId="0" fillId="0" borderId="39" xfId="0" applyBorder="1" applyAlignment="1">
      <alignment horizontal="center"/>
    </xf>
    <xf numFmtId="46" fontId="0" fillId="0" borderId="12" xfId="0" applyNumberFormat="1" applyBorder="1"/>
    <xf numFmtId="46" fontId="0" fillId="0" borderId="12" xfId="0" applyNumberFormat="1" applyFont="1" applyBorder="1"/>
    <xf numFmtId="46" fontId="0" fillId="0" borderId="13" xfId="0" applyNumberFormat="1" applyBorder="1"/>
    <xf numFmtId="0" fontId="0" fillId="0" borderId="5" xfId="0" applyFill="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4" xfId="0" applyNumberFormat="1" applyFont="1" applyBorder="1"/>
    <xf numFmtId="2" fontId="0" fillId="0" borderId="1" xfId="0" applyNumberFormat="1" applyBorder="1"/>
    <xf numFmtId="2" fontId="0" fillId="0" borderId="7" xfId="0" applyNumberFormat="1" applyBorder="1"/>
    <xf numFmtId="9" fontId="0" fillId="0" borderId="0" xfId="1" applyFont="1"/>
    <xf numFmtId="0" fontId="0" fillId="0" borderId="37" xfId="0" applyBorder="1"/>
    <xf numFmtId="0" fontId="0" fillId="0" borderId="44" xfId="0" applyBorder="1"/>
    <xf numFmtId="2" fontId="0" fillId="0" borderId="31" xfId="0" applyNumberFormat="1" applyBorder="1"/>
    <xf numFmtId="2" fontId="0" fillId="0" borderId="32" xfId="0" applyNumberFormat="1" applyBorder="1"/>
    <xf numFmtId="0" fontId="0" fillId="0" borderId="23" xfId="0" applyFill="1" applyBorder="1"/>
    <xf numFmtId="0" fontId="0" fillId="0" borderId="25" xfId="0" applyFill="1" applyBorder="1"/>
    <xf numFmtId="169" fontId="0" fillId="0" borderId="0" xfId="0" applyNumberFormat="1"/>
    <xf numFmtId="169" fontId="0" fillId="0" borderId="5" xfId="0" applyNumberFormat="1" applyBorder="1"/>
    <xf numFmtId="0" fontId="3" fillId="0" borderId="8" xfId="0" applyFont="1" applyBorder="1"/>
    <xf numFmtId="0" fontId="0" fillId="2" borderId="24" xfId="0" applyFill="1" applyBorder="1"/>
    <xf numFmtId="0" fontId="0" fillId="2" borderId="41" xfId="0" applyFill="1" applyBorder="1"/>
    <xf numFmtId="1" fontId="3" fillId="0" borderId="1" xfId="0" applyNumberFormat="1" applyFont="1" applyBorder="1"/>
    <xf numFmtId="1" fontId="3" fillId="0" borderId="5" xfId="0" applyNumberFormat="1" applyFont="1" applyBorder="1"/>
    <xf numFmtId="1" fontId="3" fillId="0" borderId="7" xfId="0" applyNumberFormat="1" applyFont="1" applyBorder="1"/>
    <xf numFmtId="1" fontId="3" fillId="0" borderId="8" xfId="0" applyNumberFormat="1" applyFont="1" applyBorder="1"/>
    <xf numFmtId="169" fontId="0" fillId="0" borderId="6" xfId="0" applyNumberFormat="1" applyBorder="1"/>
    <xf numFmtId="169" fontId="0" fillId="0" borderId="8" xfId="0" applyNumberFormat="1" applyBorder="1"/>
    <xf numFmtId="0" fontId="3" fillId="0" borderId="0" xfId="0" applyFont="1" applyAlignment="1"/>
    <xf numFmtId="10" fontId="0" fillId="0" borderId="0" xfId="1" applyNumberFormat="1" applyFont="1" applyAlignment="1">
      <alignment horizontal="left"/>
    </xf>
    <xf numFmtId="167" fontId="5" fillId="0" borderId="0" xfId="1" applyNumberFormat="1" applyFont="1" applyAlignment="1"/>
    <xf numFmtId="0" fontId="0" fillId="0" borderId="46" xfId="0" applyBorder="1"/>
    <xf numFmtId="0" fontId="0" fillId="0" borderId="45" xfId="0" applyBorder="1"/>
    <xf numFmtId="0" fontId="0" fillId="0" borderId="47" xfId="0" applyBorder="1"/>
    <xf numFmtId="0" fontId="0" fillId="2" borderId="13" xfId="0" applyFill="1" applyBorder="1"/>
    <xf numFmtId="20" fontId="0" fillId="0" borderId="4" xfId="0" applyNumberFormat="1" applyBorder="1"/>
    <xf numFmtId="21" fontId="0" fillId="0" borderId="5" xfId="0" applyNumberFormat="1" applyBorder="1"/>
    <xf numFmtId="21" fontId="0" fillId="0" borderId="7" xfId="0" applyNumberFormat="1" applyBorder="1"/>
    <xf numFmtId="21" fontId="0" fillId="0" borderId="8" xfId="0" applyNumberFormat="1" applyBorder="1"/>
    <xf numFmtId="46" fontId="0" fillId="0" borderId="43" xfId="0" applyNumberFormat="1" applyBorder="1"/>
    <xf numFmtId="46" fontId="0" fillId="0" borderId="22" xfId="0" applyNumberFormat="1" applyBorder="1"/>
    <xf numFmtId="1" fontId="0" fillId="0" borderId="22" xfId="0" applyNumberFormat="1" applyBorder="1"/>
    <xf numFmtId="0" fontId="3" fillId="0" borderId="5" xfId="0" applyFont="1" applyBorder="1"/>
    <xf numFmtId="0" fontId="0" fillId="0" borderId="1" xfId="0" applyFont="1" applyBorder="1" applyAlignment="1">
      <alignment horizontal="center"/>
    </xf>
    <xf numFmtId="0" fontId="3" fillId="0" borderId="1" xfId="0" applyFont="1" applyBorder="1" applyAlignment="1">
      <alignment horizontal="center"/>
    </xf>
    <xf numFmtId="46" fontId="3" fillId="0" borderId="1" xfId="0" applyNumberFormat="1" applyFont="1" applyBorder="1"/>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0" xfId="0" applyFill="1" applyBorder="1" applyAlignment="1">
      <alignment horizontal="right"/>
    </xf>
    <xf numFmtId="21" fontId="0" fillId="0" borderId="0" xfId="0" applyNumberFormat="1" applyFill="1" applyBorder="1" applyAlignment="1">
      <alignment horizontal="left"/>
    </xf>
    <xf numFmtId="0" fontId="0" fillId="2" borderId="6" xfId="0" applyFill="1" applyBorder="1"/>
    <xf numFmtId="0" fontId="0" fillId="2" borderId="7" xfId="0" applyFill="1" applyBorder="1"/>
    <xf numFmtId="0" fontId="0" fillId="2" borderId="8" xfId="0" applyFill="1" applyBorder="1"/>
    <xf numFmtId="0" fontId="0" fillId="6" borderId="25" xfId="0" applyFill="1" applyBorder="1"/>
    <xf numFmtId="49" fontId="0" fillId="2" borderId="4" xfId="0" applyNumberFormat="1" applyFill="1" applyBorder="1"/>
    <xf numFmtId="1" fontId="0" fillId="3" borderId="1" xfId="0" applyNumberFormat="1" applyFill="1" applyBorder="1"/>
    <xf numFmtId="21" fontId="0" fillId="3" borderId="33" xfId="0" applyNumberFormat="1" applyFill="1" applyBorder="1"/>
    <xf numFmtId="21" fontId="0" fillId="3" borderId="1" xfId="0" applyNumberFormat="1" applyFill="1" applyBorder="1"/>
    <xf numFmtId="9" fontId="0" fillId="3" borderId="1" xfId="0" applyNumberFormat="1" applyFill="1" applyBorder="1" applyAlignment="1">
      <alignment horizontal="right"/>
    </xf>
    <xf numFmtId="0" fontId="3" fillId="0" borderId="26" xfId="0" applyFont="1" applyBorder="1"/>
    <xf numFmtId="0" fontId="0" fillId="0" borderId="15" xfId="0" applyBorder="1"/>
    <xf numFmtId="0" fontId="0" fillId="0" borderId="48" xfId="0" applyBorder="1"/>
    <xf numFmtId="0" fontId="0" fillId="0" borderId="9" xfId="0" applyFill="1" applyBorder="1"/>
    <xf numFmtId="22" fontId="0" fillId="0" borderId="38" xfId="0" applyNumberFormat="1" applyBorder="1"/>
    <xf numFmtId="3" fontId="0" fillId="2" borderId="4" xfId="0" applyNumberFormat="1" applyFill="1" applyBorder="1"/>
    <xf numFmtId="3" fontId="0" fillId="2" borderId="1" xfId="0" applyNumberFormat="1" applyFill="1" applyBorder="1"/>
    <xf numFmtId="3" fontId="0" fillId="6" borderId="23" xfId="0" applyNumberFormat="1" applyFill="1" applyBorder="1"/>
    <xf numFmtId="3" fontId="0" fillId="6" borderId="24" xfId="0" applyNumberFormat="1" applyFill="1" applyBorder="1"/>
    <xf numFmtId="3" fontId="0" fillId="6" borderId="25" xfId="0" applyNumberFormat="1" applyFont="1" applyFill="1" applyBorder="1"/>
    <xf numFmtId="3" fontId="0" fillId="6" borderId="5" xfId="0" applyNumberFormat="1" applyFont="1" applyFill="1" applyBorder="1"/>
    <xf numFmtId="3" fontId="0" fillId="6" borderId="8" xfId="0" applyNumberFormat="1" applyFont="1" applyFill="1" applyBorder="1"/>
    <xf numFmtId="3" fontId="0" fillId="6" borderId="4" xfId="0" applyNumberFormat="1" applyFill="1" applyBorder="1"/>
    <xf numFmtId="3" fontId="0" fillId="6" borderId="1" xfId="0" applyNumberFormat="1" applyFill="1" applyBorder="1"/>
    <xf numFmtId="3" fontId="0" fillId="6" borderId="6" xfId="0" applyNumberFormat="1" applyFill="1" applyBorder="1"/>
    <xf numFmtId="3" fontId="0" fillId="6" borderId="7" xfId="0" applyNumberFormat="1" applyFill="1" applyBorder="1"/>
    <xf numFmtId="3" fontId="0" fillId="6" borderId="1" xfId="0" applyNumberFormat="1" applyFont="1" applyFill="1" applyBorder="1"/>
    <xf numFmtId="169" fontId="0" fillId="6" borderId="1" xfId="0" applyNumberFormat="1" applyFill="1" applyBorder="1"/>
    <xf numFmtId="169" fontId="3" fillId="6" borderId="5" xfId="0" applyNumberFormat="1" applyFont="1" applyFill="1" applyBorder="1"/>
    <xf numFmtId="170" fontId="0" fillId="6" borderId="1" xfId="0" applyNumberFormat="1" applyFill="1" applyBorder="1"/>
    <xf numFmtId="170" fontId="3" fillId="6" borderId="5" xfId="0" applyNumberFormat="1" applyFont="1" applyFill="1" applyBorder="1"/>
    <xf numFmtId="170" fontId="0" fillId="6" borderId="7" xfId="0" applyNumberFormat="1" applyFill="1" applyBorder="1"/>
    <xf numFmtId="170" fontId="3" fillId="6" borderId="8" xfId="0" applyNumberFormat="1" applyFont="1" applyFill="1" applyBorder="1"/>
    <xf numFmtId="0" fontId="0" fillId="6" borderId="24" xfId="0" applyFill="1" applyBorder="1"/>
    <xf numFmtId="46" fontId="0" fillId="6" borderId="1" xfId="0" applyNumberFormat="1" applyFill="1" applyBorder="1"/>
    <xf numFmtId="0" fontId="0" fillId="6" borderId="7" xfId="0" applyFill="1" applyBorder="1"/>
    <xf numFmtId="165" fontId="1" fillId="6" borderId="1" xfId="0" applyNumberFormat="1" applyFont="1" applyFill="1" applyBorder="1"/>
    <xf numFmtId="0" fontId="0" fillId="0" borderId="16" xfId="0" applyBorder="1"/>
    <xf numFmtId="165" fontId="0" fillId="2" borderId="24" xfId="0" applyNumberFormat="1" applyFill="1" applyBorder="1"/>
    <xf numFmtId="165" fontId="1" fillId="6" borderId="25" xfId="0" applyNumberFormat="1" applyFont="1" applyFill="1" applyBorder="1"/>
    <xf numFmtId="165" fontId="0" fillId="2" borderId="5" xfId="0" applyNumberFormat="1" applyFill="1" applyBorder="1"/>
    <xf numFmtId="0" fontId="0" fillId="0" borderId="53" xfId="0" applyBorder="1"/>
    <xf numFmtId="165" fontId="0" fillId="6" borderId="7" xfId="0" applyNumberFormat="1" applyFill="1" applyBorder="1"/>
    <xf numFmtId="165" fontId="0" fillId="6" borderId="8" xfId="0" applyNumberFormat="1" applyFill="1" applyBorder="1"/>
    <xf numFmtId="0" fontId="0" fillId="0" borderId="17" xfId="0" applyBorder="1"/>
    <xf numFmtId="0" fontId="0" fillId="0" borderId="18" xfId="0" applyBorder="1"/>
    <xf numFmtId="0" fontId="0" fillId="0" borderId="55" xfId="0" applyBorder="1"/>
    <xf numFmtId="0" fontId="0" fillId="0" borderId="54" xfId="0" applyBorder="1"/>
    <xf numFmtId="164" fontId="0" fillId="3" borderId="5" xfId="0" applyNumberFormat="1" applyFill="1" applyBorder="1"/>
    <xf numFmtId="164" fontId="0" fillId="3" borderId="56" xfId="0" applyNumberFormat="1" applyFill="1" applyBorder="1"/>
    <xf numFmtId="171" fontId="0" fillId="0" borderId="0" xfId="0" applyNumberFormat="1" applyFill="1" applyBorder="1"/>
    <xf numFmtId="2" fontId="0" fillId="0" borderId="0" xfId="0" applyNumberFormat="1" applyFill="1" applyBorder="1"/>
    <xf numFmtId="0" fontId="0" fillId="0" borderId="0" xfId="0" applyAlignment="1">
      <alignment horizontal="center"/>
    </xf>
    <xf numFmtId="1" fontId="0" fillId="2" borderId="6" xfId="0" applyNumberFormat="1" applyFill="1" applyBorder="1"/>
    <xf numFmtId="1" fontId="0" fillId="2" borderId="7" xfId="0" applyNumberFormat="1" applyFill="1" applyBorder="1"/>
    <xf numFmtId="1" fontId="0" fillId="2" borderId="8" xfId="0" applyNumberFormat="1" applyFill="1" applyBorder="1"/>
    <xf numFmtId="46" fontId="0" fillId="0" borderId="4" xfId="0" applyNumberFormat="1" applyBorder="1"/>
    <xf numFmtId="46" fontId="0" fillId="0" borderId="6" xfId="0" applyNumberFormat="1" applyBorder="1"/>
    <xf numFmtId="1" fontId="0" fillId="0" borderId="39" xfId="0" applyNumberFormat="1" applyBorder="1"/>
    <xf numFmtId="1" fontId="0" fillId="0" borderId="12" xfId="0" applyNumberFormat="1" applyBorder="1"/>
    <xf numFmtId="1" fontId="0" fillId="0" borderId="13" xfId="0" applyNumberFormat="1" applyBorder="1"/>
    <xf numFmtId="0" fontId="3" fillId="0" borderId="6" xfId="0" applyFont="1" applyBorder="1"/>
    <xf numFmtId="0" fontId="0" fillId="2" borderId="1" xfId="0" applyFill="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0" fillId="0" borderId="7" xfId="0" applyBorder="1" applyAlignment="1">
      <alignment horizontal="right"/>
    </xf>
    <xf numFmtId="0" fontId="3" fillId="0" borderId="7" xfId="0" applyFont="1" applyBorder="1" applyAlignment="1">
      <alignment horizontal="right"/>
    </xf>
    <xf numFmtId="0" fontId="3" fillId="0" borderId="8" xfId="0" applyFont="1" applyBorder="1" applyAlignment="1">
      <alignment horizontal="right"/>
    </xf>
    <xf numFmtId="0" fontId="3" fillId="0" borderId="24" xfId="0" applyFont="1" applyBorder="1"/>
    <xf numFmtId="0" fontId="3" fillId="0" borderId="25" xfId="0" applyFont="1" applyBorder="1"/>
    <xf numFmtId="0" fontId="3" fillId="0" borderId="4" xfId="0" applyFont="1" applyBorder="1"/>
    <xf numFmtId="0" fontId="6" fillId="0" borderId="0" xfId="0" applyFont="1" applyAlignment="1">
      <alignment horizontal="center"/>
    </xf>
    <xf numFmtId="0" fontId="0" fillId="0" borderId="9" xfId="0" applyBorder="1" applyAlignment="1">
      <alignment horizontal="center"/>
    </xf>
    <xf numFmtId="1" fontId="3" fillId="0" borderId="0" xfId="0" applyNumberFormat="1" applyFont="1"/>
    <xf numFmtId="9" fontId="0" fillId="0" borderId="0" xfId="0" applyNumberFormat="1" applyFill="1" applyBorder="1"/>
    <xf numFmtId="0" fontId="7" fillId="0" borderId="0" xfId="0" applyFont="1" applyFill="1" applyBorder="1" applyAlignment="1"/>
    <xf numFmtId="9" fontId="0" fillId="6" borderId="10" xfId="1" applyFont="1" applyFill="1" applyBorder="1" applyAlignment="1">
      <alignment horizontal="center"/>
    </xf>
    <xf numFmtId="0" fontId="0" fillId="0" borderId="4" xfId="0" applyBorder="1" applyAlignment="1">
      <alignment horizontal="center"/>
    </xf>
    <xf numFmtId="0" fontId="0" fillId="0" borderId="45" xfId="0" applyBorder="1" applyAlignment="1">
      <alignment horizontal="center"/>
    </xf>
    <xf numFmtId="9" fontId="0" fillId="2" borderId="5" xfId="1" applyFont="1" applyFill="1" applyBorder="1" applyAlignment="1">
      <alignment horizontal="center"/>
    </xf>
    <xf numFmtId="9" fontId="0" fillId="2" borderId="47" xfId="1" applyFont="1" applyFill="1" applyBorder="1" applyAlignment="1">
      <alignment horizontal="center"/>
    </xf>
    <xf numFmtId="0" fontId="0" fillId="2" borderId="31" xfId="0" applyFill="1" applyBorder="1"/>
    <xf numFmtId="1" fontId="0" fillId="0" borderId="0" xfId="1" applyNumberFormat="1" applyFont="1"/>
    <xf numFmtId="169" fontId="0" fillId="0" borderId="3" xfId="0" applyNumberFormat="1" applyBorder="1"/>
    <xf numFmtId="1" fontId="3" fillId="2" borderId="25" xfId="0" applyNumberFormat="1" applyFont="1" applyFill="1" applyBorder="1" applyAlignment="1">
      <alignment horizontal="center" vertical="center"/>
    </xf>
    <xf numFmtId="1" fontId="3" fillId="2" borderId="5" xfId="2" applyNumberFormat="1" applyFont="1" applyFill="1" applyBorder="1" applyAlignment="1">
      <alignment horizontal="center" vertical="center"/>
    </xf>
    <xf numFmtId="1" fontId="3" fillId="2" borderId="8" xfId="2" applyNumberFormat="1" applyFont="1" applyFill="1" applyBorder="1" applyAlignment="1">
      <alignment horizontal="center" vertical="center"/>
    </xf>
    <xf numFmtId="1" fontId="3" fillId="2" borderId="25" xfId="2" applyNumberFormat="1" applyFont="1" applyFill="1" applyBorder="1" applyAlignment="1">
      <alignment horizontal="center" vertical="center"/>
    </xf>
    <xf numFmtId="22" fontId="0" fillId="2" borderId="5" xfId="0" applyNumberFormat="1" applyFill="1" applyBorder="1"/>
    <xf numFmtId="22" fontId="0" fillId="5" borderId="5" xfId="0" applyNumberFormat="1" applyFill="1" applyBorder="1"/>
    <xf numFmtId="169" fontId="0" fillId="5" borderId="5" xfId="0" applyNumberFormat="1" applyFill="1" applyBorder="1"/>
    <xf numFmtId="0" fontId="0" fillId="0" borderId="6" xfId="0" applyFill="1" applyBorder="1" applyAlignment="1">
      <alignment horizontal="right"/>
    </xf>
    <xf numFmtId="2" fontId="0" fillId="5" borderId="8" xfId="0" applyNumberFormat="1" applyFill="1" applyBorder="1" applyAlignment="1">
      <alignment horizontal="left"/>
    </xf>
    <xf numFmtId="9" fontId="0" fillId="5" borderId="22" xfId="0" applyNumberFormat="1" applyFill="1" applyBorder="1" applyAlignment="1"/>
    <xf numFmtId="9" fontId="0" fillId="2" borderId="22" xfId="0" applyNumberFormat="1" applyFill="1" applyBorder="1" applyAlignment="1"/>
    <xf numFmtId="0" fontId="0" fillId="0" borderId="42" xfId="0" applyBorder="1"/>
    <xf numFmtId="0" fontId="0" fillId="0" borderId="17" xfId="0" applyBorder="1" applyAlignment="1">
      <alignment horizontal="center"/>
    </xf>
    <xf numFmtId="0" fontId="0" fillId="0" borderId="24" xfId="0" applyBorder="1" applyAlignment="1">
      <alignment horizontal="center"/>
    </xf>
    <xf numFmtId="0" fontId="0" fillId="0" borderId="0" xfId="0" applyAlignment="1">
      <alignment horizontal="center"/>
    </xf>
    <xf numFmtId="2" fontId="0" fillId="0" borderId="0" xfId="0" applyNumberFormat="1" applyFont="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0" fillId="0" borderId="18" xfId="0" applyFont="1" applyBorder="1" applyAlignment="1">
      <alignment horizontal="center"/>
    </xf>
    <xf numFmtId="0" fontId="9" fillId="0" borderId="0" xfId="0" applyFont="1"/>
    <xf numFmtId="0" fontId="2" fillId="0" borderId="0" xfId="0" applyFont="1" applyFill="1" applyAlignment="1"/>
    <xf numFmtId="0" fontId="0" fillId="0" borderId="34" xfId="0" applyFont="1" applyBorder="1" applyAlignment="1">
      <alignment horizontal="center"/>
    </xf>
    <xf numFmtId="0" fontId="0" fillId="0" borderId="35" xfId="0" applyFont="1" applyBorder="1" applyAlignment="1">
      <alignment horizontal="center"/>
    </xf>
    <xf numFmtId="0" fontId="0" fillId="0" borderId="35" xfId="0" applyBorder="1" applyAlignment="1">
      <alignment horizontal="center"/>
    </xf>
    <xf numFmtId="0" fontId="0" fillId="0" borderId="36" xfId="0" applyFont="1" applyBorder="1" applyAlignment="1">
      <alignment horizontal="center"/>
    </xf>
    <xf numFmtId="0" fontId="0" fillId="0" borderId="14" xfId="0" applyFill="1" applyBorder="1" applyAlignment="1">
      <alignment horizontal="center"/>
    </xf>
    <xf numFmtId="0" fontId="0" fillId="3" borderId="15" xfId="0" applyFill="1" applyBorder="1"/>
    <xf numFmtId="0" fontId="0" fillId="3" borderId="15" xfId="0" applyFont="1" applyFill="1" applyBorder="1"/>
    <xf numFmtId="0" fontId="0" fillId="3" borderId="48" xfId="0" applyFill="1" applyBorder="1"/>
    <xf numFmtId="0" fontId="0" fillId="0" borderId="23" xfId="0" applyFont="1" applyBorder="1" applyAlignment="1">
      <alignment horizontal="center"/>
    </xf>
    <xf numFmtId="0" fontId="0" fillId="0" borderId="24" xfId="0" applyFont="1" applyBorder="1" applyAlignment="1">
      <alignment horizontal="center"/>
    </xf>
    <xf numFmtId="0" fontId="0" fillId="0" borderId="25" xfId="0" applyFont="1" applyBorder="1" applyAlignment="1">
      <alignment horizontal="center"/>
    </xf>
    <xf numFmtId="0" fontId="0" fillId="0" borderId="0" xfId="0" applyAlignment="1">
      <alignment wrapText="1"/>
    </xf>
    <xf numFmtId="0" fontId="4" fillId="0" borderId="0" xfId="0" applyFont="1" applyAlignment="1">
      <alignment wrapText="1"/>
    </xf>
    <xf numFmtId="0" fontId="0" fillId="6" borderId="8" xfId="0" applyFill="1" applyBorder="1"/>
    <xf numFmtId="0" fontId="0" fillId="2" borderId="10" xfId="0" applyFill="1" applyBorder="1"/>
    <xf numFmtId="21" fontId="0" fillId="7" borderId="10" xfId="0" applyNumberFormat="1" applyFill="1" applyBorder="1"/>
    <xf numFmtId="1" fontId="0" fillId="0" borderId="0" xfId="0" applyNumberFormat="1" applyFont="1" applyAlignment="1">
      <alignment horizontal="center"/>
    </xf>
    <xf numFmtId="0" fontId="0" fillId="0" borderId="41" xfId="0" applyFont="1" applyBorder="1" applyAlignment="1">
      <alignment horizontal="center"/>
    </xf>
    <xf numFmtId="0" fontId="0" fillId="0" borderId="28" xfId="0" applyBorder="1" applyAlignment="1">
      <alignment horizontal="center"/>
    </xf>
    <xf numFmtId="10" fontId="0" fillId="2" borderId="4" xfId="0" applyNumberFormat="1" applyFill="1" applyBorder="1" applyAlignment="1"/>
    <xf numFmtId="10" fontId="0" fillId="2" borderId="1" xfId="0" applyNumberFormat="1" applyFill="1" applyBorder="1" applyAlignment="1"/>
    <xf numFmtId="10" fontId="0" fillId="2" borderId="5" xfId="0" applyNumberFormat="1" applyFill="1" applyBorder="1" applyAlignment="1"/>
    <xf numFmtId="0" fontId="0" fillId="3" borderId="22" xfId="0" applyFill="1" applyBorder="1"/>
    <xf numFmtId="1" fontId="0" fillId="3" borderId="4" xfId="0" applyNumberFormat="1" applyFill="1" applyBorder="1"/>
    <xf numFmtId="1" fontId="0" fillId="6" borderId="5" xfId="0" applyNumberFormat="1" applyFill="1" applyBorder="1"/>
    <xf numFmtId="0" fontId="0" fillId="0" borderId="57" xfId="0" applyFill="1" applyBorder="1"/>
    <xf numFmtId="9" fontId="0" fillId="2" borderId="54" xfId="0" applyNumberFormat="1" applyFill="1" applyBorder="1"/>
    <xf numFmtId="0" fontId="0" fillId="0" borderId="0" xfId="0" applyAlignment="1">
      <alignment horizontal="center"/>
    </xf>
    <xf numFmtId="0" fontId="0" fillId="0" borderId="58" xfId="0" applyBorder="1"/>
    <xf numFmtId="0" fontId="0" fillId="0" borderId="59" xfId="0" applyBorder="1"/>
    <xf numFmtId="169" fontId="0" fillId="0" borderId="1" xfId="0" applyNumberFormat="1" applyBorder="1"/>
    <xf numFmtId="169" fontId="0" fillId="0" borderId="7" xfId="0" applyNumberFormat="1" applyBorder="1"/>
    <xf numFmtId="0" fontId="0" fillId="0" borderId="21" xfId="0" applyBorder="1"/>
    <xf numFmtId="0" fontId="0" fillId="0" borderId="60" xfId="0" applyBorder="1"/>
    <xf numFmtId="164" fontId="0" fillId="0" borderId="33" xfId="0" applyNumberFormat="1" applyBorder="1"/>
    <xf numFmtId="0" fontId="0" fillId="2" borderId="38" xfId="0" applyFill="1" applyBorder="1"/>
    <xf numFmtId="21" fontId="0" fillId="7" borderId="38" xfId="0" applyNumberFormat="1" applyFill="1" applyBorder="1"/>
    <xf numFmtId="21" fontId="0" fillId="5" borderId="38" xfId="0" applyNumberFormat="1" applyFill="1" applyBorder="1"/>
    <xf numFmtId="164" fontId="0" fillId="0" borderId="49" xfId="0" applyNumberFormat="1" applyBorder="1"/>
    <xf numFmtId="3" fontId="0" fillId="0" borderId="0" xfId="0" applyNumberFormat="1" applyFont="1"/>
    <xf numFmtId="46" fontId="0" fillId="6" borderId="5" xfId="0" applyNumberFormat="1" applyFill="1" applyBorder="1"/>
    <xf numFmtId="46" fontId="0" fillId="6" borderId="8" xfId="0" applyNumberFormat="1" applyFill="1" applyBorder="1"/>
    <xf numFmtId="0" fontId="0" fillId="3" borderId="31" xfId="0" applyFill="1" applyBorder="1"/>
    <xf numFmtId="172" fontId="0" fillId="0" borderId="0" xfId="0" applyNumberFormat="1"/>
    <xf numFmtId="0" fontId="0" fillId="6" borderId="1" xfId="0" applyFill="1" applyBorder="1" applyAlignment="1">
      <alignment horizontal="right"/>
    </xf>
    <xf numFmtId="0" fontId="3" fillId="6" borderId="8" xfId="0" applyFont="1" applyFill="1" applyBorder="1"/>
    <xf numFmtId="0" fontId="3" fillId="6" borderId="1" xfId="0" applyFont="1" applyFill="1" applyBorder="1"/>
    <xf numFmtId="0" fontId="3" fillId="6" borderId="7" xfId="0" applyFont="1" applyFill="1" applyBorder="1"/>
    <xf numFmtId="2" fontId="0" fillId="6" borderId="0" xfId="0" applyNumberFormat="1" applyFill="1"/>
    <xf numFmtId="1" fontId="0" fillId="6" borderId="18" xfId="0" applyNumberFormat="1" applyFill="1" applyBorder="1"/>
    <xf numFmtId="1" fontId="0" fillId="6" borderId="3" xfId="0" applyNumberFormat="1" applyFill="1" applyBorder="1"/>
    <xf numFmtId="167" fontId="3" fillId="0" borderId="61" xfId="1" applyNumberFormat="1" applyFont="1" applyBorder="1"/>
    <xf numFmtId="0" fontId="0" fillId="0" borderId="19" xfId="0" applyBorder="1"/>
    <xf numFmtId="9" fontId="0" fillId="2" borderId="25" xfId="0" applyNumberFormat="1" applyFill="1" applyBorder="1"/>
    <xf numFmtId="1" fontId="0" fillId="2" borderId="5" xfId="1" applyNumberFormat="1" applyFont="1" applyFill="1" applyBorder="1"/>
    <xf numFmtId="9" fontId="0" fillId="6" borderId="5" xfId="1" applyNumberFormat="1" applyFont="1" applyFill="1" applyBorder="1"/>
    <xf numFmtId="167" fontId="0" fillId="6" borderId="5" xfId="1" applyNumberFormat="1" applyFont="1" applyFill="1" applyBorder="1"/>
    <xf numFmtId="167" fontId="0" fillId="6" borderId="8" xfId="1" applyNumberFormat="1" applyFont="1" applyFill="1" applyBorder="1"/>
    <xf numFmtId="167" fontId="3" fillId="6" borderId="13" xfId="0" applyNumberFormat="1" applyFont="1" applyFill="1" applyBorder="1"/>
    <xf numFmtId="0" fontId="3" fillId="2" borderId="38" xfId="0" applyFont="1" applyFill="1" applyBorder="1"/>
    <xf numFmtId="167" fontId="0" fillId="2" borderId="25" xfId="1" applyNumberFormat="1" applyFont="1" applyFill="1" applyBorder="1"/>
    <xf numFmtId="167" fontId="0" fillId="2" borderId="8" xfId="1" applyNumberFormat="1" applyFont="1" applyFill="1" applyBorder="1"/>
    <xf numFmtId="0" fontId="0" fillId="0" borderId="45" xfId="0" applyFill="1" applyBorder="1"/>
    <xf numFmtId="1" fontId="0" fillId="0" borderId="47" xfId="0" applyNumberFormat="1" applyBorder="1"/>
    <xf numFmtId="1" fontId="3" fillId="0" borderId="10" xfId="0" applyNumberFormat="1" applyFont="1" applyBorder="1"/>
    <xf numFmtId="173" fontId="0" fillId="0" borderId="33" xfId="0" applyNumberFormat="1" applyBorder="1"/>
    <xf numFmtId="21" fontId="0" fillId="6" borderId="25" xfId="0" applyNumberFormat="1" applyFill="1" applyBorder="1"/>
    <xf numFmtId="22" fontId="0" fillId="2" borderId="8" xfId="0" applyNumberFormat="1" applyFill="1" applyBorder="1"/>
    <xf numFmtId="0" fontId="0" fillId="2" borderId="8" xfId="0" applyFill="1" applyBorder="1" applyAlignment="1">
      <alignment horizontal="center" vertical="center"/>
    </xf>
    <xf numFmtId="0" fontId="3" fillId="0" borderId="0" xfId="0" applyFont="1" applyAlignment="1">
      <alignment wrapText="1"/>
    </xf>
    <xf numFmtId="164" fontId="0" fillId="2" borderId="23" xfId="0" applyNumberFormat="1" applyFill="1" applyBorder="1"/>
    <xf numFmtId="46" fontId="0" fillId="0" borderId="33" xfId="0" applyNumberFormat="1" applyBorder="1"/>
    <xf numFmtId="46" fontId="0" fillId="2" borderId="5" xfId="0" applyNumberFormat="1" applyFill="1" applyBorder="1"/>
    <xf numFmtId="46" fontId="0" fillId="2" borderId="8" xfId="0" applyNumberForma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38" xfId="0"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4" xfId="0" applyBorder="1" applyAlignment="1">
      <alignment horizontal="center"/>
    </xf>
    <xf numFmtId="0" fontId="0" fillId="0" borderId="43" xfId="0" applyBorder="1" applyAlignment="1">
      <alignment horizontal="center"/>
    </xf>
    <xf numFmtId="0" fontId="0" fillId="0" borderId="52" xfId="0" applyBorder="1" applyAlignment="1">
      <alignment horizontal="center"/>
    </xf>
    <xf numFmtId="0" fontId="0" fillId="0" borderId="50" xfId="0" applyBorder="1" applyAlignment="1">
      <alignment horizontal="center"/>
    </xf>
    <xf numFmtId="0" fontId="0" fillId="0" borderId="48" xfId="0" applyBorder="1" applyAlignment="1">
      <alignment horizontal="center"/>
    </xf>
    <xf numFmtId="0" fontId="0" fillId="0" borderId="51" xfId="0" applyBorder="1" applyAlignment="1">
      <alignment horizontal="center"/>
    </xf>
    <xf numFmtId="0" fontId="0" fillId="0" borderId="49" xfId="0" applyBorder="1" applyAlignment="1">
      <alignment horizontal="center"/>
    </xf>
    <xf numFmtId="0" fontId="0" fillId="0" borderId="21" xfId="0" applyBorder="1" applyAlignment="1">
      <alignment horizontal="center"/>
    </xf>
    <xf numFmtId="0" fontId="2" fillId="0" borderId="0" xfId="0" applyFont="1" applyFill="1" applyAlignment="1">
      <alignment horizontal="center"/>
    </xf>
    <xf numFmtId="0" fontId="0" fillId="0" borderId="26" xfId="0" applyFill="1" applyBorder="1" applyAlignment="1">
      <alignment horizontal="center"/>
    </xf>
    <xf numFmtId="0" fontId="0" fillId="0" borderId="28" xfId="0" applyFill="1" applyBorder="1" applyAlignment="1">
      <alignment horizontal="center"/>
    </xf>
    <xf numFmtId="0" fontId="0" fillId="2" borderId="53" xfId="0" applyFill="1" applyBorder="1" applyAlignment="1">
      <alignment horizontal="center"/>
    </xf>
    <xf numFmtId="0" fontId="0" fillId="2" borderId="54" xfId="0" applyFill="1" applyBorder="1" applyAlignment="1">
      <alignment horizontal="center"/>
    </xf>
    <xf numFmtId="165" fontId="0" fillId="3" borderId="31" xfId="0" applyNumberFormat="1" applyFill="1" applyBorder="1" applyAlignment="1">
      <alignment horizontal="center"/>
    </xf>
    <xf numFmtId="165" fontId="0" fillId="3" borderId="33" xfId="0" applyNumberFormat="1" applyFill="1" applyBorder="1" applyAlignment="1">
      <alignment horizontal="center"/>
    </xf>
    <xf numFmtId="165" fontId="0" fillId="2" borderId="31" xfId="0" applyNumberFormat="1" applyFill="1" applyBorder="1" applyAlignment="1">
      <alignment horizontal="center"/>
    </xf>
    <xf numFmtId="165" fontId="0" fillId="2" borderId="33" xfId="0" applyNumberFormat="1" applyFill="1" applyBorder="1" applyAlignment="1">
      <alignment horizontal="center"/>
    </xf>
    <xf numFmtId="165" fontId="0" fillId="5" borderId="31" xfId="0" applyNumberFormat="1" applyFill="1" applyBorder="1" applyAlignment="1">
      <alignment horizontal="center"/>
    </xf>
    <xf numFmtId="165" fontId="0" fillId="5" borderId="29" xfId="0" applyNumberFormat="1" applyFill="1" applyBorder="1" applyAlignment="1">
      <alignment horizontal="center"/>
    </xf>
    <xf numFmtId="0" fontId="0" fillId="0" borderId="37" xfId="0" applyBorder="1" applyAlignment="1">
      <alignment horizontal="center"/>
    </xf>
    <xf numFmtId="0" fontId="0" fillId="0" borderId="44"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xf>
    <xf numFmtId="164" fontId="0" fillId="2" borderId="23" xfId="0" applyNumberFormat="1" applyFill="1" applyBorder="1" applyAlignment="1">
      <alignment horizontal="center"/>
    </xf>
    <xf numFmtId="164" fontId="0" fillId="2" borderId="24" xfId="0" applyNumberFormat="1" applyFill="1" applyBorder="1" applyAlignment="1">
      <alignment horizontal="center"/>
    </xf>
    <xf numFmtId="0" fontId="8" fillId="0" borderId="1" xfId="0" applyFont="1" applyBorder="1" applyAlignment="1">
      <alignment horizontal="center"/>
    </xf>
    <xf numFmtId="49" fontId="0" fillId="0" borderId="24" xfId="0" applyNumberFormat="1" applyBorder="1" applyAlignment="1">
      <alignment horizontal="center"/>
    </xf>
    <xf numFmtId="0" fontId="0" fillId="0" borderId="33" xfId="0" applyBorder="1" applyAlignment="1">
      <alignment horizontal="center"/>
    </xf>
    <xf numFmtId="0" fontId="3" fillId="0" borderId="23" xfId="0" applyFont="1" applyFill="1" applyBorder="1" applyAlignment="1">
      <alignment horizontal="center"/>
    </xf>
    <xf numFmtId="0" fontId="3" fillId="0" borderId="25" xfId="0" applyFont="1" applyFill="1" applyBorder="1" applyAlignment="1">
      <alignment horizontal="center"/>
    </xf>
    <xf numFmtId="0" fontId="0" fillId="0" borderId="24" xfId="0" applyBorder="1" applyAlignment="1">
      <alignment horizontal="center" vertical="center" wrapText="1"/>
    </xf>
    <xf numFmtId="0" fontId="0" fillId="0" borderId="1" xfId="0" applyBorder="1" applyAlignment="1">
      <alignment horizontal="center" vertical="center" wrapText="1"/>
    </xf>
    <xf numFmtId="0" fontId="3" fillId="0" borderId="23"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25"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6" fillId="0" borderId="0" xfId="0" applyFont="1" applyAlignment="1">
      <alignment horizontal="center" vertical="center" textRotation="90"/>
    </xf>
    <xf numFmtId="0" fontId="0" fillId="0" borderId="25" xfId="0" applyBorder="1" applyAlignment="1">
      <alignment horizontal="center" wrapText="1"/>
    </xf>
    <xf numFmtId="0" fontId="0" fillId="0" borderId="5" xfId="0" applyBorder="1" applyAlignment="1">
      <alignment horizontal="center" wrapText="1"/>
    </xf>
    <xf numFmtId="0" fontId="0" fillId="0" borderId="40" xfId="0" applyBorder="1" applyAlignment="1">
      <alignment horizontal="center" wrapText="1"/>
    </xf>
    <xf numFmtId="0" fontId="0" fillId="0" borderId="34" xfId="0" applyBorder="1" applyAlignment="1">
      <alignment horizontal="center" wrapText="1"/>
    </xf>
    <xf numFmtId="0" fontId="0" fillId="2" borderId="0" xfId="0" applyFill="1" applyAlignment="1">
      <alignment horizontal="center"/>
    </xf>
    <xf numFmtId="0" fontId="6" fillId="0" borderId="0" xfId="0" applyFont="1" applyAlignment="1">
      <alignment horizontal="center"/>
    </xf>
    <xf numFmtId="0" fontId="7" fillId="0" borderId="19" xfId="0" applyFont="1" applyBorder="1" applyAlignment="1">
      <alignment horizontal="center"/>
    </xf>
    <xf numFmtId="0" fontId="7" fillId="0" borderId="38" xfId="0" applyFont="1" applyBorder="1" applyAlignment="1">
      <alignment horizont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horizontal="center"/>
    </xf>
    <xf numFmtId="0" fontId="3" fillId="0" borderId="23" xfId="0" applyFont="1" applyBorder="1" applyAlignment="1">
      <alignment horizontal="center" vertical="center"/>
    </xf>
    <xf numFmtId="0" fontId="3" fillId="0" borderId="45" xfId="0" applyFont="1" applyBorder="1" applyAlignment="1">
      <alignment horizontal="center" vertical="center"/>
    </xf>
    <xf numFmtId="0" fontId="0" fillId="0" borderId="41" xfId="0" applyBorder="1" applyAlignment="1">
      <alignment horizontal="center"/>
    </xf>
    <xf numFmtId="0" fontId="0" fillId="0" borderId="31" xfId="0" applyBorder="1" applyAlignment="1">
      <alignment horizontal="center"/>
    </xf>
    <xf numFmtId="0" fontId="0" fillId="0" borderId="22" xfId="0" applyBorder="1" applyAlignment="1">
      <alignment horizontal="center"/>
    </xf>
    <xf numFmtId="0" fontId="0" fillId="0" borderId="42" xfId="0" applyBorder="1" applyAlignment="1">
      <alignment horizontal="center"/>
    </xf>
  </cellXfs>
  <cellStyles count="3">
    <cellStyle name="Komma" xfId="2" builtinId="3"/>
    <cellStyle name="Prozent" xfId="1" builtinId="5"/>
    <cellStyle name="Standard" xfId="0" builtinId="0"/>
  </cellStyles>
  <dxfs count="5">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A5" sqref="A5:A6"/>
    </sheetView>
  </sheetViews>
  <sheetFormatPr baseColWidth="10" defaultRowHeight="15" x14ac:dyDescent="0.25"/>
  <cols>
    <col min="1" max="1" width="106.42578125" style="339" customWidth="1"/>
  </cols>
  <sheetData>
    <row r="1" spans="1:1" ht="15.75" x14ac:dyDescent="0.25">
      <c r="A1" s="340" t="s">
        <v>355</v>
      </c>
    </row>
    <row r="2" spans="1:1" ht="90" x14ac:dyDescent="0.25">
      <c r="A2" s="339" t="s">
        <v>519</v>
      </c>
    </row>
    <row r="3" spans="1:1" x14ac:dyDescent="0.25">
      <c r="A3" s="339" t="s">
        <v>356</v>
      </c>
    </row>
    <row r="4" spans="1:1" x14ac:dyDescent="0.25">
      <c r="A4" s="339" t="s">
        <v>520</v>
      </c>
    </row>
    <row r="5" spans="1:1" ht="45" x14ac:dyDescent="0.25">
      <c r="A5" s="397" t="s">
        <v>524</v>
      </c>
    </row>
    <row r="6" spans="1:1" ht="30" x14ac:dyDescent="0.25">
      <c r="A6" s="397" t="s">
        <v>525</v>
      </c>
    </row>
    <row r="7" spans="1:1" ht="45" x14ac:dyDescent="0.25">
      <c r="A7" s="339" t="s">
        <v>521</v>
      </c>
    </row>
    <row r="8" spans="1:1" ht="30" x14ac:dyDescent="0.25">
      <c r="A8" s="339" t="s">
        <v>357</v>
      </c>
    </row>
    <row r="9" spans="1:1" x14ac:dyDescent="0.25">
      <c r="A9" s="339" t="s">
        <v>358</v>
      </c>
    </row>
    <row r="10" spans="1:1" x14ac:dyDescent="0.25">
      <c r="A10" s="339" t="s">
        <v>359</v>
      </c>
    </row>
    <row r="11" spans="1:1" ht="30" x14ac:dyDescent="0.25">
      <c r="A11" s="339" t="s">
        <v>360</v>
      </c>
    </row>
    <row r="12" spans="1:1" x14ac:dyDescent="0.25">
      <c r="A12" s="339" t="s">
        <v>361</v>
      </c>
    </row>
    <row r="13" spans="1:1" ht="30" x14ac:dyDescent="0.25">
      <c r="A13" s="339" t="s">
        <v>362</v>
      </c>
    </row>
    <row r="14" spans="1:1" ht="30" x14ac:dyDescent="0.25">
      <c r="A14" s="339" t="s">
        <v>363</v>
      </c>
    </row>
    <row r="15" spans="1:1" ht="30" x14ac:dyDescent="0.25">
      <c r="A15" s="339" t="s">
        <v>364</v>
      </c>
    </row>
    <row r="16" spans="1:1" ht="30" x14ac:dyDescent="0.25">
      <c r="A16" s="339" t="s">
        <v>365</v>
      </c>
    </row>
    <row r="17" spans="1:1" x14ac:dyDescent="0.25">
      <c r="A17" s="339" t="s">
        <v>366</v>
      </c>
    </row>
    <row r="18" spans="1:1" x14ac:dyDescent="0.25">
      <c r="A18" s="339" t="s">
        <v>367</v>
      </c>
    </row>
    <row r="19" spans="1:1" ht="30" x14ac:dyDescent="0.25">
      <c r="A19" s="339" t="s">
        <v>368</v>
      </c>
    </row>
    <row r="20" spans="1:1" ht="30" x14ac:dyDescent="0.25">
      <c r="A20" s="339" t="s">
        <v>369</v>
      </c>
    </row>
    <row r="21" spans="1:1" x14ac:dyDescent="0.25">
      <c r="A21" s="339" t="s">
        <v>370</v>
      </c>
    </row>
    <row r="22" spans="1:1" x14ac:dyDescent="0.25">
      <c r="A22" s="339" t="s">
        <v>427</v>
      </c>
    </row>
    <row r="23" spans="1:1" x14ac:dyDescent="0.25">
      <c r="A23" s="339" t="s">
        <v>371</v>
      </c>
    </row>
    <row r="24" spans="1:1" ht="30" x14ac:dyDescent="0.25">
      <c r="A24" s="339" t="s">
        <v>426</v>
      </c>
    </row>
    <row r="25" spans="1:1" x14ac:dyDescent="0.25">
      <c r="A25" s="339" t="s">
        <v>372</v>
      </c>
    </row>
  </sheetData>
  <pageMargins left="0.7" right="0.7" top="0.78740157499999996" bottom="0.78740157499999996"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J2" sqref="J2:K4"/>
    </sheetView>
  </sheetViews>
  <sheetFormatPr baseColWidth="10" defaultRowHeight="15" x14ac:dyDescent="0.25"/>
  <cols>
    <col min="1" max="1" width="14.42578125" bestFit="1" customWidth="1"/>
    <col min="2" max="3" width="17.85546875" bestFit="1" customWidth="1"/>
    <col min="10" max="10" width="24.28515625" bestFit="1" customWidth="1"/>
  </cols>
  <sheetData>
    <row r="1" spans="1:11" ht="15.75" thickBot="1" x14ac:dyDescent="0.3"/>
    <row r="2" spans="1:11" x14ac:dyDescent="0.25">
      <c r="A2" s="260"/>
      <c r="B2" s="267" t="s">
        <v>256</v>
      </c>
      <c r="C2" s="268" t="s">
        <v>257</v>
      </c>
      <c r="F2" s="100" t="s">
        <v>258</v>
      </c>
      <c r="G2" s="91" t="s">
        <v>259</v>
      </c>
      <c r="H2" s="92" t="s">
        <v>260</v>
      </c>
      <c r="J2" s="100" t="s">
        <v>421</v>
      </c>
      <c r="K2" s="227">
        <f>'Construction Planner'!E1</f>
        <v>1</v>
      </c>
    </row>
    <row r="3" spans="1:11" x14ac:dyDescent="0.25">
      <c r="A3" s="26" t="s">
        <v>261</v>
      </c>
      <c r="B3" s="11">
        <v>382</v>
      </c>
      <c r="C3" s="40">
        <v>475</v>
      </c>
      <c r="F3" s="208" t="s">
        <v>160</v>
      </c>
      <c r="G3" s="160">
        <v>1.2499999999999999E-2</v>
      </c>
      <c r="H3" s="209">
        <f t="shared" ref="H3:H13" si="0">G3/$K$4</f>
        <v>1.2499999999999999E-2</v>
      </c>
      <c r="J3" s="81" t="s">
        <v>420</v>
      </c>
      <c r="K3" s="125">
        <f>'Construction Planner'!E4</f>
        <v>1</v>
      </c>
    </row>
    <row r="4" spans="1:11" ht="15.75" thickBot="1" x14ac:dyDescent="0.3">
      <c r="A4" s="26" t="s">
        <v>262</v>
      </c>
      <c r="B4" s="11">
        <v>382</v>
      </c>
      <c r="C4" s="40">
        <v>471</v>
      </c>
      <c r="F4" s="81" t="s">
        <v>161</v>
      </c>
      <c r="G4" s="160">
        <v>1.5277777777777777E-2</v>
      </c>
      <c r="H4" s="209">
        <f t="shared" si="0"/>
        <v>1.5277777777777777E-2</v>
      </c>
      <c r="J4" s="88" t="s">
        <v>422</v>
      </c>
      <c r="K4" s="373">
        <f>K2*K3</f>
        <v>1</v>
      </c>
    </row>
    <row r="5" spans="1:11" ht="15.75" thickBot="1" x14ac:dyDescent="0.3">
      <c r="A5" s="264" t="s">
        <v>263</v>
      </c>
      <c r="B5" s="269">
        <f>ABS(B4-B3)</f>
        <v>0</v>
      </c>
      <c r="C5" s="270">
        <f>ABS(C4-C3)</f>
        <v>4</v>
      </c>
      <c r="F5" s="81" t="s">
        <v>171</v>
      </c>
      <c r="G5" s="160">
        <v>1.2499999999999999E-2</v>
      </c>
      <c r="H5" s="209">
        <f t="shared" si="0"/>
        <v>1.2499999999999999E-2</v>
      </c>
    </row>
    <row r="6" spans="1:11" x14ac:dyDescent="0.25">
      <c r="C6" t="s">
        <v>264</v>
      </c>
      <c r="D6" s="371">
        <f>SQRT(B5*B5+C5*C5)</f>
        <v>4</v>
      </c>
      <c r="F6" s="81" t="s">
        <v>275</v>
      </c>
      <c r="G6" s="160">
        <v>6.9444444444444441E-3</v>
      </c>
      <c r="H6" s="209">
        <f t="shared" si="0"/>
        <v>6.9444444444444441E-3</v>
      </c>
    </row>
    <row r="7" spans="1:11" ht="15.75" thickBot="1" x14ac:dyDescent="0.3">
      <c r="F7" s="81" t="s">
        <v>121</v>
      </c>
      <c r="G7" s="160">
        <v>6.2499999999999995E-3</v>
      </c>
      <c r="H7" s="209">
        <f t="shared" si="0"/>
        <v>6.2499999999999995E-3</v>
      </c>
    </row>
    <row r="8" spans="1:11" x14ac:dyDescent="0.25">
      <c r="A8" s="260" t="s">
        <v>196</v>
      </c>
      <c r="B8" s="140" t="s">
        <v>265</v>
      </c>
      <c r="F8" s="81" t="s">
        <v>265</v>
      </c>
      <c r="G8" s="160">
        <v>6.9444444444444441E-3</v>
      </c>
      <c r="H8" s="209">
        <f t="shared" si="0"/>
        <v>6.9444444444444441E-3</v>
      </c>
    </row>
    <row r="9" spans="1:11" x14ac:dyDescent="0.25">
      <c r="A9" s="26" t="s">
        <v>268</v>
      </c>
      <c r="B9" s="271">
        <f>VLOOKUP(B8,F3:H13,3,FALSE)</f>
        <v>6.9444444444444441E-3</v>
      </c>
      <c r="F9" s="81" t="s">
        <v>250</v>
      </c>
      <c r="G9" s="160">
        <v>6.9444444444444441E-3</v>
      </c>
      <c r="H9" s="209">
        <f t="shared" si="0"/>
        <v>6.9444444444444441E-3</v>
      </c>
    </row>
    <row r="10" spans="1:11" ht="15.75" thickBot="1" x14ac:dyDescent="0.3">
      <c r="A10" s="264" t="s">
        <v>270</v>
      </c>
      <c r="B10" s="272">
        <f>B9*D6</f>
        <v>2.7777777777777776E-2</v>
      </c>
      <c r="F10" s="81" t="s">
        <v>267</v>
      </c>
      <c r="G10" s="160">
        <v>7.6388888888888886E-3</v>
      </c>
      <c r="H10" s="209">
        <f t="shared" si="0"/>
        <v>7.6388888888888886E-3</v>
      </c>
    </row>
    <row r="11" spans="1:11" ht="15.75" thickBot="1" x14ac:dyDescent="0.3">
      <c r="F11" s="81" t="s">
        <v>269</v>
      </c>
      <c r="G11" s="160">
        <v>2.0833333333333332E-2</v>
      </c>
      <c r="H11" s="209">
        <f t="shared" si="0"/>
        <v>2.0833333333333332E-2</v>
      </c>
    </row>
    <row r="12" spans="1:11" x14ac:dyDescent="0.25">
      <c r="A12" s="260" t="s">
        <v>272</v>
      </c>
      <c r="B12" s="261">
        <v>43947.639097222222</v>
      </c>
      <c r="C12" s="262">
        <f>C13-B10</f>
        <v>43943.972210648142</v>
      </c>
      <c r="F12" s="81" t="s">
        <v>271</v>
      </c>
      <c r="G12" s="160">
        <v>2.0833333333333332E-2</v>
      </c>
      <c r="H12" s="209">
        <f t="shared" si="0"/>
        <v>2.0833333333333332E-2</v>
      </c>
    </row>
    <row r="13" spans="1:11" ht="15.75" thickBot="1" x14ac:dyDescent="0.3">
      <c r="A13" s="26" t="s">
        <v>273</v>
      </c>
      <c r="B13" s="259">
        <f>B12+B10</f>
        <v>43947.666875000003</v>
      </c>
      <c r="C13" s="263">
        <v>43943.999988425923</v>
      </c>
      <c r="F13" s="88" t="s">
        <v>266</v>
      </c>
      <c r="G13" s="210">
        <v>2.4305555555555556E-2</v>
      </c>
      <c r="H13" s="211">
        <f t="shared" si="0"/>
        <v>2.4305555555555556E-2</v>
      </c>
    </row>
    <row r="14" spans="1:11" ht="15.75" thickBot="1" x14ac:dyDescent="0.3">
      <c r="A14" s="264" t="s">
        <v>274</v>
      </c>
      <c r="B14" s="265">
        <f>B13+B10</f>
        <v>43947.694652777784</v>
      </c>
      <c r="C14" s="266">
        <f>C13+B10</f>
        <v>43944.027766203704</v>
      </c>
    </row>
  </sheetData>
  <dataValidations count="1">
    <dataValidation type="list" allowBlank="1" showInputMessage="1" showErrorMessage="1" sqref="B8">
      <formula1>$F$3:$F$13</formula1>
    </dataValidation>
  </dataValidations>
  <pageMargins left="0.7" right="0.7" top="0.78740157499999996" bottom="0.78740157499999996"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
  <sheetViews>
    <sheetView workbookViewId="0">
      <selection activeCell="L14" sqref="L14"/>
    </sheetView>
  </sheetViews>
  <sheetFormatPr baseColWidth="10" defaultRowHeight="15" x14ac:dyDescent="0.25"/>
  <cols>
    <col min="1" max="1" width="14.28515625" bestFit="1" customWidth="1"/>
    <col min="3" max="3" width="12.42578125" bestFit="1" customWidth="1"/>
    <col min="4" max="4" width="11.28515625" bestFit="1" customWidth="1"/>
    <col min="5" max="5" width="8.28515625" bestFit="1" customWidth="1"/>
    <col min="6" max="6" width="6.85546875" bestFit="1" customWidth="1"/>
    <col min="7" max="7" width="5.85546875" bestFit="1" customWidth="1"/>
    <col min="8" max="8" width="11.85546875" bestFit="1" customWidth="1"/>
    <col min="9" max="9" width="15.42578125" bestFit="1" customWidth="1"/>
    <col min="10" max="10" width="13" bestFit="1" customWidth="1"/>
    <col min="11" max="11" width="4.85546875" bestFit="1" customWidth="1"/>
    <col min="12" max="12" width="8.42578125" bestFit="1" customWidth="1"/>
    <col min="13" max="13" width="7.5703125" bestFit="1" customWidth="1"/>
    <col min="14" max="14" width="6.140625" bestFit="1" customWidth="1"/>
  </cols>
  <sheetData>
    <row r="2" spans="1:16" ht="15.75" thickBot="1" x14ac:dyDescent="0.3"/>
    <row r="3" spans="1:16" x14ac:dyDescent="0.25">
      <c r="C3" s="100" t="s">
        <v>73</v>
      </c>
      <c r="D3" s="91" t="s">
        <v>74</v>
      </c>
      <c r="E3" s="91" t="s">
        <v>75</v>
      </c>
      <c r="F3" s="91" t="s">
        <v>190</v>
      </c>
      <c r="G3" s="91" t="s">
        <v>71</v>
      </c>
      <c r="H3" s="91" t="s">
        <v>76</v>
      </c>
      <c r="I3" s="91" t="s">
        <v>195</v>
      </c>
      <c r="J3" s="91" t="s">
        <v>77</v>
      </c>
      <c r="K3" s="91" t="s">
        <v>78</v>
      </c>
      <c r="L3" s="91" t="s">
        <v>79</v>
      </c>
      <c r="M3" s="91" t="s">
        <v>192</v>
      </c>
      <c r="N3" s="92" t="s">
        <v>276</v>
      </c>
    </row>
    <row r="4" spans="1:16" x14ac:dyDescent="0.25">
      <c r="A4" s="452" t="s">
        <v>237</v>
      </c>
      <c r="B4" s="79" t="s">
        <v>235</v>
      </c>
      <c r="C4" s="81">
        <v>1</v>
      </c>
      <c r="D4" s="79">
        <v>2</v>
      </c>
      <c r="E4" s="79">
        <v>4</v>
      </c>
      <c r="F4" s="79">
        <v>2</v>
      </c>
      <c r="G4" s="79">
        <v>2</v>
      </c>
      <c r="H4" s="79">
        <v>13</v>
      </c>
      <c r="I4" s="79">
        <v>15</v>
      </c>
      <c r="J4" s="79">
        <v>12</v>
      </c>
      <c r="K4" s="79">
        <v>8</v>
      </c>
      <c r="L4" s="79">
        <v>10</v>
      </c>
      <c r="M4" s="79">
        <v>20</v>
      </c>
      <c r="N4" s="82">
        <v>200</v>
      </c>
    </row>
    <row r="5" spans="1:16" ht="15.75" thickBot="1" x14ac:dyDescent="0.3">
      <c r="A5" s="452"/>
      <c r="B5" s="79" t="s">
        <v>239</v>
      </c>
      <c r="C5" s="88">
        <v>4</v>
      </c>
      <c r="D5" s="93">
        <v>5</v>
      </c>
      <c r="E5" s="93">
        <v>1</v>
      </c>
      <c r="F5" s="93">
        <v>5</v>
      </c>
      <c r="G5" s="93">
        <v>1</v>
      </c>
      <c r="H5" s="93">
        <v>5</v>
      </c>
      <c r="I5" s="93">
        <v>6</v>
      </c>
      <c r="J5" s="93">
        <v>23</v>
      </c>
      <c r="K5" s="93">
        <v>4</v>
      </c>
      <c r="L5" s="93">
        <v>12</v>
      </c>
      <c r="M5" s="93">
        <v>40</v>
      </c>
      <c r="N5" s="89">
        <v>200</v>
      </c>
    </row>
    <row r="6" spans="1:16" ht="15.75" thickBot="1" x14ac:dyDescent="0.3"/>
    <row r="7" spans="1:16" x14ac:dyDescent="0.25">
      <c r="A7" s="100"/>
      <c r="B7" s="91"/>
      <c r="C7" s="91" t="s">
        <v>73</v>
      </c>
      <c r="D7" s="91" t="s">
        <v>74</v>
      </c>
      <c r="E7" s="91" t="s">
        <v>75</v>
      </c>
      <c r="F7" s="91" t="s">
        <v>190</v>
      </c>
      <c r="G7" s="91" t="s">
        <v>71</v>
      </c>
      <c r="H7" s="91" t="s">
        <v>76</v>
      </c>
      <c r="I7" s="91" t="s">
        <v>195</v>
      </c>
      <c r="J7" s="91" t="s">
        <v>77</v>
      </c>
      <c r="K7" s="91" t="s">
        <v>78</v>
      </c>
      <c r="L7" s="91" t="s">
        <v>79</v>
      </c>
      <c r="M7" s="91" t="s">
        <v>192</v>
      </c>
      <c r="N7" s="91" t="s">
        <v>276</v>
      </c>
      <c r="O7" s="91"/>
      <c r="P7" s="92"/>
    </row>
    <row r="8" spans="1:16" x14ac:dyDescent="0.25">
      <c r="A8" s="452" t="s">
        <v>237</v>
      </c>
      <c r="B8" s="79" t="s">
        <v>235</v>
      </c>
      <c r="C8" s="11"/>
      <c r="D8" s="11"/>
      <c r="E8" s="11"/>
      <c r="F8" s="11"/>
      <c r="G8" s="11">
        <v>10</v>
      </c>
      <c r="H8" s="11"/>
      <c r="I8" s="11"/>
      <c r="J8" s="11"/>
      <c r="K8" s="11"/>
      <c r="L8" s="11">
        <v>10</v>
      </c>
      <c r="M8" s="11"/>
      <c r="N8" s="11"/>
      <c r="O8" s="79">
        <f>SUM(C8:F8)+G8*2+H8*4+I8*5+J8*6+K8*5+L8*8+M8*10+N8*100</f>
        <v>100</v>
      </c>
      <c r="P8" s="82"/>
    </row>
    <row r="9" spans="1:16" x14ac:dyDescent="0.25">
      <c r="A9" s="452"/>
      <c r="B9" s="79" t="s">
        <v>239</v>
      </c>
      <c r="C9" s="11">
        <v>2000</v>
      </c>
      <c r="D9" s="11">
        <v>2000</v>
      </c>
      <c r="E9" s="11"/>
      <c r="F9" s="11"/>
      <c r="G9" s="11">
        <v>100</v>
      </c>
      <c r="H9" s="11"/>
      <c r="I9" s="11"/>
      <c r="J9" s="11">
        <v>500</v>
      </c>
      <c r="K9" s="11"/>
      <c r="L9" s="11"/>
      <c r="M9" s="11"/>
      <c r="N9" s="11"/>
      <c r="O9" s="79">
        <f>SUM(C9:F9)+G9*2+H9*4+I9*5+J9*6+K9*5+L9*8+M9*10+N9*100</f>
        <v>7200</v>
      </c>
      <c r="P9" s="82"/>
    </row>
    <row r="10" spans="1:16" x14ac:dyDescent="0.25">
      <c r="A10" s="452" t="s">
        <v>279</v>
      </c>
      <c r="B10" s="79" t="s">
        <v>278</v>
      </c>
      <c r="C10" s="79">
        <f>C8*C4</f>
        <v>0</v>
      </c>
      <c r="D10" s="79">
        <f t="shared" ref="D10:N11" si="0">D8*D4</f>
        <v>0</v>
      </c>
      <c r="E10" s="79">
        <f t="shared" si="0"/>
        <v>0</v>
      </c>
      <c r="F10" s="79">
        <f t="shared" si="0"/>
        <v>0</v>
      </c>
      <c r="G10" s="79">
        <f t="shared" si="0"/>
        <v>20</v>
      </c>
      <c r="H10" s="79">
        <f t="shared" si="0"/>
        <v>0</v>
      </c>
      <c r="I10" s="79">
        <f t="shared" si="0"/>
        <v>0</v>
      </c>
      <c r="J10" s="79">
        <f t="shared" si="0"/>
        <v>0</v>
      </c>
      <c r="K10" s="79">
        <f t="shared" si="0"/>
        <v>0</v>
      </c>
      <c r="L10" s="79">
        <f t="shared" si="0"/>
        <v>100</v>
      </c>
      <c r="M10" s="79">
        <f t="shared" si="0"/>
        <v>0</v>
      </c>
      <c r="N10" s="79">
        <f t="shared" si="0"/>
        <v>0</v>
      </c>
      <c r="O10" s="374">
        <f>SUM(C10:N10)</f>
        <v>120</v>
      </c>
      <c r="P10" s="215" t="s">
        <v>278</v>
      </c>
    </row>
    <row r="11" spans="1:16" ht="15.75" thickBot="1" x14ac:dyDescent="0.3">
      <c r="A11" s="453"/>
      <c r="B11" s="93" t="s">
        <v>277</v>
      </c>
      <c r="C11" s="93">
        <f>C9*C5</f>
        <v>8000</v>
      </c>
      <c r="D11" s="93">
        <f t="shared" si="0"/>
        <v>10000</v>
      </c>
      <c r="E11" s="93">
        <f t="shared" si="0"/>
        <v>0</v>
      </c>
      <c r="F11" s="93">
        <f t="shared" si="0"/>
        <v>0</v>
      </c>
      <c r="G11" s="93">
        <f t="shared" si="0"/>
        <v>100</v>
      </c>
      <c r="H11" s="93">
        <f t="shared" si="0"/>
        <v>0</v>
      </c>
      <c r="I11" s="93">
        <f t="shared" si="0"/>
        <v>0</v>
      </c>
      <c r="J11" s="93">
        <f t="shared" si="0"/>
        <v>11500</v>
      </c>
      <c r="K11" s="93">
        <f t="shared" si="0"/>
        <v>0</v>
      </c>
      <c r="L11" s="93">
        <f t="shared" si="0"/>
        <v>0</v>
      </c>
      <c r="M11" s="93">
        <f t="shared" si="0"/>
        <v>0</v>
      </c>
      <c r="N11" s="93">
        <f t="shared" si="0"/>
        <v>0</v>
      </c>
      <c r="O11" s="375">
        <f>SUM(C11:N11)</f>
        <v>29600</v>
      </c>
      <c r="P11" s="192" t="s">
        <v>277</v>
      </c>
    </row>
  </sheetData>
  <mergeCells count="3">
    <mergeCell ref="A8:A9"/>
    <mergeCell ref="A10:A11"/>
    <mergeCell ref="A4:A5"/>
  </mergeCells>
  <pageMargins left="0.7" right="0.7" top="0.78740157499999996" bottom="0.78740157499999996"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9"/>
  <sheetViews>
    <sheetView workbookViewId="0">
      <selection activeCell="E6" sqref="E6"/>
    </sheetView>
  </sheetViews>
  <sheetFormatPr baseColWidth="10" defaultRowHeight="15" x14ac:dyDescent="0.25"/>
  <cols>
    <col min="1" max="2" width="6.5703125" bestFit="1" customWidth="1"/>
    <col min="4" max="4" width="12.42578125" bestFit="1" customWidth="1"/>
    <col min="5" max="5" width="11.5703125" bestFit="1" customWidth="1"/>
    <col min="8" max="10" width="6.42578125" customWidth="1"/>
    <col min="11" max="11" width="8.140625" bestFit="1" customWidth="1"/>
    <col min="12" max="14" width="6.42578125" customWidth="1"/>
    <col min="15" max="15" width="8.140625" bestFit="1" customWidth="1"/>
    <col min="16" max="18" width="6.42578125" customWidth="1"/>
    <col min="19" max="19" width="8.140625" bestFit="1" customWidth="1"/>
    <col min="20" max="23" width="8.140625" customWidth="1"/>
    <col min="24" max="26" width="6.42578125" customWidth="1"/>
    <col min="27" max="27" width="8.140625" bestFit="1" customWidth="1"/>
    <col min="28" max="30" width="6.42578125" customWidth="1"/>
    <col min="31" max="31" width="8.140625" bestFit="1" customWidth="1"/>
    <col min="32" max="35" width="8.140625" customWidth="1"/>
    <col min="36" max="38" width="6.42578125" customWidth="1"/>
    <col min="39" max="39" width="8.140625" bestFit="1" customWidth="1"/>
    <col min="40" max="42" width="6.42578125" customWidth="1"/>
    <col min="43" max="43" width="8.140625" bestFit="1" customWidth="1"/>
    <col min="44" max="46" width="6.42578125" customWidth="1"/>
    <col min="47" max="47" width="8.140625" bestFit="1" customWidth="1"/>
  </cols>
  <sheetData>
    <row r="1" spans="1:47" x14ac:dyDescent="0.25">
      <c r="D1" t="s">
        <v>66</v>
      </c>
      <c r="E1" s="4">
        <f>'Construction Planner'!E1</f>
        <v>1</v>
      </c>
      <c r="G1" s="438" t="s">
        <v>99</v>
      </c>
      <c r="H1" s="438"/>
      <c r="I1">
        <v>1.6</v>
      </c>
      <c r="L1" s="438" t="s">
        <v>100</v>
      </c>
      <c r="M1" s="438"/>
      <c r="N1">
        <v>1.75</v>
      </c>
      <c r="R1" s="2"/>
      <c r="S1" s="7"/>
      <c r="T1" s="7"/>
      <c r="U1" s="7"/>
      <c r="V1" s="7"/>
      <c r="W1" s="7"/>
      <c r="AM1" s="77">
        <f>AM5/$AE$5</f>
        <v>1.1084960796641685</v>
      </c>
      <c r="AN1" s="77"/>
      <c r="AO1" s="77"/>
      <c r="AP1" s="77"/>
      <c r="AQ1" s="77">
        <f t="shared" ref="AQ1:AU1" si="0">AQ5/$AE$5</f>
        <v>0.88895460568121965</v>
      </c>
      <c r="AR1" s="77"/>
      <c r="AS1" s="77"/>
      <c r="AT1" s="77"/>
      <c r="AU1" s="77">
        <f t="shared" si="0"/>
        <v>1.1111932571015244</v>
      </c>
    </row>
    <row r="2" spans="1:47" ht="15.75" thickBot="1" x14ac:dyDescent="0.3">
      <c r="A2" t="s">
        <v>102</v>
      </c>
      <c r="AM2" s="137"/>
    </row>
    <row r="3" spans="1:47" ht="15.75" thickBot="1" x14ac:dyDescent="0.3">
      <c r="A3" t="s">
        <v>103</v>
      </c>
      <c r="B3" t="s">
        <v>68</v>
      </c>
      <c r="D3" s="129"/>
      <c r="E3" s="129"/>
      <c r="H3" s="454" t="s">
        <v>73</v>
      </c>
      <c r="I3" s="432"/>
      <c r="J3" s="432"/>
      <c r="K3" s="455"/>
      <c r="L3" s="405" t="s">
        <v>74</v>
      </c>
      <c r="M3" s="406"/>
      <c r="N3" s="406"/>
      <c r="O3" s="407"/>
      <c r="P3" s="405" t="s">
        <v>75</v>
      </c>
      <c r="Q3" s="406"/>
      <c r="R3" s="406"/>
      <c r="S3" s="407"/>
      <c r="T3" s="406" t="s">
        <v>190</v>
      </c>
      <c r="U3" s="406"/>
      <c r="V3" s="406"/>
      <c r="W3" s="406"/>
      <c r="X3" s="406" t="s">
        <v>71</v>
      </c>
      <c r="Y3" s="406"/>
      <c r="Z3" s="406"/>
      <c r="AA3" s="406"/>
      <c r="AB3" s="406" t="s">
        <v>76</v>
      </c>
      <c r="AC3" s="406"/>
      <c r="AD3" s="406"/>
      <c r="AE3" s="406"/>
      <c r="AF3" s="406" t="s">
        <v>195</v>
      </c>
      <c r="AG3" s="406"/>
      <c r="AH3" s="406"/>
      <c r="AI3" s="406"/>
      <c r="AJ3" s="406" t="s">
        <v>77</v>
      </c>
      <c r="AK3" s="406"/>
      <c r="AL3" s="406"/>
      <c r="AM3" s="406"/>
      <c r="AN3" s="406" t="s">
        <v>78</v>
      </c>
      <c r="AO3" s="406"/>
      <c r="AP3" s="406"/>
      <c r="AQ3" s="406"/>
      <c r="AR3" s="406" t="s">
        <v>79</v>
      </c>
      <c r="AS3" s="406"/>
      <c r="AT3" s="406"/>
      <c r="AU3" s="407"/>
    </row>
    <row r="4" spans="1:47" ht="15.75" thickBot="1" x14ac:dyDescent="0.3">
      <c r="A4">
        <v>1</v>
      </c>
      <c r="B4" s="112">
        <f>VLOOKUP(A4,Miscelaneous!A1:E33,5,FALSE)</f>
        <v>90.909090909090907</v>
      </c>
      <c r="D4" s="13"/>
      <c r="E4" s="13"/>
      <c r="G4" t="s">
        <v>97</v>
      </c>
      <c r="H4" s="113" t="s">
        <v>83</v>
      </c>
      <c r="I4" s="114" t="s">
        <v>30</v>
      </c>
      <c r="J4" s="114" t="s">
        <v>31</v>
      </c>
      <c r="K4" s="115" t="s">
        <v>35</v>
      </c>
      <c r="L4" s="113" t="s">
        <v>83</v>
      </c>
      <c r="M4" s="114" t="s">
        <v>30</v>
      </c>
      <c r="N4" s="114" t="s">
        <v>31</v>
      </c>
      <c r="O4" s="115" t="s">
        <v>35</v>
      </c>
      <c r="P4" s="113" t="s">
        <v>83</v>
      </c>
      <c r="Q4" s="114" t="s">
        <v>30</v>
      </c>
      <c r="R4" s="114" t="s">
        <v>31</v>
      </c>
      <c r="S4" s="115" t="s">
        <v>35</v>
      </c>
      <c r="T4" s="113" t="s">
        <v>83</v>
      </c>
      <c r="U4" s="114" t="s">
        <v>30</v>
      </c>
      <c r="V4" s="114" t="s">
        <v>31</v>
      </c>
      <c r="W4" s="115" t="s">
        <v>35</v>
      </c>
      <c r="X4" s="113" t="s">
        <v>83</v>
      </c>
      <c r="Y4" s="114" t="s">
        <v>30</v>
      </c>
      <c r="Z4" s="114" t="s">
        <v>31</v>
      </c>
      <c r="AA4" s="115" t="s">
        <v>35</v>
      </c>
      <c r="AB4" s="113" t="s">
        <v>83</v>
      </c>
      <c r="AC4" s="114" t="s">
        <v>30</v>
      </c>
      <c r="AD4" s="114" t="s">
        <v>31</v>
      </c>
      <c r="AE4" s="115" t="s">
        <v>35</v>
      </c>
      <c r="AF4" s="113" t="s">
        <v>83</v>
      </c>
      <c r="AG4" s="114" t="s">
        <v>30</v>
      </c>
      <c r="AH4" s="114" t="s">
        <v>31</v>
      </c>
      <c r="AI4" s="115" t="s">
        <v>35</v>
      </c>
      <c r="AJ4" s="113" t="s">
        <v>83</v>
      </c>
      <c r="AK4" s="114" t="s">
        <v>30</v>
      </c>
      <c r="AL4" s="114" t="s">
        <v>31</v>
      </c>
      <c r="AM4" s="115" t="s">
        <v>35</v>
      </c>
      <c r="AN4" s="113" t="s">
        <v>83</v>
      </c>
      <c r="AO4" s="114" t="s">
        <v>30</v>
      </c>
      <c r="AP4" s="114" t="s">
        <v>31</v>
      </c>
      <c r="AQ4" s="115" t="s">
        <v>35</v>
      </c>
      <c r="AR4" s="113" t="s">
        <v>83</v>
      </c>
      <c r="AS4" s="114" t="s">
        <v>30</v>
      </c>
      <c r="AT4" s="114" t="s">
        <v>31</v>
      </c>
      <c r="AU4" s="115" t="s">
        <v>35</v>
      </c>
    </row>
    <row r="5" spans="1:47" ht="15.75" thickBot="1" x14ac:dyDescent="0.3">
      <c r="A5">
        <v>2</v>
      </c>
      <c r="B5" s="112">
        <f>VLOOKUP(A5,Miscelaneous!A2:E34,5,FALSE)</f>
        <v>82.644628099173545</v>
      </c>
      <c r="D5" s="131" t="s">
        <v>104</v>
      </c>
      <c r="E5" s="132">
        <v>10</v>
      </c>
      <c r="G5" t="s">
        <v>101</v>
      </c>
      <c r="H5" s="113"/>
      <c r="I5" s="114"/>
      <c r="J5" s="114"/>
      <c r="K5" s="124">
        <v>8.020833333333334E-2</v>
      </c>
      <c r="L5" s="113"/>
      <c r="M5" s="114"/>
      <c r="N5" s="114"/>
      <c r="O5" s="124">
        <v>6.8750000000000006E-2</v>
      </c>
      <c r="P5" s="113"/>
      <c r="Q5" s="114"/>
      <c r="R5" s="114"/>
      <c r="S5" s="124">
        <v>8.015269675925929E-2</v>
      </c>
      <c r="T5" s="212"/>
      <c r="U5" s="212"/>
      <c r="V5" s="212"/>
      <c r="W5" s="212"/>
      <c r="X5" s="113"/>
      <c r="Y5" s="114"/>
      <c r="Z5" s="114"/>
      <c r="AA5" s="124">
        <f>AA6*M1</f>
        <v>0</v>
      </c>
      <c r="AB5" s="113"/>
      <c r="AC5" s="114"/>
      <c r="AD5" s="114"/>
      <c r="AE5" s="124">
        <v>0.10311737638888893</v>
      </c>
      <c r="AF5" s="212"/>
      <c r="AG5" s="212"/>
      <c r="AH5" s="212"/>
      <c r="AI5" s="212"/>
      <c r="AJ5" s="113"/>
      <c r="AK5" s="114"/>
      <c r="AL5" s="114"/>
      <c r="AM5" s="124">
        <v>0.11430520747233788</v>
      </c>
      <c r="AN5" s="113"/>
      <c r="AO5" s="114"/>
      <c r="AP5" s="114"/>
      <c r="AQ5" s="124">
        <v>9.1666666666666674E-2</v>
      </c>
      <c r="AR5" s="113"/>
      <c r="AS5" s="114"/>
      <c r="AT5" s="114"/>
      <c r="AU5" s="124">
        <v>0.11458333333333333</v>
      </c>
    </row>
    <row r="6" spans="1:47" x14ac:dyDescent="0.25">
      <c r="A6">
        <v>3</v>
      </c>
      <c r="B6" s="112">
        <f>VLOOKUP(A6,Miscelaneous!A3:E35,5,FALSE)</f>
        <v>75.131480090157751</v>
      </c>
      <c r="D6" s="13"/>
      <c r="E6" s="130"/>
      <c r="G6">
        <v>1</v>
      </c>
      <c r="H6" s="81">
        <v>256</v>
      </c>
      <c r="I6" s="79">
        <v>224</v>
      </c>
      <c r="J6" s="79">
        <v>296</v>
      </c>
      <c r="K6" s="116"/>
      <c r="L6" s="81">
        <v>360</v>
      </c>
      <c r="M6" s="79">
        <v>320</v>
      </c>
      <c r="N6" s="79">
        <v>312</v>
      </c>
      <c r="O6" s="116">
        <f>O5/$E$1*VLOOKUP($E$5,$A:$B,2,FALSE)/100</f>
        <v>2.6506101148280291E-2</v>
      </c>
      <c r="P6" s="81">
        <v>280</v>
      </c>
      <c r="Q6" s="79">
        <v>336</v>
      </c>
      <c r="R6" s="79">
        <v>328</v>
      </c>
      <c r="S6" s="116">
        <f>S5/$E$1*VLOOKUP($E$5,$A:$B,2,FALSE)/100</f>
        <v>3.0902334365212572E-2</v>
      </c>
      <c r="T6" s="81">
        <v>256</v>
      </c>
      <c r="U6" s="79">
        <v>224</v>
      </c>
      <c r="V6" s="79">
        <v>296</v>
      </c>
      <c r="W6" s="116">
        <f>W5/$E$1*VLOOKUP($E$5,$A:$B,2,FALSE)/100</f>
        <v>0</v>
      </c>
      <c r="X6" s="81">
        <v>224</v>
      </c>
      <c r="Y6" s="79">
        <v>192</v>
      </c>
      <c r="Z6" s="79">
        <v>192</v>
      </c>
      <c r="AA6" s="82"/>
      <c r="AB6" s="81">
        <v>440</v>
      </c>
      <c r="AC6" s="79">
        <v>496</v>
      </c>
      <c r="AD6" s="79">
        <v>416</v>
      </c>
      <c r="AE6" s="116">
        <f>AE5/$E$1*VLOOKUP($E$5,$A:$B,2,FALSE)/100</f>
        <v>3.9756212490315343E-2</v>
      </c>
      <c r="AF6" s="81">
        <v>600</v>
      </c>
      <c r="AG6" s="79">
        <v>496</v>
      </c>
      <c r="AH6" s="79">
        <v>416</v>
      </c>
      <c r="AI6" s="116">
        <f>AI5/$E$1*VLOOKUP($E$5,$A:$B,2,FALSE)/100</f>
        <v>0</v>
      </c>
      <c r="AJ6" s="81">
        <v>600</v>
      </c>
      <c r="AK6" s="79">
        <v>496</v>
      </c>
      <c r="AL6" s="79">
        <v>416</v>
      </c>
      <c r="AM6" s="116">
        <f>AM5/$E$1*VLOOKUP($E$5,$A:$B,2,FALSE)/100</f>
        <v>4.4069605687810209E-2</v>
      </c>
      <c r="AN6" s="81">
        <v>560</v>
      </c>
      <c r="AO6" s="79">
        <v>800</v>
      </c>
      <c r="AP6" s="79">
        <v>192</v>
      </c>
      <c r="AQ6" s="116">
        <f>AQ5/$E$1*VLOOKUP($E$5,$A:$B,2,FALSE)/100</f>
        <v>3.534146819770706E-2</v>
      </c>
      <c r="AR6" s="81">
        <v>640</v>
      </c>
      <c r="AS6" s="79">
        <v>960</v>
      </c>
      <c r="AT6" s="79">
        <v>560</v>
      </c>
      <c r="AU6" s="116">
        <f>AU5/$E$1*VLOOKUP($E$5,$A:$B,2,FALSE)/100</f>
        <v>4.4176835247133811E-2</v>
      </c>
    </row>
    <row r="7" spans="1:47" x14ac:dyDescent="0.25">
      <c r="A7">
        <v>4</v>
      </c>
      <c r="B7" s="112">
        <f>VLOOKUP(A7,Miscelaneous!A4:E36,5,FALSE)</f>
        <v>68.301345536507057</v>
      </c>
      <c r="F7" s="7"/>
      <c r="G7">
        <v>2</v>
      </c>
      <c r="H7" s="121">
        <f t="shared" ref="H7:J15" si="1">H6*$I$1</f>
        <v>409.6</v>
      </c>
      <c r="I7" s="122">
        <f t="shared" si="1"/>
        <v>358.40000000000003</v>
      </c>
      <c r="J7" s="122">
        <f t="shared" si="1"/>
        <v>473.6</v>
      </c>
      <c r="K7" s="116">
        <f>K5/$E$1*VLOOKUP($E$5,$A:$B,2,FALSE)/100</f>
        <v>3.0923784672993674E-2</v>
      </c>
      <c r="L7" s="81">
        <f>L6*$I$1</f>
        <v>576</v>
      </c>
      <c r="M7" s="79">
        <f t="shared" ref="M7:N15" si="2">M6*$I$1</f>
        <v>512</v>
      </c>
      <c r="N7" s="79">
        <f t="shared" si="2"/>
        <v>499.20000000000005</v>
      </c>
      <c r="O7" s="116">
        <f>O6*$N$1</f>
        <v>4.6385677009490513E-2</v>
      </c>
      <c r="P7" s="81">
        <f>P6*$I$1</f>
        <v>448</v>
      </c>
      <c r="Q7" s="79">
        <f t="shared" ref="Q7:R15" si="3">Q6*$I$1</f>
        <v>537.6</v>
      </c>
      <c r="R7" s="79">
        <f t="shared" si="3"/>
        <v>524.80000000000007</v>
      </c>
      <c r="S7" s="116">
        <f>S6*$N$1</f>
        <v>5.4079085139122005E-2</v>
      </c>
      <c r="T7" s="121">
        <f>T6*$I$1</f>
        <v>409.6</v>
      </c>
      <c r="U7" s="122">
        <f>U6*$I$1</f>
        <v>358.40000000000003</v>
      </c>
      <c r="V7" s="122">
        <f>V6*$I$1</f>
        <v>473.6</v>
      </c>
      <c r="W7" s="116">
        <f>W6*$N$1</f>
        <v>0</v>
      </c>
      <c r="X7" s="81"/>
      <c r="Y7" s="79"/>
      <c r="Z7" s="79"/>
      <c r="AA7" s="82"/>
      <c r="AB7" s="81">
        <f>AB6*$I$1</f>
        <v>704</v>
      </c>
      <c r="AC7" s="79">
        <f t="shared" ref="AC7:AD15" si="4">AC6*$I$1</f>
        <v>793.6</v>
      </c>
      <c r="AD7" s="79">
        <f t="shared" si="4"/>
        <v>665.6</v>
      </c>
      <c r="AE7" s="116">
        <f>AE6*$N$1</f>
        <v>6.9573371858051847E-2</v>
      </c>
      <c r="AF7" s="121">
        <f t="shared" ref="AF7:AF15" si="5">AF6*$I$1</f>
        <v>960</v>
      </c>
      <c r="AG7" s="122">
        <f t="shared" ref="AG7:AG15" si="6">AG6*$I$1</f>
        <v>793.6</v>
      </c>
      <c r="AH7" s="122">
        <f t="shared" ref="AH7:AH15" si="7">AH6*$I$1</f>
        <v>665.6</v>
      </c>
      <c r="AI7" s="116">
        <f>AI6*$N$1</f>
        <v>0</v>
      </c>
      <c r="AJ7" s="81">
        <f>AJ6*$I$1</f>
        <v>960</v>
      </c>
      <c r="AK7" s="79">
        <f t="shared" ref="AK7:AL15" si="8">AK6*$I$1</f>
        <v>793.6</v>
      </c>
      <c r="AL7" s="79">
        <f t="shared" si="8"/>
        <v>665.6</v>
      </c>
      <c r="AM7" s="116">
        <f>AM6*$N$1</f>
        <v>7.7121809953667866E-2</v>
      </c>
      <c r="AN7" s="81">
        <f>AN6*$I$1</f>
        <v>896</v>
      </c>
      <c r="AO7" s="79">
        <f t="shared" ref="AO7:AP15" si="9">AO6*$I$1</f>
        <v>1280</v>
      </c>
      <c r="AP7" s="79">
        <f t="shared" si="9"/>
        <v>307.20000000000005</v>
      </c>
      <c r="AQ7" s="116">
        <f>AQ6*$N$1</f>
        <v>6.1847569345987355E-2</v>
      </c>
      <c r="AR7" s="81">
        <f>AR6*$I$1</f>
        <v>1024</v>
      </c>
      <c r="AS7" s="79">
        <f t="shared" ref="AS7:AT15" si="10">AS6*$I$1</f>
        <v>1536</v>
      </c>
      <c r="AT7" s="79">
        <f t="shared" si="10"/>
        <v>896</v>
      </c>
      <c r="AU7" s="116">
        <f>AU6*$N$1</f>
        <v>7.7309461682484176E-2</v>
      </c>
    </row>
    <row r="8" spans="1:47" x14ac:dyDescent="0.25">
      <c r="A8">
        <v>5</v>
      </c>
      <c r="B8" s="112">
        <f>VLOOKUP(A8,Miscelaneous!A5:E37,5,FALSE)</f>
        <v>62.092132305915491</v>
      </c>
      <c r="G8">
        <v>3</v>
      </c>
      <c r="H8" s="121">
        <f t="shared" si="1"/>
        <v>655.36000000000013</v>
      </c>
      <c r="I8" s="122">
        <f t="shared" si="1"/>
        <v>573.44000000000005</v>
      </c>
      <c r="J8" s="122">
        <f t="shared" si="1"/>
        <v>757.7600000000001</v>
      </c>
      <c r="K8" s="116">
        <f t="shared" ref="K8:K15" si="11">K7*$N$1</f>
        <v>5.411662317773893E-2</v>
      </c>
      <c r="L8" s="81">
        <f t="shared" ref="L8:L15" si="12">L7*$I$1</f>
        <v>921.6</v>
      </c>
      <c r="M8" s="79">
        <f t="shared" si="2"/>
        <v>819.2</v>
      </c>
      <c r="N8" s="79">
        <f t="shared" si="2"/>
        <v>798.72000000000014</v>
      </c>
      <c r="O8" s="116">
        <f t="shared" ref="O8:O15" si="13">O7*$N$1</f>
        <v>8.1174934766608392E-2</v>
      </c>
      <c r="P8" s="81">
        <f t="shared" ref="P8:P15" si="14">P7*$I$1</f>
        <v>716.80000000000007</v>
      </c>
      <c r="Q8" s="79">
        <f t="shared" si="3"/>
        <v>860.16000000000008</v>
      </c>
      <c r="R8" s="79">
        <f t="shared" si="3"/>
        <v>839.68000000000018</v>
      </c>
      <c r="S8" s="116">
        <f t="shared" ref="S8:S15" si="15">S7*$N$1</f>
        <v>9.4638398993463504E-2</v>
      </c>
      <c r="T8" s="121">
        <f t="shared" ref="T8:V15" si="16">T7*$I$1</f>
        <v>655.36000000000013</v>
      </c>
      <c r="U8" s="122">
        <f t="shared" si="16"/>
        <v>573.44000000000005</v>
      </c>
      <c r="V8" s="122">
        <f t="shared" si="16"/>
        <v>757.7600000000001</v>
      </c>
      <c r="W8" s="116">
        <f t="shared" ref="W8:W15" si="17">W7*$N$1</f>
        <v>0</v>
      </c>
      <c r="X8" s="81"/>
      <c r="Y8" s="79"/>
      <c r="Z8" s="79"/>
      <c r="AA8" s="82"/>
      <c r="AB8" s="81">
        <f t="shared" ref="AB8:AB15" si="18">AB7*$I$1</f>
        <v>1126.4000000000001</v>
      </c>
      <c r="AC8" s="79">
        <f t="shared" si="4"/>
        <v>1269.7600000000002</v>
      </c>
      <c r="AD8" s="79">
        <f t="shared" si="4"/>
        <v>1064.96</v>
      </c>
      <c r="AE8" s="116">
        <f t="shared" ref="AE8:AE15" si="19">AE7*$N$1</f>
        <v>0.12175340075159073</v>
      </c>
      <c r="AF8" s="121">
        <f t="shared" si="5"/>
        <v>1536</v>
      </c>
      <c r="AG8" s="122">
        <f t="shared" si="6"/>
        <v>1269.7600000000002</v>
      </c>
      <c r="AH8" s="122">
        <f t="shared" si="7"/>
        <v>1064.96</v>
      </c>
      <c r="AI8" s="116">
        <f t="shared" ref="AI8:AI15" si="20">AI7*$N$1</f>
        <v>0</v>
      </c>
      <c r="AJ8" s="81">
        <f t="shared" ref="AJ8:AJ15" si="21">AJ7*$I$1</f>
        <v>1536</v>
      </c>
      <c r="AK8" s="79">
        <f t="shared" si="8"/>
        <v>1269.7600000000002</v>
      </c>
      <c r="AL8" s="79">
        <f t="shared" si="8"/>
        <v>1064.96</v>
      </c>
      <c r="AM8" s="116">
        <f t="shared" ref="AM8:AM15" si="22">AM7*$N$1</f>
        <v>0.13496316741891876</v>
      </c>
      <c r="AN8" s="81">
        <f t="shared" ref="AN8:AN15" si="23">AN7*$I$1</f>
        <v>1433.6000000000001</v>
      </c>
      <c r="AO8" s="79">
        <f t="shared" si="9"/>
        <v>2048</v>
      </c>
      <c r="AP8" s="79">
        <f t="shared" si="9"/>
        <v>491.5200000000001</v>
      </c>
      <c r="AQ8" s="116">
        <f t="shared" ref="AQ8:AQ15" si="24">AQ7*$N$1</f>
        <v>0.10823324635547787</v>
      </c>
      <c r="AR8" s="81">
        <f t="shared" ref="AR8:AR15" si="25">AR7*$I$1</f>
        <v>1638.4</v>
      </c>
      <c r="AS8" s="79">
        <f t="shared" si="10"/>
        <v>2457.6000000000004</v>
      </c>
      <c r="AT8" s="79">
        <f t="shared" si="10"/>
        <v>1433.6000000000001</v>
      </c>
      <c r="AU8" s="116">
        <f t="shared" ref="AU8:AU15" si="26">AU7*$N$1</f>
        <v>0.1352915579443473</v>
      </c>
    </row>
    <row r="9" spans="1:47" x14ac:dyDescent="0.25">
      <c r="A9">
        <v>6</v>
      </c>
      <c r="B9" s="112">
        <f>VLOOKUP(A9,Miscelaneous!A6:E38,5,FALSE)</f>
        <v>56.44739300537772</v>
      </c>
      <c r="G9">
        <v>4</v>
      </c>
      <c r="H9" s="118">
        <f t="shared" si="1"/>
        <v>1048.5760000000002</v>
      </c>
      <c r="I9" s="119">
        <f t="shared" si="1"/>
        <v>917.50400000000013</v>
      </c>
      <c r="J9" s="119">
        <f t="shared" si="1"/>
        <v>1212.4160000000002</v>
      </c>
      <c r="K9" s="116">
        <f t="shared" si="11"/>
        <v>9.4704090561043133E-2</v>
      </c>
      <c r="L9" s="118">
        <f t="shared" si="12"/>
        <v>1474.5600000000002</v>
      </c>
      <c r="M9" s="119">
        <f t="shared" si="2"/>
        <v>1310.7200000000003</v>
      </c>
      <c r="N9" s="119">
        <f t="shared" si="2"/>
        <v>1277.9520000000002</v>
      </c>
      <c r="O9" s="116">
        <f t="shared" si="13"/>
        <v>0.14205613584156468</v>
      </c>
      <c r="P9" s="118">
        <f t="shared" si="14"/>
        <v>1146.8800000000001</v>
      </c>
      <c r="Q9" s="119">
        <f t="shared" si="3"/>
        <v>1376.2560000000003</v>
      </c>
      <c r="R9" s="119">
        <f t="shared" si="3"/>
        <v>1343.4880000000003</v>
      </c>
      <c r="S9" s="116">
        <f t="shared" si="15"/>
        <v>0.16561719823856114</v>
      </c>
      <c r="T9" s="121">
        <f t="shared" si="16"/>
        <v>1048.5760000000002</v>
      </c>
      <c r="U9" s="122">
        <f t="shared" si="16"/>
        <v>917.50400000000013</v>
      </c>
      <c r="V9" s="122">
        <f t="shared" si="16"/>
        <v>1212.4160000000002</v>
      </c>
      <c r="W9" s="116">
        <f t="shared" si="17"/>
        <v>0</v>
      </c>
      <c r="X9" s="81"/>
      <c r="Y9" s="79"/>
      <c r="Z9" s="79"/>
      <c r="AA9" s="82"/>
      <c r="AB9" s="118">
        <f t="shared" si="18"/>
        <v>1802.2400000000002</v>
      </c>
      <c r="AC9" s="119">
        <f t="shared" si="4"/>
        <v>2031.6160000000004</v>
      </c>
      <c r="AD9" s="119">
        <f t="shared" si="4"/>
        <v>1703.9360000000001</v>
      </c>
      <c r="AE9" s="116">
        <f t="shared" si="19"/>
        <v>0.21306845131528379</v>
      </c>
      <c r="AF9" s="121">
        <f t="shared" si="5"/>
        <v>2457.6000000000004</v>
      </c>
      <c r="AG9" s="122">
        <f t="shared" si="6"/>
        <v>2031.6160000000004</v>
      </c>
      <c r="AH9" s="122">
        <f t="shared" si="7"/>
        <v>1703.9360000000001</v>
      </c>
      <c r="AI9" s="116">
        <f t="shared" si="20"/>
        <v>0</v>
      </c>
      <c r="AJ9" s="118">
        <f t="shared" si="21"/>
        <v>2457.6000000000004</v>
      </c>
      <c r="AK9" s="119">
        <f t="shared" si="8"/>
        <v>2031.6160000000004</v>
      </c>
      <c r="AL9" s="119">
        <f t="shared" si="8"/>
        <v>1703.9360000000001</v>
      </c>
      <c r="AM9" s="116">
        <f t="shared" si="22"/>
        <v>0.23618554298310782</v>
      </c>
      <c r="AN9" s="118">
        <f t="shared" si="23"/>
        <v>2293.7600000000002</v>
      </c>
      <c r="AO9" s="119">
        <f t="shared" si="9"/>
        <v>3276.8</v>
      </c>
      <c r="AP9" s="119">
        <f t="shared" si="9"/>
        <v>786.43200000000024</v>
      </c>
      <c r="AQ9" s="116">
        <f t="shared" si="24"/>
        <v>0.18940818112208629</v>
      </c>
      <c r="AR9" s="118">
        <f t="shared" si="25"/>
        <v>2621.4400000000005</v>
      </c>
      <c r="AS9" s="119">
        <f t="shared" si="10"/>
        <v>3932.1600000000008</v>
      </c>
      <c r="AT9" s="119">
        <f t="shared" si="10"/>
        <v>2293.7600000000002</v>
      </c>
      <c r="AU9" s="116">
        <f t="shared" si="26"/>
        <v>0.23676022640260777</v>
      </c>
    </row>
    <row r="10" spans="1:47" x14ac:dyDescent="0.25">
      <c r="A10">
        <v>7</v>
      </c>
      <c r="B10" s="112">
        <f>VLOOKUP(A10,Miscelaneous!A7:E39,5,FALSE)</f>
        <v>51.315811823070646</v>
      </c>
      <c r="G10">
        <v>5</v>
      </c>
      <c r="H10" s="118">
        <f t="shared" si="1"/>
        <v>1677.7216000000005</v>
      </c>
      <c r="I10" s="119">
        <f t="shared" si="1"/>
        <v>1468.0064000000002</v>
      </c>
      <c r="J10" s="119">
        <f t="shared" si="1"/>
        <v>1939.8656000000003</v>
      </c>
      <c r="K10" s="116">
        <f t="shared" si="11"/>
        <v>0.16573215848182549</v>
      </c>
      <c r="L10" s="118">
        <f t="shared" si="12"/>
        <v>2359.2960000000003</v>
      </c>
      <c r="M10" s="119">
        <f t="shared" si="2"/>
        <v>2097.1520000000005</v>
      </c>
      <c r="N10" s="119">
        <f t="shared" si="2"/>
        <v>2044.7232000000004</v>
      </c>
      <c r="O10" s="116">
        <f t="shared" si="13"/>
        <v>0.2485982377227382</v>
      </c>
      <c r="P10" s="118">
        <f t="shared" si="14"/>
        <v>1835.0080000000003</v>
      </c>
      <c r="Q10" s="119">
        <f t="shared" si="3"/>
        <v>2202.0096000000008</v>
      </c>
      <c r="R10" s="119">
        <f t="shared" si="3"/>
        <v>2149.5808000000006</v>
      </c>
      <c r="S10" s="116">
        <f t="shared" si="15"/>
        <v>0.28983009691748196</v>
      </c>
      <c r="T10" s="121">
        <f t="shared" si="16"/>
        <v>1677.7216000000005</v>
      </c>
      <c r="U10" s="122">
        <f t="shared" si="16"/>
        <v>1468.0064000000002</v>
      </c>
      <c r="V10" s="122">
        <f t="shared" si="16"/>
        <v>1939.8656000000003</v>
      </c>
      <c r="W10" s="116">
        <f t="shared" si="17"/>
        <v>0</v>
      </c>
      <c r="X10" s="81"/>
      <c r="Y10" s="79"/>
      <c r="Z10" s="79"/>
      <c r="AA10" s="82"/>
      <c r="AB10" s="118">
        <f t="shared" si="18"/>
        <v>2883.5840000000007</v>
      </c>
      <c r="AC10" s="119">
        <f t="shared" si="4"/>
        <v>3250.5856000000008</v>
      </c>
      <c r="AD10" s="119">
        <f t="shared" si="4"/>
        <v>2726.2976000000003</v>
      </c>
      <c r="AE10" s="116">
        <f t="shared" si="19"/>
        <v>0.37286978980174662</v>
      </c>
      <c r="AF10" s="121">
        <f t="shared" si="5"/>
        <v>3932.1600000000008</v>
      </c>
      <c r="AG10" s="122">
        <f t="shared" si="6"/>
        <v>3250.5856000000008</v>
      </c>
      <c r="AH10" s="122">
        <f t="shared" si="7"/>
        <v>2726.2976000000003</v>
      </c>
      <c r="AI10" s="116">
        <f t="shared" si="20"/>
        <v>0</v>
      </c>
      <c r="AJ10" s="118">
        <f t="shared" si="21"/>
        <v>3932.1600000000008</v>
      </c>
      <c r="AK10" s="119">
        <f t="shared" si="8"/>
        <v>3250.5856000000008</v>
      </c>
      <c r="AL10" s="119">
        <f t="shared" si="8"/>
        <v>2726.2976000000003</v>
      </c>
      <c r="AM10" s="116">
        <f t="shared" si="22"/>
        <v>0.41332470022043866</v>
      </c>
      <c r="AN10" s="118">
        <f t="shared" si="23"/>
        <v>3670.0160000000005</v>
      </c>
      <c r="AO10" s="119">
        <f t="shared" si="9"/>
        <v>5242.880000000001</v>
      </c>
      <c r="AP10" s="119">
        <f t="shared" si="9"/>
        <v>1258.2912000000006</v>
      </c>
      <c r="AQ10" s="116">
        <f t="shared" si="24"/>
        <v>0.33146431696365103</v>
      </c>
      <c r="AR10" s="118">
        <f t="shared" si="25"/>
        <v>4194.304000000001</v>
      </c>
      <c r="AS10" s="119">
        <f t="shared" si="10"/>
        <v>6291.4560000000019</v>
      </c>
      <c r="AT10" s="119">
        <f t="shared" si="10"/>
        <v>3670.0160000000005</v>
      </c>
      <c r="AU10" s="116">
        <f t="shared" si="26"/>
        <v>0.41433039620456358</v>
      </c>
    </row>
    <row r="11" spans="1:47" x14ac:dyDescent="0.25">
      <c r="A11">
        <v>8</v>
      </c>
      <c r="B11" s="112">
        <f>VLOOKUP(A11,Miscelaneous!A8:E40,5,FALSE)</f>
        <v>46.650738020973314</v>
      </c>
      <c r="G11">
        <v>6</v>
      </c>
      <c r="H11" s="118">
        <f t="shared" si="1"/>
        <v>2684.3545600000011</v>
      </c>
      <c r="I11" s="119">
        <f t="shared" si="1"/>
        <v>2348.8102400000002</v>
      </c>
      <c r="J11" s="119">
        <f t="shared" si="1"/>
        <v>3103.7849600000009</v>
      </c>
      <c r="K11" s="116">
        <f t="shared" si="11"/>
        <v>0.29003127734319462</v>
      </c>
      <c r="L11" s="118">
        <f t="shared" si="12"/>
        <v>3774.8736000000008</v>
      </c>
      <c r="M11" s="119">
        <f t="shared" si="2"/>
        <v>3355.4432000000011</v>
      </c>
      <c r="N11" s="119">
        <f t="shared" si="2"/>
        <v>3271.5571200000009</v>
      </c>
      <c r="O11" s="116">
        <f t="shared" si="13"/>
        <v>0.43504691601479184</v>
      </c>
      <c r="P11" s="118">
        <f t="shared" si="14"/>
        <v>2936.0128000000004</v>
      </c>
      <c r="Q11" s="119">
        <f t="shared" si="3"/>
        <v>3523.2153600000015</v>
      </c>
      <c r="R11" s="119">
        <f t="shared" si="3"/>
        <v>3439.3292800000013</v>
      </c>
      <c r="S11" s="116">
        <f t="shared" si="15"/>
        <v>0.50720266960559346</v>
      </c>
      <c r="T11" s="121">
        <f t="shared" si="16"/>
        <v>2684.3545600000011</v>
      </c>
      <c r="U11" s="122">
        <f t="shared" si="16"/>
        <v>2348.8102400000002</v>
      </c>
      <c r="V11" s="122">
        <f t="shared" si="16"/>
        <v>3103.7849600000009</v>
      </c>
      <c r="W11" s="116">
        <f t="shared" si="17"/>
        <v>0</v>
      </c>
      <c r="X11" s="81"/>
      <c r="Y11" s="79"/>
      <c r="Z11" s="79"/>
      <c r="AA11" s="82"/>
      <c r="AB11" s="118">
        <f t="shared" si="18"/>
        <v>4613.7344000000012</v>
      </c>
      <c r="AC11" s="119">
        <f t="shared" si="4"/>
        <v>5200.9369600000018</v>
      </c>
      <c r="AD11" s="119">
        <f t="shared" si="4"/>
        <v>4362.0761600000005</v>
      </c>
      <c r="AE11" s="116">
        <f t="shared" si="19"/>
        <v>0.65252213215305654</v>
      </c>
      <c r="AF11" s="121">
        <f t="shared" si="5"/>
        <v>6291.4560000000019</v>
      </c>
      <c r="AG11" s="122">
        <f t="shared" si="6"/>
        <v>5200.9369600000018</v>
      </c>
      <c r="AH11" s="122">
        <f t="shared" si="7"/>
        <v>4362.0761600000005</v>
      </c>
      <c r="AI11" s="116">
        <f t="shared" si="20"/>
        <v>0</v>
      </c>
      <c r="AJ11" s="118">
        <f t="shared" si="21"/>
        <v>6291.4560000000019</v>
      </c>
      <c r="AK11" s="119">
        <f t="shared" si="8"/>
        <v>5200.9369600000018</v>
      </c>
      <c r="AL11" s="119">
        <f t="shared" si="8"/>
        <v>4362.0761600000005</v>
      </c>
      <c r="AM11" s="116">
        <f t="shared" si="22"/>
        <v>0.72331822538576762</v>
      </c>
      <c r="AN11" s="118">
        <f t="shared" si="23"/>
        <v>5872.0256000000008</v>
      </c>
      <c r="AO11" s="119">
        <f t="shared" si="9"/>
        <v>8388.608000000002</v>
      </c>
      <c r="AP11" s="119">
        <f t="shared" si="9"/>
        <v>2013.265920000001</v>
      </c>
      <c r="AQ11" s="116">
        <f t="shared" si="24"/>
        <v>0.58006255468638934</v>
      </c>
      <c r="AR11" s="118">
        <f t="shared" si="25"/>
        <v>6710.8864000000021</v>
      </c>
      <c r="AS11" s="119">
        <f t="shared" si="10"/>
        <v>10066.329600000005</v>
      </c>
      <c r="AT11" s="119">
        <f t="shared" si="10"/>
        <v>5872.0256000000008</v>
      </c>
      <c r="AU11" s="116">
        <f t="shared" si="26"/>
        <v>0.72507819335798629</v>
      </c>
    </row>
    <row r="12" spans="1:47" x14ac:dyDescent="0.25">
      <c r="A12">
        <v>9</v>
      </c>
      <c r="B12" s="112">
        <f>VLOOKUP(A12,Miscelaneous!A9:E41,5,FALSE)</f>
        <v>42.409761837248467</v>
      </c>
      <c r="G12">
        <v>7</v>
      </c>
      <c r="H12" s="81">
        <f t="shared" si="1"/>
        <v>4294.9672960000016</v>
      </c>
      <c r="I12" s="79">
        <f t="shared" si="1"/>
        <v>3758.0963840000004</v>
      </c>
      <c r="J12" s="79">
        <f t="shared" si="1"/>
        <v>4966.0559360000016</v>
      </c>
      <c r="K12" s="116">
        <f t="shared" si="11"/>
        <v>0.50755473535059059</v>
      </c>
      <c r="L12" s="81">
        <f t="shared" si="12"/>
        <v>6039.7977600000013</v>
      </c>
      <c r="M12" s="79">
        <f t="shared" si="2"/>
        <v>5368.7091200000023</v>
      </c>
      <c r="N12" s="79">
        <f t="shared" si="2"/>
        <v>5234.4913920000017</v>
      </c>
      <c r="O12" s="116">
        <f t="shared" si="13"/>
        <v>0.76133210302588572</v>
      </c>
      <c r="P12" s="81">
        <f t="shared" si="14"/>
        <v>4697.6204800000005</v>
      </c>
      <c r="Q12" s="79">
        <f t="shared" si="3"/>
        <v>5637.1445760000024</v>
      </c>
      <c r="R12" s="79">
        <f t="shared" si="3"/>
        <v>5502.9268480000028</v>
      </c>
      <c r="S12" s="116">
        <f t="shared" si="15"/>
        <v>0.88760467180978853</v>
      </c>
      <c r="T12" s="121">
        <f t="shared" si="16"/>
        <v>4294.9672960000016</v>
      </c>
      <c r="U12" s="122">
        <f t="shared" si="16"/>
        <v>3758.0963840000004</v>
      </c>
      <c r="V12" s="122">
        <f t="shared" si="16"/>
        <v>4966.0559360000016</v>
      </c>
      <c r="W12" s="116">
        <f t="shared" si="17"/>
        <v>0</v>
      </c>
      <c r="X12" s="81"/>
      <c r="Y12" s="79"/>
      <c r="Z12" s="79"/>
      <c r="AA12" s="82"/>
      <c r="AB12" s="81">
        <f t="shared" si="18"/>
        <v>7381.9750400000021</v>
      </c>
      <c r="AC12" s="79">
        <f t="shared" si="4"/>
        <v>8321.499136000004</v>
      </c>
      <c r="AD12" s="79">
        <f t="shared" si="4"/>
        <v>6979.3218560000014</v>
      </c>
      <c r="AE12" s="116">
        <f t="shared" si="19"/>
        <v>1.1419137312678489</v>
      </c>
      <c r="AF12" s="121">
        <f t="shared" si="5"/>
        <v>10066.329600000005</v>
      </c>
      <c r="AG12" s="122">
        <f t="shared" si="6"/>
        <v>8321.499136000004</v>
      </c>
      <c r="AH12" s="122">
        <f t="shared" si="7"/>
        <v>6979.3218560000014</v>
      </c>
      <c r="AI12" s="116">
        <f t="shared" si="20"/>
        <v>0</v>
      </c>
      <c r="AJ12" s="81">
        <f t="shared" si="21"/>
        <v>10066.329600000005</v>
      </c>
      <c r="AK12" s="79">
        <f t="shared" si="8"/>
        <v>8321.499136000004</v>
      </c>
      <c r="AL12" s="79">
        <f t="shared" si="8"/>
        <v>6979.3218560000014</v>
      </c>
      <c r="AM12" s="116">
        <f t="shared" si="22"/>
        <v>1.2658068944250933</v>
      </c>
      <c r="AN12" s="81">
        <f t="shared" si="23"/>
        <v>9395.240960000001</v>
      </c>
      <c r="AO12" s="79">
        <f t="shared" si="9"/>
        <v>13421.772800000004</v>
      </c>
      <c r="AP12" s="79">
        <f t="shared" si="9"/>
        <v>3221.2254720000019</v>
      </c>
      <c r="AQ12" s="116">
        <f t="shared" si="24"/>
        <v>1.0151094707011814</v>
      </c>
      <c r="AR12" s="81">
        <f t="shared" si="25"/>
        <v>10737.418240000005</v>
      </c>
      <c r="AS12" s="79">
        <f t="shared" si="10"/>
        <v>16106.127360000008</v>
      </c>
      <c r="AT12" s="79">
        <f t="shared" si="10"/>
        <v>9395.240960000001</v>
      </c>
      <c r="AU12" s="116">
        <f t="shared" si="26"/>
        <v>1.268886838376476</v>
      </c>
    </row>
    <row r="13" spans="1:47" x14ac:dyDescent="0.25">
      <c r="A13">
        <v>10</v>
      </c>
      <c r="B13" s="112">
        <f>VLOOKUP(A13,Miscelaneous!A10:E42,5,FALSE)</f>
        <v>38.554328942953148</v>
      </c>
      <c r="D13" s="137"/>
      <c r="E13" s="2"/>
      <c r="G13">
        <v>8</v>
      </c>
      <c r="H13" s="81">
        <f t="shared" si="1"/>
        <v>6871.9476736000033</v>
      </c>
      <c r="I13" s="79">
        <f t="shared" si="1"/>
        <v>6012.9542144000006</v>
      </c>
      <c r="J13" s="79">
        <f t="shared" si="1"/>
        <v>7945.6894976000031</v>
      </c>
      <c r="K13" s="116">
        <f t="shared" si="11"/>
        <v>0.88822078686353356</v>
      </c>
      <c r="L13" s="81">
        <f t="shared" si="12"/>
        <v>9663.6764160000021</v>
      </c>
      <c r="M13" s="79">
        <f t="shared" si="2"/>
        <v>8589.9345920000032</v>
      </c>
      <c r="N13" s="79">
        <f t="shared" si="2"/>
        <v>8375.1862272000035</v>
      </c>
      <c r="O13" s="116">
        <f t="shared" si="13"/>
        <v>1.3323311802953</v>
      </c>
      <c r="P13" s="81">
        <f t="shared" si="14"/>
        <v>7516.1927680000008</v>
      </c>
      <c r="Q13" s="79">
        <f t="shared" si="3"/>
        <v>9019.4313216000046</v>
      </c>
      <c r="R13" s="79">
        <f t="shared" si="3"/>
        <v>8804.6829568000048</v>
      </c>
      <c r="S13" s="116">
        <f t="shared" si="15"/>
        <v>1.5533081756671299</v>
      </c>
      <c r="T13" s="121">
        <f t="shared" si="16"/>
        <v>6871.9476736000033</v>
      </c>
      <c r="U13" s="122">
        <f t="shared" si="16"/>
        <v>6012.9542144000006</v>
      </c>
      <c r="V13" s="122">
        <f t="shared" si="16"/>
        <v>7945.6894976000031</v>
      </c>
      <c r="W13" s="116">
        <f t="shared" si="17"/>
        <v>0</v>
      </c>
      <c r="X13" s="81"/>
      <c r="Y13" s="79"/>
      <c r="Z13" s="79"/>
      <c r="AA13" s="82"/>
      <c r="AB13" s="81">
        <f t="shared" si="18"/>
        <v>11811.160064000003</v>
      </c>
      <c r="AC13" s="79">
        <f t="shared" si="4"/>
        <v>13314.398617600007</v>
      </c>
      <c r="AD13" s="79">
        <f t="shared" si="4"/>
        <v>11166.914969600002</v>
      </c>
      <c r="AE13" s="116">
        <f t="shared" si="19"/>
        <v>1.9983490297187356</v>
      </c>
      <c r="AF13" s="121">
        <f t="shared" si="5"/>
        <v>16106.127360000008</v>
      </c>
      <c r="AG13" s="122">
        <f t="shared" si="6"/>
        <v>13314.398617600007</v>
      </c>
      <c r="AH13" s="122">
        <f t="shared" si="7"/>
        <v>11166.914969600002</v>
      </c>
      <c r="AI13" s="116">
        <f t="shared" si="20"/>
        <v>0</v>
      </c>
      <c r="AJ13" s="81">
        <f t="shared" si="21"/>
        <v>16106.127360000008</v>
      </c>
      <c r="AK13" s="79">
        <f t="shared" si="8"/>
        <v>13314.398617600007</v>
      </c>
      <c r="AL13" s="79">
        <f t="shared" si="8"/>
        <v>11166.914969600002</v>
      </c>
      <c r="AM13" s="116">
        <f t="shared" si="22"/>
        <v>2.2151620652439132</v>
      </c>
      <c r="AN13" s="81">
        <f t="shared" si="23"/>
        <v>15032.385536000002</v>
      </c>
      <c r="AO13" s="79">
        <f t="shared" si="9"/>
        <v>21474.836480000009</v>
      </c>
      <c r="AP13" s="79">
        <f t="shared" si="9"/>
        <v>5153.9607552000034</v>
      </c>
      <c r="AQ13" s="116">
        <f t="shared" si="24"/>
        <v>1.7764415737270673</v>
      </c>
      <c r="AR13" s="81">
        <f t="shared" si="25"/>
        <v>17179.869184000006</v>
      </c>
      <c r="AS13" s="79">
        <f t="shared" si="10"/>
        <v>25769.803776000015</v>
      </c>
      <c r="AT13" s="79">
        <f t="shared" si="10"/>
        <v>15032.385536000002</v>
      </c>
      <c r="AU13" s="116">
        <f t="shared" si="26"/>
        <v>2.220551967158833</v>
      </c>
    </row>
    <row r="14" spans="1:47" x14ac:dyDescent="0.25">
      <c r="A14">
        <v>11</v>
      </c>
      <c r="B14" s="112">
        <f>VLOOKUP(A14,Miscelaneous!A11:E43,5,FALSE)</f>
        <v>35.049389948139222</v>
      </c>
      <c r="D14" s="137"/>
      <c r="E14" s="2"/>
      <c r="G14">
        <v>9</v>
      </c>
      <c r="H14" s="81">
        <f t="shared" si="1"/>
        <v>10995.116277760006</v>
      </c>
      <c r="I14" s="79">
        <f t="shared" si="1"/>
        <v>9620.7267430400007</v>
      </c>
      <c r="J14" s="79">
        <f t="shared" si="1"/>
        <v>12713.103196160006</v>
      </c>
      <c r="K14" s="116">
        <f t="shared" si="11"/>
        <v>1.5543863770111837</v>
      </c>
      <c r="L14" s="81">
        <f t="shared" si="12"/>
        <v>15461.882265600005</v>
      </c>
      <c r="M14" s="79">
        <f t="shared" si="2"/>
        <v>13743.895347200007</v>
      </c>
      <c r="N14" s="79">
        <f t="shared" si="2"/>
        <v>13400.297963520006</v>
      </c>
      <c r="O14" s="116">
        <f t="shared" si="13"/>
        <v>2.3315795655167748</v>
      </c>
      <c r="P14" s="81">
        <f t="shared" si="14"/>
        <v>12025.908428800001</v>
      </c>
      <c r="Q14" s="79">
        <f t="shared" si="3"/>
        <v>14431.090114560007</v>
      </c>
      <c r="R14" s="79">
        <f t="shared" si="3"/>
        <v>14087.492730880009</v>
      </c>
      <c r="S14" s="116">
        <f t="shared" si="15"/>
        <v>2.7182893074174772</v>
      </c>
      <c r="T14" s="121">
        <f t="shared" si="16"/>
        <v>10995.116277760006</v>
      </c>
      <c r="U14" s="122">
        <f t="shared" si="16"/>
        <v>9620.7267430400007</v>
      </c>
      <c r="V14" s="122">
        <f t="shared" si="16"/>
        <v>12713.103196160006</v>
      </c>
      <c r="W14" s="116">
        <f t="shared" si="17"/>
        <v>0</v>
      </c>
      <c r="X14" s="81"/>
      <c r="Y14" s="79"/>
      <c r="Z14" s="79"/>
      <c r="AA14" s="82"/>
      <c r="AB14" s="81">
        <f t="shared" si="18"/>
        <v>18897.856102400005</v>
      </c>
      <c r="AC14" s="79">
        <f t="shared" si="4"/>
        <v>21303.037788160014</v>
      </c>
      <c r="AD14" s="79">
        <f t="shared" si="4"/>
        <v>17867.063951360004</v>
      </c>
      <c r="AE14" s="116">
        <f t="shared" si="19"/>
        <v>3.4971108020077875</v>
      </c>
      <c r="AF14" s="121">
        <f t="shared" si="5"/>
        <v>25769.803776000015</v>
      </c>
      <c r="AG14" s="122">
        <f t="shared" si="6"/>
        <v>21303.037788160014</v>
      </c>
      <c r="AH14" s="122">
        <f t="shared" si="7"/>
        <v>17867.063951360004</v>
      </c>
      <c r="AI14" s="116">
        <f t="shared" si="20"/>
        <v>0</v>
      </c>
      <c r="AJ14" s="81">
        <f t="shared" si="21"/>
        <v>25769.803776000015</v>
      </c>
      <c r="AK14" s="79">
        <f t="shared" si="8"/>
        <v>21303.037788160014</v>
      </c>
      <c r="AL14" s="79">
        <f t="shared" si="8"/>
        <v>17867.063951360004</v>
      </c>
      <c r="AM14" s="116">
        <f t="shared" si="22"/>
        <v>3.8765336141768483</v>
      </c>
      <c r="AN14" s="81">
        <f t="shared" si="23"/>
        <v>24051.816857600003</v>
      </c>
      <c r="AO14" s="79">
        <f t="shared" si="9"/>
        <v>34359.738368000013</v>
      </c>
      <c r="AP14" s="79">
        <f t="shared" si="9"/>
        <v>8246.3372083200065</v>
      </c>
      <c r="AQ14" s="116">
        <f t="shared" si="24"/>
        <v>3.1087727540223677</v>
      </c>
      <c r="AR14" s="81">
        <f t="shared" si="25"/>
        <v>27487.790694400013</v>
      </c>
      <c r="AS14" s="79">
        <f t="shared" si="10"/>
        <v>41231.686041600027</v>
      </c>
      <c r="AT14" s="79">
        <f t="shared" si="10"/>
        <v>24051.816857600003</v>
      </c>
      <c r="AU14" s="116">
        <f t="shared" si="26"/>
        <v>3.8859659425279576</v>
      </c>
    </row>
    <row r="15" spans="1:47" ht="15.75" thickBot="1" x14ac:dyDescent="0.3">
      <c r="A15">
        <v>12</v>
      </c>
      <c r="B15" s="112">
        <f>VLOOKUP(A15,Miscelaneous!A12:E44,5,FALSE)</f>
        <v>31.863081771035656</v>
      </c>
      <c r="D15" s="137"/>
      <c r="G15">
        <v>10</v>
      </c>
      <c r="H15" s="88">
        <f t="shared" si="1"/>
        <v>17592.186044416008</v>
      </c>
      <c r="I15" s="93">
        <f t="shared" si="1"/>
        <v>15393.162788864001</v>
      </c>
      <c r="J15" s="93">
        <f t="shared" si="1"/>
        <v>20340.965113856011</v>
      </c>
      <c r="K15" s="117">
        <f t="shared" si="11"/>
        <v>2.7201761597695713</v>
      </c>
      <c r="L15" s="88">
        <f t="shared" si="12"/>
        <v>24739.011624960011</v>
      </c>
      <c r="M15" s="93">
        <f t="shared" si="2"/>
        <v>21990.232555520011</v>
      </c>
      <c r="N15" s="93">
        <f t="shared" si="2"/>
        <v>21440.47674163201</v>
      </c>
      <c r="O15" s="117">
        <f t="shared" si="13"/>
        <v>4.0802642396543556</v>
      </c>
      <c r="P15" s="88">
        <f t="shared" si="14"/>
        <v>19241.453486080001</v>
      </c>
      <c r="Q15" s="93">
        <f t="shared" si="3"/>
        <v>23089.744183296014</v>
      </c>
      <c r="R15" s="93">
        <f t="shared" si="3"/>
        <v>22539.988369408016</v>
      </c>
      <c r="S15" s="117">
        <f t="shared" si="15"/>
        <v>4.7570062879805848</v>
      </c>
      <c r="T15" s="177">
        <f t="shared" si="16"/>
        <v>17592.186044416008</v>
      </c>
      <c r="U15" s="178">
        <f t="shared" si="16"/>
        <v>15393.162788864001</v>
      </c>
      <c r="V15" s="178">
        <f t="shared" si="16"/>
        <v>20340.965113856011</v>
      </c>
      <c r="W15" s="117">
        <f t="shared" si="17"/>
        <v>0</v>
      </c>
      <c r="X15" s="88"/>
      <c r="Y15" s="93"/>
      <c r="Z15" s="93"/>
      <c r="AA15" s="89"/>
      <c r="AB15" s="88">
        <f t="shared" si="18"/>
        <v>30236.569763840009</v>
      </c>
      <c r="AC15" s="93">
        <f t="shared" si="4"/>
        <v>34084.860461056021</v>
      </c>
      <c r="AD15" s="93">
        <f t="shared" si="4"/>
        <v>28587.302322176009</v>
      </c>
      <c r="AE15" s="117">
        <f t="shared" si="19"/>
        <v>6.1199439035136276</v>
      </c>
      <c r="AF15" s="177">
        <f t="shared" si="5"/>
        <v>41231.686041600027</v>
      </c>
      <c r="AG15" s="178">
        <f t="shared" si="6"/>
        <v>34084.860461056021</v>
      </c>
      <c r="AH15" s="178">
        <f t="shared" si="7"/>
        <v>28587.302322176009</v>
      </c>
      <c r="AI15" s="117">
        <f t="shared" si="20"/>
        <v>0</v>
      </c>
      <c r="AJ15" s="88">
        <f t="shared" si="21"/>
        <v>41231.686041600027</v>
      </c>
      <c r="AK15" s="93">
        <f t="shared" si="8"/>
        <v>34084.860461056021</v>
      </c>
      <c r="AL15" s="93">
        <f t="shared" si="8"/>
        <v>28587.302322176009</v>
      </c>
      <c r="AM15" s="117">
        <f t="shared" si="22"/>
        <v>6.783933824809484</v>
      </c>
      <c r="AN15" s="88">
        <f t="shared" si="23"/>
        <v>38482.906972160003</v>
      </c>
      <c r="AO15" s="93">
        <f t="shared" si="9"/>
        <v>54975.581388800027</v>
      </c>
      <c r="AP15" s="93">
        <f t="shared" si="9"/>
        <v>13194.139533312011</v>
      </c>
      <c r="AQ15" s="117">
        <f t="shared" si="24"/>
        <v>5.4403523195391434</v>
      </c>
      <c r="AR15" s="88">
        <f t="shared" si="25"/>
        <v>43980.465111040023</v>
      </c>
      <c r="AS15" s="93">
        <f t="shared" si="10"/>
        <v>65970.697666560052</v>
      </c>
      <c r="AT15" s="93">
        <f t="shared" si="10"/>
        <v>38482.906972160003</v>
      </c>
      <c r="AU15" s="117">
        <f t="shared" si="26"/>
        <v>6.800440399423926</v>
      </c>
    </row>
    <row r="16" spans="1:47" ht="15.75" thickBot="1" x14ac:dyDescent="0.3">
      <c r="A16">
        <v>13</v>
      </c>
      <c r="B16" s="112">
        <f>VLOOKUP(A16,Miscelaneous!A13:E45,5,FALSE)</f>
        <v>28.966437973668778</v>
      </c>
    </row>
    <row r="17" spans="1:47" ht="15.75" thickBot="1" x14ac:dyDescent="0.3">
      <c r="A17">
        <v>14</v>
      </c>
      <c r="B17" s="112">
        <f>VLOOKUP(A17,Miscelaneous!A14:E46,5,FALSE)</f>
        <v>26.333125430607971</v>
      </c>
      <c r="D17" s="111"/>
      <c r="E17" t="s">
        <v>99</v>
      </c>
      <c r="H17" s="454" t="s">
        <v>73</v>
      </c>
      <c r="I17" s="432"/>
      <c r="J17" s="432"/>
      <c r="K17" s="455"/>
      <c r="L17" s="405" t="s">
        <v>74</v>
      </c>
      <c r="M17" s="406"/>
      <c r="N17" s="406"/>
      <c r="O17" s="407"/>
      <c r="P17" s="405" t="s">
        <v>75</v>
      </c>
      <c r="Q17" s="406"/>
      <c r="R17" s="406"/>
      <c r="S17" s="407"/>
      <c r="T17" s="406" t="s">
        <v>190</v>
      </c>
      <c r="U17" s="406"/>
      <c r="V17" s="406"/>
      <c r="W17" s="406"/>
      <c r="X17" s="406" t="s">
        <v>71</v>
      </c>
      <c r="Y17" s="406"/>
      <c r="Z17" s="406"/>
      <c r="AA17" s="406"/>
      <c r="AB17" s="406" t="s">
        <v>76</v>
      </c>
      <c r="AC17" s="406"/>
      <c r="AD17" s="406"/>
      <c r="AE17" s="406"/>
      <c r="AF17" s="406" t="s">
        <v>195</v>
      </c>
      <c r="AG17" s="406"/>
      <c r="AH17" s="406"/>
      <c r="AI17" s="406"/>
      <c r="AJ17" s="406" t="s">
        <v>77</v>
      </c>
      <c r="AK17" s="406"/>
      <c r="AL17" s="406"/>
      <c r="AM17" s="406"/>
      <c r="AN17" s="406" t="s">
        <v>78</v>
      </c>
      <c r="AO17" s="406"/>
      <c r="AP17" s="406"/>
      <c r="AQ17" s="406"/>
      <c r="AR17" s="406" t="s">
        <v>79</v>
      </c>
      <c r="AS17" s="406"/>
      <c r="AT17" s="406"/>
      <c r="AU17" s="407"/>
    </row>
    <row r="18" spans="1:47" x14ac:dyDescent="0.25">
      <c r="A18">
        <v>15</v>
      </c>
      <c r="B18" s="112">
        <f>VLOOKUP(A18,Miscelaneous!A15:E47,5,FALSE)</f>
        <v>23.93920493691634</v>
      </c>
      <c r="D18" s="111"/>
      <c r="E18">
        <v>4</v>
      </c>
      <c r="G18" t="s">
        <v>95</v>
      </c>
      <c r="H18" s="113" t="s">
        <v>83</v>
      </c>
      <c r="I18" s="114" t="s">
        <v>30</v>
      </c>
      <c r="J18" s="114" t="s">
        <v>31</v>
      </c>
      <c r="K18" s="115" t="s">
        <v>35</v>
      </c>
      <c r="L18" s="113" t="s">
        <v>83</v>
      </c>
      <c r="M18" s="114" t="s">
        <v>30</v>
      </c>
      <c r="N18" s="114" t="s">
        <v>31</v>
      </c>
      <c r="O18" s="115" t="s">
        <v>35</v>
      </c>
      <c r="P18" s="113" t="s">
        <v>83</v>
      </c>
      <c r="Q18" s="114" t="s">
        <v>30</v>
      </c>
      <c r="R18" s="114" t="s">
        <v>31</v>
      </c>
      <c r="S18" s="115" t="s">
        <v>35</v>
      </c>
      <c r="T18" s="113" t="s">
        <v>83</v>
      </c>
      <c r="U18" s="114" t="s">
        <v>30</v>
      </c>
      <c r="V18" s="114" t="s">
        <v>31</v>
      </c>
      <c r="W18" s="115" t="s">
        <v>35</v>
      </c>
      <c r="X18" s="113" t="s">
        <v>83</v>
      </c>
      <c r="Y18" s="114" t="s">
        <v>30</v>
      </c>
      <c r="Z18" s="114" t="s">
        <v>31</v>
      </c>
      <c r="AA18" s="115" t="s">
        <v>35</v>
      </c>
      <c r="AB18" s="113" t="s">
        <v>83</v>
      </c>
      <c r="AC18" s="114" t="s">
        <v>30</v>
      </c>
      <c r="AD18" s="114" t="s">
        <v>31</v>
      </c>
      <c r="AE18" s="115" t="s">
        <v>35</v>
      </c>
      <c r="AF18" s="113" t="s">
        <v>83</v>
      </c>
      <c r="AG18" s="114" t="s">
        <v>30</v>
      </c>
      <c r="AH18" s="114" t="s">
        <v>31</v>
      </c>
      <c r="AI18" s="115" t="s">
        <v>35</v>
      </c>
      <c r="AJ18" s="113" t="s">
        <v>83</v>
      </c>
      <c r="AK18" s="114" t="s">
        <v>30</v>
      </c>
      <c r="AL18" s="114" t="s">
        <v>31</v>
      </c>
      <c r="AM18" s="115" t="s">
        <v>35</v>
      </c>
      <c r="AN18" s="113" t="s">
        <v>83</v>
      </c>
      <c r="AO18" s="114" t="s">
        <v>30</v>
      </c>
      <c r="AP18" s="114" t="s">
        <v>31</v>
      </c>
      <c r="AQ18" s="115" t="s">
        <v>35</v>
      </c>
      <c r="AR18" s="113" t="s">
        <v>83</v>
      </c>
      <c r="AS18" s="114" t="s">
        <v>30</v>
      </c>
      <c r="AT18" s="114" t="s">
        <v>31</v>
      </c>
      <c r="AU18" s="115" t="s">
        <v>35</v>
      </c>
    </row>
    <row r="19" spans="1:47" x14ac:dyDescent="0.25">
      <c r="A19">
        <v>16</v>
      </c>
      <c r="B19" s="112">
        <f>VLOOKUP(A19,Miscelaneous!A16:E48,5,FALSE)</f>
        <v>21.762913579014853</v>
      </c>
      <c r="D19" s="111"/>
      <c r="G19">
        <v>1</v>
      </c>
      <c r="H19" s="81"/>
      <c r="I19" s="79"/>
      <c r="J19" s="79"/>
      <c r="K19" s="82"/>
      <c r="L19" s="81"/>
      <c r="M19" s="79"/>
      <c r="N19" s="79"/>
      <c r="O19" s="120"/>
      <c r="P19" s="79">
        <v>700</v>
      </c>
      <c r="Q19" s="79">
        <v>840</v>
      </c>
      <c r="R19" s="79">
        <v>820</v>
      </c>
      <c r="S19" s="116">
        <f>S25</f>
        <v>3.0919322366403067E-2</v>
      </c>
      <c r="T19" s="214">
        <v>640</v>
      </c>
      <c r="U19" s="214">
        <v>560</v>
      </c>
      <c r="V19" s="214">
        <v>740</v>
      </c>
      <c r="W19" s="213">
        <f>W25</f>
        <v>0</v>
      </c>
      <c r="X19" s="81">
        <v>560</v>
      </c>
      <c r="Y19" s="79">
        <v>480</v>
      </c>
      <c r="Z19" s="79">
        <v>480</v>
      </c>
      <c r="AA19" s="116">
        <f>AA25</f>
        <v>1.7670385824748742E-2</v>
      </c>
      <c r="AB19" s="81">
        <v>2200</v>
      </c>
      <c r="AC19" s="79">
        <v>2400</v>
      </c>
      <c r="AD19" s="79">
        <v>2000</v>
      </c>
      <c r="AE19" s="120">
        <f>AE25</f>
        <v>3.3137445726468234E-2</v>
      </c>
      <c r="AF19" s="79">
        <v>3000</v>
      </c>
      <c r="AG19" s="79">
        <v>2400</v>
      </c>
      <c r="AH19" s="79">
        <v>2000</v>
      </c>
      <c r="AI19" s="116">
        <f>AI25</f>
        <v>0</v>
      </c>
      <c r="AJ19" s="81">
        <v>3000</v>
      </c>
      <c r="AK19" s="79">
        <v>2400</v>
      </c>
      <c r="AL19" s="79">
        <v>200</v>
      </c>
      <c r="AM19" s="116">
        <f>AM25</f>
        <v>3.6732728659701494E-2</v>
      </c>
      <c r="AN19" s="81">
        <v>1200</v>
      </c>
      <c r="AO19" s="79">
        <v>1600</v>
      </c>
      <c r="AP19" s="79">
        <v>800</v>
      </c>
      <c r="AQ19" s="116">
        <f>AQ25</f>
        <v>3.5335042476216556E-2</v>
      </c>
      <c r="AR19" s="81">
        <v>1600</v>
      </c>
      <c r="AS19" s="79">
        <v>2000</v>
      </c>
      <c r="AT19" s="79">
        <v>1200</v>
      </c>
      <c r="AU19" s="116">
        <f>AU25</f>
        <v>3.6822106076143633E-2</v>
      </c>
    </row>
    <row r="20" spans="1:47" x14ac:dyDescent="0.25">
      <c r="A20">
        <v>17</v>
      </c>
      <c r="B20" s="112">
        <f>VLOOKUP(A20,Miscelaneous!A17:E49,5,FALSE)</f>
        <v>19.784466890013501</v>
      </c>
      <c r="D20" s="111"/>
      <c r="G20">
        <v>2</v>
      </c>
      <c r="H20" s="81">
        <v>2560</v>
      </c>
      <c r="I20" s="79">
        <v>2240</v>
      </c>
      <c r="J20" s="79">
        <v>2960</v>
      </c>
      <c r="K20" s="116"/>
      <c r="L20" s="81">
        <v>3600</v>
      </c>
      <c r="M20" s="79">
        <v>3200</v>
      </c>
      <c r="N20" s="79">
        <v>3120</v>
      </c>
      <c r="O20" s="116">
        <f>O19*$N$1</f>
        <v>0</v>
      </c>
      <c r="P20" s="81">
        <f t="shared" ref="P20:R21" si="27">P19*$E$18</f>
        <v>2800</v>
      </c>
      <c r="Q20" s="79">
        <f t="shared" si="27"/>
        <v>3360</v>
      </c>
      <c r="R20" s="79">
        <f t="shared" si="27"/>
        <v>3280</v>
      </c>
      <c r="S20" s="116">
        <f>S19*$N$1</f>
        <v>5.4108814141205365E-2</v>
      </c>
      <c r="T20" s="81">
        <f t="shared" ref="T20:V21" si="28">T19*$E$18</f>
        <v>2560</v>
      </c>
      <c r="U20" s="79">
        <f t="shared" si="28"/>
        <v>2240</v>
      </c>
      <c r="V20" s="79">
        <f t="shared" si="28"/>
        <v>2960</v>
      </c>
      <c r="W20" s="116">
        <f>W19*$N$1</f>
        <v>0</v>
      </c>
      <c r="X20" s="81">
        <f t="shared" ref="X20:Z21" si="29">X19*$E$18</f>
        <v>2240</v>
      </c>
      <c r="Y20" s="79">
        <f t="shared" si="29"/>
        <v>1920</v>
      </c>
      <c r="Z20" s="79">
        <f t="shared" si="29"/>
        <v>1920</v>
      </c>
      <c r="AA20" s="116">
        <f>AA19*$N$1</f>
        <v>3.0923175193310299E-2</v>
      </c>
      <c r="AB20" s="81">
        <f t="shared" ref="AB20:AD21" si="30">AB19*$E$18</f>
        <v>8800</v>
      </c>
      <c r="AC20" s="79">
        <f t="shared" si="30"/>
        <v>9600</v>
      </c>
      <c r="AD20" s="79">
        <f t="shared" si="30"/>
        <v>8000</v>
      </c>
      <c r="AE20" s="116">
        <f>AE19*$N$1</f>
        <v>5.799053002131941E-2</v>
      </c>
      <c r="AF20" s="81">
        <f t="shared" ref="AF20:AH21" si="31">AF19*$E$18</f>
        <v>12000</v>
      </c>
      <c r="AG20" s="79">
        <f t="shared" si="31"/>
        <v>9600</v>
      </c>
      <c r="AH20" s="79">
        <f t="shared" si="31"/>
        <v>8000</v>
      </c>
      <c r="AI20" s="116">
        <f>AI19*$N$1</f>
        <v>0</v>
      </c>
      <c r="AJ20" s="81">
        <f t="shared" ref="AJ20:AL21" si="32">AJ19*$E$18</f>
        <v>12000</v>
      </c>
      <c r="AK20" s="79">
        <f t="shared" si="32"/>
        <v>9600</v>
      </c>
      <c r="AL20" s="79">
        <f t="shared" si="32"/>
        <v>800</v>
      </c>
      <c r="AM20" s="116">
        <f>AM19*$N$1</f>
        <v>6.4282275154477611E-2</v>
      </c>
      <c r="AN20" s="81">
        <f t="shared" ref="AN20:AP21" si="33">AN19*$E$18</f>
        <v>4800</v>
      </c>
      <c r="AO20" s="79">
        <f t="shared" si="33"/>
        <v>6400</v>
      </c>
      <c r="AP20" s="79">
        <f t="shared" si="33"/>
        <v>3200</v>
      </c>
      <c r="AQ20" s="116">
        <f>AQ19*$N$1</f>
        <v>6.1836324333378975E-2</v>
      </c>
      <c r="AR20" s="81">
        <f t="shared" ref="AR20:AT21" si="34">AR19*$E$18</f>
        <v>6400</v>
      </c>
      <c r="AS20" s="79">
        <f t="shared" si="34"/>
        <v>8000</v>
      </c>
      <c r="AT20" s="79">
        <f t="shared" si="34"/>
        <v>4800</v>
      </c>
      <c r="AU20" s="116">
        <f>AU19*$N$1</f>
        <v>6.4438685633251364E-2</v>
      </c>
    </row>
    <row r="21" spans="1:47" ht="15.75" thickBot="1" x14ac:dyDescent="0.3">
      <c r="A21">
        <v>18</v>
      </c>
      <c r="B21" s="112">
        <f>VLOOKUP(A21,Miscelaneous!A18:E50,5,FALSE)</f>
        <v>17.985878990921364</v>
      </c>
      <c r="D21" s="111"/>
      <c r="G21">
        <v>3</v>
      </c>
      <c r="H21" s="88">
        <f>H20*$E$18</f>
        <v>10240</v>
      </c>
      <c r="I21" s="93">
        <f>I20*$E$18</f>
        <v>8960</v>
      </c>
      <c r="J21" s="93">
        <f>J20*$E$18</f>
        <v>11840</v>
      </c>
      <c r="K21" s="117"/>
      <c r="L21" s="88">
        <f>L20*$E$18</f>
        <v>14400</v>
      </c>
      <c r="M21" s="93">
        <f>M20*$E$18</f>
        <v>12800</v>
      </c>
      <c r="N21" s="93">
        <f>N20*$E$18</f>
        <v>12480</v>
      </c>
      <c r="O21" s="117">
        <f>O20*$N$1</f>
        <v>0</v>
      </c>
      <c r="P21" s="88">
        <f t="shared" si="27"/>
        <v>11200</v>
      </c>
      <c r="Q21" s="93">
        <f t="shared" si="27"/>
        <v>13440</v>
      </c>
      <c r="R21" s="93">
        <f t="shared" si="27"/>
        <v>13120</v>
      </c>
      <c r="S21" s="117">
        <f>S20*$N$1</f>
        <v>9.4690424747109384E-2</v>
      </c>
      <c r="T21" s="88">
        <f t="shared" si="28"/>
        <v>10240</v>
      </c>
      <c r="U21" s="93">
        <f t="shared" si="28"/>
        <v>8960</v>
      </c>
      <c r="V21" s="93">
        <f t="shared" si="28"/>
        <v>11840</v>
      </c>
      <c r="W21" s="117">
        <f>W20*$N$1</f>
        <v>0</v>
      </c>
      <c r="X21" s="88">
        <f t="shared" si="29"/>
        <v>8960</v>
      </c>
      <c r="Y21" s="93">
        <f t="shared" si="29"/>
        <v>7680</v>
      </c>
      <c r="Z21" s="93">
        <f t="shared" si="29"/>
        <v>7680</v>
      </c>
      <c r="AA21" s="117">
        <f>AA20*$N$1</f>
        <v>5.4115556588293021E-2</v>
      </c>
      <c r="AB21" s="88">
        <f t="shared" si="30"/>
        <v>35200</v>
      </c>
      <c r="AC21" s="93">
        <f t="shared" si="30"/>
        <v>38400</v>
      </c>
      <c r="AD21" s="93">
        <f t="shared" si="30"/>
        <v>32000</v>
      </c>
      <c r="AE21" s="117">
        <f>AE20*$N$1</f>
        <v>0.10148342753730896</v>
      </c>
      <c r="AF21" s="88">
        <f t="shared" si="31"/>
        <v>48000</v>
      </c>
      <c r="AG21" s="93">
        <f t="shared" si="31"/>
        <v>38400</v>
      </c>
      <c r="AH21" s="93">
        <f t="shared" si="31"/>
        <v>32000</v>
      </c>
      <c r="AI21" s="117">
        <f>AI20*$N$1</f>
        <v>0</v>
      </c>
      <c r="AJ21" s="88">
        <f t="shared" si="32"/>
        <v>48000</v>
      </c>
      <c r="AK21" s="93">
        <f t="shared" si="32"/>
        <v>38400</v>
      </c>
      <c r="AL21" s="93">
        <f t="shared" si="32"/>
        <v>3200</v>
      </c>
      <c r="AM21" s="117">
        <f>AM20*$N$1</f>
        <v>0.11249398152033582</v>
      </c>
      <c r="AN21" s="88">
        <f t="shared" si="33"/>
        <v>19200</v>
      </c>
      <c r="AO21" s="93">
        <f t="shared" si="33"/>
        <v>25600</v>
      </c>
      <c r="AP21" s="93">
        <f t="shared" si="33"/>
        <v>12800</v>
      </c>
      <c r="AQ21" s="117">
        <f>AQ20*$N$1</f>
        <v>0.1082135675834132</v>
      </c>
      <c r="AR21" s="88">
        <f t="shared" si="34"/>
        <v>25600</v>
      </c>
      <c r="AS21" s="93">
        <f t="shared" si="34"/>
        <v>32000</v>
      </c>
      <c r="AT21" s="93">
        <f t="shared" si="34"/>
        <v>19200</v>
      </c>
      <c r="AU21" s="117">
        <f>AU20*$N$1</f>
        <v>0.11276769985818988</v>
      </c>
    </row>
    <row r="22" spans="1:47" ht="15.75" thickBot="1" x14ac:dyDescent="0.3">
      <c r="A22">
        <v>19</v>
      </c>
      <c r="B22" s="112">
        <f>VLOOKUP(A22,Miscelaneous!A19:E51,5,FALSE)</f>
        <v>16.350799082655783</v>
      </c>
      <c r="D22" s="111"/>
    </row>
    <row r="23" spans="1:47" ht="15.75" thickBot="1" x14ac:dyDescent="0.3">
      <c r="A23">
        <v>20</v>
      </c>
      <c r="B23" s="112">
        <f>VLOOKUP(A23,Miscelaneous!A20:E52,5,FALSE)</f>
        <v>14.86436280241435</v>
      </c>
      <c r="D23" s="111"/>
      <c r="H23" s="454" t="s">
        <v>73</v>
      </c>
      <c r="I23" s="432"/>
      <c r="J23" s="432"/>
      <c r="K23" s="455"/>
      <c r="L23" s="405" t="s">
        <v>74</v>
      </c>
      <c r="M23" s="406"/>
      <c r="N23" s="406"/>
      <c r="O23" s="406"/>
      <c r="P23" s="405" t="s">
        <v>75</v>
      </c>
      <c r="Q23" s="406"/>
      <c r="R23" s="406"/>
      <c r="S23" s="407"/>
      <c r="T23" s="406" t="s">
        <v>190</v>
      </c>
      <c r="U23" s="406"/>
      <c r="V23" s="406"/>
      <c r="W23" s="406"/>
      <c r="X23" s="406" t="s">
        <v>71</v>
      </c>
      <c r="Y23" s="406"/>
      <c r="Z23" s="406"/>
      <c r="AA23" s="406"/>
      <c r="AB23" s="406" t="s">
        <v>76</v>
      </c>
      <c r="AC23" s="406"/>
      <c r="AD23" s="406"/>
      <c r="AE23" s="406"/>
      <c r="AF23" s="406" t="s">
        <v>195</v>
      </c>
      <c r="AG23" s="406"/>
      <c r="AH23" s="406"/>
      <c r="AI23" s="406"/>
      <c r="AJ23" s="406" t="s">
        <v>77</v>
      </c>
      <c r="AK23" s="406"/>
      <c r="AL23" s="406"/>
      <c r="AM23" s="406"/>
      <c r="AN23" s="406" t="s">
        <v>78</v>
      </c>
      <c r="AO23" s="406"/>
      <c r="AP23" s="406"/>
      <c r="AQ23" s="406"/>
      <c r="AR23" s="406" t="s">
        <v>79</v>
      </c>
      <c r="AS23" s="406"/>
      <c r="AT23" s="406"/>
      <c r="AU23" s="407"/>
    </row>
    <row r="24" spans="1:47" x14ac:dyDescent="0.25">
      <c r="D24" s="111"/>
      <c r="G24" t="s">
        <v>96</v>
      </c>
      <c r="H24" s="113" t="s">
        <v>83</v>
      </c>
      <c r="I24" s="114" t="s">
        <v>30</v>
      </c>
      <c r="J24" s="114" t="s">
        <v>31</v>
      </c>
      <c r="K24" s="115" t="s">
        <v>35</v>
      </c>
      <c r="L24" s="113" t="s">
        <v>83</v>
      </c>
      <c r="M24" s="114" t="s">
        <v>30</v>
      </c>
      <c r="N24" s="114" t="s">
        <v>31</v>
      </c>
      <c r="O24" s="318" t="s">
        <v>35</v>
      </c>
      <c r="P24" s="113" t="s">
        <v>83</v>
      </c>
      <c r="Q24" s="114" t="s">
        <v>30</v>
      </c>
      <c r="R24" s="114" t="s">
        <v>31</v>
      </c>
      <c r="S24" s="115" t="s">
        <v>35</v>
      </c>
      <c r="T24" s="113" t="s">
        <v>83</v>
      </c>
      <c r="U24" s="114" t="s">
        <v>30</v>
      </c>
      <c r="V24" s="114" t="s">
        <v>31</v>
      </c>
      <c r="W24" s="115" t="s">
        <v>35</v>
      </c>
      <c r="X24" s="113" t="s">
        <v>83</v>
      </c>
      <c r="Y24" s="114" t="s">
        <v>30</v>
      </c>
      <c r="Z24" s="114" t="s">
        <v>31</v>
      </c>
      <c r="AA24" s="115" t="s">
        <v>35</v>
      </c>
      <c r="AB24" s="113" t="s">
        <v>83</v>
      </c>
      <c r="AC24" s="114" t="s">
        <v>30</v>
      </c>
      <c r="AD24" s="114" t="s">
        <v>31</v>
      </c>
      <c r="AE24" s="115" t="s">
        <v>35</v>
      </c>
      <c r="AF24" s="113" t="s">
        <v>83</v>
      </c>
      <c r="AG24" s="114" t="s">
        <v>30</v>
      </c>
      <c r="AH24" s="114" t="s">
        <v>31</v>
      </c>
      <c r="AI24" s="115" t="s">
        <v>35</v>
      </c>
      <c r="AJ24" s="113" t="s">
        <v>83</v>
      </c>
      <c r="AK24" s="114" t="s">
        <v>30</v>
      </c>
      <c r="AL24" s="114" t="s">
        <v>31</v>
      </c>
      <c r="AM24" s="115" t="s">
        <v>35</v>
      </c>
      <c r="AN24" s="113" t="s">
        <v>83</v>
      </c>
      <c r="AO24" s="114" t="s">
        <v>30</v>
      </c>
      <c r="AP24" s="114" t="s">
        <v>31</v>
      </c>
      <c r="AQ24" s="115" t="s">
        <v>35</v>
      </c>
      <c r="AR24" s="113" t="s">
        <v>83</v>
      </c>
      <c r="AS24" s="114" t="s">
        <v>30</v>
      </c>
      <c r="AT24" s="114" t="s">
        <v>31</v>
      </c>
      <c r="AU24" s="115" t="s">
        <v>35</v>
      </c>
    </row>
    <row r="25" spans="1:47" ht="15.75" thickBot="1" x14ac:dyDescent="0.3">
      <c r="D25" s="111"/>
      <c r="G25">
        <v>1</v>
      </c>
      <c r="H25" s="88">
        <f>H19</f>
        <v>0</v>
      </c>
      <c r="I25" s="93">
        <f t="shared" ref="I25:AT25" si="35">I19</f>
        <v>0</v>
      </c>
      <c r="J25" s="93">
        <f t="shared" si="35"/>
        <v>0</v>
      </c>
      <c r="K25" s="89">
        <f t="shared" si="35"/>
        <v>0</v>
      </c>
      <c r="L25" s="88">
        <f t="shared" si="35"/>
        <v>0</v>
      </c>
      <c r="M25" s="93">
        <f t="shared" si="35"/>
        <v>0</v>
      </c>
      <c r="N25" s="93">
        <f t="shared" si="35"/>
        <v>0</v>
      </c>
      <c r="O25" s="123">
        <f t="shared" si="35"/>
        <v>0</v>
      </c>
      <c r="P25" s="88">
        <f t="shared" si="35"/>
        <v>700</v>
      </c>
      <c r="Q25" s="93">
        <f t="shared" si="35"/>
        <v>840</v>
      </c>
      <c r="R25" s="93">
        <f t="shared" si="35"/>
        <v>820</v>
      </c>
      <c r="S25" s="117">
        <f>0.0801967592592593/$E$1*VLOOKUP($E$5,$A:$B,2,FALSE)/100</f>
        <v>3.0919322366403067E-2</v>
      </c>
      <c r="T25" s="93">
        <f t="shared" si="35"/>
        <v>640</v>
      </c>
      <c r="U25" s="93">
        <f t="shared" si="35"/>
        <v>560</v>
      </c>
      <c r="V25" s="93">
        <f t="shared" si="35"/>
        <v>740</v>
      </c>
      <c r="W25" s="117"/>
      <c r="X25" s="88">
        <f t="shared" si="35"/>
        <v>560</v>
      </c>
      <c r="Y25" s="93">
        <f t="shared" si="35"/>
        <v>480</v>
      </c>
      <c r="Z25" s="93">
        <f t="shared" si="35"/>
        <v>480</v>
      </c>
      <c r="AA25" s="117">
        <f>0.04583243/$E$1*VLOOKUP($E$5,$A:$B,2,FALSE)/100</f>
        <v>1.7670385824748742E-2</v>
      </c>
      <c r="AB25" s="88">
        <f t="shared" si="35"/>
        <v>2200</v>
      </c>
      <c r="AC25" s="93">
        <f t="shared" si="35"/>
        <v>2400</v>
      </c>
      <c r="AD25" s="93">
        <f t="shared" si="35"/>
        <v>2000</v>
      </c>
      <c r="AE25" s="117">
        <f>0.08595/$E$1*VLOOKUP($E$5,$A:$B,2,FALSE)/100</f>
        <v>3.3137445726468234E-2</v>
      </c>
      <c r="AF25" s="88">
        <f t="shared" si="35"/>
        <v>3000</v>
      </c>
      <c r="AG25" s="93">
        <f t="shared" si="35"/>
        <v>2400</v>
      </c>
      <c r="AH25" s="93">
        <f t="shared" si="35"/>
        <v>2000</v>
      </c>
      <c r="AI25" s="89"/>
      <c r="AJ25" s="88">
        <f t="shared" si="35"/>
        <v>3000</v>
      </c>
      <c r="AK25" s="93">
        <f t="shared" si="35"/>
        <v>2400</v>
      </c>
      <c r="AL25" s="93">
        <f t="shared" si="35"/>
        <v>200</v>
      </c>
      <c r="AM25" s="117">
        <f>0.095275238/$E$1*VLOOKUP($E$5,$A:$B,2,FALSE)/100</f>
        <v>3.6732728659701494E-2</v>
      </c>
      <c r="AN25" s="88">
        <f t="shared" si="35"/>
        <v>1200</v>
      </c>
      <c r="AO25" s="93">
        <f t="shared" si="35"/>
        <v>1600</v>
      </c>
      <c r="AP25" s="93">
        <f t="shared" si="35"/>
        <v>800</v>
      </c>
      <c r="AQ25" s="117">
        <f>0.09165/$E$1*VLOOKUP($E$5,$A:$B,2,FALSE)/100</f>
        <v>3.5335042476216556E-2</v>
      </c>
      <c r="AR25" s="88">
        <f t="shared" si="35"/>
        <v>1600</v>
      </c>
      <c r="AS25" s="93">
        <f t="shared" si="35"/>
        <v>2000</v>
      </c>
      <c r="AT25" s="93">
        <f t="shared" si="35"/>
        <v>1200</v>
      </c>
      <c r="AU25" s="117">
        <f>0.09550706/$E$1*VLOOKUP($E$5,$A:$B,2,FALSE)/100</f>
        <v>3.6822106076143633E-2</v>
      </c>
    </row>
    <row r="26" spans="1:47" x14ac:dyDescent="0.25">
      <c r="D26" s="111"/>
    </row>
    <row r="27" spans="1:47" x14ac:dyDescent="0.25">
      <c r="D27" s="111"/>
      <c r="S27" s="77"/>
      <c r="AA27" s="2"/>
      <c r="AE27" s="7"/>
    </row>
    <row r="28" spans="1:47" x14ac:dyDescent="0.25">
      <c r="D28" s="111"/>
      <c r="AA28" s="77"/>
    </row>
    <row r="29" spans="1:47" x14ac:dyDescent="0.25">
      <c r="D29" s="111"/>
    </row>
  </sheetData>
  <mergeCells count="32">
    <mergeCell ref="X3:AA3"/>
    <mergeCell ref="G1:H1"/>
    <mergeCell ref="L1:M1"/>
    <mergeCell ref="H3:K3"/>
    <mergeCell ref="L3:O3"/>
    <mergeCell ref="P3:S3"/>
    <mergeCell ref="T3:W3"/>
    <mergeCell ref="H23:K23"/>
    <mergeCell ref="L23:O23"/>
    <mergeCell ref="P23:S23"/>
    <mergeCell ref="X23:AA23"/>
    <mergeCell ref="AB23:AE23"/>
    <mergeCell ref="T23:W23"/>
    <mergeCell ref="H17:K17"/>
    <mergeCell ref="L17:O17"/>
    <mergeCell ref="P17:S17"/>
    <mergeCell ref="X17:AA17"/>
    <mergeCell ref="AB17:AE17"/>
    <mergeCell ref="T17:W17"/>
    <mergeCell ref="AF23:AI23"/>
    <mergeCell ref="AB3:AE3"/>
    <mergeCell ref="AJ3:AM3"/>
    <mergeCell ref="AN3:AQ3"/>
    <mergeCell ref="AR3:AU3"/>
    <mergeCell ref="AN17:AQ17"/>
    <mergeCell ref="AR17:AU17"/>
    <mergeCell ref="AF3:AI3"/>
    <mergeCell ref="AF17:AI17"/>
    <mergeCell ref="AJ23:AM23"/>
    <mergeCell ref="AN23:AQ23"/>
    <mergeCell ref="AR23:AU23"/>
    <mergeCell ref="AJ17:AM17"/>
  </mergeCells>
  <pageMargins left="0.7" right="0.7" top="0.78740157499999996" bottom="0.78740157499999996" header="0.3" footer="0.3"/>
  <pageSetup paperSize="9" orientation="portrait" horizontalDpi="0" verticalDpi="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'Unit information'!$B$3:$K$3</xm:f>
          </x14:formula1>
          <xm:sqref>D4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opLeftCell="C1" zoomScaleNormal="100" workbookViewId="0">
      <selection activeCell="Q35" sqref="Q35"/>
    </sheetView>
  </sheetViews>
  <sheetFormatPr baseColWidth="10" defaultRowHeight="15" x14ac:dyDescent="0.25"/>
  <cols>
    <col min="11" max="11" width="16.7109375" bestFit="1" customWidth="1"/>
    <col min="12" max="12" width="7.7109375" bestFit="1" customWidth="1"/>
    <col min="13" max="13" width="13.28515625" bestFit="1" customWidth="1"/>
    <col min="14" max="14" width="19.85546875" bestFit="1" customWidth="1"/>
  </cols>
  <sheetData>
    <row r="1" spans="1:17" x14ac:dyDescent="0.25">
      <c r="B1" s="438" t="s">
        <v>29</v>
      </c>
      <c r="C1" s="438"/>
      <c r="D1" s="438"/>
      <c r="E1" s="438" t="s">
        <v>30</v>
      </c>
      <c r="F1" s="438"/>
      <c r="G1" s="438"/>
      <c r="H1" s="438" t="s">
        <v>31</v>
      </c>
      <c r="I1" s="438"/>
      <c r="J1" s="438"/>
      <c r="K1" t="s">
        <v>423</v>
      </c>
      <c r="L1" s="4">
        <f>'Construction Planner'!E3</f>
        <v>1</v>
      </c>
      <c r="N1" s="2">
        <v>4.1666666666666664E-2</v>
      </c>
    </row>
    <row r="2" spans="1:17" x14ac:dyDescent="0.25">
      <c r="B2" s="1" t="s">
        <v>9</v>
      </c>
      <c r="C2" s="1" t="s">
        <v>10</v>
      </c>
      <c r="D2" s="1" t="s">
        <v>11</v>
      </c>
      <c r="E2" s="1" t="s">
        <v>9</v>
      </c>
      <c r="F2" s="1" t="s">
        <v>10</v>
      </c>
      <c r="G2" s="1" t="s">
        <v>11</v>
      </c>
      <c r="H2" s="1" t="s">
        <v>9</v>
      </c>
      <c r="I2" s="1" t="s">
        <v>10</v>
      </c>
      <c r="J2" s="1" t="s">
        <v>11</v>
      </c>
      <c r="Q2" t="s">
        <v>336</v>
      </c>
    </row>
    <row r="3" spans="1:17" x14ac:dyDescent="0.25">
      <c r="A3" t="s">
        <v>20</v>
      </c>
      <c r="B3" s="1">
        <v>1.25</v>
      </c>
      <c r="C3" s="1">
        <v>1.27</v>
      </c>
      <c r="D3" s="1">
        <v>1.252</v>
      </c>
      <c r="E3" s="1">
        <v>1.2749999999999999</v>
      </c>
      <c r="F3" s="1">
        <v>1.2649999999999999</v>
      </c>
      <c r="G3" s="1">
        <v>1.2749999999999999</v>
      </c>
      <c r="H3" s="1">
        <v>1.2450000000000001</v>
      </c>
      <c r="I3" s="1">
        <v>1.24</v>
      </c>
      <c r="J3" s="1">
        <v>1.24</v>
      </c>
      <c r="K3" s="216" t="s">
        <v>280</v>
      </c>
      <c r="L3" s="79" t="s">
        <v>283</v>
      </c>
      <c r="M3" s="79" t="s">
        <v>281</v>
      </c>
      <c r="N3" s="217" t="s">
        <v>282</v>
      </c>
      <c r="O3" t="s">
        <v>226</v>
      </c>
      <c r="Q3" t="str">
        <f>CONCATENATE("[**]",O3,"[||]",K3,"[||]",L3,"[||]",M3,"[||]",N3,"[/**]",)</f>
        <v>[**]Stufe[||]Minenproduktion[||]Anstieg (mal 3)[||]Kosten Minen[||]Amortisierungsdauer[/**]</v>
      </c>
    </row>
    <row r="4" spans="1:17" x14ac:dyDescent="0.25">
      <c r="A4">
        <v>1</v>
      </c>
      <c r="B4">
        <v>50</v>
      </c>
      <c r="C4">
        <v>65</v>
      </c>
      <c r="D4">
        <v>75</v>
      </c>
      <c r="E4">
        <v>60</v>
      </c>
      <c r="F4">
        <v>50</v>
      </c>
      <c r="G4">
        <v>65</v>
      </c>
      <c r="H4">
        <v>40</v>
      </c>
      <c r="I4">
        <v>40</v>
      </c>
      <c r="J4">
        <v>70</v>
      </c>
      <c r="K4" s="79">
        <f>IF(A4=0,$A$4*5,$L$1*30*1.163118^(A4-1))</f>
        <v>30</v>
      </c>
      <c r="L4" s="79">
        <f>K4-(5*L1)</f>
        <v>25</v>
      </c>
      <c r="M4" s="122">
        <f>SUM(B4:J4)</f>
        <v>515</v>
      </c>
      <c r="N4" s="218">
        <f>(M4/(3*L4))*$N$1</f>
        <v>0.28611111111111109</v>
      </c>
      <c r="O4">
        <f>A4</f>
        <v>1</v>
      </c>
      <c r="Q4" t="str">
        <f>CONCATENATE("[*]",O4,"[|]",ROUND(K4,0),"[|]",ROUND(L4,0),"[|]",ROUND(M4,0),"[|]",TEXT(N4,"[h]:mm:ss"),"h")</f>
        <v>[*]1[|]30[|]25[|]515[|]6:52:00h</v>
      </c>
    </row>
    <row r="5" spans="1:17" x14ac:dyDescent="0.25">
      <c r="A5">
        <v>2</v>
      </c>
      <c r="B5" s="3">
        <f t="shared" ref="B5:D20" si="0">B4*B$3</f>
        <v>62.5</v>
      </c>
      <c r="C5" s="3">
        <f t="shared" si="0"/>
        <v>82.55</v>
      </c>
      <c r="D5" s="3">
        <f t="shared" si="0"/>
        <v>93.9</v>
      </c>
      <c r="E5" s="3">
        <f t="shared" ref="E5:G20" si="1">E4*E$3</f>
        <v>76.5</v>
      </c>
      <c r="F5" s="3">
        <f t="shared" si="1"/>
        <v>63.249999999999993</v>
      </c>
      <c r="G5" s="3">
        <f t="shared" si="1"/>
        <v>82.875</v>
      </c>
      <c r="H5" s="3">
        <f t="shared" ref="H5:J20" si="2">H$3*H4</f>
        <v>49.800000000000004</v>
      </c>
      <c r="I5" s="3">
        <f t="shared" si="2"/>
        <v>49.6</v>
      </c>
      <c r="J5" s="3">
        <f t="shared" si="2"/>
        <v>86.8</v>
      </c>
      <c r="K5" s="122">
        <f t="shared" ref="K5:K33" si="3">IF(A5=0,$A$4*5,$L$1*30*1.163118^(A5-1))</f>
        <v>34.893540000000002</v>
      </c>
      <c r="L5" s="122">
        <f>K5-K4</f>
        <v>4.8935400000000016</v>
      </c>
      <c r="M5" s="122">
        <f t="shared" ref="M5:M33" si="4">SUM(B5:J5)</f>
        <v>647.77499999999998</v>
      </c>
      <c r="N5" s="218">
        <f t="shared" ref="N5:N33" si="5">(M5/(3*L5))*$N$1</f>
        <v>1.8385207845445213</v>
      </c>
      <c r="O5">
        <f t="shared" ref="O5:O33" si="6">A5</f>
        <v>2</v>
      </c>
      <c r="Q5" t="str">
        <f t="shared" ref="Q5:Q33" si="7">CONCATENATE("[*]",O5,"[|]",ROUND(K5,0),"[|]",ROUND(L5,0),"[|]",ROUND(M5,0),"[|]",TEXT(N5,"[h]:mm:ss"),"h")</f>
        <v>[*]2[|]35[|]5[|]648[|]44:07:28h</v>
      </c>
    </row>
    <row r="6" spans="1:17" x14ac:dyDescent="0.25">
      <c r="A6">
        <v>3</v>
      </c>
      <c r="B6" s="3">
        <f t="shared" si="0"/>
        <v>78.125</v>
      </c>
      <c r="C6" s="3">
        <f t="shared" si="0"/>
        <v>104.8385</v>
      </c>
      <c r="D6" s="3">
        <f t="shared" si="0"/>
        <v>117.56280000000001</v>
      </c>
      <c r="E6" s="3">
        <f t="shared" si="1"/>
        <v>97.537499999999994</v>
      </c>
      <c r="F6" s="3">
        <f t="shared" si="1"/>
        <v>80.01124999999999</v>
      </c>
      <c r="G6" s="3">
        <f t="shared" si="1"/>
        <v>105.66562499999999</v>
      </c>
      <c r="H6" s="3">
        <f t="shared" si="2"/>
        <v>62.001000000000012</v>
      </c>
      <c r="I6" s="3">
        <f t="shared" si="2"/>
        <v>61.503999999999998</v>
      </c>
      <c r="J6" s="3">
        <f t="shared" si="2"/>
        <v>107.63199999999999</v>
      </c>
      <c r="K6" s="122">
        <f t="shared" si="3"/>
        <v>40.585304457720007</v>
      </c>
      <c r="L6" s="122">
        <f t="shared" ref="L6:L33" si="8">K6-K5</f>
        <v>5.6917644577200051</v>
      </c>
      <c r="M6" s="122">
        <f t="shared" si="4"/>
        <v>814.87767499999995</v>
      </c>
      <c r="N6" s="218">
        <f t="shared" si="5"/>
        <v>1.9884423486218452</v>
      </c>
      <c r="O6">
        <f t="shared" si="6"/>
        <v>3</v>
      </c>
      <c r="Q6" t="str">
        <f t="shared" si="7"/>
        <v>[*]3[|]41[|]6[|]815[|]47:43:21h</v>
      </c>
    </row>
    <row r="7" spans="1:17" x14ac:dyDescent="0.25">
      <c r="A7">
        <v>4</v>
      </c>
      <c r="B7" s="3">
        <f t="shared" si="0"/>
        <v>97.65625</v>
      </c>
      <c r="C7" s="3">
        <f t="shared" si="0"/>
        <v>133.14489499999999</v>
      </c>
      <c r="D7" s="3">
        <f t="shared" si="0"/>
        <v>147.18862560000002</v>
      </c>
      <c r="E7" s="3">
        <f t="shared" si="1"/>
        <v>124.36031249999998</v>
      </c>
      <c r="F7" s="3">
        <f t="shared" si="1"/>
        <v>101.21423124999998</v>
      </c>
      <c r="G7" s="3">
        <f t="shared" si="1"/>
        <v>134.72367187499998</v>
      </c>
      <c r="H7" s="3">
        <f t="shared" si="2"/>
        <v>77.191245000000023</v>
      </c>
      <c r="I7" s="3">
        <f t="shared" si="2"/>
        <v>76.264960000000002</v>
      </c>
      <c r="J7" s="3">
        <f t="shared" si="2"/>
        <v>133.46367999999998</v>
      </c>
      <c r="K7" s="122">
        <f t="shared" si="3"/>
        <v>47.205498150254385</v>
      </c>
      <c r="L7" s="122">
        <f t="shared" si="8"/>
        <v>6.6201936925343787</v>
      </c>
      <c r="M7" s="122">
        <f t="shared" si="4"/>
        <v>1025.207871225</v>
      </c>
      <c r="N7" s="218">
        <f t="shared" si="5"/>
        <v>2.1508431433835105</v>
      </c>
      <c r="O7">
        <f t="shared" si="6"/>
        <v>4</v>
      </c>
      <c r="Q7" t="str">
        <f t="shared" si="7"/>
        <v>[*]4[|]47[|]7[|]1025[|]51:37:13h</v>
      </c>
    </row>
    <row r="8" spans="1:17" x14ac:dyDescent="0.25">
      <c r="A8">
        <v>5</v>
      </c>
      <c r="B8" s="3">
        <f t="shared" si="0"/>
        <v>122.0703125</v>
      </c>
      <c r="C8" s="3">
        <f t="shared" si="0"/>
        <v>169.09401664999999</v>
      </c>
      <c r="D8" s="3">
        <f t="shared" si="0"/>
        <v>184.28015925120002</v>
      </c>
      <c r="E8" s="3">
        <f t="shared" si="1"/>
        <v>158.55939843749996</v>
      </c>
      <c r="F8" s="3">
        <f t="shared" si="1"/>
        <v>128.03600253124998</v>
      </c>
      <c r="G8" s="3">
        <f t="shared" si="1"/>
        <v>171.77268164062497</v>
      </c>
      <c r="H8" s="3">
        <f t="shared" si="2"/>
        <v>96.103100025000032</v>
      </c>
      <c r="I8" s="3">
        <f t="shared" si="2"/>
        <v>94.568550400000007</v>
      </c>
      <c r="J8" s="3">
        <f t="shared" si="2"/>
        <v>165.49496319999997</v>
      </c>
      <c r="K8" s="122">
        <f t="shared" si="3"/>
        <v>54.905564597527587</v>
      </c>
      <c r="L8" s="122">
        <f t="shared" si="8"/>
        <v>7.7000664472732012</v>
      </c>
      <c r="M8" s="122">
        <f t="shared" si="4"/>
        <v>1289.9791846355749</v>
      </c>
      <c r="N8" s="218">
        <f t="shared" si="5"/>
        <v>2.3267822020844573</v>
      </c>
      <c r="O8">
        <f t="shared" si="6"/>
        <v>5</v>
      </c>
      <c r="Q8" t="str">
        <f t="shared" si="7"/>
        <v>[*]5[|]55[|]8[|]1290[|]55:50:34h</v>
      </c>
    </row>
    <row r="9" spans="1:17" x14ac:dyDescent="0.25">
      <c r="A9">
        <v>6</v>
      </c>
      <c r="B9" s="3">
        <f t="shared" si="0"/>
        <v>152.587890625</v>
      </c>
      <c r="C9" s="3">
        <f t="shared" si="0"/>
        <v>214.74940114549997</v>
      </c>
      <c r="D9" s="3">
        <f t="shared" si="0"/>
        <v>230.71875938250241</v>
      </c>
      <c r="E9" s="3">
        <f t="shared" si="1"/>
        <v>202.16323300781244</v>
      </c>
      <c r="F9" s="3">
        <f t="shared" si="1"/>
        <v>161.9655432020312</v>
      </c>
      <c r="G9" s="3">
        <f t="shared" si="1"/>
        <v>219.01016909179683</v>
      </c>
      <c r="H9" s="3">
        <f t="shared" si="2"/>
        <v>119.64835953112505</v>
      </c>
      <c r="I9" s="3">
        <f t="shared" si="2"/>
        <v>117.26500249600001</v>
      </c>
      <c r="J9" s="3">
        <f t="shared" si="2"/>
        <v>205.21375436799997</v>
      </c>
      <c r="K9" s="122">
        <f t="shared" si="3"/>
        <v>63.861650483547102</v>
      </c>
      <c r="L9" s="122">
        <f t="shared" si="8"/>
        <v>8.9560858860195154</v>
      </c>
      <c r="M9" s="122">
        <f t="shared" si="4"/>
        <v>1623.322112849768</v>
      </c>
      <c r="N9" s="218">
        <f t="shared" si="5"/>
        <v>2.5174100319249271</v>
      </c>
      <c r="O9">
        <f t="shared" si="6"/>
        <v>6</v>
      </c>
      <c r="Q9" t="str">
        <f t="shared" si="7"/>
        <v>[*]6[|]64[|]9[|]1623[|]60:25:04h</v>
      </c>
    </row>
    <row r="10" spans="1:17" x14ac:dyDescent="0.25">
      <c r="A10">
        <v>7</v>
      </c>
      <c r="B10" s="3">
        <f t="shared" si="0"/>
        <v>190.73486328125</v>
      </c>
      <c r="C10" s="3">
        <f t="shared" si="0"/>
        <v>272.73173945478499</v>
      </c>
      <c r="D10" s="3">
        <f t="shared" si="0"/>
        <v>288.85988674689304</v>
      </c>
      <c r="E10" s="3">
        <f t="shared" si="1"/>
        <v>257.75812208496086</v>
      </c>
      <c r="F10" s="3">
        <f t="shared" si="1"/>
        <v>204.88641215056944</v>
      </c>
      <c r="G10" s="3">
        <f t="shared" si="1"/>
        <v>279.23796559204095</v>
      </c>
      <c r="H10" s="3">
        <f t="shared" si="2"/>
        <v>148.96220761625071</v>
      </c>
      <c r="I10" s="3">
        <f t="shared" si="2"/>
        <v>145.40860309504001</v>
      </c>
      <c r="J10" s="3">
        <f t="shared" si="2"/>
        <v>254.46505541631996</v>
      </c>
      <c r="K10" s="122">
        <f t="shared" si="3"/>
        <v>74.278635187122333</v>
      </c>
      <c r="L10" s="122">
        <f t="shared" si="8"/>
        <v>10.416984703575231</v>
      </c>
      <c r="M10" s="122">
        <f t="shared" si="4"/>
        <v>2043.0448554381101</v>
      </c>
      <c r="N10" s="218">
        <f t="shared" si="5"/>
        <v>2.7239766400402918</v>
      </c>
      <c r="O10">
        <f t="shared" si="6"/>
        <v>7</v>
      </c>
      <c r="Q10" t="str">
        <f t="shared" si="7"/>
        <v>[*]7[|]74[|]10[|]2043[|]65:22:32h</v>
      </c>
    </row>
    <row r="11" spans="1:17" x14ac:dyDescent="0.25">
      <c r="A11">
        <v>8</v>
      </c>
      <c r="B11" s="3">
        <f t="shared" si="0"/>
        <v>238.4185791015625</v>
      </c>
      <c r="C11" s="3">
        <f t="shared" si="0"/>
        <v>346.36930910757695</v>
      </c>
      <c r="D11" s="3">
        <f t="shared" si="0"/>
        <v>361.65257820711008</v>
      </c>
      <c r="E11" s="3">
        <f t="shared" si="1"/>
        <v>328.64160565832509</v>
      </c>
      <c r="F11" s="3">
        <f t="shared" si="1"/>
        <v>259.18131137047033</v>
      </c>
      <c r="G11" s="3">
        <f t="shared" si="1"/>
        <v>356.02840612985221</v>
      </c>
      <c r="H11" s="3">
        <f t="shared" si="2"/>
        <v>185.45794848223215</v>
      </c>
      <c r="I11" s="3">
        <f t="shared" si="2"/>
        <v>180.3066678378496</v>
      </c>
      <c r="J11" s="3">
        <f t="shared" si="2"/>
        <v>315.53666871623676</v>
      </c>
      <c r="K11" s="122">
        <f t="shared" si="3"/>
        <v>86.394817601575355</v>
      </c>
      <c r="L11" s="122">
        <f t="shared" si="8"/>
        <v>12.116182414453021</v>
      </c>
      <c r="M11" s="122">
        <f t="shared" si="4"/>
        <v>2571.5930746112153</v>
      </c>
      <c r="N11" s="218">
        <f t="shared" si="5"/>
        <v>2.9478402733608666</v>
      </c>
      <c r="O11">
        <f t="shared" si="6"/>
        <v>8</v>
      </c>
      <c r="Q11" t="str">
        <f t="shared" si="7"/>
        <v>[*]8[|]86[|]12[|]2572[|]70:44:53h</v>
      </c>
    </row>
    <row r="12" spans="1:17" x14ac:dyDescent="0.25">
      <c r="A12">
        <v>9</v>
      </c>
      <c r="B12" s="3">
        <f t="shared" si="0"/>
        <v>298.02322387695312</v>
      </c>
      <c r="C12" s="3">
        <f t="shared" si="0"/>
        <v>439.88902256662271</v>
      </c>
      <c r="D12" s="3">
        <f t="shared" si="0"/>
        <v>452.7890279153018</v>
      </c>
      <c r="E12" s="3">
        <f t="shared" si="1"/>
        <v>419.01804721436446</v>
      </c>
      <c r="F12" s="3">
        <f t="shared" si="1"/>
        <v>327.86435888364491</v>
      </c>
      <c r="G12" s="3">
        <f t="shared" si="1"/>
        <v>453.93621781556152</v>
      </c>
      <c r="H12" s="3">
        <f t="shared" si="2"/>
        <v>230.89514586037905</v>
      </c>
      <c r="I12" s="3">
        <f t="shared" si="2"/>
        <v>223.5802681189335</v>
      </c>
      <c r="J12" s="3">
        <f t="shared" si="2"/>
        <v>391.2654692081336</v>
      </c>
      <c r="K12" s="122">
        <f t="shared" si="3"/>
        <v>100.48736745910915</v>
      </c>
      <c r="L12" s="122">
        <f t="shared" si="8"/>
        <v>14.092549857533797</v>
      </c>
      <c r="M12" s="122">
        <f t="shared" si="4"/>
        <v>3237.260781459895</v>
      </c>
      <c r="N12" s="218">
        <f t="shared" si="5"/>
        <v>3.1904769365792021</v>
      </c>
      <c r="O12">
        <f t="shared" si="6"/>
        <v>9</v>
      </c>
      <c r="Q12" t="str">
        <f t="shared" si="7"/>
        <v>[*]9[|]100[|]14[|]3237[|]76:34:17h</v>
      </c>
    </row>
    <row r="13" spans="1:17" x14ac:dyDescent="0.25">
      <c r="A13">
        <v>10</v>
      </c>
      <c r="B13" s="3">
        <f t="shared" si="0"/>
        <v>372.52902984619141</v>
      </c>
      <c r="C13" s="3">
        <f t="shared" si="0"/>
        <v>558.65905865961088</v>
      </c>
      <c r="D13" s="3">
        <f t="shared" si="0"/>
        <v>566.89186294995784</v>
      </c>
      <c r="E13" s="3">
        <f t="shared" si="1"/>
        <v>534.24801019831466</v>
      </c>
      <c r="F13" s="3">
        <f t="shared" si="1"/>
        <v>414.74841398781081</v>
      </c>
      <c r="G13" s="3">
        <f t="shared" si="1"/>
        <v>578.76867771484092</v>
      </c>
      <c r="H13" s="3">
        <f t="shared" si="2"/>
        <v>287.46445659617194</v>
      </c>
      <c r="I13" s="3">
        <f t="shared" si="2"/>
        <v>277.23953246747755</v>
      </c>
      <c r="J13" s="3">
        <f t="shared" si="2"/>
        <v>485.16918181808563</v>
      </c>
      <c r="K13" s="122">
        <f t="shared" si="3"/>
        <v>116.87866586430414</v>
      </c>
      <c r="L13" s="122">
        <f t="shared" si="8"/>
        <v>16.391298405194988</v>
      </c>
      <c r="M13" s="122">
        <f t="shared" si="4"/>
        <v>4075.718224238462</v>
      </c>
      <c r="N13" s="218">
        <f t="shared" si="5"/>
        <v>3.4534907582993353</v>
      </c>
      <c r="O13">
        <f t="shared" si="6"/>
        <v>10</v>
      </c>
      <c r="Q13" t="str">
        <f t="shared" si="7"/>
        <v>[*]10[|]117[|]16[|]4076[|]82:53:02h</v>
      </c>
    </row>
    <row r="14" spans="1:17" x14ac:dyDescent="0.25">
      <c r="A14">
        <v>11</v>
      </c>
      <c r="B14" s="3">
        <f t="shared" si="0"/>
        <v>465.66128730773926</v>
      </c>
      <c r="C14" s="3">
        <f t="shared" si="0"/>
        <v>709.4970044977058</v>
      </c>
      <c r="D14" s="3">
        <f t="shared" si="0"/>
        <v>709.74861241334725</v>
      </c>
      <c r="E14" s="3">
        <f t="shared" si="1"/>
        <v>681.16621300285112</v>
      </c>
      <c r="F14" s="3">
        <f t="shared" si="1"/>
        <v>524.65674369458065</v>
      </c>
      <c r="G14" s="3">
        <f t="shared" si="1"/>
        <v>737.93006408642214</v>
      </c>
      <c r="H14" s="3">
        <f t="shared" si="2"/>
        <v>357.89324846223411</v>
      </c>
      <c r="I14" s="3">
        <f t="shared" si="2"/>
        <v>343.77702025967216</v>
      </c>
      <c r="J14" s="3">
        <f t="shared" si="2"/>
        <v>601.60978545442617</v>
      </c>
      <c r="K14" s="122">
        <f t="shared" si="3"/>
        <v>135.94368008275771</v>
      </c>
      <c r="L14" s="122">
        <f t="shared" si="8"/>
        <v>19.06501421845357</v>
      </c>
      <c r="M14" s="122">
        <f t="shared" si="4"/>
        <v>5131.9399791789783</v>
      </c>
      <c r="N14" s="218">
        <f t="shared" si="5"/>
        <v>3.7386252818145085</v>
      </c>
      <c r="O14">
        <f t="shared" si="6"/>
        <v>11</v>
      </c>
      <c r="Q14" t="str">
        <f t="shared" si="7"/>
        <v>[*]11[|]136[|]19[|]5132[|]89:43:37h</v>
      </c>
    </row>
    <row r="15" spans="1:17" x14ac:dyDescent="0.25">
      <c r="A15">
        <v>12</v>
      </c>
      <c r="B15" s="3">
        <f t="shared" si="0"/>
        <v>582.07660913467407</v>
      </c>
      <c r="C15" s="3">
        <f t="shared" si="0"/>
        <v>901.06119571208637</v>
      </c>
      <c r="D15" s="3">
        <f t="shared" si="0"/>
        <v>888.60526274151073</v>
      </c>
      <c r="E15" s="3">
        <f t="shared" si="1"/>
        <v>868.48692157863513</v>
      </c>
      <c r="F15" s="3">
        <f t="shared" si="1"/>
        <v>663.69078077364452</v>
      </c>
      <c r="G15" s="3">
        <f t="shared" si="1"/>
        <v>940.86083171018811</v>
      </c>
      <c r="H15" s="3">
        <f t="shared" si="2"/>
        <v>445.57709433548149</v>
      </c>
      <c r="I15" s="3">
        <f t="shared" si="2"/>
        <v>426.28350512199347</v>
      </c>
      <c r="J15" s="3">
        <f t="shared" si="2"/>
        <v>745.99613396348843</v>
      </c>
      <c r="K15" s="122">
        <f t="shared" si="3"/>
        <v>158.11854129049698</v>
      </c>
      <c r="L15" s="122">
        <f t="shared" si="8"/>
        <v>22.174861207739269</v>
      </c>
      <c r="M15" s="122">
        <f t="shared" si="4"/>
        <v>6462.6383350717024</v>
      </c>
      <c r="N15" s="218">
        <f t="shared" si="5"/>
        <v>4.0477757639158494</v>
      </c>
      <c r="O15">
        <f t="shared" si="6"/>
        <v>12</v>
      </c>
      <c r="Q15" t="str">
        <f t="shared" si="7"/>
        <v>[*]12[|]158[|]22[|]6463[|]97:08:48h</v>
      </c>
    </row>
    <row r="16" spans="1:17" x14ac:dyDescent="0.25">
      <c r="A16">
        <v>13</v>
      </c>
      <c r="B16" s="3">
        <f t="shared" si="0"/>
        <v>727.59576141834259</v>
      </c>
      <c r="C16" s="3">
        <f t="shared" si="0"/>
        <v>1144.3477185543497</v>
      </c>
      <c r="D16" s="3">
        <f t="shared" si="0"/>
        <v>1112.5337889523714</v>
      </c>
      <c r="E16" s="3">
        <f t="shared" si="1"/>
        <v>1107.3208250127598</v>
      </c>
      <c r="F16" s="3">
        <f t="shared" si="1"/>
        <v>839.5688376786602</v>
      </c>
      <c r="G16" s="3">
        <f t="shared" si="1"/>
        <v>1199.5975604304897</v>
      </c>
      <c r="H16" s="3">
        <f t="shared" si="2"/>
        <v>554.74348244767452</v>
      </c>
      <c r="I16" s="3">
        <f t="shared" si="2"/>
        <v>528.59154635127186</v>
      </c>
      <c r="J16" s="3">
        <f t="shared" si="2"/>
        <v>925.03520611472561</v>
      </c>
      <c r="K16" s="122">
        <f t="shared" si="3"/>
        <v>183.91052150872031</v>
      </c>
      <c r="L16" s="122">
        <f t="shared" si="8"/>
        <v>25.79198021822333</v>
      </c>
      <c r="M16" s="122">
        <f t="shared" si="4"/>
        <v>8139.3347269606456</v>
      </c>
      <c r="N16" s="218">
        <f t="shared" si="5"/>
        <v>4.3830025727283353</v>
      </c>
      <c r="O16">
        <f t="shared" si="6"/>
        <v>13</v>
      </c>
      <c r="Q16" t="str">
        <f t="shared" si="7"/>
        <v>[*]13[|]184[|]26[|]8139[|]105:11:31h</v>
      </c>
    </row>
    <row r="17" spans="1:17" x14ac:dyDescent="0.25">
      <c r="A17">
        <v>14</v>
      </c>
      <c r="B17" s="3">
        <f t="shared" si="0"/>
        <v>909.49470177292824</v>
      </c>
      <c r="C17" s="3">
        <f t="shared" si="0"/>
        <v>1453.3216025640243</v>
      </c>
      <c r="D17" s="3">
        <f t="shared" si="0"/>
        <v>1392.8923037683689</v>
      </c>
      <c r="E17" s="3">
        <f t="shared" si="1"/>
        <v>1411.8340518912687</v>
      </c>
      <c r="F17" s="3">
        <f t="shared" si="1"/>
        <v>1062.0545796635051</v>
      </c>
      <c r="G17" s="3">
        <f t="shared" si="1"/>
        <v>1529.4868895488742</v>
      </c>
      <c r="H17" s="3">
        <f t="shared" si="2"/>
        <v>690.65563564735487</v>
      </c>
      <c r="I17" s="3">
        <f t="shared" si="2"/>
        <v>655.45351747557709</v>
      </c>
      <c r="J17" s="3">
        <f t="shared" si="2"/>
        <v>1147.0436555822598</v>
      </c>
      <c r="K17" s="122">
        <f t="shared" si="3"/>
        <v>213.90963795617978</v>
      </c>
      <c r="L17" s="122">
        <f t="shared" si="8"/>
        <v>29.999116447459471</v>
      </c>
      <c r="M17" s="122">
        <f t="shared" si="4"/>
        <v>10252.236937914162</v>
      </c>
      <c r="N17" s="218">
        <f t="shared" si="5"/>
        <v>4.7465457838612775</v>
      </c>
      <c r="O17">
        <f t="shared" si="6"/>
        <v>14</v>
      </c>
      <c r="Q17" t="str">
        <f t="shared" si="7"/>
        <v>[*]14[|]214[|]30[|]10252[|]113:55:02h</v>
      </c>
    </row>
    <row r="18" spans="1:17" x14ac:dyDescent="0.25">
      <c r="A18">
        <v>15</v>
      </c>
      <c r="B18" s="3">
        <f t="shared" si="0"/>
        <v>1136.8683772161603</v>
      </c>
      <c r="C18" s="3">
        <f t="shared" si="0"/>
        <v>1845.7184352563108</v>
      </c>
      <c r="D18" s="3">
        <f t="shared" si="0"/>
        <v>1743.9011643179979</v>
      </c>
      <c r="E18" s="3">
        <f t="shared" si="1"/>
        <v>1800.0884161613674</v>
      </c>
      <c r="F18" s="3">
        <f t="shared" si="1"/>
        <v>1343.4990432743339</v>
      </c>
      <c r="G18" s="3">
        <f t="shared" si="1"/>
        <v>1950.0957841748145</v>
      </c>
      <c r="H18" s="3">
        <f t="shared" si="2"/>
        <v>859.86626638095686</v>
      </c>
      <c r="I18" s="3">
        <f t="shared" si="2"/>
        <v>812.76236166971557</v>
      </c>
      <c r="J18" s="3">
        <f t="shared" si="2"/>
        <v>1422.3341329220023</v>
      </c>
      <c r="K18" s="122">
        <f t="shared" si="3"/>
        <v>248.80215028031591</v>
      </c>
      <c r="L18" s="122">
        <f t="shared" si="8"/>
        <v>34.892512324136135</v>
      </c>
      <c r="M18" s="122">
        <f t="shared" si="4"/>
        <v>12915.133981373659</v>
      </c>
      <c r="N18" s="218">
        <f t="shared" si="5"/>
        <v>5.1408410832123401</v>
      </c>
      <c r="O18">
        <f t="shared" si="6"/>
        <v>15</v>
      </c>
      <c r="Q18" t="str">
        <f t="shared" si="7"/>
        <v>[*]15[|]249[|]35[|]12915[|]123:22:49h</v>
      </c>
    </row>
    <row r="19" spans="1:17" x14ac:dyDescent="0.25">
      <c r="A19">
        <v>16</v>
      </c>
      <c r="B19" s="3">
        <f t="shared" si="0"/>
        <v>1421.0854715202004</v>
      </c>
      <c r="C19" s="3">
        <f t="shared" si="0"/>
        <v>2344.062412775515</v>
      </c>
      <c r="D19" s="3">
        <f t="shared" si="0"/>
        <v>2183.3642577261335</v>
      </c>
      <c r="E19" s="3">
        <f t="shared" si="1"/>
        <v>2295.1127306057433</v>
      </c>
      <c r="F19" s="3">
        <f t="shared" si="1"/>
        <v>1699.5262897420323</v>
      </c>
      <c r="G19" s="3">
        <f t="shared" si="1"/>
        <v>2486.3721248228885</v>
      </c>
      <c r="H19" s="3">
        <f t="shared" si="2"/>
        <v>1070.5335016442914</v>
      </c>
      <c r="I19" s="3">
        <f t="shared" si="2"/>
        <v>1007.8253284704473</v>
      </c>
      <c r="J19" s="3">
        <f t="shared" si="2"/>
        <v>1763.6943248232828</v>
      </c>
      <c r="K19" s="122">
        <f t="shared" si="3"/>
        <v>289.38625942974045</v>
      </c>
      <c r="L19" s="122">
        <f t="shared" si="8"/>
        <v>40.584109149424535</v>
      </c>
      <c r="M19" s="122">
        <f t="shared" si="4"/>
        <v>16271.576442130536</v>
      </c>
      <c r="N19" s="218">
        <f t="shared" si="5"/>
        <v>5.5685370946479793</v>
      </c>
      <c r="O19">
        <f t="shared" si="6"/>
        <v>16</v>
      </c>
      <c r="Q19" t="str">
        <f t="shared" si="7"/>
        <v>[*]16[|]289[|]41[|]16272[|]133:38:42h</v>
      </c>
    </row>
    <row r="20" spans="1:17" x14ac:dyDescent="0.25">
      <c r="A20">
        <v>17</v>
      </c>
      <c r="B20" s="3">
        <f t="shared" si="0"/>
        <v>1776.3568394002505</v>
      </c>
      <c r="C20" s="3">
        <f t="shared" si="0"/>
        <v>2976.959264224904</v>
      </c>
      <c r="D20" s="3">
        <f t="shared" si="0"/>
        <v>2733.5720506731191</v>
      </c>
      <c r="E20" s="3">
        <f t="shared" si="1"/>
        <v>2926.2687315223225</v>
      </c>
      <c r="F20" s="3">
        <f t="shared" si="1"/>
        <v>2149.9007565236707</v>
      </c>
      <c r="G20" s="3">
        <f t="shared" si="1"/>
        <v>3170.1244591491827</v>
      </c>
      <c r="H20" s="3">
        <f t="shared" si="2"/>
        <v>1332.8142095471428</v>
      </c>
      <c r="I20" s="3">
        <f t="shared" si="2"/>
        <v>1249.7034073033547</v>
      </c>
      <c r="J20" s="3">
        <f t="shared" si="2"/>
        <v>2186.9809627808709</v>
      </c>
      <c r="K20" s="122">
        <f t="shared" si="3"/>
        <v>336.59036729540099</v>
      </c>
      <c r="L20" s="122">
        <f t="shared" si="8"/>
        <v>47.204107865660546</v>
      </c>
      <c r="M20" s="122">
        <f t="shared" si="4"/>
        <v>20502.680681124821</v>
      </c>
      <c r="N20" s="218">
        <f t="shared" si="5"/>
        <v>6.0325142615747769</v>
      </c>
      <c r="O20">
        <f t="shared" si="6"/>
        <v>17</v>
      </c>
      <c r="Q20" t="str">
        <f t="shared" si="7"/>
        <v>[*]17[|]337[|]47[|]20503[|]144:46:49h</v>
      </c>
    </row>
    <row r="21" spans="1:17" x14ac:dyDescent="0.25">
      <c r="A21">
        <v>18</v>
      </c>
      <c r="B21" s="3">
        <f t="shared" ref="B21:D33" si="9">B20*B$3</f>
        <v>2220.4460492503131</v>
      </c>
      <c r="C21" s="3">
        <f t="shared" si="9"/>
        <v>3780.7382655656284</v>
      </c>
      <c r="D21" s="3">
        <f t="shared" si="9"/>
        <v>3422.432207442745</v>
      </c>
      <c r="E21" s="3">
        <f t="shared" ref="E21:G33" si="10">E20*E$3</f>
        <v>3730.9926326909608</v>
      </c>
      <c r="F21" s="3">
        <f t="shared" si="10"/>
        <v>2719.6244570024433</v>
      </c>
      <c r="G21" s="3">
        <f t="shared" si="10"/>
        <v>4041.9086854152079</v>
      </c>
      <c r="H21" s="3">
        <f t="shared" ref="H21:J33" si="11">H$3*H20</f>
        <v>1659.3536908861929</v>
      </c>
      <c r="I21" s="3">
        <f t="shared" si="11"/>
        <v>1549.6322250561598</v>
      </c>
      <c r="J21" s="3">
        <f t="shared" si="11"/>
        <v>2711.8563938482798</v>
      </c>
      <c r="K21" s="122">
        <f t="shared" si="3"/>
        <v>391.4943148278922</v>
      </c>
      <c r="L21" s="122">
        <f t="shared" si="8"/>
        <v>54.903947532491202</v>
      </c>
      <c r="M21" s="122">
        <f t="shared" si="4"/>
        <v>25836.98460715793</v>
      </c>
      <c r="N21" s="218">
        <f t="shared" si="5"/>
        <v>6.5359054232009379</v>
      </c>
      <c r="O21">
        <f t="shared" si="6"/>
        <v>18</v>
      </c>
      <c r="Q21" t="str">
        <f t="shared" si="7"/>
        <v>[*]18[|]391[|]55[|]25837[|]156:51:42h</v>
      </c>
    </row>
    <row r="22" spans="1:17" x14ac:dyDescent="0.25">
      <c r="A22">
        <v>19</v>
      </c>
      <c r="B22" s="3">
        <f t="shared" si="9"/>
        <v>2775.5575615628914</v>
      </c>
      <c r="C22" s="3">
        <f t="shared" si="9"/>
        <v>4801.5375972683478</v>
      </c>
      <c r="D22" s="3">
        <f t="shared" si="9"/>
        <v>4284.8851237183171</v>
      </c>
      <c r="E22" s="3">
        <f t="shared" si="10"/>
        <v>4757.015606680975</v>
      </c>
      <c r="F22" s="3">
        <f t="shared" si="10"/>
        <v>3440.3249381080905</v>
      </c>
      <c r="G22" s="3">
        <f t="shared" si="10"/>
        <v>5153.43357390439</v>
      </c>
      <c r="H22" s="3">
        <f t="shared" si="11"/>
        <v>2065.8953451533102</v>
      </c>
      <c r="I22" s="3">
        <f t="shared" si="11"/>
        <v>1921.543959069638</v>
      </c>
      <c r="J22" s="3">
        <f t="shared" si="11"/>
        <v>3362.7019283718669</v>
      </c>
      <c r="K22" s="122">
        <f t="shared" si="3"/>
        <v>455.35408447398839</v>
      </c>
      <c r="L22" s="122">
        <f t="shared" si="8"/>
        <v>63.859769646096197</v>
      </c>
      <c r="M22" s="122">
        <f t="shared" si="4"/>
        <v>32562.895633837823</v>
      </c>
      <c r="N22" s="218">
        <f t="shared" si="5"/>
        <v>7.0821182391550614</v>
      </c>
      <c r="O22">
        <f t="shared" si="6"/>
        <v>19</v>
      </c>
      <c r="Q22" t="str">
        <f t="shared" si="7"/>
        <v>[*]19[|]455[|]64[|]32563[|]169:58:15h</v>
      </c>
    </row>
    <row r="23" spans="1:17" x14ac:dyDescent="0.25">
      <c r="A23">
        <v>20</v>
      </c>
      <c r="B23" s="3">
        <f t="shared" si="9"/>
        <v>3469.4469519536142</v>
      </c>
      <c r="C23" s="3">
        <f t="shared" si="9"/>
        <v>6097.9527485308017</v>
      </c>
      <c r="D23" s="3">
        <f t="shared" si="9"/>
        <v>5364.6761748953331</v>
      </c>
      <c r="E23" s="3">
        <f t="shared" si="10"/>
        <v>6065.1948985182426</v>
      </c>
      <c r="F23" s="3">
        <f t="shared" si="10"/>
        <v>4352.0110467067343</v>
      </c>
      <c r="G23" s="3">
        <f t="shared" si="10"/>
        <v>6570.6278067280964</v>
      </c>
      <c r="H23" s="3">
        <f t="shared" si="11"/>
        <v>2572.0397047158713</v>
      </c>
      <c r="I23" s="3">
        <f t="shared" si="11"/>
        <v>2382.7145092463511</v>
      </c>
      <c r="J23" s="3">
        <f t="shared" si="11"/>
        <v>4169.7503911811145</v>
      </c>
      <c r="K23" s="122">
        <f t="shared" si="3"/>
        <v>529.63053202521655</v>
      </c>
      <c r="L23" s="122">
        <f t="shared" si="8"/>
        <v>74.276447551228159</v>
      </c>
      <c r="M23" s="122">
        <f t="shared" si="4"/>
        <v>41044.414232476163</v>
      </c>
      <c r="N23" s="218">
        <f t="shared" si="5"/>
        <v>7.6748596301838781</v>
      </c>
      <c r="O23">
        <f t="shared" si="6"/>
        <v>20</v>
      </c>
      <c r="Q23" t="str">
        <f t="shared" si="7"/>
        <v>[*]20[|]530[|]74[|]41044[|]184:11:48h</v>
      </c>
    </row>
    <row r="24" spans="1:17" x14ac:dyDescent="0.25">
      <c r="A24">
        <v>21</v>
      </c>
      <c r="B24" s="3">
        <f t="shared" si="9"/>
        <v>4336.8086899420177</v>
      </c>
      <c r="C24" s="3">
        <f t="shared" si="9"/>
        <v>7744.3999906341187</v>
      </c>
      <c r="D24" s="3">
        <f t="shared" si="9"/>
        <v>6716.5745709689572</v>
      </c>
      <c r="E24" s="3">
        <f t="shared" si="10"/>
        <v>7733.1234956107592</v>
      </c>
      <c r="F24" s="3">
        <f t="shared" si="10"/>
        <v>5505.2939740840184</v>
      </c>
      <c r="G24" s="3">
        <f t="shared" si="10"/>
        <v>8377.550453578322</v>
      </c>
      <c r="H24" s="3">
        <f t="shared" si="11"/>
        <v>3202.18943237126</v>
      </c>
      <c r="I24" s="3">
        <f t="shared" si="11"/>
        <v>2954.5659914654752</v>
      </c>
      <c r="J24" s="3">
        <f t="shared" si="11"/>
        <v>5170.4904850645817</v>
      </c>
      <c r="K24" s="122">
        <f t="shared" si="3"/>
        <v>616.02280514810582</v>
      </c>
      <c r="L24" s="122">
        <f t="shared" si="8"/>
        <v>86.392273122889264</v>
      </c>
      <c r="M24" s="122">
        <f t="shared" si="4"/>
        <v>51740.997083719514</v>
      </c>
      <c r="N24" s="218">
        <f t="shared" si="5"/>
        <v>8.3181624179964739</v>
      </c>
      <c r="O24">
        <f t="shared" si="6"/>
        <v>21</v>
      </c>
      <c r="Q24" t="str">
        <f t="shared" si="7"/>
        <v>[*]21[|]616[|]86[|]51741[|]199:38:09h</v>
      </c>
    </row>
    <row r="25" spans="1:17" x14ac:dyDescent="0.25">
      <c r="A25">
        <v>22</v>
      </c>
      <c r="B25" s="3">
        <f t="shared" si="9"/>
        <v>5421.0108624275217</v>
      </c>
      <c r="C25" s="3">
        <f t="shared" si="9"/>
        <v>9835.3879881053308</v>
      </c>
      <c r="D25" s="3">
        <f t="shared" si="9"/>
        <v>8409.1513628531338</v>
      </c>
      <c r="E25" s="3">
        <f t="shared" si="10"/>
        <v>9859.7324569037173</v>
      </c>
      <c r="F25" s="3">
        <f t="shared" si="10"/>
        <v>6964.1968772162827</v>
      </c>
      <c r="G25" s="3">
        <f t="shared" si="10"/>
        <v>10681.376828312359</v>
      </c>
      <c r="H25" s="3">
        <f t="shared" si="11"/>
        <v>3986.7258433022189</v>
      </c>
      <c r="I25" s="3">
        <f t="shared" si="11"/>
        <v>3663.6618294171894</v>
      </c>
      <c r="J25" s="3">
        <f t="shared" si="11"/>
        <v>6411.4082014800815</v>
      </c>
      <c r="K25" s="122">
        <f t="shared" si="3"/>
        <v>716.50721307825472</v>
      </c>
      <c r="L25" s="122">
        <f t="shared" si="8"/>
        <v>100.4844079301489</v>
      </c>
      <c r="M25" s="122">
        <f t="shared" si="4"/>
        <v>65232.652250017825</v>
      </c>
      <c r="N25" s="218">
        <f t="shared" si="5"/>
        <v>9.0164143640855379</v>
      </c>
      <c r="O25">
        <f t="shared" si="6"/>
        <v>22</v>
      </c>
      <c r="Q25" t="str">
        <f t="shared" si="7"/>
        <v>[*]22[|]717[|]100[|]65233[|]216:23:38h</v>
      </c>
    </row>
    <row r="26" spans="1:17" x14ac:dyDescent="0.25">
      <c r="A26">
        <v>23</v>
      </c>
      <c r="B26" s="3">
        <f t="shared" si="9"/>
        <v>6776.2635780344026</v>
      </c>
      <c r="C26" s="3">
        <f t="shared" si="9"/>
        <v>12490.942744893769</v>
      </c>
      <c r="D26" s="3">
        <f t="shared" si="9"/>
        <v>10528.257506292124</v>
      </c>
      <c r="E26" s="3">
        <f t="shared" si="10"/>
        <v>12571.158882552239</v>
      </c>
      <c r="F26" s="3">
        <f t="shared" si="10"/>
        <v>8809.7090496785968</v>
      </c>
      <c r="G26" s="3">
        <f t="shared" si="10"/>
        <v>13618.755456098257</v>
      </c>
      <c r="H26" s="3">
        <f t="shared" si="11"/>
        <v>4963.4736749112626</v>
      </c>
      <c r="I26" s="3">
        <f t="shared" si="11"/>
        <v>4542.9406684773148</v>
      </c>
      <c r="J26" s="3">
        <f t="shared" si="11"/>
        <v>7950.1461698353014</v>
      </c>
      <c r="K26" s="122">
        <f t="shared" si="3"/>
        <v>833.38243666115352</v>
      </c>
      <c r="L26" s="122">
        <f t="shared" si="8"/>
        <v>116.8752235828988</v>
      </c>
      <c r="M26" s="122">
        <f t="shared" si="4"/>
        <v>82251.647730773257</v>
      </c>
      <c r="N26" s="218">
        <f t="shared" si="5"/>
        <v>9.774389825662702</v>
      </c>
      <c r="O26">
        <f t="shared" si="6"/>
        <v>23</v>
      </c>
      <c r="Q26" t="str">
        <f t="shared" si="7"/>
        <v>[*]23[|]833[|]117[|]82252[|]234:35:07h</v>
      </c>
    </row>
    <row r="27" spans="1:17" x14ac:dyDescent="0.25">
      <c r="A27">
        <v>24</v>
      </c>
      <c r="B27" s="3">
        <f t="shared" si="9"/>
        <v>8470.3294725430023</v>
      </c>
      <c r="C27" s="3">
        <f t="shared" si="9"/>
        <v>15863.497286015088</v>
      </c>
      <c r="D27" s="3">
        <f t="shared" si="9"/>
        <v>13181.378397877739</v>
      </c>
      <c r="E27" s="3">
        <f t="shared" si="10"/>
        <v>16028.227575254105</v>
      </c>
      <c r="F27" s="3">
        <f t="shared" si="10"/>
        <v>11144.281947843425</v>
      </c>
      <c r="G27" s="3">
        <f t="shared" si="10"/>
        <v>17363.913206525278</v>
      </c>
      <c r="H27" s="3">
        <f t="shared" si="11"/>
        <v>6179.5247252645222</v>
      </c>
      <c r="I27" s="3">
        <f t="shared" si="11"/>
        <v>5633.2464289118707</v>
      </c>
      <c r="J27" s="3">
        <f t="shared" si="11"/>
        <v>9858.1812505957732</v>
      </c>
      <c r="K27" s="122">
        <f t="shared" si="3"/>
        <v>969.32211296444757</v>
      </c>
      <c r="L27" s="122">
        <f t="shared" si="8"/>
        <v>135.93967630329405</v>
      </c>
      <c r="M27" s="122">
        <f t="shared" si="4"/>
        <v>103722.5802908308</v>
      </c>
      <c r="N27" s="218">
        <f t="shared" si="5"/>
        <v>10.597284266839889</v>
      </c>
      <c r="O27">
        <f t="shared" si="6"/>
        <v>24</v>
      </c>
      <c r="Q27" t="str">
        <f t="shared" si="7"/>
        <v>[*]24[|]969[|]136[|]103723[|]254:20:05h</v>
      </c>
    </row>
    <row r="28" spans="1:17" x14ac:dyDescent="0.25">
      <c r="A28">
        <v>25</v>
      </c>
      <c r="B28" s="3">
        <f t="shared" si="9"/>
        <v>10587.911840678753</v>
      </c>
      <c r="C28" s="3">
        <f t="shared" si="9"/>
        <v>20146.641553239162</v>
      </c>
      <c r="D28" s="3">
        <f t="shared" si="9"/>
        <v>16503.085754142929</v>
      </c>
      <c r="E28" s="3">
        <f t="shared" si="10"/>
        <v>20435.990158448982</v>
      </c>
      <c r="F28" s="3">
        <f t="shared" si="10"/>
        <v>14097.516664021932</v>
      </c>
      <c r="G28" s="3">
        <f t="shared" si="10"/>
        <v>22138.989338319727</v>
      </c>
      <c r="H28" s="3">
        <f t="shared" si="11"/>
        <v>7693.5082829543308</v>
      </c>
      <c r="I28" s="3">
        <f t="shared" si="11"/>
        <v>6985.2255718507195</v>
      </c>
      <c r="J28" s="3">
        <f t="shared" si="11"/>
        <v>12224.144750738758</v>
      </c>
      <c r="K28" s="122">
        <f t="shared" si="3"/>
        <v>1127.4359973869825</v>
      </c>
      <c r="L28" s="122">
        <f t="shared" si="8"/>
        <v>158.11388442253497</v>
      </c>
      <c r="M28" s="122">
        <f t="shared" si="4"/>
        <v>130813.0139143953</v>
      </c>
      <c r="N28" s="218">
        <f t="shared" si="5"/>
        <v>11.490751885030337</v>
      </c>
      <c r="O28">
        <f t="shared" si="6"/>
        <v>25</v>
      </c>
      <c r="Q28" t="str">
        <f t="shared" si="7"/>
        <v>[*]25[|]1127[|]158[|]130813[|]275:46:41h</v>
      </c>
    </row>
    <row r="29" spans="1:17" x14ac:dyDescent="0.25">
      <c r="A29">
        <v>26</v>
      </c>
      <c r="B29" s="3">
        <f t="shared" si="9"/>
        <v>13234.889800848441</v>
      </c>
      <c r="C29" s="3">
        <f t="shared" si="9"/>
        <v>25586.234772613738</v>
      </c>
      <c r="D29" s="3">
        <f t="shared" si="9"/>
        <v>20661.863364186946</v>
      </c>
      <c r="E29" s="3">
        <f t="shared" si="10"/>
        <v>26055.887452022449</v>
      </c>
      <c r="F29" s="3">
        <f t="shared" si="10"/>
        <v>17833.358579987744</v>
      </c>
      <c r="G29" s="3">
        <f t="shared" si="10"/>
        <v>28227.211406357648</v>
      </c>
      <c r="H29" s="3">
        <f t="shared" si="11"/>
        <v>9578.4178122781432</v>
      </c>
      <c r="I29" s="3">
        <f t="shared" si="11"/>
        <v>8661.6797090948912</v>
      </c>
      <c r="J29" s="3">
        <f t="shared" si="11"/>
        <v>15157.93949091606</v>
      </c>
      <c r="K29" s="122">
        <f t="shared" si="3"/>
        <v>1311.3411024087525</v>
      </c>
      <c r="L29" s="122">
        <f t="shared" si="8"/>
        <v>183.90510502176994</v>
      </c>
      <c r="M29" s="122">
        <f t="shared" si="4"/>
        <v>164997.48238830606</v>
      </c>
      <c r="N29" s="218">
        <f t="shared" si="5"/>
        <v>12.460946636398756</v>
      </c>
      <c r="O29">
        <f t="shared" si="6"/>
        <v>26</v>
      </c>
      <c r="Q29" t="str">
        <f t="shared" si="7"/>
        <v>[*]26[|]1311[|]184[|]164997[|]299:03:46h</v>
      </c>
    </row>
    <row r="30" spans="1:17" x14ac:dyDescent="0.25">
      <c r="A30">
        <v>27</v>
      </c>
      <c r="B30" s="3">
        <f t="shared" si="9"/>
        <v>16543.612251060553</v>
      </c>
      <c r="C30" s="3">
        <f t="shared" si="9"/>
        <v>32494.518161219446</v>
      </c>
      <c r="D30" s="3">
        <f t="shared" si="9"/>
        <v>25868.652931962057</v>
      </c>
      <c r="E30" s="3">
        <f t="shared" si="10"/>
        <v>33221.256501328622</v>
      </c>
      <c r="F30" s="3">
        <f t="shared" si="10"/>
        <v>22559.198603684494</v>
      </c>
      <c r="G30" s="3">
        <f t="shared" si="10"/>
        <v>35989.694543106001</v>
      </c>
      <c r="H30" s="3">
        <f t="shared" si="11"/>
        <v>11925.130176286289</v>
      </c>
      <c r="I30" s="3">
        <f t="shared" si="11"/>
        <v>10740.482839277665</v>
      </c>
      <c r="J30" s="3">
        <f t="shared" si="11"/>
        <v>18795.844968735913</v>
      </c>
      <c r="K30" s="122">
        <f t="shared" si="3"/>
        <v>1525.2444403514635</v>
      </c>
      <c r="L30" s="122">
        <f t="shared" si="8"/>
        <v>213.903337942711</v>
      </c>
      <c r="M30" s="122">
        <f t="shared" si="4"/>
        <v>208138.39097666103</v>
      </c>
      <c r="N30" s="218">
        <f t="shared" si="5"/>
        <v>13.514566970250808</v>
      </c>
      <c r="O30">
        <f t="shared" si="6"/>
        <v>27</v>
      </c>
      <c r="Q30" t="str">
        <f t="shared" si="7"/>
        <v>[*]27[|]1525[|]214[|]208138[|]324:20:59h</v>
      </c>
    </row>
    <row r="31" spans="1:17" x14ac:dyDescent="0.25">
      <c r="A31">
        <v>28</v>
      </c>
      <c r="B31" s="3">
        <f t="shared" si="9"/>
        <v>20679.51531382569</v>
      </c>
      <c r="C31" s="3">
        <f t="shared" si="9"/>
        <v>41268.038064748696</v>
      </c>
      <c r="D31" s="3">
        <f t="shared" si="9"/>
        <v>32387.553470816496</v>
      </c>
      <c r="E31" s="3">
        <f t="shared" si="10"/>
        <v>42357.102039193989</v>
      </c>
      <c r="F31" s="3">
        <f t="shared" si="10"/>
        <v>28537.386233660884</v>
      </c>
      <c r="G31" s="3">
        <f t="shared" si="10"/>
        <v>45886.860542460148</v>
      </c>
      <c r="H31" s="3">
        <f t="shared" si="11"/>
        <v>14846.787069476431</v>
      </c>
      <c r="I31" s="3">
        <f t="shared" si="11"/>
        <v>13318.198720704306</v>
      </c>
      <c r="J31" s="3">
        <f t="shared" si="11"/>
        <v>23306.847761232533</v>
      </c>
      <c r="K31" s="122">
        <f t="shared" si="3"/>
        <v>1774.0392629727135</v>
      </c>
      <c r="L31" s="122">
        <f t="shared" si="8"/>
        <v>248.79482262124998</v>
      </c>
      <c r="M31" s="122">
        <f t="shared" si="4"/>
        <v>262588.28921611916</v>
      </c>
      <c r="N31" s="218">
        <f t="shared" si="5"/>
        <v>14.658904610720777</v>
      </c>
      <c r="O31">
        <f t="shared" si="6"/>
        <v>28</v>
      </c>
      <c r="Q31" t="str">
        <f t="shared" si="7"/>
        <v>[*]28[|]1774[|]249[|]262588[|]351:48:49h</v>
      </c>
    </row>
    <row r="32" spans="1:17" x14ac:dyDescent="0.25">
      <c r="A32">
        <v>29</v>
      </c>
      <c r="B32" s="3">
        <f t="shared" si="9"/>
        <v>25849.394142282112</v>
      </c>
      <c r="C32" s="3">
        <f t="shared" si="9"/>
        <v>52410.408342230847</v>
      </c>
      <c r="D32" s="3">
        <f t="shared" si="9"/>
        <v>40549.216945462256</v>
      </c>
      <c r="E32" s="3">
        <f t="shared" si="10"/>
        <v>54005.305099972335</v>
      </c>
      <c r="F32" s="3">
        <f t="shared" si="10"/>
        <v>36099.793585581014</v>
      </c>
      <c r="G32" s="3">
        <f t="shared" si="10"/>
        <v>58505.747191636685</v>
      </c>
      <c r="H32" s="3">
        <f t="shared" si="11"/>
        <v>18484.249901498159</v>
      </c>
      <c r="I32" s="3">
        <f t="shared" si="11"/>
        <v>16514.566413673339</v>
      </c>
      <c r="J32" s="3">
        <f t="shared" si="11"/>
        <v>28900.49122392834</v>
      </c>
      <c r="K32" s="122">
        <f t="shared" si="3"/>
        <v>2063.416999470297</v>
      </c>
      <c r="L32" s="122">
        <f t="shared" si="8"/>
        <v>289.37773649758356</v>
      </c>
      <c r="M32" s="122">
        <f t="shared" si="4"/>
        <v>331319.17284626508</v>
      </c>
      <c r="N32" s="218">
        <f t="shared" si="5"/>
        <v>15.901897755215781</v>
      </c>
      <c r="O32">
        <f t="shared" si="6"/>
        <v>29</v>
      </c>
      <c r="Q32" t="str">
        <f t="shared" si="7"/>
        <v>[*]29[|]2063[|]289[|]331319[|]381:38:44h</v>
      </c>
    </row>
    <row r="33" spans="1:17" x14ac:dyDescent="0.25">
      <c r="A33">
        <v>30</v>
      </c>
      <c r="B33" s="3">
        <f t="shared" si="9"/>
        <v>32311.742677852639</v>
      </c>
      <c r="C33" s="3">
        <f t="shared" si="9"/>
        <v>66561.218594633174</v>
      </c>
      <c r="D33" s="3">
        <f t="shared" si="9"/>
        <v>50767.619615718744</v>
      </c>
      <c r="E33" s="3">
        <f t="shared" si="10"/>
        <v>68856.764002464726</v>
      </c>
      <c r="F33" s="3">
        <f t="shared" si="10"/>
        <v>45666.23888575998</v>
      </c>
      <c r="G33" s="3">
        <f t="shared" si="10"/>
        <v>74594.827669336766</v>
      </c>
      <c r="H33" s="3">
        <f t="shared" si="11"/>
        <v>23012.891127365208</v>
      </c>
      <c r="I33" s="3">
        <f t="shared" si="11"/>
        <v>20478.062352954941</v>
      </c>
      <c r="J33" s="3">
        <f t="shared" si="11"/>
        <v>35836.609117671142</v>
      </c>
      <c r="K33" s="122">
        <f t="shared" si="3"/>
        <v>2399.9974535898937</v>
      </c>
      <c r="L33" s="122">
        <f t="shared" si="8"/>
        <v>336.58045411959665</v>
      </c>
      <c r="M33" s="122">
        <f t="shared" si="4"/>
        <v>418085.97404375731</v>
      </c>
      <c r="N33" s="218">
        <f t="shared" si="5"/>
        <v>17.252189093052102</v>
      </c>
      <c r="O33">
        <f t="shared" si="6"/>
        <v>30</v>
      </c>
      <c r="Q33" t="str">
        <f t="shared" si="7"/>
        <v>[*]30[|]2400[|]337[|]418086[|]414:03:09h</v>
      </c>
    </row>
    <row r="34" spans="1:17" x14ac:dyDescent="0.25">
      <c r="M34" s="61"/>
      <c r="Q34" t="s">
        <v>351</v>
      </c>
    </row>
  </sheetData>
  <mergeCells count="3">
    <mergeCell ref="B1:D1"/>
    <mergeCell ref="E1:G1"/>
    <mergeCell ref="H1:J1"/>
  </mergeCells>
  <pageMargins left="0.7" right="0.7" top="0.78740157499999996" bottom="0.78740157499999996"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
  <sheetViews>
    <sheetView zoomScaleNormal="100" workbookViewId="0">
      <selection activeCell="M6" sqref="M6"/>
    </sheetView>
  </sheetViews>
  <sheetFormatPr baseColWidth="10" defaultRowHeight="15" x14ac:dyDescent="0.25"/>
  <cols>
    <col min="1" max="1" width="3.7109375" bestFit="1" customWidth="1"/>
    <col min="2" max="4" width="3.85546875" bestFit="1" customWidth="1"/>
    <col min="5" max="14" width="5" bestFit="1" customWidth="1"/>
    <col min="15" max="15" width="4.5703125" bestFit="1" customWidth="1"/>
    <col min="16" max="22" width="5" bestFit="1" customWidth="1"/>
    <col min="23" max="23" width="5" customWidth="1"/>
    <col min="24" max="24" width="9.5703125" bestFit="1" customWidth="1"/>
    <col min="25" max="25" width="14.42578125" bestFit="1" customWidth="1"/>
    <col min="26" max="26" width="4.85546875" customWidth="1"/>
    <col min="27" max="27" width="30.5703125" bestFit="1" customWidth="1"/>
    <col min="28" max="28" width="15.140625" customWidth="1"/>
    <col min="30" max="30" width="10.5703125" bestFit="1" customWidth="1"/>
    <col min="31" max="31" width="10.85546875" bestFit="1" customWidth="1"/>
    <col min="33" max="33" width="10.140625" bestFit="1" customWidth="1"/>
    <col min="34" max="34" width="10.85546875" bestFit="1" customWidth="1"/>
  </cols>
  <sheetData>
    <row r="1" spans="1:39" ht="15.75" thickBot="1" x14ac:dyDescent="0.3">
      <c r="D1" s="76"/>
      <c r="E1" s="438" t="s">
        <v>136</v>
      </c>
      <c r="F1" s="438"/>
      <c r="G1" s="438"/>
      <c r="H1" s="4">
        <v>1</v>
      </c>
      <c r="J1" s="438" t="s">
        <v>135</v>
      </c>
      <c r="K1" s="438"/>
      <c r="L1" s="438"/>
      <c r="M1" s="438"/>
      <c r="N1" s="438"/>
      <c r="O1" s="376">
        <f>IF(T1=AM3,VLOOKUP(H1,$AD$1:AE11,2,FALSE),IF(T1=AM2,VLOOKUP(H1,$AG$1:$AH$4,2,FALSE),VLOOKUP(H1,$AJ$1:$AK$2,2,FALSE)))</f>
        <v>2</v>
      </c>
      <c r="Q1" s="438" t="s">
        <v>128</v>
      </c>
      <c r="R1" s="438"/>
      <c r="S1" s="438"/>
      <c r="T1" s="461" t="s">
        <v>132</v>
      </c>
      <c r="U1" s="461"/>
      <c r="AD1" t="s">
        <v>129</v>
      </c>
      <c r="AE1" t="s">
        <v>111</v>
      </c>
      <c r="AG1" t="s">
        <v>130</v>
      </c>
      <c r="AH1" t="s">
        <v>111</v>
      </c>
      <c r="AJ1" t="s">
        <v>131</v>
      </c>
      <c r="AK1" t="s">
        <v>111</v>
      </c>
      <c r="AM1" t="s">
        <v>132</v>
      </c>
    </row>
    <row r="2" spans="1:39" ht="21.75" thickBot="1" x14ac:dyDescent="0.4">
      <c r="C2" s="462" t="s">
        <v>113</v>
      </c>
      <c r="D2" s="462"/>
      <c r="E2" s="462"/>
      <c r="F2" s="462"/>
      <c r="G2" s="462"/>
      <c r="H2" s="462"/>
      <c r="I2" s="462"/>
      <c r="J2" s="462"/>
      <c r="K2" s="462"/>
      <c r="L2" s="462"/>
      <c r="M2" s="462"/>
      <c r="N2" s="462"/>
      <c r="O2" s="462"/>
      <c r="P2" s="462"/>
      <c r="Q2" s="462"/>
      <c r="R2" s="462"/>
      <c r="S2" s="462"/>
      <c r="T2" s="462"/>
      <c r="U2" s="462"/>
      <c r="V2" s="462"/>
      <c r="W2" s="136"/>
      <c r="X2" s="459" t="s">
        <v>137</v>
      </c>
      <c r="Y2" s="457" t="s">
        <v>141</v>
      </c>
      <c r="Z2" s="136"/>
      <c r="AA2" s="463" t="s">
        <v>143</v>
      </c>
      <c r="AB2" s="464"/>
      <c r="AD2">
        <v>1</v>
      </c>
      <c r="AE2" s="77">
        <v>2</v>
      </c>
      <c r="AF2">
        <v>2</v>
      </c>
      <c r="AG2">
        <v>1</v>
      </c>
      <c r="AH2">
        <v>2</v>
      </c>
      <c r="AJ2">
        <v>1</v>
      </c>
      <c r="AK2">
        <v>2</v>
      </c>
      <c r="AM2" t="s">
        <v>133</v>
      </c>
    </row>
    <row r="3" spans="1:39" x14ac:dyDescent="0.25">
      <c r="A3" s="456" t="s">
        <v>112</v>
      </c>
      <c r="C3" s="61">
        <v>0.5</v>
      </c>
      <c r="D3" s="61">
        <v>1.5</v>
      </c>
      <c r="E3" s="61">
        <v>2.5</v>
      </c>
      <c r="F3" s="61">
        <v>3.5</v>
      </c>
      <c r="G3" s="61">
        <v>4.5</v>
      </c>
      <c r="H3" s="61">
        <v>5.5</v>
      </c>
      <c r="I3" s="61">
        <v>6.5</v>
      </c>
      <c r="J3" s="61">
        <v>7.5</v>
      </c>
      <c r="K3" s="61">
        <v>8.5</v>
      </c>
      <c r="L3" s="61">
        <v>9.5</v>
      </c>
      <c r="M3" s="61">
        <v>10.5</v>
      </c>
      <c r="N3" s="61">
        <v>11.5</v>
      </c>
      <c r="O3" s="61">
        <v>12.5</v>
      </c>
      <c r="P3" s="61">
        <v>13.5</v>
      </c>
      <c r="Q3" s="61">
        <v>14.5</v>
      </c>
      <c r="R3" s="61">
        <v>15.5</v>
      </c>
      <c r="S3" s="61">
        <v>16.5</v>
      </c>
      <c r="T3" s="61">
        <v>17.5</v>
      </c>
      <c r="U3" s="61">
        <v>18.5</v>
      </c>
      <c r="V3" s="61">
        <v>19.5</v>
      </c>
      <c r="W3" s="61"/>
      <c r="X3" s="460"/>
      <c r="Y3" s="458"/>
      <c r="AA3" s="100" t="s">
        <v>138</v>
      </c>
      <c r="AB3" s="140">
        <v>36</v>
      </c>
      <c r="AD3">
        <v>2</v>
      </c>
      <c r="AE3" s="77">
        <v>2.0922000000000001</v>
      </c>
      <c r="AF3">
        <v>2</v>
      </c>
      <c r="AG3">
        <v>2</v>
      </c>
      <c r="AH3">
        <v>2.5</v>
      </c>
      <c r="AM3" t="s">
        <v>134</v>
      </c>
    </row>
    <row r="4" spans="1:39" x14ac:dyDescent="0.25">
      <c r="A4" s="456"/>
      <c r="B4">
        <v>1</v>
      </c>
      <c r="C4" s="139">
        <f>ROUNDUP((C$3*$AE$14*(($AE$15)^$B4))/$O$1,0)</f>
        <v>3</v>
      </c>
      <c r="X4" s="81">
        <v>1</v>
      </c>
      <c r="Y4" s="82">
        <v>3</v>
      </c>
      <c r="AA4" s="81" t="s">
        <v>139</v>
      </c>
      <c r="AB4" s="141">
        <v>1</v>
      </c>
      <c r="AD4">
        <v>3</v>
      </c>
      <c r="AE4" s="77">
        <v>2.1886504200000001</v>
      </c>
      <c r="AF4">
        <v>2</v>
      </c>
      <c r="AG4">
        <v>3</v>
      </c>
      <c r="AH4">
        <v>3</v>
      </c>
    </row>
    <row r="5" spans="1:39" ht="15.75" thickBot="1" x14ac:dyDescent="0.3">
      <c r="A5" s="456"/>
      <c r="B5">
        <v>2</v>
      </c>
      <c r="C5" s="139">
        <f t="shared" ref="C5:R23" si="0">ROUNDUP((C$3*$AE$14*(($AE$15)^$B5))/$O$1,0)</f>
        <v>3</v>
      </c>
      <c r="D5">
        <f t="shared" si="0"/>
        <v>8</v>
      </c>
      <c r="X5" s="81">
        <v>2</v>
      </c>
      <c r="Y5" s="82">
        <v>3</v>
      </c>
      <c r="AA5" s="88" t="s">
        <v>140</v>
      </c>
      <c r="AB5" s="341">
        <f>AB3+AB4*AB3</f>
        <v>72</v>
      </c>
      <c r="AD5">
        <v>4</v>
      </c>
      <c r="AE5" s="77">
        <v>2.289547204362</v>
      </c>
      <c r="AF5">
        <v>2</v>
      </c>
    </row>
    <row r="6" spans="1:39" ht="15.75" thickBot="1" x14ac:dyDescent="0.3">
      <c r="A6" s="456"/>
      <c r="B6">
        <v>3</v>
      </c>
      <c r="C6">
        <f t="shared" si="0"/>
        <v>3</v>
      </c>
      <c r="D6" s="139">
        <f t="shared" si="0"/>
        <v>8</v>
      </c>
      <c r="E6">
        <f t="shared" si="0"/>
        <v>13</v>
      </c>
      <c r="X6" s="81">
        <v>3</v>
      </c>
      <c r="Y6" s="82">
        <v>8</v>
      </c>
      <c r="AD6">
        <v>5</v>
      </c>
      <c r="AE6" s="77">
        <v>2.3950953304830884</v>
      </c>
      <c r="AF6">
        <v>2</v>
      </c>
    </row>
    <row r="7" spans="1:39" ht="15.75" thickBot="1" x14ac:dyDescent="0.3">
      <c r="A7" s="456"/>
      <c r="B7">
        <v>4</v>
      </c>
      <c r="C7">
        <f t="shared" si="0"/>
        <v>3</v>
      </c>
      <c r="D7" s="139">
        <f t="shared" si="0"/>
        <v>9</v>
      </c>
      <c r="E7">
        <f t="shared" si="0"/>
        <v>15</v>
      </c>
      <c r="F7">
        <f t="shared" si="0"/>
        <v>20</v>
      </c>
      <c r="X7" s="81">
        <v>4</v>
      </c>
      <c r="Y7" s="82">
        <v>9</v>
      </c>
      <c r="AA7" s="405" t="s">
        <v>144</v>
      </c>
      <c r="AB7" s="407"/>
      <c r="AD7">
        <v>6</v>
      </c>
      <c r="AE7" s="77">
        <v>2.5055092252183591</v>
      </c>
      <c r="AF7">
        <v>3</v>
      </c>
    </row>
    <row r="8" spans="1:39" x14ac:dyDescent="0.25">
      <c r="A8" s="456"/>
      <c r="B8">
        <v>5</v>
      </c>
      <c r="C8">
        <f t="shared" si="0"/>
        <v>4</v>
      </c>
      <c r="D8">
        <f t="shared" si="0"/>
        <v>10</v>
      </c>
      <c r="E8" s="139">
        <f t="shared" si="0"/>
        <v>16</v>
      </c>
      <c r="F8">
        <f t="shared" si="0"/>
        <v>22</v>
      </c>
      <c r="G8">
        <f t="shared" si="0"/>
        <v>28</v>
      </c>
      <c r="X8" s="81">
        <v>5</v>
      </c>
      <c r="Y8" s="82">
        <v>16</v>
      </c>
      <c r="AA8" s="100" t="s">
        <v>138</v>
      </c>
      <c r="AB8" s="140">
        <v>600</v>
      </c>
      <c r="AD8">
        <v>7</v>
      </c>
      <c r="AE8" s="77">
        <v>2.6210132005009257</v>
      </c>
      <c r="AF8">
        <v>3</v>
      </c>
    </row>
    <row r="9" spans="1:39" x14ac:dyDescent="0.25">
      <c r="A9" s="456"/>
      <c r="B9">
        <v>6</v>
      </c>
      <c r="C9">
        <f t="shared" si="0"/>
        <v>4</v>
      </c>
      <c r="D9">
        <f t="shared" si="0"/>
        <v>11</v>
      </c>
      <c r="E9" s="139">
        <f t="shared" si="0"/>
        <v>17</v>
      </c>
      <c r="F9">
        <f t="shared" si="0"/>
        <v>24</v>
      </c>
      <c r="G9">
        <f t="shared" si="0"/>
        <v>31</v>
      </c>
      <c r="H9">
        <f t="shared" si="0"/>
        <v>37</v>
      </c>
      <c r="X9" s="81">
        <v>6</v>
      </c>
      <c r="Y9" s="82">
        <v>17</v>
      </c>
      <c r="AA9" s="81" t="s">
        <v>145</v>
      </c>
      <c r="AB9" s="141">
        <v>0.1</v>
      </c>
      <c r="AD9">
        <v>8</v>
      </c>
      <c r="AE9" s="77">
        <v>2.7418419090440183</v>
      </c>
      <c r="AF9">
        <v>3</v>
      </c>
    </row>
    <row r="10" spans="1:39" ht="15.75" thickBot="1" x14ac:dyDescent="0.3">
      <c r="A10" s="456"/>
      <c r="B10">
        <v>7</v>
      </c>
      <c r="C10">
        <f t="shared" si="0"/>
        <v>4</v>
      </c>
      <c r="D10">
        <f t="shared" si="0"/>
        <v>11</v>
      </c>
      <c r="E10">
        <f t="shared" si="0"/>
        <v>19</v>
      </c>
      <c r="F10" s="139">
        <f t="shared" si="0"/>
        <v>26</v>
      </c>
      <c r="G10">
        <f t="shared" si="0"/>
        <v>33</v>
      </c>
      <c r="H10">
        <f t="shared" si="0"/>
        <v>41</v>
      </c>
      <c r="I10">
        <f t="shared" si="0"/>
        <v>48</v>
      </c>
      <c r="X10" s="81">
        <v>7</v>
      </c>
      <c r="Y10" s="82">
        <v>26</v>
      </c>
      <c r="AA10" s="88" t="s">
        <v>140</v>
      </c>
      <c r="AB10" s="341">
        <f>AB9*AB8</f>
        <v>60</v>
      </c>
      <c r="AD10">
        <v>9</v>
      </c>
      <c r="AE10" s="77">
        <v>2.8682408210509478</v>
      </c>
      <c r="AF10">
        <v>3</v>
      </c>
    </row>
    <row r="11" spans="1:39" x14ac:dyDescent="0.25">
      <c r="A11" s="456"/>
      <c r="B11">
        <v>8</v>
      </c>
      <c r="C11">
        <f t="shared" si="0"/>
        <v>4</v>
      </c>
      <c r="D11">
        <f t="shared" si="0"/>
        <v>12</v>
      </c>
      <c r="E11">
        <f t="shared" si="0"/>
        <v>20</v>
      </c>
      <c r="F11" s="139">
        <f t="shared" si="0"/>
        <v>28</v>
      </c>
      <c r="G11">
        <f t="shared" si="0"/>
        <v>36</v>
      </c>
      <c r="H11">
        <f t="shared" si="0"/>
        <v>44</v>
      </c>
      <c r="I11">
        <f t="shared" si="0"/>
        <v>52</v>
      </c>
      <c r="J11">
        <f t="shared" si="0"/>
        <v>60</v>
      </c>
      <c r="X11" s="81">
        <v>8</v>
      </c>
      <c r="Y11" s="82">
        <v>28</v>
      </c>
      <c r="AD11">
        <v>10</v>
      </c>
      <c r="AE11" s="77">
        <v>3.0004667229013964</v>
      </c>
      <c r="AF11">
        <v>3</v>
      </c>
    </row>
    <row r="12" spans="1:39" x14ac:dyDescent="0.25">
      <c r="A12" s="456"/>
      <c r="B12">
        <v>9</v>
      </c>
      <c r="C12">
        <f t="shared" si="0"/>
        <v>5</v>
      </c>
      <c r="D12">
        <f t="shared" si="0"/>
        <v>14</v>
      </c>
      <c r="E12">
        <f t="shared" si="0"/>
        <v>22</v>
      </c>
      <c r="F12">
        <f t="shared" si="0"/>
        <v>31</v>
      </c>
      <c r="G12" s="139">
        <f t="shared" si="0"/>
        <v>40</v>
      </c>
      <c r="H12">
        <f t="shared" si="0"/>
        <v>48</v>
      </c>
      <c r="I12">
        <f t="shared" si="0"/>
        <v>57</v>
      </c>
      <c r="J12">
        <f t="shared" si="0"/>
        <v>66</v>
      </c>
      <c r="K12">
        <f t="shared" si="0"/>
        <v>74</v>
      </c>
      <c r="X12" s="81">
        <v>9</v>
      </c>
      <c r="Y12" s="82">
        <v>40</v>
      </c>
    </row>
    <row r="13" spans="1:39" x14ac:dyDescent="0.25">
      <c r="A13" s="456"/>
      <c r="B13">
        <v>10</v>
      </c>
      <c r="C13">
        <f t="shared" si="0"/>
        <v>5</v>
      </c>
      <c r="D13">
        <f t="shared" si="0"/>
        <v>15</v>
      </c>
      <c r="E13">
        <f t="shared" si="0"/>
        <v>24</v>
      </c>
      <c r="F13">
        <f t="shared" si="0"/>
        <v>34</v>
      </c>
      <c r="G13" s="139">
        <f t="shared" si="0"/>
        <v>43</v>
      </c>
      <c r="H13">
        <f t="shared" si="0"/>
        <v>53</v>
      </c>
      <c r="I13">
        <f t="shared" si="0"/>
        <v>62</v>
      </c>
      <c r="J13">
        <f t="shared" si="0"/>
        <v>72</v>
      </c>
      <c r="K13">
        <f t="shared" si="0"/>
        <v>81</v>
      </c>
      <c r="L13">
        <f t="shared" si="0"/>
        <v>90</v>
      </c>
      <c r="X13" s="81">
        <v>10</v>
      </c>
      <c r="Y13" s="82">
        <v>43</v>
      </c>
    </row>
    <row r="14" spans="1:39" x14ac:dyDescent="0.25">
      <c r="A14" s="456"/>
      <c r="B14">
        <v>11</v>
      </c>
      <c r="C14">
        <f t="shared" si="0"/>
        <v>6</v>
      </c>
      <c r="D14">
        <f t="shared" si="0"/>
        <v>16</v>
      </c>
      <c r="E14">
        <f t="shared" si="0"/>
        <v>26</v>
      </c>
      <c r="F14">
        <f t="shared" si="0"/>
        <v>37</v>
      </c>
      <c r="G14">
        <f t="shared" si="0"/>
        <v>47</v>
      </c>
      <c r="H14" s="139">
        <f t="shared" si="0"/>
        <v>57</v>
      </c>
      <c r="I14">
        <f t="shared" si="0"/>
        <v>68</v>
      </c>
      <c r="J14">
        <f t="shared" si="0"/>
        <v>78</v>
      </c>
      <c r="K14">
        <f t="shared" si="0"/>
        <v>88</v>
      </c>
      <c r="L14">
        <f t="shared" si="0"/>
        <v>99</v>
      </c>
      <c r="M14">
        <f t="shared" si="0"/>
        <v>109</v>
      </c>
      <c r="X14" s="81">
        <v>11</v>
      </c>
      <c r="Y14" s="82">
        <v>57</v>
      </c>
      <c r="AE14" s="77">
        <v>8</v>
      </c>
    </row>
    <row r="15" spans="1:39" x14ac:dyDescent="0.25">
      <c r="A15" s="456"/>
      <c r="B15">
        <v>12</v>
      </c>
      <c r="C15">
        <f t="shared" si="0"/>
        <v>6</v>
      </c>
      <c r="D15">
        <f t="shared" si="0"/>
        <v>17</v>
      </c>
      <c r="E15">
        <f t="shared" si="0"/>
        <v>29</v>
      </c>
      <c r="F15">
        <f t="shared" si="0"/>
        <v>40</v>
      </c>
      <c r="G15">
        <f t="shared" si="0"/>
        <v>51</v>
      </c>
      <c r="H15" s="139">
        <f t="shared" si="0"/>
        <v>62</v>
      </c>
      <c r="I15">
        <f t="shared" si="0"/>
        <v>74</v>
      </c>
      <c r="J15">
        <f t="shared" si="0"/>
        <v>85</v>
      </c>
      <c r="K15">
        <f t="shared" si="0"/>
        <v>96</v>
      </c>
      <c r="L15">
        <f t="shared" si="0"/>
        <v>107</v>
      </c>
      <c r="M15">
        <f t="shared" si="0"/>
        <v>119</v>
      </c>
      <c r="N15">
        <f t="shared" si="0"/>
        <v>130</v>
      </c>
      <c r="X15" s="81">
        <v>12</v>
      </c>
      <c r="Y15" s="82">
        <v>62</v>
      </c>
      <c r="AE15" s="112">
        <v>1.0900000000000001</v>
      </c>
    </row>
    <row r="16" spans="1:39" x14ac:dyDescent="0.25">
      <c r="A16" s="456"/>
      <c r="B16">
        <v>13</v>
      </c>
      <c r="C16">
        <f t="shared" si="0"/>
        <v>7</v>
      </c>
      <c r="D16">
        <f t="shared" si="0"/>
        <v>19</v>
      </c>
      <c r="E16">
        <f t="shared" si="0"/>
        <v>31</v>
      </c>
      <c r="F16">
        <f t="shared" si="0"/>
        <v>43</v>
      </c>
      <c r="G16">
        <f t="shared" si="0"/>
        <v>56</v>
      </c>
      <c r="H16">
        <f t="shared" si="0"/>
        <v>68</v>
      </c>
      <c r="I16" s="139">
        <f t="shared" si="0"/>
        <v>80</v>
      </c>
      <c r="J16">
        <f t="shared" si="0"/>
        <v>92</v>
      </c>
      <c r="K16">
        <f t="shared" si="0"/>
        <v>105</v>
      </c>
      <c r="L16">
        <f t="shared" si="0"/>
        <v>117</v>
      </c>
      <c r="M16">
        <f t="shared" si="0"/>
        <v>129</v>
      </c>
      <c r="N16">
        <f t="shared" si="0"/>
        <v>142</v>
      </c>
      <c r="O16">
        <f t="shared" si="0"/>
        <v>154</v>
      </c>
      <c r="X16" s="81">
        <v>13</v>
      </c>
      <c r="Y16" s="82">
        <v>80</v>
      </c>
    </row>
    <row r="17" spans="1:25" x14ac:dyDescent="0.25">
      <c r="A17" s="456"/>
      <c r="B17">
        <v>14</v>
      </c>
      <c r="C17">
        <f t="shared" si="0"/>
        <v>7</v>
      </c>
      <c r="D17">
        <f t="shared" si="0"/>
        <v>21</v>
      </c>
      <c r="E17">
        <f t="shared" si="0"/>
        <v>34</v>
      </c>
      <c r="F17">
        <f t="shared" si="0"/>
        <v>47</v>
      </c>
      <c r="G17">
        <f t="shared" si="0"/>
        <v>61</v>
      </c>
      <c r="H17">
        <f t="shared" si="0"/>
        <v>74</v>
      </c>
      <c r="I17" s="139">
        <f t="shared" si="0"/>
        <v>87</v>
      </c>
      <c r="J17">
        <f t="shared" si="0"/>
        <v>101</v>
      </c>
      <c r="K17">
        <f t="shared" si="0"/>
        <v>114</v>
      </c>
      <c r="L17">
        <f t="shared" si="0"/>
        <v>127</v>
      </c>
      <c r="M17">
        <f t="shared" si="0"/>
        <v>141</v>
      </c>
      <c r="N17">
        <f t="shared" si="0"/>
        <v>154</v>
      </c>
      <c r="O17">
        <f t="shared" si="0"/>
        <v>168</v>
      </c>
      <c r="P17">
        <f t="shared" si="0"/>
        <v>181</v>
      </c>
      <c r="X17" s="81">
        <v>14</v>
      </c>
      <c r="Y17" s="82">
        <v>87</v>
      </c>
    </row>
    <row r="18" spans="1:25" x14ac:dyDescent="0.25">
      <c r="A18" s="456"/>
      <c r="B18">
        <v>15</v>
      </c>
      <c r="C18">
        <f t="shared" si="0"/>
        <v>8</v>
      </c>
      <c r="D18">
        <f t="shared" si="0"/>
        <v>22</v>
      </c>
      <c r="E18">
        <f t="shared" si="0"/>
        <v>37</v>
      </c>
      <c r="F18">
        <f t="shared" si="0"/>
        <v>51</v>
      </c>
      <c r="G18">
        <f t="shared" si="0"/>
        <v>66</v>
      </c>
      <c r="H18">
        <f t="shared" si="0"/>
        <v>81</v>
      </c>
      <c r="I18">
        <f t="shared" si="0"/>
        <v>95</v>
      </c>
      <c r="J18" s="139">
        <f t="shared" si="0"/>
        <v>110</v>
      </c>
      <c r="K18">
        <f t="shared" si="0"/>
        <v>124</v>
      </c>
      <c r="L18">
        <f t="shared" si="0"/>
        <v>139</v>
      </c>
      <c r="M18">
        <f t="shared" si="0"/>
        <v>153</v>
      </c>
      <c r="N18">
        <f t="shared" si="0"/>
        <v>168</v>
      </c>
      <c r="O18">
        <f t="shared" si="0"/>
        <v>183</v>
      </c>
      <c r="P18">
        <f t="shared" si="0"/>
        <v>197</v>
      </c>
      <c r="Q18">
        <f t="shared" si="0"/>
        <v>212</v>
      </c>
      <c r="X18" s="81">
        <v>15</v>
      </c>
      <c r="Y18" s="82">
        <v>110</v>
      </c>
    </row>
    <row r="19" spans="1:25" x14ac:dyDescent="0.25">
      <c r="A19" s="456"/>
      <c r="B19">
        <v>16</v>
      </c>
      <c r="C19">
        <f t="shared" si="0"/>
        <v>8</v>
      </c>
      <c r="D19">
        <f t="shared" si="0"/>
        <v>24</v>
      </c>
      <c r="E19">
        <f t="shared" si="0"/>
        <v>40</v>
      </c>
      <c r="F19">
        <f t="shared" si="0"/>
        <v>56</v>
      </c>
      <c r="G19">
        <f t="shared" si="0"/>
        <v>72</v>
      </c>
      <c r="H19">
        <f t="shared" si="0"/>
        <v>88</v>
      </c>
      <c r="I19">
        <f t="shared" si="0"/>
        <v>104</v>
      </c>
      <c r="J19" s="139">
        <f t="shared" si="0"/>
        <v>120</v>
      </c>
      <c r="K19">
        <f t="shared" si="0"/>
        <v>135</v>
      </c>
      <c r="L19">
        <f t="shared" si="0"/>
        <v>151</v>
      </c>
      <c r="M19">
        <f t="shared" si="0"/>
        <v>167</v>
      </c>
      <c r="N19">
        <f t="shared" si="0"/>
        <v>183</v>
      </c>
      <c r="O19">
        <f t="shared" si="0"/>
        <v>199</v>
      </c>
      <c r="P19">
        <f t="shared" si="0"/>
        <v>215</v>
      </c>
      <c r="Q19">
        <f t="shared" si="0"/>
        <v>231</v>
      </c>
      <c r="R19">
        <f t="shared" si="0"/>
        <v>247</v>
      </c>
      <c r="X19" s="81">
        <v>16</v>
      </c>
      <c r="Y19" s="82">
        <v>120</v>
      </c>
    </row>
    <row r="20" spans="1:25" x14ac:dyDescent="0.25">
      <c r="A20" s="456"/>
      <c r="B20">
        <v>17</v>
      </c>
      <c r="C20">
        <f t="shared" si="0"/>
        <v>9</v>
      </c>
      <c r="D20">
        <f t="shared" si="0"/>
        <v>26</v>
      </c>
      <c r="E20">
        <f t="shared" si="0"/>
        <v>44</v>
      </c>
      <c r="F20">
        <f t="shared" si="0"/>
        <v>61</v>
      </c>
      <c r="G20">
        <f t="shared" si="0"/>
        <v>78</v>
      </c>
      <c r="H20">
        <f t="shared" si="0"/>
        <v>96</v>
      </c>
      <c r="I20">
        <f t="shared" si="0"/>
        <v>113</v>
      </c>
      <c r="J20">
        <f t="shared" si="0"/>
        <v>130</v>
      </c>
      <c r="K20" s="139">
        <f t="shared" si="0"/>
        <v>148</v>
      </c>
      <c r="L20">
        <f t="shared" si="0"/>
        <v>165</v>
      </c>
      <c r="M20">
        <f t="shared" si="0"/>
        <v>182</v>
      </c>
      <c r="N20">
        <f t="shared" si="0"/>
        <v>200</v>
      </c>
      <c r="O20">
        <f t="shared" si="0"/>
        <v>217</v>
      </c>
      <c r="P20">
        <f t="shared" si="0"/>
        <v>234</v>
      </c>
      <c r="Q20">
        <f t="shared" si="0"/>
        <v>252</v>
      </c>
      <c r="R20">
        <f t="shared" si="0"/>
        <v>269</v>
      </c>
      <c r="S20">
        <f t="shared" ref="S20:V23" si="1">ROUNDUP((S$3*$AE$14*(($AE$15)^$B20))/$O$1,0)</f>
        <v>286</v>
      </c>
      <c r="X20" s="81">
        <v>17</v>
      </c>
      <c r="Y20" s="82">
        <v>148</v>
      </c>
    </row>
    <row r="21" spans="1:25" x14ac:dyDescent="0.25">
      <c r="A21" s="456"/>
      <c r="B21">
        <v>18</v>
      </c>
      <c r="C21">
        <f t="shared" si="0"/>
        <v>10</v>
      </c>
      <c r="D21">
        <f t="shared" si="0"/>
        <v>29</v>
      </c>
      <c r="E21">
        <f t="shared" si="0"/>
        <v>48</v>
      </c>
      <c r="F21">
        <f t="shared" si="0"/>
        <v>67</v>
      </c>
      <c r="G21">
        <f t="shared" si="0"/>
        <v>85</v>
      </c>
      <c r="H21">
        <f t="shared" si="0"/>
        <v>104</v>
      </c>
      <c r="I21">
        <f t="shared" si="0"/>
        <v>123</v>
      </c>
      <c r="J21">
        <f t="shared" si="0"/>
        <v>142</v>
      </c>
      <c r="K21" s="139">
        <f t="shared" si="0"/>
        <v>161</v>
      </c>
      <c r="L21">
        <f t="shared" si="0"/>
        <v>180</v>
      </c>
      <c r="M21">
        <f t="shared" si="0"/>
        <v>199</v>
      </c>
      <c r="N21">
        <f t="shared" si="0"/>
        <v>217</v>
      </c>
      <c r="O21">
        <f t="shared" si="0"/>
        <v>236</v>
      </c>
      <c r="P21">
        <f t="shared" si="0"/>
        <v>255</v>
      </c>
      <c r="Q21">
        <f t="shared" si="0"/>
        <v>274</v>
      </c>
      <c r="R21">
        <f t="shared" si="0"/>
        <v>293</v>
      </c>
      <c r="S21">
        <f t="shared" si="1"/>
        <v>312</v>
      </c>
      <c r="T21">
        <f t="shared" si="1"/>
        <v>331</v>
      </c>
      <c r="X21" s="81">
        <v>18</v>
      </c>
      <c r="Y21" s="82">
        <v>161</v>
      </c>
    </row>
    <row r="22" spans="1:25" x14ac:dyDescent="0.25">
      <c r="A22" s="456"/>
      <c r="B22">
        <v>19</v>
      </c>
      <c r="C22">
        <f t="shared" si="0"/>
        <v>11</v>
      </c>
      <c r="D22">
        <f t="shared" si="0"/>
        <v>31</v>
      </c>
      <c r="E22">
        <f t="shared" si="0"/>
        <v>52</v>
      </c>
      <c r="F22">
        <f t="shared" si="0"/>
        <v>72</v>
      </c>
      <c r="G22">
        <f t="shared" si="0"/>
        <v>93</v>
      </c>
      <c r="H22">
        <f t="shared" si="0"/>
        <v>114</v>
      </c>
      <c r="I22">
        <f t="shared" si="0"/>
        <v>134</v>
      </c>
      <c r="J22">
        <f t="shared" si="0"/>
        <v>155</v>
      </c>
      <c r="K22">
        <f t="shared" si="0"/>
        <v>175</v>
      </c>
      <c r="L22" s="139">
        <f t="shared" si="0"/>
        <v>196</v>
      </c>
      <c r="M22">
        <f t="shared" si="0"/>
        <v>216</v>
      </c>
      <c r="N22">
        <f t="shared" si="0"/>
        <v>237</v>
      </c>
      <c r="O22">
        <f t="shared" si="0"/>
        <v>258</v>
      </c>
      <c r="P22">
        <f t="shared" si="0"/>
        <v>278</v>
      </c>
      <c r="Q22">
        <f t="shared" si="0"/>
        <v>299</v>
      </c>
      <c r="R22">
        <f t="shared" si="0"/>
        <v>319</v>
      </c>
      <c r="S22">
        <f t="shared" si="1"/>
        <v>340</v>
      </c>
      <c r="T22">
        <f t="shared" si="1"/>
        <v>360</v>
      </c>
      <c r="U22">
        <f t="shared" si="1"/>
        <v>381</v>
      </c>
      <c r="X22" s="81">
        <v>19</v>
      </c>
      <c r="Y22" s="82">
        <v>196</v>
      </c>
    </row>
    <row r="23" spans="1:25" ht="15.75" thickBot="1" x14ac:dyDescent="0.3">
      <c r="A23" s="456"/>
      <c r="B23">
        <v>20</v>
      </c>
      <c r="C23">
        <f t="shared" si="0"/>
        <v>12</v>
      </c>
      <c r="D23">
        <f t="shared" si="0"/>
        <v>34</v>
      </c>
      <c r="E23">
        <f t="shared" si="0"/>
        <v>57</v>
      </c>
      <c r="F23">
        <f t="shared" si="0"/>
        <v>79</v>
      </c>
      <c r="G23">
        <f t="shared" si="0"/>
        <v>101</v>
      </c>
      <c r="H23">
        <f t="shared" si="0"/>
        <v>124</v>
      </c>
      <c r="I23">
        <f t="shared" si="0"/>
        <v>146</v>
      </c>
      <c r="J23">
        <f t="shared" si="0"/>
        <v>169</v>
      </c>
      <c r="K23">
        <f t="shared" si="0"/>
        <v>191</v>
      </c>
      <c r="L23" s="139">
        <f t="shared" si="0"/>
        <v>213</v>
      </c>
      <c r="M23">
        <f t="shared" si="0"/>
        <v>236</v>
      </c>
      <c r="N23">
        <f t="shared" si="0"/>
        <v>258</v>
      </c>
      <c r="O23">
        <f t="shared" si="0"/>
        <v>281</v>
      </c>
      <c r="P23">
        <f t="shared" si="0"/>
        <v>303</v>
      </c>
      <c r="Q23">
        <f t="shared" si="0"/>
        <v>326</v>
      </c>
      <c r="R23">
        <f t="shared" si="0"/>
        <v>348</v>
      </c>
      <c r="S23">
        <f t="shared" si="1"/>
        <v>370</v>
      </c>
      <c r="T23">
        <f t="shared" si="1"/>
        <v>393</v>
      </c>
      <c r="U23">
        <f t="shared" si="1"/>
        <v>415</v>
      </c>
      <c r="V23">
        <f t="shared" si="1"/>
        <v>438</v>
      </c>
      <c r="X23" s="88">
        <v>20</v>
      </c>
      <c r="Y23" s="89">
        <v>213</v>
      </c>
    </row>
  </sheetData>
  <mergeCells count="10">
    <mergeCell ref="AA7:AB7"/>
    <mergeCell ref="A3:A23"/>
    <mergeCell ref="Y2:Y3"/>
    <mergeCell ref="X2:X3"/>
    <mergeCell ref="E1:G1"/>
    <mergeCell ref="J1:N1"/>
    <mergeCell ref="T1:U1"/>
    <mergeCell ref="C2:V2"/>
    <mergeCell ref="AA2:AB2"/>
    <mergeCell ref="Q1:S1"/>
  </mergeCells>
  <dataValidations count="1">
    <dataValidation type="list" allowBlank="1" showInputMessage="1" showErrorMessage="1" sqref="T1">
      <formula1>$AM$1:$AM$3</formula1>
    </dataValidation>
  </dataValidations>
  <pageMargins left="0.7" right="0.7" top="0.78740157499999996" bottom="0.78740157499999996"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3"/>
  <sheetViews>
    <sheetView zoomScaleNormal="100" workbookViewId="0">
      <selection activeCell="C8" sqref="C8:C13"/>
    </sheetView>
  </sheetViews>
  <sheetFormatPr baseColWidth="10" defaultRowHeight="15" x14ac:dyDescent="0.25"/>
  <cols>
    <col min="1" max="1" width="3.7109375" bestFit="1" customWidth="1"/>
    <col min="2" max="4" width="3" bestFit="1" customWidth="1"/>
    <col min="5" max="19" width="4" bestFit="1" customWidth="1"/>
    <col min="20" max="20" width="4.28515625" customWidth="1"/>
    <col min="21" max="27" width="4" bestFit="1" customWidth="1"/>
    <col min="28" max="32" width="5" bestFit="1" customWidth="1"/>
    <col min="33" max="33" width="6.28515625" customWidth="1"/>
    <col min="34" max="34" width="6.140625" customWidth="1"/>
    <col min="35" max="35" width="10.5703125" bestFit="1" customWidth="1"/>
    <col min="36" max="36" width="10.85546875" bestFit="1" customWidth="1"/>
    <col min="38" max="38" width="10.140625" bestFit="1" customWidth="1"/>
    <col min="39" max="39" width="10.85546875" bestFit="1" customWidth="1"/>
  </cols>
  <sheetData>
    <row r="1" spans="1:44" x14ac:dyDescent="0.25">
      <c r="D1" s="76"/>
      <c r="E1" s="438" t="s">
        <v>114</v>
      </c>
      <c r="F1" s="438"/>
      <c r="G1" s="438"/>
      <c r="H1" s="4">
        <v>1</v>
      </c>
      <c r="L1" s="438" t="s">
        <v>207</v>
      </c>
      <c r="M1" s="438"/>
      <c r="N1" s="438"/>
      <c r="O1" s="438"/>
      <c r="P1" s="438"/>
      <c r="Q1" s="10">
        <f>IF(W1=AR3,VLOOKUP(H1,$AI$1:AJ11,2,FALSE),IF(W1=AR2,VLOOKUP(H1,$AL$1:$AM$4,2,FALSE),VLOOKUP(H1,$AO$1:$AP$2,2,FALSE)))</f>
        <v>100</v>
      </c>
      <c r="T1" t="s">
        <v>128</v>
      </c>
      <c r="W1" s="461" t="s">
        <v>132</v>
      </c>
      <c r="X1" s="461"/>
      <c r="AI1" t="s">
        <v>129</v>
      </c>
      <c r="AJ1" t="s">
        <v>111</v>
      </c>
      <c r="AL1" t="s">
        <v>130</v>
      </c>
      <c r="AM1" t="s">
        <v>111</v>
      </c>
      <c r="AO1" t="s">
        <v>131</v>
      </c>
      <c r="AP1" t="s">
        <v>111</v>
      </c>
      <c r="AR1" t="s">
        <v>132</v>
      </c>
    </row>
    <row r="2" spans="1:44" ht="21" x14ac:dyDescent="0.35">
      <c r="C2" s="462" t="s">
        <v>113</v>
      </c>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294"/>
      <c r="AI2">
        <v>1</v>
      </c>
      <c r="AJ2">
        <v>100</v>
      </c>
      <c r="AL2">
        <v>1</v>
      </c>
      <c r="AM2">
        <v>100</v>
      </c>
      <c r="AO2">
        <v>1</v>
      </c>
      <c r="AP2">
        <v>100</v>
      </c>
      <c r="AR2" t="s">
        <v>133</v>
      </c>
    </row>
    <row r="3" spans="1:44" x14ac:dyDescent="0.25">
      <c r="A3" s="456" t="s">
        <v>112</v>
      </c>
      <c r="C3" s="296">
        <v>0.5</v>
      </c>
      <c r="D3" s="296">
        <v>1.5</v>
      </c>
      <c r="E3" s="296">
        <v>2.5</v>
      </c>
      <c r="F3" s="296">
        <v>3.5</v>
      </c>
      <c r="G3" s="296">
        <v>4.5</v>
      </c>
      <c r="H3" s="296">
        <v>5.5</v>
      </c>
      <c r="I3" s="296">
        <v>6.5</v>
      </c>
      <c r="J3" s="296">
        <v>7.5</v>
      </c>
      <c r="K3" s="296">
        <v>8.5</v>
      </c>
      <c r="L3" s="296">
        <v>9.5</v>
      </c>
      <c r="M3" s="296">
        <v>10.5</v>
      </c>
      <c r="N3" s="296">
        <v>11.5</v>
      </c>
      <c r="O3" s="296">
        <v>12.5</v>
      </c>
      <c r="P3" s="296">
        <v>13.5</v>
      </c>
      <c r="Q3" s="296">
        <v>14.5</v>
      </c>
      <c r="R3" s="296">
        <v>15.5</v>
      </c>
      <c r="S3" s="296">
        <v>16.5</v>
      </c>
      <c r="T3" s="296">
        <v>17.5</v>
      </c>
      <c r="U3" s="296">
        <v>18.5</v>
      </c>
      <c r="V3" s="296">
        <v>19.5</v>
      </c>
      <c r="W3" s="296">
        <v>20.5</v>
      </c>
      <c r="X3" s="296">
        <v>21.5</v>
      </c>
      <c r="Y3" s="296">
        <v>22.5</v>
      </c>
      <c r="Z3" s="296">
        <v>23.5</v>
      </c>
      <c r="AA3" s="296">
        <v>24.5</v>
      </c>
      <c r="AB3" s="296">
        <v>25.5</v>
      </c>
      <c r="AC3" s="296">
        <v>26.5</v>
      </c>
      <c r="AD3" s="296">
        <v>27.5</v>
      </c>
      <c r="AE3" s="296">
        <v>28.5</v>
      </c>
      <c r="AF3" s="296">
        <v>29.5</v>
      </c>
      <c r="AG3" s="296"/>
      <c r="AI3">
        <v>2</v>
      </c>
      <c r="AJ3">
        <v>105</v>
      </c>
      <c r="AL3">
        <v>2</v>
      </c>
      <c r="AM3">
        <v>125</v>
      </c>
      <c r="AR3" t="s">
        <v>134</v>
      </c>
    </row>
    <row r="4" spans="1:44" x14ac:dyDescent="0.25">
      <c r="A4" s="456"/>
      <c r="B4" s="139">
        <v>1</v>
      </c>
      <c r="C4">
        <f>ROUNDUP((C$3*300*((1.09)^$B4))/$Q$1,0)</f>
        <v>2</v>
      </c>
      <c r="AI4">
        <v>3</v>
      </c>
      <c r="AJ4">
        <v>109</v>
      </c>
      <c r="AL4">
        <v>3</v>
      </c>
      <c r="AM4">
        <v>140</v>
      </c>
    </row>
    <row r="5" spans="1:44" x14ac:dyDescent="0.25">
      <c r="A5" s="456"/>
      <c r="B5" s="139">
        <v>2</v>
      </c>
      <c r="C5">
        <f t="shared" ref="C5:D33" si="0">ROUNDUP((C$3*300*((1.09)^$B5))/$Q$1,0)</f>
        <v>2</v>
      </c>
      <c r="D5">
        <f t="shared" si="0"/>
        <v>6</v>
      </c>
      <c r="AI5">
        <v>4</v>
      </c>
      <c r="AJ5">
        <v>114</v>
      </c>
    </row>
    <row r="6" spans="1:44" x14ac:dyDescent="0.25">
      <c r="A6" s="456"/>
      <c r="B6" s="139">
        <v>3</v>
      </c>
      <c r="C6">
        <f t="shared" si="0"/>
        <v>2</v>
      </c>
      <c r="D6">
        <f t="shared" ref="D6:L13" si="1">ROUNDUP((D$3*300*((1.09)^$B6))/$Q$1,0)</f>
        <v>6</v>
      </c>
      <c r="E6">
        <f t="shared" si="1"/>
        <v>10</v>
      </c>
      <c r="AI6">
        <v>5</v>
      </c>
      <c r="AJ6">
        <v>120</v>
      </c>
    </row>
    <row r="7" spans="1:44" x14ac:dyDescent="0.25">
      <c r="A7" s="456"/>
      <c r="B7" s="139">
        <v>4</v>
      </c>
      <c r="C7">
        <f t="shared" si="0"/>
        <v>3</v>
      </c>
      <c r="D7">
        <f t="shared" si="1"/>
        <v>7</v>
      </c>
      <c r="E7">
        <f t="shared" si="1"/>
        <v>11</v>
      </c>
      <c r="F7">
        <f t="shared" si="1"/>
        <v>15</v>
      </c>
      <c r="AI7">
        <v>6</v>
      </c>
      <c r="AJ7">
        <v>125</v>
      </c>
    </row>
    <row r="8" spans="1:44" x14ac:dyDescent="0.25">
      <c r="A8" s="456"/>
      <c r="B8" s="139">
        <v>5</v>
      </c>
      <c r="C8">
        <f t="shared" si="0"/>
        <v>3</v>
      </c>
      <c r="D8">
        <f t="shared" si="1"/>
        <v>7</v>
      </c>
      <c r="E8">
        <f t="shared" si="1"/>
        <v>12</v>
      </c>
      <c r="F8">
        <f t="shared" si="1"/>
        <v>17</v>
      </c>
      <c r="G8">
        <f t="shared" si="1"/>
        <v>21</v>
      </c>
      <c r="AI8">
        <v>7</v>
      </c>
      <c r="AJ8">
        <v>131</v>
      </c>
    </row>
    <row r="9" spans="1:44" x14ac:dyDescent="0.25">
      <c r="A9" s="456"/>
      <c r="B9" s="139">
        <v>6</v>
      </c>
      <c r="C9">
        <f t="shared" si="0"/>
        <v>3</v>
      </c>
      <c r="D9">
        <f t="shared" si="1"/>
        <v>8</v>
      </c>
      <c r="E9">
        <f t="shared" si="1"/>
        <v>13</v>
      </c>
      <c r="F9">
        <f t="shared" si="1"/>
        <v>18</v>
      </c>
      <c r="G9">
        <f t="shared" si="1"/>
        <v>23</v>
      </c>
      <c r="H9">
        <f t="shared" si="1"/>
        <v>28</v>
      </c>
      <c r="AI9">
        <v>8</v>
      </c>
      <c r="AJ9">
        <v>137</v>
      </c>
    </row>
    <row r="10" spans="1:44" x14ac:dyDescent="0.25">
      <c r="A10" s="456"/>
      <c r="B10" s="139">
        <v>7</v>
      </c>
      <c r="C10">
        <f t="shared" si="0"/>
        <v>3</v>
      </c>
      <c r="D10">
        <f t="shared" si="1"/>
        <v>9</v>
      </c>
      <c r="E10">
        <f t="shared" si="1"/>
        <v>14</v>
      </c>
      <c r="F10">
        <f t="shared" si="1"/>
        <v>20</v>
      </c>
      <c r="G10">
        <f t="shared" si="1"/>
        <v>25</v>
      </c>
      <c r="H10">
        <f t="shared" si="1"/>
        <v>31</v>
      </c>
      <c r="I10">
        <f t="shared" si="1"/>
        <v>36</v>
      </c>
      <c r="AI10">
        <v>9</v>
      </c>
      <c r="AJ10">
        <v>143</v>
      </c>
    </row>
    <row r="11" spans="1:44" x14ac:dyDescent="0.25">
      <c r="A11" s="456"/>
      <c r="B11" s="139">
        <v>8</v>
      </c>
      <c r="C11">
        <f t="shared" si="0"/>
        <v>3</v>
      </c>
      <c r="D11">
        <f t="shared" si="1"/>
        <v>9</v>
      </c>
      <c r="E11">
        <f t="shared" si="1"/>
        <v>15</v>
      </c>
      <c r="F11">
        <f t="shared" si="1"/>
        <v>21</v>
      </c>
      <c r="G11">
        <f t="shared" si="1"/>
        <v>27</v>
      </c>
      <c r="H11">
        <f t="shared" si="1"/>
        <v>33</v>
      </c>
      <c r="I11">
        <f t="shared" si="1"/>
        <v>39</v>
      </c>
      <c r="J11">
        <f t="shared" si="1"/>
        <v>45</v>
      </c>
      <c r="AI11">
        <v>10</v>
      </c>
      <c r="AJ11">
        <v>150</v>
      </c>
    </row>
    <row r="12" spans="1:44" x14ac:dyDescent="0.25">
      <c r="A12" s="456"/>
      <c r="B12" s="139">
        <v>9</v>
      </c>
      <c r="C12">
        <f t="shared" si="0"/>
        <v>4</v>
      </c>
      <c r="D12">
        <f t="shared" si="1"/>
        <v>10</v>
      </c>
      <c r="E12">
        <f t="shared" si="1"/>
        <v>17</v>
      </c>
      <c r="F12">
        <f t="shared" si="1"/>
        <v>23</v>
      </c>
      <c r="G12">
        <f t="shared" si="1"/>
        <v>30</v>
      </c>
      <c r="H12">
        <f t="shared" si="1"/>
        <v>36</v>
      </c>
      <c r="I12">
        <f t="shared" si="1"/>
        <v>43</v>
      </c>
      <c r="J12">
        <f t="shared" si="1"/>
        <v>49</v>
      </c>
      <c r="K12">
        <f t="shared" si="1"/>
        <v>56</v>
      </c>
    </row>
    <row r="13" spans="1:44" x14ac:dyDescent="0.25">
      <c r="A13" s="456"/>
      <c r="B13" s="139">
        <v>10</v>
      </c>
      <c r="C13">
        <f t="shared" si="0"/>
        <v>4</v>
      </c>
      <c r="D13">
        <f t="shared" si="1"/>
        <v>11</v>
      </c>
      <c r="E13">
        <f t="shared" si="1"/>
        <v>18</v>
      </c>
      <c r="F13">
        <f t="shared" si="1"/>
        <v>25</v>
      </c>
      <c r="G13">
        <f t="shared" si="1"/>
        <v>32</v>
      </c>
      <c r="H13">
        <f t="shared" si="1"/>
        <v>40</v>
      </c>
      <c r="I13">
        <f t="shared" si="1"/>
        <v>47</v>
      </c>
      <c r="J13">
        <f t="shared" si="1"/>
        <v>54</v>
      </c>
      <c r="K13">
        <f t="shared" si="1"/>
        <v>61</v>
      </c>
      <c r="L13">
        <f t="shared" si="1"/>
        <v>68</v>
      </c>
    </row>
    <row r="14" spans="1:44" x14ac:dyDescent="0.25">
      <c r="A14" s="456"/>
      <c r="B14" s="139">
        <v>11</v>
      </c>
      <c r="C14">
        <f t="shared" si="0"/>
        <v>4</v>
      </c>
      <c r="D14">
        <f t="shared" ref="D14:T22" si="2">ROUNDUP((D$3*300*((1.09)^$B14))/$Q$1,0)</f>
        <v>12</v>
      </c>
      <c r="E14">
        <f t="shared" si="2"/>
        <v>20</v>
      </c>
      <c r="F14">
        <f t="shared" si="2"/>
        <v>28</v>
      </c>
      <c r="G14">
        <f t="shared" si="2"/>
        <v>35</v>
      </c>
      <c r="H14">
        <f t="shared" si="2"/>
        <v>43</v>
      </c>
      <c r="I14">
        <f t="shared" si="2"/>
        <v>51</v>
      </c>
      <c r="J14">
        <f t="shared" si="2"/>
        <v>59</v>
      </c>
      <c r="K14">
        <f t="shared" si="2"/>
        <v>66</v>
      </c>
      <c r="L14">
        <f t="shared" si="2"/>
        <v>74</v>
      </c>
      <c r="M14">
        <f t="shared" si="2"/>
        <v>82</v>
      </c>
    </row>
    <row r="15" spans="1:44" x14ac:dyDescent="0.25">
      <c r="A15" s="456"/>
      <c r="B15" s="139">
        <v>12</v>
      </c>
      <c r="C15">
        <f t="shared" si="0"/>
        <v>5</v>
      </c>
      <c r="D15">
        <f t="shared" si="2"/>
        <v>13</v>
      </c>
      <c r="E15">
        <f t="shared" si="2"/>
        <v>22</v>
      </c>
      <c r="F15">
        <f t="shared" si="2"/>
        <v>30</v>
      </c>
      <c r="G15">
        <f t="shared" si="2"/>
        <v>38</v>
      </c>
      <c r="H15">
        <f t="shared" si="2"/>
        <v>47</v>
      </c>
      <c r="I15">
        <f t="shared" si="2"/>
        <v>55</v>
      </c>
      <c r="J15">
        <f t="shared" si="2"/>
        <v>64</v>
      </c>
      <c r="K15">
        <f t="shared" si="2"/>
        <v>72</v>
      </c>
      <c r="L15">
        <f t="shared" si="2"/>
        <v>81</v>
      </c>
      <c r="M15">
        <f t="shared" si="2"/>
        <v>89</v>
      </c>
      <c r="N15">
        <f t="shared" si="2"/>
        <v>98</v>
      </c>
    </row>
    <row r="16" spans="1:44" x14ac:dyDescent="0.25">
      <c r="A16" s="456"/>
      <c r="B16" s="139">
        <v>13</v>
      </c>
      <c r="C16">
        <f t="shared" si="0"/>
        <v>5</v>
      </c>
      <c r="D16">
        <f t="shared" si="2"/>
        <v>14</v>
      </c>
      <c r="E16">
        <f t="shared" si="2"/>
        <v>23</v>
      </c>
      <c r="F16">
        <f t="shared" si="2"/>
        <v>33</v>
      </c>
      <c r="G16">
        <f t="shared" si="2"/>
        <v>42</v>
      </c>
      <c r="H16">
        <f t="shared" si="2"/>
        <v>51</v>
      </c>
      <c r="I16">
        <f t="shared" si="2"/>
        <v>60</v>
      </c>
      <c r="J16">
        <f t="shared" si="2"/>
        <v>69</v>
      </c>
      <c r="K16">
        <f t="shared" si="2"/>
        <v>79</v>
      </c>
      <c r="L16">
        <f t="shared" si="2"/>
        <v>88</v>
      </c>
      <c r="M16">
        <f t="shared" si="2"/>
        <v>97</v>
      </c>
      <c r="N16">
        <f t="shared" si="2"/>
        <v>106</v>
      </c>
      <c r="O16">
        <f t="shared" si="2"/>
        <v>115</v>
      </c>
    </row>
    <row r="17" spans="1:31" x14ac:dyDescent="0.25">
      <c r="A17" s="456"/>
      <c r="B17" s="139">
        <v>14</v>
      </c>
      <c r="C17">
        <f t="shared" si="0"/>
        <v>6</v>
      </c>
      <c r="D17">
        <f t="shared" si="2"/>
        <v>16</v>
      </c>
      <c r="E17">
        <f t="shared" si="2"/>
        <v>26</v>
      </c>
      <c r="F17">
        <f t="shared" si="2"/>
        <v>36</v>
      </c>
      <c r="G17">
        <f t="shared" si="2"/>
        <v>46</v>
      </c>
      <c r="H17">
        <f t="shared" si="2"/>
        <v>56</v>
      </c>
      <c r="I17">
        <f t="shared" si="2"/>
        <v>66</v>
      </c>
      <c r="J17">
        <f t="shared" si="2"/>
        <v>76</v>
      </c>
      <c r="K17">
        <f t="shared" si="2"/>
        <v>86</v>
      </c>
      <c r="L17">
        <f t="shared" si="2"/>
        <v>96</v>
      </c>
      <c r="M17">
        <f t="shared" si="2"/>
        <v>106</v>
      </c>
      <c r="N17">
        <f t="shared" si="2"/>
        <v>116</v>
      </c>
      <c r="O17">
        <f t="shared" si="2"/>
        <v>126</v>
      </c>
      <c r="P17">
        <f t="shared" si="2"/>
        <v>136</v>
      </c>
    </row>
    <row r="18" spans="1:31" x14ac:dyDescent="0.25">
      <c r="A18" s="456"/>
      <c r="B18" s="139">
        <v>15</v>
      </c>
      <c r="C18">
        <f t="shared" si="0"/>
        <v>6</v>
      </c>
      <c r="D18">
        <f t="shared" si="2"/>
        <v>17</v>
      </c>
      <c r="E18">
        <f t="shared" si="2"/>
        <v>28</v>
      </c>
      <c r="F18">
        <f t="shared" si="2"/>
        <v>39</v>
      </c>
      <c r="G18">
        <f t="shared" si="2"/>
        <v>50</v>
      </c>
      <c r="H18">
        <f t="shared" si="2"/>
        <v>61</v>
      </c>
      <c r="I18">
        <f t="shared" si="2"/>
        <v>72</v>
      </c>
      <c r="J18">
        <f t="shared" si="2"/>
        <v>82</v>
      </c>
      <c r="K18">
        <f t="shared" si="2"/>
        <v>93</v>
      </c>
      <c r="L18">
        <f t="shared" si="2"/>
        <v>104</v>
      </c>
      <c r="M18">
        <f t="shared" si="2"/>
        <v>115</v>
      </c>
      <c r="N18">
        <f t="shared" si="2"/>
        <v>126</v>
      </c>
      <c r="O18">
        <f t="shared" si="2"/>
        <v>137</v>
      </c>
      <c r="P18">
        <f t="shared" si="2"/>
        <v>148</v>
      </c>
      <c r="Q18">
        <f t="shared" si="2"/>
        <v>159</v>
      </c>
    </row>
    <row r="19" spans="1:31" x14ac:dyDescent="0.25">
      <c r="A19" s="456"/>
      <c r="B19" s="139">
        <v>16</v>
      </c>
      <c r="C19">
        <f t="shared" si="0"/>
        <v>6</v>
      </c>
      <c r="D19">
        <f t="shared" si="2"/>
        <v>18</v>
      </c>
      <c r="E19">
        <f t="shared" si="2"/>
        <v>30</v>
      </c>
      <c r="F19">
        <f t="shared" si="2"/>
        <v>42</v>
      </c>
      <c r="G19">
        <f t="shared" si="2"/>
        <v>54</v>
      </c>
      <c r="H19">
        <f t="shared" si="2"/>
        <v>66</v>
      </c>
      <c r="I19">
        <f t="shared" si="2"/>
        <v>78</v>
      </c>
      <c r="J19">
        <f t="shared" si="2"/>
        <v>90</v>
      </c>
      <c r="K19">
        <f t="shared" si="2"/>
        <v>102</v>
      </c>
      <c r="L19">
        <f t="shared" si="2"/>
        <v>114</v>
      </c>
      <c r="M19">
        <f t="shared" si="2"/>
        <v>126</v>
      </c>
      <c r="N19">
        <f t="shared" si="2"/>
        <v>137</v>
      </c>
      <c r="O19">
        <f t="shared" si="2"/>
        <v>149</v>
      </c>
      <c r="P19">
        <f t="shared" si="2"/>
        <v>161</v>
      </c>
      <c r="Q19">
        <f t="shared" si="2"/>
        <v>173</v>
      </c>
      <c r="R19">
        <f t="shared" si="2"/>
        <v>185</v>
      </c>
    </row>
    <row r="20" spans="1:31" x14ac:dyDescent="0.25">
      <c r="A20" s="456"/>
      <c r="B20" s="139">
        <v>17</v>
      </c>
      <c r="C20">
        <f t="shared" si="0"/>
        <v>7</v>
      </c>
      <c r="D20">
        <f t="shared" si="2"/>
        <v>20</v>
      </c>
      <c r="E20">
        <f t="shared" si="2"/>
        <v>33</v>
      </c>
      <c r="F20">
        <f t="shared" si="2"/>
        <v>46</v>
      </c>
      <c r="G20">
        <f t="shared" si="2"/>
        <v>59</v>
      </c>
      <c r="H20">
        <f t="shared" si="2"/>
        <v>72</v>
      </c>
      <c r="I20">
        <f t="shared" si="2"/>
        <v>85</v>
      </c>
      <c r="J20">
        <f t="shared" si="2"/>
        <v>98</v>
      </c>
      <c r="K20">
        <f t="shared" si="2"/>
        <v>111</v>
      </c>
      <c r="L20">
        <f t="shared" si="2"/>
        <v>124</v>
      </c>
      <c r="M20">
        <f t="shared" si="2"/>
        <v>137</v>
      </c>
      <c r="N20">
        <f t="shared" si="2"/>
        <v>150</v>
      </c>
      <c r="O20">
        <f t="shared" si="2"/>
        <v>163</v>
      </c>
      <c r="P20">
        <f t="shared" si="2"/>
        <v>176</v>
      </c>
      <c r="Q20">
        <f t="shared" si="2"/>
        <v>189</v>
      </c>
      <c r="R20">
        <f t="shared" si="2"/>
        <v>202</v>
      </c>
      <c r="S20">
        <f t="shared" si="2"/>
        <v>215</v>
      </c>
    </row>
    <row r="21" spans="1:31" x14ac:dyDescent="0.25">
      <c r="A21" s="456"/>
      <c r="B21" s="139">
        <v>18</v>
      </c>
      <c r="C21">
        <f t="shared" si="0"/>
        <v>8</v>
      </c>
      <c r="D21">
        <f t="shared" si="2"/>
        <v>22</v>
      </c>
      <c r="E21">
        <f t="shared" si="2"/>
        <v>36</v>
      </c>
      <c r="F21">
        <f t="shared" si="2"/>
        <v>50</v>
      </c>
      <c r="G21">
        <f t="shared" si="2"/>
        <v>64</v>
      </c>
      <c r="H21">
        <f t="shared" si="2"/>
        <v>78</v>
      </c>
      <c r="I21">
        <f t="shared" si="2"/>
        <v>92</v>
      </c>
      <c r="J21">
        <f t="shared" si="2"/>
        <v>107</v>
      </c>
      <c r="K21">
        <f t="shared" si="2"/>
        <v>121</v>
      </c>
      <c r="L21">
        <f t="shared" si="2"/>
        <v>135</v>
      </c>
      <c r="M21">
        <f t="shared" si="2"/>
        <v>149</v>
      </c>
      <c r="N21">
        <f t="shared" si="2"/>
        <v>163</v>
      </c>
      <c r="O21">
        <f t="shared" si="2"/>
        <v>177</v>
      </c>
      <c r="P21">
        <f t="shared" si="2"/>
        <v>192</v>
      </c>
      <c r="Q21">
        <f t="shared" si="2"/>
        <v>206</v>
      </c>
      <c r="R21">
        <f t="shared" si="2"/>
        <v>220</v>
      </c>
      <c r="S21">
        <f t="shared" si="2"/>
        <v>234</v>
      </c>
      <c r="T21">
        <f t="shared" si="2"/>
        <v>248</v>
      </c>
    </row>
    <row r="22" spans="1:31" x14ac:dyDescent="0.25">
      <c r="A22" s="456"/>
      <c r="B22" s="139">
        <v>19</v>
      </c>
      <c r="C22">
        <f t="shared" si="0"/>
        <v>8</v>
      </c>
      <c r="D22">
        <f t="shared" si="2"/>
        <v>24</v>
      </c>
      <c r="E22">
        <f t="shared" si="2"/>
        <v>39</v>
      </c>
      <c r="F22">
        <f t="shared" si="2"/>
        <v>54</v>
      </c>
      <c r="G22">
        <f t="shared" ref="D22:AC30" si="3">ROUNDUP((G$3*300*((1.09)^$B22))/$Q$1,0)</f>
        <v>70</v>
      </c>
      <c r="H22">
        <f t="shared" si="3"/>
        <v>85</v>
      </c>
      <c r="I22">
        <f t="shared" si="3"/>
        <v>101</v>
      </c>
      <c r="J22">
        <f t="shared" si="3"/>
        <v>116</v>
      </c>
      <c r="K22">
        <f t="shared" si="3"/>
        <v>132</v>
      </c>
      <c r="L22">
        <f t="shared" si="3"/>
        <v>147</v>
      </c>
      <c r="M22">
        <f t="shared" si="3"/>
        <v>162</v>
      </c>
      <c r="N22">
        <f t="shared" si="3"/>
        <v>178</v>
      </c>
      <c r="O22">
        <f t="shared" si="3"/>
        <v>193</v>
      </c>
      <c r="P22">
        <f t="shared" si="3"/>
        <v>209</v>
      </c>
      <c r="Q22">
        <f t="shared" si="3"/>
        <v>224</v>
      </c>
      <c r="R22">
        <f t="shared" si="3"/>
        <v>240</v>
      </c>
      <c r="S22">
        <f t="shared" si="3"/>
        <v>255</v>
      </c>
      <c r="T22">
        <f t="shared" si="3"/>
        <v>270</v>
      </c>
      <c r="U22">
        <f t="shared" si="3"/>
        <v>286</v>
      </c>
    </row>
    <row r="23" spans="1:31" x14ac:dyDescent="0.25">
      <c r="A23" s="456"/>
      <c r="B23" s="139">
        <v>20</v>
      </c>
      <c r="C23">
        <f t="shared" si="0"/>
        <v>9</v>
      </c>
      <c r="D23">
        <f t="shared" si="3"/>
        <v>26</v>
      </c>
      <c r="E23">
        <f t="shared" si="3"/>
        <v>43</v>
      </c>
      <c r="F23">
        <f t="shared" si="3"/>
        <v>59</v>
      </c>
      <c r="G23">
        <f t="shared" si="3"/>
        <v>76</v>
      </c>
      <c r="H23">
        <f t="shared" si="3"/>
        <v>93</v>
      </c>
      <c r="I23">
        <f t="shared" si="3"/>
        <v>110</v>
      </c>
      <c r="J23">
        <f t="shared" si="3"/>
        <v>127</v>
      </c>
      <c r="K23">
        <f t="shared" si="3"/>
        <v>143</v>
      </c>
      <c r="L23">
        <f t="shared" si="3"/>
        <v>160</v>
      </c>
      <c r="M23">
        <f t="shared" si="3"/>
        <v>177</v>
      </c>
      <c r="N23">
        <f t="shared" si="3"/>
        <v>194</v>
      </c>
      <c r="O23">
        <f t="shared" si="3"/>
        <v>211</v>
      </c>
      <c r="P23">
        <f t="shared" si="3"/>
        <v>227</v>
      </c>
      <c r="Q23">
        <f t="shared" si="3"/>
        <v>244</v>
      </c>
      <c r="R23">
        <f t="shared" si="3"/>
        <v>261</v>
      </c>
      <c r="S23">
        <f t="shared" si="3"/>
        <v>278</v>
      </c>
      <c r="T23">
        <f t="shared" si="3"/>
        <v>295</v>
      </c>
      <c r="U23">
        <f t="shared" si="3"/>
        <v>312</v>
      </c>
      <c r="V23">
        <f t="shared" si="3"/>
        <v>328</v>
      </c>
    </row>
    <row r="24" spans="1:31" x14ac:dyDescent="0.25">
      <c r="A24" s="456"/>
      <c r="B24" s="139">
        <v>21</v>
      </c>
      <c r="C24">
        <f t="shared" si="0"/>
        <v>10</v>
      </c>
      <c r="D24">
        <f t="shared" si="3"/>
        <v>28</v>
      </c>
      <c r="E24">
        <f t="shared" si="3"/>
        <v>46</v>
      </c>
      <c r="F24">
        <f t="shared" si="3"/>
        <v>65</v>
      </c>
      <c r="G24">
        <f t="shared" si="3"/>
        <v>83</v>
      </c>
      <c r="H24">
        <f t="shared" si="3"/>
        <v>101</v>
      </c>
      <c r="I24">
        <f t="shared" si="3"/>
        <v>120</v>
      </c>
      <c r="J24">
        <f t="shared" si="3"/>
        <v>138</v>
      </c>
      <c r="K24">
        <f t="shared" si="3"/>
        <v>156</v>
      </c>
      <c r="L24">
        <f t="shared" si="3"/>
        <v>175</v>
      </c>
      <c r="M24">
        <f t="shared" si="3"/>
        <v>193</v>
      </c>
      <c r="N24">
        <f t="shared" si="3"/>
        <v>211</v>
      </c>
      <c r="O24">
        <f t="shared" si="3"/>
        <v>230</v>
      </c>
      <c r="P24">
        <f t="shared" si="3"/>
        <v>248</v>
      </c>
      <c r="Q24">
        <f t="shared" si="3"/>
        <v>266</v>
      </c>
      <c r="R24">
        <f t="shared" si="3"/>
        <v>285</v>
      </c>
      <c r="S24">
        <f t="shared" si="3"/>
        <v>303</v>
      </c>
      <c r="T24">
        <f t="shared" si="3"/>
        <v>321</v>
      </c>
      <c r="U24">
        <f t="shared" si="3"/>
        <v>340</v>
      </c>
      <c r="V24">
        <f t="shared" si="3"/>
        <v>358</v>
      </c>
      <c r="W24">
        <f t="shared" si="3"/>
        <v>376</v>
      </c>
    </row>
    <row r="25" spans="1:31" x14ac:dyDescent="0.25">
      <c r="A25" s="456"/>
      <c r="B25" s="139">
        <v>22</v>
      </c>
      <c r="C25">
        <f t="shared" si="0"/>
        <v>10</v>
      </c>
      <c r="D25">
        <f t="shared" si="3"/>
        <v>30</v>
      </c>
      <c r="E25">
        <f t="shared" si="3"/>
        <v>50</v>
      </c>
      <c r="F25">
        <f t="shared" si="3"/>
        <v>70</v>
      </c>
      <c r="G25">
        <f t="shared" si="3"/>
        <v>90</v>
      </c>
      <c r="H25">
        <f t="shared" si="3"/>
        <v>110</v>
      </c>
      <c r="I25">
        <f t="shared" si="3"/>
        <v>130</v>
      </c>
      <c r="J25">
        <f t="shared" si="3"/>
        <v>150</v>
      </c>
      <c r="K25">
        <f t="shared" si="3"/>
        <v>170</v>
      </c>
      <c r="L25">
        <f t="shared" si="3"/>
        <v>190</v>
      </c>
      <c r="M25">
        <f t="shared" si="3"/>
        <v>210</v>
      </c>
      <c r="N25">
        <f t="shared" si="3"/>
        <v>230</v>
      </c>
      <c r="O25">
        <f t="shared" si="3"/>
        <v>250</v>
      </c>
      <c r="P25">
        <f t="shared" si="3"/>
        <v>270</v>
      </c>
      <c r="Q25">
        <f t="shared" si="3"/>
        <v>290</v>
      </c>
      <c r="R25">
        <f t="shared" si="3"/>
        <v>310</v>
      </c>
      <c r="S25">
        <f t="shared" si="3"/>
        <v>330</v>
      </c>
      <c r="T25">
        <f t="shared" si="3"/>
        <v>350</v>
      </c>
      <c r="U25">
        <f t="shared" si="3"/>
        <v>370</v>
      </c>
      <c r="V25">
        <f t="shared" si="3"/>
        <v>390</v>
      </c>
      <c r="W25">
        <f t="shared" si="3"/>
        <v>410</v>
      </c>
      <c r="X25">
        <f t="shared" si="3"/>
        <v>430</v>
      </c>
    </row>
    <row r="26" spans="1:31" x14ac:dyDescent="0.25">
      <c r="A26" s="456"/>
      <c r="B26" s="139">
        <v>23</v>
      </c>
      <c r="C26">
        <f t="shared" si="0"/>
        <v>11</v>
      </c>
      <c r="D26">
        <f t="shared" si="3"/>
        <v>33</v>
      </c>
      <c r="E26">
        <f t="shared" si="3"/>
        <v>55</v>
      </c>
      <c r="F26">
        <f t="shared" si="3"/>
        <v>77</v>
      </c>
      <c r="G26">
        <f t="shared" si="3"/>
        <v>98</v>
      </c>
      <c r="H26">
        <f t="shared" si="3"/>
        <v>120</v>
      </c>
      <c r="I26">
        <f t="shared" si="3"/>
        <v>142</v>
      </c>
      <c r="J26">
        <f t="shared" si="3"/>
        <v>164</v>
      </c>
      <c r="K26">
        <f t="shared" si="3"/>
        <v>186</v>
      </c>
      <c r="L26">
        <f t="shared" si="3"/>
        <v>207</v>
      </c>
      <c r="M26">
        <f t="shared" si="3"/>
        <v>229</v>
      </c>
      <c r="N26">
        <f t="shared" si="3"/>
        <v>251</v>
      </c>
      <c r="O26">
        <f t="shared" si="3"/>
        <v>273</v>
      </c>
      <c r="P26">
        <f t="shared" si="3"/>
        <v>294</v>
      </c>
      <c r="Q26">
        <f t="shared" si="3"/>
        <v>316</v>
      </c>
      <c r="R26">
        <f t="shared" si="3"/>
        <v>338</v>
      </c>
      <c r="S26">
        <f t="shared" si="3"/>
        <v>360</v>
      </c>
      <c r="T26">
        <f t="shared" si="3"/>
        <v>382</v>
      </c>
      <c r="U26">
        <f t="shared" si="3"/>
        <v>403</v>
      </c>
      <c r="V26">
        <f t="shared" si="3"/>
        <v>425</v>
      </c>
      <c r="W26">
        <f t="shared" si="3"/>
        <v>447</v>
      </c>
      <c r="X26">
        <f t="shared" si="3"/>
        <v>469</v>
      </c>
      <c r="Y26">
        <f t="shared" si="3"/>
        <v>490</v>
      </c>
    </row>
    <row r="27" spans="1:31" x14ac:dyDescent="0.25">
      <c r="A27" s="456"/>
      <c r="B27" s="139">
        <v>24</v>
      </c>
      <c r="C27">
        <f t="shared" si="0"/>
        <v>12</v>
      </c>
      <c r="D27">
        <f t="shared" si="3"/>
        <v>36</v>
      </c>
      <c r="E27">
        <f t="shared" si="3"/>
        <v>60</v>
      </c>
      <c r="F27">
        <f t="shared" si="3"/>
        <v>84</v>
      </c>
      <c r="G27">
        <f t="shared" si="3"/>
        <v>107</v>
      </c>
      <c r="H27">
        <f t="shared" si="3"/>
        <v>131</v>
      </c>
      <c r="I27">
        <f t="shared" si="3"/>
        <v>155</v>
      </c>
      <c r="J27">
        <f t="shared" si="3"/>
        <v>178</v>
      </c>
      <c r="K27">
        <f t="shared" si="3"/>
        <v>202</v>
      </c>
      <c r="L27">
        <f t="shared" si="3"/>
        <v>226</v>
      </c>
      <c r="M27">
        <f t="shared" si="3"/>
        <v>250</v>
      </c>
      <c r="N27">
        <f t="shared" si="3"/>
        <v>273</v>
      </c>
      <c r="O27">
        <f t="shared" si="3"/>
        <v>297</v>
      </c>
      <c r="P27">
        <f t="shared" si="3"/>
        <v>321</v>
      </c>
      <c r="Q27">
        <f t="shared" si="3"/>
        <v>345</v>
      </c>
      <c r="R27">
        <f t="shared" si="3"/>
        <v>368</v>
      </c>
      <c r="S27">
        <f t="shared" si="3"/>
        <v>392</v>
      </c>
      <c r="T27">
        <f t="shared" si="3"/>
        <v>416</v>
      </c>
      <c r="U27">
        <f t="shared" si="3"/>
        <v>440</v>
      </c>
      <c r="V27">
        <f t="shared" si="3"/>
        <v>463</v>
      </c>
      <c r="W27">
        <f t="shared" si="3"/>
        <v>487</v>
      </c>
      <c r="X27">
        <f t="shared" si="3"/>
        <v>511</v>
      </c>
      <c r="Y27">
        <f t="shared" si="3"/>
        <v>534</v>
      </c>
      <c r="Z27">
        <f t="shared" si="3"/>
        <v>558</v>
      </c>
    </row>
    <row r="28" spans="1:31" x14ac:dyDescent="0.25">
      <c r="A28" s="456"/>
      <c r="B28" s="139">
        <v>25</v>
      </c>
      <c r="C28">
        <f t="shared" si="0"/>
        <v>13</v>
      </c>
      <c r="D28">
        <f t="shared" si="3"/>
        <v>39</v>
      </c>
      <c r="E28">
        <f t="shared" si="3"/>
        <v>65</v>
      </c>
      <c r="F28">
        <f t="shared" si="3"/>
        <v>91</v>
      </c>
      <c r="G28">
        <f t="shared" si="3"/>
        <v>117</v>
      </c>
      <c r="H28">
        <f t="shared" si="3"/>
        <v>143</v>
      </c>
      <c r="I28">
        <f t="shared" si="3"/>
        <v>169</v>
      </c>
      <c r="J28">
        <f t="shared" si="3"/>
        <v>195</v>
      </c>
      <c r="K28">
        <f t="shared" si="3"/>
        <v>220</v>
      </c>
      <c r="L28">
        <f t="shared" si="3"/>
        <v>246</v>
      </c>
      <c r="M28">
        <f t="shared" si="3"/>
        <v>272</v>
      </c>
      <c r="N28">
        <f t="shared" si="3"/>
        <v>298</v>
      </c>
      <c r="O28">
        <f t="shared" si="3"/>
        <v>324</v>
      </c>
      <c r="P28">
        <f t="shared" si="3"/>
        <v>350</v>
      </c>
      <c r="Q28">
        <f t="shared" si="3"/>
        <v>376</v>
      </c>
      <c r="R28">
        <f t="shared" si="3"/>
        <v>401</v>
      </c>
      <c r="S28">
        <f t="shared" si="3"/>
        <v>427</v>
      </c>
      <c r="T28">
        <f t="shared" si="3"/>
        <v>453</v>
      </c>
      <c r="U28">
        <f t="shared" si="3"/>
        <v>479</v>
      </c>
      <c r="V28">
        <f t="shared" si="3"/>
        <v>505</v>
      </c>
      <c r="W28">
        <f t="shared" si="3"/>
        <v>531</v>
      </c>
      <c r="X28">
        <f t="shared" si="3"/>
        <v>557</v>
      </c>
      <c r="Y28">
        <f t="shared" si="3"/>
        <v>583</v>
      </c>
      <c r="Z28">
        <f t="shared" si="3"/>
        <v>608</v>
      </c>
      <c r="AA28">
        <f t="shared" si="3"/>
        <v>634</v>
      </c>
    </row>
    <row r="29" spans="1:31" x14ac:dyDescent="0.25">
      <c r="A29" s="456"/>
      <c r="B29" s="139">
        <v>26</v>
      </c>
      <c r="C29">
        <f t="shared" si="0"/>
        <v>15</v>
      </c>
      <c r="D29">
        <f t="shared" si="3"/>
        <v>43</v>
      </c>
      <c r="E29">
        <f t="shared" si="3"/>
        <v>71</v>
      </c>
      <c r="F29">
        <f t="shared" si="3"/>
        <v>99</v>
      </c>
      <c r="G29">
        <f t="shared" si="3"/>
        <v>127</v>
      </c>
      <c r="H29">
        <f t="shared" si="3"/>
        <v>156</v>
      </c>
      <c r="I29">
        <f t="shared" si="3"/>
        <v>184</v>
      </c>
      <c r="J29">
        <f t="shared" si="3"/>
        <v>212</v>
      </c>
      <c r="K29">
        <f t="shared" si="3"/>
        <v>240</v>
      </c>
      <c r="L29">
        <f t="shared" si="3"/>
        <v>268</v>
      </c>
      <c r="M29">
        <f t="shared" si="3"/>
        <v>297</v>
      </c>
      <c r="N29">
        <f t="shared" si="3"/>
        <v>325</v>
      </c>
      <c r="O29">
        <f t="shared" si="3"/>
        <v>353</v>
      </c>
      <c r="P29">
        <f t="shared" si="3"/>
        <v>381</v>
      </c>
      <c r="Q29">
        <f t="shared" si="3"/>
        <v>409</v>
      </c>
      <c r="R29">
        <f t="shared" si="3"/>
        <v>438</v>
      </c>
      <c r="S29">
        <f t="shared" si="3"/>
        <v>466</v>
      </c>
      <c r="T29">
        <f t="shared" si="3"/>
        <v>494</v>
      </c>
      <c r="U29">
        <f t="shared" si="3"/>
        <v>522</v>
      </c>
      <c r="V29">
        <f t="shared" si="3"/>
        <v>550</v>
      </c>
      <c r="W29">
        <f t="shared" si="3"/>
        <v>579</v>
      </c>
      <c r="X29">
        <f t="shared" si="3"/>
        <v>607</v>
      </c>
      <c r="Y29">
        <f t="shared" si="3"/>
        <v>635</v>
      </c>
      <c r="Z29">
        <f t="shared" si="3"/>
        <v>663</v>
      </c>
      <c r="AA29">
        <f t="shared" si="3"/>
        <v>691</v>
      </c>
      <c r="AB29">
        <f t="shared" si="3"/>
        <v>720</v>
      </c>
    </row>
    <row r="30" spans="1:31" x14ac:dyDescent="0.25">
      <c r="A30" s="456"/>
      <c r="B30" s="139">
        <v>27</v>
      </c>
      <c r="C30">
        <f t="shared" si="0"/>
        <v>16</v>
      </c>
      <c r="D30">
        <f t="shared" si="3"/>
        <v>47</v>
      </c>
      <c r="E30">
        <f t="shared" si="3"/>
        <v>77</v>
      </c>
      <c r="F30">
        <f t="shared" si="3"/>
        <v>108</v>
      </c>
      <c r="G30">
        <f t="shared" si="3"/>
        <v>139</v>
      </c>
      <c r="H30">
        <f t="shared" si="3"/>
        <v>170</v>
      </c>
      <c r="I30">
        <f t="shared" si="3"/>
        <v>200</v>
      </c>
      <c r="J30">
        <f t="shared" si="3"/>
        <v>231</v>
      </c>
      <c r="K30">
        <f t="shared" si="3"/>
        <v>262</v>
      </c>
      <c r="L30">
        <f t="shared" si="3"/>
        <v>292</v>
      </c>
      <c r="M30">
        <f t="shared" si="3"/>
        <v>323</v>
      </c>
      <c r="N30">
        <f t="shared" si="3"/>
        <v>354</v>
      </c>
      <c r="O30">
        <f t="shared" si="3"/>
        <v>385</v>
      </c>
      <c r="P30">
        <f t="shared" si="3"/>
        <v>415</v>
      </c>
      <c r="Q30">
        <f t="shared" si="3"/>
        <v>446</v>
      </c>
      <c r="R30">
        <f t="shared" si="3"/>
        <v>477</v>
      </c>
      <c r="S30">
        <f t="shared" si="3"/>
        <v>508</v>
      </c>
      <c r="T30">
        <f t="shared" si="3"/>
        <v>538</v>
      </c>
      <c r="U30">
        <f t="shared" si="3"/>
        <v>569</v>
      </c>
      <c r="V30">
        <f t="shared" si="3"/>
        <v>600</v>
      </c>
      <c r="W30">
        <f t="shared" si="3"/>
        <v>631</v>
      </c>
      <c r="X30">
        <f t="shared" si="3"/>
        <v>661</v>
      </c>
      <c r="Y30">
        <f t="shared" si="3"/>
        <v>692</v>
      </c>
      <c r="Z30">
        <f t="shared" si="3"/>
        <v>723</v>
      </c>
      <c r="AA30">
        <f t="shared" si="3"/>
        <v>754</v>
      </c>
      <c r="AB30">
        <f t="shared" si="3"/>
        <v>784</v>
      </c>
      <c r="AC30">
        <f t="shared" si="3"/>
        <v>815</v>
      </c>
    </row>
    <row r="31" spans="1:31" x14ac:dyDescent="0.25">
      <c r="A31" s="456"/>
      <c r="B31" s="139">
        <v>28</v>
      </c>
      <c r="C31">
        <f t="shared" si="0"/>
        <v>17</v>
      </c>
      <c r="D31">
        <f t="shared" ref="D31:AF33" si="4">ROUNDUP((D$3*300*((1.09)^$B31))/$Q$1,0)</f>
        <v>51</v>
      </c>
      <c r="E31">
        <f t="shared" si="4"/>
        <v>84</v>
      </c>
      <c r="F31">
        <f t="shared" si="4"/>
        <v>118</v>
      </c>
      <c r="G31">
        <f t="shared" si="4"/>
        <v>151</v>
      </c>
      <c r="H31">
        <f t="shared" si="4"/>
        <v>185</v>
      </c>
      <c r="I31">
        <f t="shared" si="4"/>
        <v>218</v>
      </c>
      <c r="J31">
        <f t="shared" si="4"/>
        <v>252</v>
      </c>
      <c r="K31">
        <f t="shared" si="4"/>
        <v>285</v>
      </c>
      <c r="L31">
        <f t="shared" si="4"/>
        <v>319</v>
      </c>
      <c r="M31">
        <f t="shared" si="4"/>
        <v>352</v>
      </c>
      <c r="N31">
        <f t="shared" si="4"/>
        <v>386</v>
      </c>
      <c r="O31">
        <f t="shared" si="4"/>
        <v>419</v>
      </c>
      <c r="P31">
        <f t="shared" si="4"/>
        <v>453</v>
      </c>
      <c r="Q31">
        <f t="shared" si="4"/>
        <v>486</v>
      </c>
      <c r="R31">
        <f t="shared" si="4"/>
        <v>520</v>
      </c>
      <c r="S31">
        <f t="shared" si="4"/>
        <v>553</v>
      </c>
      <c r="T31">
        <f t="shared" si="4"/>
        <v>587</v>
      </c>
      <c r="U31">
        <f t="shared" si="4"/>
        <v>620</v>
      </c>
      <c r="V31">
        <f t="shared" si="4"/>
        <v>654</v>
      </c>
      <c r="W31">
        <f t="shared" si="4"/>
        <v>687</v>
      </c>
      <c r="X31">
        <f t="shared" si="4"/>
        <v>721</v>
      </c>
      <c r="Y31">
        <f t="shared" si="4"/>
        <v>754</v>
      </c>
      <c r="Z31">
        <f t="shared" si="4"/>
        <v>788</v>
      </c>
      <c r="AA31">
        <f t="shared" si="4"/>
        <v>821</v>
      </c>
      <c r="AB31">
        <f t="shared" si="4"/>
        <v>855</v>
      </c>
      <c r="AC31">
        <f t="shared" si="4"/>
        <v>888</v>
      </c>
      <c r="AD31">
        <f t="shared" si="4"/>
        <v>922</v>
      </c>
    </row>
    <row r="32" spans="1:31" x14ac:dyDescent="0.25">
      <c r="A32" s="456"/>
      <c r="B32" s="139">
        <v>29</v>
      </c>
      <c r="C32">
        <f t="shared" si="0"/>
        <v>19</v>
      </c>
      <c r="D32">
        <f t="shared" si="4"/>
        <v>55</v>
      </c>
      <c r="E32">
        <f t="shared" si="4"/>
        <v>92</v>
      </c>
      <c r="F32">
        <f t="shared" si="4"/>
        <v>128</v>
      </c>
      <c r="G32">
        <f t="shared" si="4"/>
        <v>165</v>
      </c>
      <c r="H32">
        <f t="shared" si="4"/>
        <v>201</v>
      </c>
      <c r="I32">
        <f t="shared" si="4"/>
        <v>238</v>
      </c>
      <c r="J32">
        <f t="shared" si="4"/>
        <v>274</v>
      </c>
      <c r="K32">
        <f t="shared" si="4"/>
        <v>311</v>
      </c>
      <c r="L32">
        <f t="shared" si="4"/>
        <v>347</v>
      </c>
      <c r="M32">
        <f t="shared" si="4"/>
        <v>384</v>
      </c>
      <c r="N32">
        <f t="shared" si="4"/>
        <v>420</v>
      </c>
      <c r="O32">
        <f t="shared" si="4"/>
        <v>457</v>
      </c>
      <c r="P32">
        <f t="shared" si="4"/>
        <v>493</v>
      </c>
      <c r="Q32">
        <f t="shared" si="4"/>
        <v>530</v>
      </c>
      <c r="R32">
        <f t="shared" si="4"/>
        <v>567</v>
      </c>
      <c r="S32">
        <f t="shared" si="4"/>
        <v>603</v>
      </c>
      <c r="T32">
        <f t="shared" si="4"/>
        <v>640</v>
      </c>
      <c r="U32">
        <f t="shared" si="4"/>
        <v>676</v>
      </c>
      <c r="V32">
        <f t="shared" si="4"/>
        <v>713</v>
      </c>
      <c r="W32">
        <f t="shared" si="4"/>
        <v>749</v>
      </c>
      <c r="X32">
        <f t="shared" si="4"/>
        <v>786</v>
      </c>
      <c r="Y32">
        <f t="shared" si="4"/>
        <v>822</v>
      </c>
      <c r="Z32">
        <f t="shared" si="4"/>
        <v>859</v>
      </c>
      <c r="AA32">
        <f t="shared" si="4"/>
        <v>895</v>
      </c>
      <c r="AB32">
        <f t="shared" si="4"/>
        <v>932</v>
      </c>
      <c r="AC32">
        <f t="shared" si="4"/>
        <v>968</v>
      </c>
      <c r="AD32">
        <f t="shared" si="4"/>
        <v>1005</v>
      </c>
      <c r="AE32">
        <f t="shared" si="4"/>
        <v>1041</v>
      </c>
    </row>
    <row r="33" spans="1:32" x14ac:dyDescent="0.25">
      <c r="A33" s="456"/>
      <c r="B33" s="139">
        <v>30</v>
      </c>
      <c r="C33">
        <f t="shared" si="0"/>
        <v>20</v>
      </c>
      <c r="D33">
        <f t="shared" si="4"/>
        <v>60</v>
      </c>
      <c r="E33">
        <f t="shared" si="4"/>
        <v>100</v>
      </c>
      <c r="F33">
        <f t="shared" si="4"/>
        <v>140</v>
      </c>
      <c r="G33">
        <f t="shared" si="4"/>
        <v>180</v>
      </c>
      <c r="H33">
        <f t="shared" si="4"/>
        <v>219</v>
      </c>
      <c r="I33">
        <f t="shared" si="4"/>
        <v>259</v>
      </c>
      <c r="J33">
        <f t="shared" si="4"/>
        <v>299</v>
      </c>
      <c r="K33">
        <f t="shared" si="4"/>
        <v>339</v>
      </c>
      <c r="L33">
        <f t="shared" si="4"/>
        <v>379</v>
      </c>
      <c r="M33">
        <f t="shared" si="4"/>
        <v>418</v>
      </c>
      <c r="N33">
        <f t="shared" si="4"/>
        <v>458</v>
      </c>
      <c r="O33">
        <f t="shared" si="4"/>
        <v>498</v>
      </c>
      <c r="P33">
        <f t="shared" si="4"/>
        <v>538</v>
      </c>
      <c r="Q33">
        <f t="shared" si="4"/>
        <v>578</v>
      </c>
      <c r="R33">
        <f t="shared" si="4"/>
        <v>617</v>
      </c>
      <c r="S33">
        <f t="shared" si="4"/>
        <v>657</v>
      </c>
      <c r="T33">
        <f t="shared" si="4"/>
        <v>697</v>
      </c>
      <c r="U33">
        <f t="shared" si="4"/>
        <v>737</v>
      </c>
      <c r="V33">
        <f t="shared" si="4"/>
        <v>777</v>
      </c>
      <c r="W33">
        <f t="shared" si="4"/>
        <v>816</v>
      </c>
      <c r="X33">
        <f t="shared" si="4"/>
        <v>856</v>
      </c>
      <c r="Y33">
        <f t="shared" si="4"/>
        <v>896</v>
      </c>
      <c r="Z33">
        <f t="shared" si="4"/>
        <v>936</v>
      </c>
      <c r="AA33">
        <f t="shared" si="4"/>
        <v>976</v>
      </c>
      <c r="AB33">
        <f t="shared" si="4"/>
        <v>1015</v>
      </c>
      <c r="AC33">
        <f t="shared" si="4"/>
        <v>1055</v>
      </c>
      <c r="AD33">
        <f t="shared" si="4"/>
        <v>1095</v>
      </c>
      <c r="AE33">
        <f t="shared" si="4"/>
        <v>1135</v>
      </c>
      <c r="AF33">
        <f t="shared" si="4"/>
        <v>1175</v>
      </c>
    </row>
  </sheetData>
  <mergeCells count="5">
    <mergeCell ref="A3:A33"/>
    <mergeCell ref="C2:AF2"/>
    <mergeCell ref="L1:P1"/>
    <mergeCell ref="W1:X1"/>
    <mergeCell ref="E1:G1"/>
  </mergeCells>
  <dataValidations count="1">
    <dataValidation type="list" allowBlank="1" showInputMessage="1" showErrorMessage="1" sqref="W1">
      <formula1>$AR$1:$AR$3</formula1>
    </dataValidation>
  </dataValidations>
  <pageMargins left="0.7" right="0.7" top="0.78740157499999996" bottom="0.78740157499999996"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zoomScaleNormal="100" workbookViewId="0">
      <selection activeCell="AH10" sqref="AH10"/>
    </sheetView>
  </sheetViews>
  <sheetFormatPr baseColWidth="10" defaultRowHeight="15" x14ac:dyDescent="0.25"/>
  <cols>
    <col min="1" max="1" width="3.7109375" bestFit="1" customWidth="1"/>
    <col min="2" max="3" width="3.85546875" bestFit="1" customWidth="1"/>
    <col min="4" max="15" width="4" bestFit="1" customWidth="1"/>
    <col min="16" max="19" width="5" bestFit="1" customWidth="1"/>
    <col min="20" max="20" width="5" customWidth="1"/>
    <col min="21" max="32" width="5" bestFit="1" customWidth="1"/>
    <col min="33" max="33" width="6.28515625" customWidth="1"/>
    <col min="34" max="34" width="22.140625" bestFit="1" customWidth="1"/>
    <col min="35" max="35" width="11.140625" bestFit="1" customWidth="1"/>
    <col min="36" max="36" width="6.140625" customWidth="1"/>
    <col min="37" max="37" width="10.5703125" bestFit="1" customWidth="1"/>
    <col min="38" max="38" width="10.85546875" bestFit="1" customWidth="1"/>
    <col min="40" max="40" width="10.140625" bestFit="1" customWidth="1"/>
    <col min="41" max="41" width="10.85546875" bestFit="1" customWidth="1"/>
  </cols>
  <sheetData>
    <row r="1" spans="1:46" x14ac:dyDescent="0.25">
      <c r="D1" s="76"/>
      <c r="E1" s="438" t="s">
        <v>114</v>
      </c>
      <c r="F1" s="438"/>
      <c r="G1" s="438"/>
      <c r="H1" s="4">
        <v>1</v>
      </c>
      <c r="L1" s="438" t="s">
        <v>207</v>
      </c>
      <c r="M1" s="438"/>
      <c r="N1" s="438"/>
      <c r="O1" s="438"/>
      <c r="P1" s="438"/>
      <c r="Q1" s="10">
        <f>IF(W1=AT3,VLOOKUP(H1,$AK$1:AL11,2,FALSE),IF(W1=AT2,VLOOKUP(H1,$AN$1:$AO$4,2,FALSE),VLOOKUP(H1,$AQ$1:$AR$2,2,FALSE)))</f>
        <v>100</v>
      </c>
      <c r="T1" t="s">
        <v>128</v>
      </c>
      <c r="W1" s="461" t="s">
        <v>132</v>
      </c>
      <c r="X1" s="461"/>
      <c r="AK1" t="s">
        <v>129</v>
      </c>
      <c r="AL1" t="s">
        <v>111</v>
      </c>
      <c r="AN1" t="s">
        <v>130</v>
      </c>
      <c r="AO1" t="s">
        <v>111</v>
      </c>
      <c r="AQ1" t="s">
        <v>131</v>
      </c>
      <c r="AR1" t="s">
        <v>111</v>
      </c>
      <c r="AT1" t="s">
        <v>132</v>
      </c>
    </row>
    <row r="2" spans="1:46" ht="21" x14ac:dyDescent="0.35">
      <c r="C2" s="462" t="s">
        <v>113</v>
      </c>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294"/>
      <c r="AH2" s="298"/>
      <c r="AI2" s="298"/>
      <c r="AK2">
        <v>1</v>
      </c>
      <c r="AL2">
        <v>100</v>
      </c>
      <c r="AN2">
        <v>1</v>
      </c>
      <c r="AO2">
        <v>100</v>
      </c>
      <c r="AQ2">
        <v>1</v>
      </c>
      <c r="AR2">
        <v>100</v>
      </c>
      <c r="AT2" t="s">
        <v>133</v>
      </c>
    </row>
    <row r="3" spans="1:46" ht="15.75" thickBot="1" x14ac:dyDescent="0.3">
      <c r="A3" s="456" t="s">
        <v>112</v>
      </c>
      <c r="C3" s="296">
        <v>0.5</v>
      </c>
      <c r="D3" s="296">
        <v>1.5</v>
      </c>
      <c r="E3" s="296">
        <v>2.5</v>
      </c>
      <c r="F3" s="296">
        <v>3.5</v>
      </c>
      <c r="G3" s="296">
        <v>4.5</v>
      </c>
      <c r="H3" s="296">
        <v>5.5</v>
      </c>
      <c r="I3" s="296">
        <v>6.5</v>
      </c>
      <c r="J3" s="296">
        <v>7.5</v>
      </c>
      <c r="K3" s="296">
        <v>8.5</v>
      </c>
      <c r="L3" s="296">
        <v>9.5</v>
      </c>
      <c r="M3" s="296">
        <v>10.5</v>
      </c>
      <c r="N3" s="296">
        <v>11.5</v>
      </c>
      <c r="O3" s="296">
        <v>12.5</v>
      </c>
      <c r="P3" s="296">
        <v>13.5</v>
      </c>
      <c r="Q3" s="296">
        <v>14.5</v>
      </c>
      <c r="R3" s="296">
        <v>15.5</v>
      </c>
      <c r="S3" s="296">
        <v>16.5</v>
      </c>
      <c r="T3" s="296">
        <v>17.5</v>
      </c>
      <c r="U3" s="296">
        <v>18.5</v>
      </c>
      <c r="V3" s="296">
        <v>19.5</v>
      </c>
      <c r="W3" s="296">
        <v>20.5</v>
      </c>
      <c r="X3" s="296">
        <v>21.5</v>
      </c>
      <c r="Y3" s="296">
        <v>22.5</v>
      </c>
      <c r="Z3" s="296">
        <v>23.5</v>
      </c>
      <c r="AA3" s="296">
        <v>24.5</v>
      </c>
      <c r="AB3" s="296">
        <v>25.5</v>
      </c>
      <c r="AC3" s="296">
        <v>26.5</v>
      </c>
      <c r="AD3" s="296">
        <v>27.5</v>
      </c>
      <c r="AE3" s="296">
        <v>28.5</v>
      </c>
      <c r="AF3" s="296">
        <v>29.5</v>
      </c>
      <c r="AG3" s="296"/>
      <c r="AH3" s="13"/>
      <c r="AI3" s="13"/>
      <c r="AK3">
        <v>2</v>
      </c>
      <c r="AL3">
        <v>105</v>
      </c>
      <c r="AN3">
        <v>2</v>
      </c>
      <c r="AO3">
        <v>125</v>
      </c>
      <c r="AT3" t="s">
        <v>134</v>
      </c>
    </row>
    <row r="4" spans="1:46" x14ac:dyDescent="0.25">
      <c r="A4" s="456"/>
      <c r="B4" s="139">
        <v>1</v>
      </c>
      <c r="C4">
        <f t="shared" ref="C4:Q19" si="0">ROUNDUP((C$3*600*((1.09)^$B4))/$Q$1,0)</f>
        <v>4</v>
      </c>
      <c r="AH4" s="100" t="s">
        <v>308</v>
      </c>
      <c r="AI4" s="140">
        <v>105</v>
      </c>
      <c r="AK4">
        <v>3</v>
      </c>
      <c r="AL4">
        <v>109</v>
      </c>
      <c r="AN4">
        <v>3</v>
      </c>
      <c r="AO4">
        <v>140</v>
      </c>
    </row>
    <row r="5" spans="1:46" x14ac:dyDescent="0.25">
      <c r="A5" s="456"/>
      <c r="B5" s="139">
        <v>2</v>
      </c>
      <c r="C5">
        <f t="shared" si="0"/>
        <v>4</v>
      </c>
      <c r="D5">
        <f t="shared" si="0"/>
        <v>11</v>
      </c>
      <c r="AH5" s="81" t="s">
        <v>306</v>
      </c>
      <c r="AI5" s="40" t="s">
        <v>235</v>
      </c>
      <c r="AK5">
        <v>4</v>
      </c>
      <c r="AL5">
        <v>114</v>
      </c>
    </row>
    <row r="6" spans="1:46" x14ac:dyDescent="0.25">
      <c r="A6" s="456"/>
      <c r="B6" s="139">
        <v>3</v>
      </c>
      <c r="C6">
        <f t="shared" si="0"/>
        <v>4</v>
      </c>
      <c r="D6">
        <f t="shared" si="0"/>
        <v>12</v>
      </c>
      <c r="E6">
        <f t="shared" si="0"/>
        <v>20</v>
      </c>
      <c r="AH6" s="81" t="str">
        <f>IF(AI5="Angreifer","Verluste des Angreifers","Verluste des Verteidigers")</f>
        <v>Verluste des Angreifers</v>
      </c>
      <c r="AI6" s="141">
        <v>0.1</v>
      </c>
      <c r="AK6">
        <v>5</v>
      </c>
      <c r="AL6">
        <v>120</v>
      </c>
    </row>
    <row r="7" spans="1:46" ht="15.75" thickBot="1" x14ac:dyDescent="0.3">
      <c r="A7" s="456"/>
      <c r="B7" s="139">
        <v>4</v>
      </c>
      <c r="C7">
        <f t="shared" si="0"/>
        <v>5</v>
      </c>
      <c r="D7">
        <f t="shared" si="0"/>
        <v>13</v>
      </c>
      <c r="E7">
        <f t="shared" si="0"/>
        <v>22</v>
      </c>
      <c r="F7">
        <f t="shared" si="0"/>
        <v>30</v>
      </c>
      <c r="AH7" s="88" t="s">
        <v>307</v>
      </c>
      <c r="AI7" s="341">
        <f>IF(AI5="Angreifer",(AI4)+(AI4*(1-AI6)),AI4*AI6)</f>
        <v>199.5</v>
      </c>
      <c r="AK7">
        <v>6</v>
      </c>
      <c r="AL7">
        <v>125</v>
      </c>
    </row>
    <row r="8" spans="1:46" x14ac:dyDescent="0.25">
      <c r="A8" s="456"/>
      <c r="B8" s="139">
        <v>5</v>
      </c>
      <c r="C8">
        <f t="shared" si="0"/>
        <v>5</v>
      </c>
      <c r="D8">
        <f t="shared" si="0"/>
        <v>14</v>
      </c>
      <c r="E8">
        <f t="shared" si="0"/>
        <v>24</v>
      </c>
      <c r="F8">
        <f t="shared" si="0"/>
        <v>33</v>
      </c>
      <c r="G8">
        <f t="shared" si="0"/>
        <v>42</v>
      </c>
      <c r="AH8" s="13"/>
      <c r="AI8" s="13"/>
      <c r="AK8">
        <v>7</v>
      </c>
      <c r="AL8">
        <v>131</v>
      </c>
    </row>
    <row r="9" spans="1:46" x14ac:dyDescent="0.25">
      <c r="A9" s="456"/>
      <c r="B9" s="139">
        <v>6</v>
      </c>
      <c r="C9">
        <f t="shared" si="0"/>
        <v>6</v>
      </c>
      <c r="D9">
        <f t="shared" si="0"/>
        <v>16</v>
      </c>
      <c r="E9">
        <f t="shared" si="0"/>
        <v>26</v>
      </c>
      <c r="F9">
        <f t="shared" si="0"/>
        <v>36</v>
      </c>
      <c r="G9">
        <f t="shared" si="0"/>
        <v>46</v>
      </c>
      <c r="H9">
        <f t="shared" si="0"/>
        <v>56</v>
      </c>
      <c r="AH9" s="13"/>
      <c r="AI9" s="297"/>
      <c r="AK9">
        <v>8</v>
      </c>
      <c r="AL9">
        <v>137</v>
      </c>
    </row>
    <row r="10" spans="1:46" x14ac:dyDescent="0.25">
      <c r="A10" s="456"/>
      <c r="B10" s="139">
        <v>7</v>
      </c>
      <c r="C10">
        <f t="shared" si="0"/>
        <v>6</v>
      </c>
      <c r="D10">
        <f t="shared" si="0"/>
        <v>17</v>
      </c>
      <c r="E10">
        <f t="shared" si="0"/>
        <v>28</v>
      </c>
      <c r="F10">
        <f t="shared" si="0"/>
        <v>39</v>
      </c>
      <c r="G10">
        <f t="shared" si="0"/>
        <v>50</v>
      </c>
      <c r="H10">
        <f t="shared" si="0"/>
        <v>61</v>
      </c>
      <c r="I10">
        <f t="shared" si="0"/>
        <v>72</v>
      </c>
      <c r="AH10" s="13"/>
      <c r="AI10" s="13"/>
      <c r="AK10">
        <v>9</v>
      </c>
      <c r="AL10">
        <v>143</v>
      </c>
    </row>
    <row r="11" spans="1:46" x14ac:dyDescent="0.25">
      <c r="A11" s="456"/>
      <c r="B11" s="139">
        <v>8</v>
      </c>
      <c r="C11">
        <f t="shared" si="0"/>
        <v>6</v>
      </c>
      <c r="D11">
        <f t="shared" si="0"/>
        <v>18</v>
      </c>
      <c r="E11">
        <f t="shared" si="0"/>
        <v>30</v>
      </c>
      <c r="F11">
        <f t="shared" si="0"/>
        <v>42</v>
      </c>
      <c r="G11">
        <f t="shared" si="0"/>
        <v>54</v>
      </c>
      <c r="H11">
        <f t="shared" si="0"/>
        <v>66</v>
      </c>
      <c r="I11">
        <f t="shared" si="0"/>
        <v>78</v>
      </c>
      <c r="J11">
        <f t="shared" si="0"/>
        <v>90</v>
      </c>
      <c r="AK11">
        <v>10</v>
      </c>
      <c r="AL11">
        <v>150</v>
      </c>
    </row>
    <row r="12" spans="1:46" x14ac:dyDescent="0.25">
      <c r="A12" s="456"/>
      <c r="B12" s="139">
        <v>9</v>
      </c>
      <c r="C12">
        <f t="shared" si="0"/>
        <v>7</v>
      </c>
      <c r="D12">
        <f t="shared" si="0"/>
        <v>20</v>
      </c>
      <c r="E12">
        <f t="shared" si="0"/>
        <v>33</v>
      </c>
      <c r="F12">
        <f t="shared" si="0"/>
        <v>46</v>
      </c>
      <c r="G12">
        <f t="shared" si="0"/>
        <v>59</v>
      </c>
      <c r="H12">
        <f t="shared" si="0"/>
        <v>72</v>
      </c>
      <c r="I12">
        <f t="shared" si="0"/>
        <v>85</v>
      </c>
      <c r="J12">
        <f t="shared" si="0"/>
        <v>98</v>
      </c>
      <c r="K12">
        <f t="shared" si="0"/>
        <v>111</v>
      </c>
    </row>
    <row r="13" spans="1:46" x14ac:dyDescent="0.25">
      <c r="A13" s="456"/>
      <c r="B13" s="139">
        <v>10</v>
      </c>
      <c r="C13">
        <f t="shared" si="0"/>
        <v>8</v>
      </c>
      <c r="D13">
        <f t="shared" si="0"/>
        <v>22</v>
      </c>
      <c r="E13">
        <f t="shared" si="0"/>
        <v>36</v>
      </c>
      <c r="F13">
        <f t="shared" si="0"/>
        <v>50</v>
      </c>
      <c r="G13">
        <f t="shared" si="0"/>
        <v>64</v>
      </c>
      <c r="H13">
        <f t="shared" si="0"/>
        <v>79</v>
      </c>
      <c r="I13">
        <f t="shared" si="0"/>
        <v>93</v>
      </c>
      <c r="J13">
        <f t="shared" si="0"/>
        <v>107</v>
      </c>
      <c r="K13">
        <f t="shared" si="0"/>
        <v>121</v>
      </c>
      <c r="L13">
        <f t="shared" si="0"/>
        <v>135</v>
      </c>
    </row>
    <row r="14" spans="1:46" x14ac:dyDescent="0.25">
      <c r="A14" s="456"/>
      <c r="B14" s="139">
        <v>11</v>
      </c>
      <c r="C14">
        <f t="shared" si="0"/>
        <v>8</v>
      </c>
      <c r="D14">
        <f t="shared" si="0"/>
        <v>24</v>
      </c>
      <c r="E14">
        <f t="shared" si="0"/>
        <v>39</v>
      </c>
      <c r="F14">
        <f t="shared" si="0"/>
        <v>55</v>
      </c>
      <c r="G14">
        <f t="shared" si="0"/>
        <v>70</v>
      </c>
      <c r="H14">
        <f t="shared" si="0"/>
        <v>86</v>
      </c>
      <c r="I14">
        <f t="shared" si="0"/>
        <v>101</v>
      </c>
      <c r="J14">
        <f t="shared" si="0"/>
        <v>117</v>
      </c>
      <c r="K14">
        <f t="shared" si="0"/>
        <v>132</v>
      </c>
      <c r="L14">
        <f t="shared" si="0"/>
        <v>148</v>
      </c>
      <c r="M14">
        <f t="shared" si="0"/>
        <v>163</v>
      </c>
    </row>
    <row r="15" spans="1:46" x14ac:dyDescent="0.25">
      <c r="A15" s="456"/>
      <c r="B15" s="139">
        <v>12</v>
      </c>
      <c r="C15">
        <f t="shared" si="0"/>
        <v>9</v>
      </c>
      <c r="D15">
        <f t="shared" si="0"/>
        <v>26</v>
      </c>
      <c r="E15">
        <f t="shared" si="0"/>
        <v>43</v>
      </c>
      <c r="F15">
        <f t="shared" si="0"/>
        <v>60</v>
      </c>
      <c r="G15">
        <f t="shared" si="0"/>
        <v>76</v>
      </c>
      <c r="H15">
        <f t="shared" si="0"/>
        <v>93</v>
      </c>
      <c r="I15">
        <f t="shared" si="0"/>
        <v>110</v>
      </c>
      <c r="J15">
        <f t="shared" si="0"/>
        <v>127</v>
      </c>
      <c r="K15">
        <f t="shared" si="0"/>
        <v>144</v>
      </c>
      <c r="L15">
        <f t="shared" si="0"/>
        <v>161</v>
      </c>
      <c r="M15">
        <f t="shared" si="0"/>
        <v>178</v>
      </c>
      <c r="N15">
        <f t="shared" si="0"/>
        <v>195</v>
      </c>
    </row>
    <row r="16" spans="1:46" x14ac:dyDescent="0.25">
      <c r="A16" s="456"/>
      <c r="B16" s="139">
        <v>13</v>
      </c>
      <c r="C16">
        <f t="shared" si="0"/>
        <v>10</v>
      </c>
      <c r="D16">
        <f t="shared" si="0"/>
        <v>28</v>
      </c>
      <c r="E16">
        <f t="shared" si="0"/>
        <v>46</v>
      </c>
      <c r="F16">
        <f t="shared" si="0"/>
        <v>65</v>
      </c>
      <c r="G16">
        <f t="shared" si="0"/>
        <v>83</v>
      </c>
      <c r="H16">
        <f t="shared" si="0"/>
        <v>102</v>
      </c>
      <c r="I16">
        <f t="shared" si="0"/>
        <v>120</v>
      </c>
      <c r="J16">
        <f t="shared" si="0"/>
        <v>138</v>
      </c>
      <c r="K16">
        <f t="shared" si="0"/>
        <v>157</v>
      </c>
      <c r="L16">
        <f t="shared" si="0"/>
        <v>175</v>
      </c>
      <c r="M16">
        <f t="shared" si="0"/>
        <v>194</v>
      </c>
      <c r="N16">
        <f t="shared" si="0"/>
        <v>212</v>
      </c>
      <c r="O16">
        <f t="shared" si="0"/>
        <v>230</v>
      </c>
    </row>
    <row r="17" spans="1:31" x14ac:dyDescent="0.25">
      <c r="A17" s="456"/>
      <c r="B17" s="139">
        <v>14</v>
      </c>
      <c r="C17">
        <f t="shared" si="0"/>
        <v>11</v>
      </c>
      <c r="D17">
        <f t="shared" si="0"/>
        <v>31</v>
      </c>
      <c r="E17">
        <f t="shared" si="0"/>
        <v>51</v>
      </c>
      <c r="F17">
        <f t="shared" si="0"/>
        <v>71</v>
      </c>
      <c r="G17">
        <f t="shared" si="0"/>
        <v>91</v>
      </c>
      <c r="H17">
        <f t="shared" si="0"/>
        <v>111</v>
      </c>
      <c r="I17">
        <f t="shared" si="0"/>
        <v>131</v>
      </c>
      <c r="J17">
        <f t="shared" si="0"/>
        <v>151</v>
      </c>
      <c r="K17">
        <f t="shared" si="0"/>
        <v>171</v>
      </c>
      <c r="L17">
        <f t="shared" si="0"/>
        <v>191</v>
      </c>
      <c r="M17">
        <f t="shared" si="0"/>
        <v>211</v>
      </c>
      <c r="N17">
        <f t="shared" si="0"/>
        <v>231</v>
      </c>
      <c r="O17">
        <f t="shared" si="0"/>
        <v>251</v>
      </c>
      <c r="P17">
        <f t="shared" si="0"/>
        <v>271</v>
      </c>
    </row>
    <row r="18" spans="1:31" x14ac:dyDescent="0.25">
      <c r="A18" s="456"/>
      <c r="B18" s="139">
        <v>15</v>
      </c>
      <c r="C18">
        <f t="shared" si="0"/>
        <v>11</v>
      </c>
      <c r="D18">
        <f t="shared" si="0"/>
        <v>33</v>
      </c>
      <c r="E18">
        <f t="shared" si="0"/>
        <v>55</v>
      </c>
      <c r="F18">
        <f t="shared" si="0"/>
        <v>77</v>
      </c>
      <c r="G18">
        <f t="shared" si="0"/>
        <v>99</v>
      </c>
      <c r="H18">
        <f t="shared" si="0"/>
        <v>121</v>
      </c>
      <c r="I18">
        <f t="shared" si="0"/>
        <v>143</v>
      </c>
      <c r="J18">
        <f t="shared" si="0"/>
        <v>164</v>
      </c>
      <c r="K18">
        <f t="shared" si="0"/>
        <v>186</v>
      </c>
      <c r="L18">
        <f t="shared" si="0"/>
        <v>208</v>
      </c>
      <c r="M18">
        <f t="shared" si="0"/>
        <v>230</v>
      </c>
      <c r="N18">
        <f t="shared" si="0"/>
        <v>252</v>
      </c>
      <c r="O18">
        <f t="shared" si="0"/>
        <v>274</v>
      </c>
      <c r="P18">
        <f t="shared" si="0"/>
        <v>296</v>
      </c>
      <c r="Q18">
        <f t="shared" si="0"/>
        <v>317</v>
      </c>
    </row>
    <row r="19" spans="1:31" x14ac:dyDescent="0.25">
      <c r="A19" s="456"/>
      <c r="B19" s="139">
        <v>16</v>
      </c>
      <c r="C19">
        <f t="shared" si="0"/>
        <v>12</v>
      </c>
      <c r="D19">
        <f t="shared" si="0"/>
        <v>36</v>
      </c>
      <c r="E19">
        <f t="shared" si="0"/>
        <v>60</v>
      </c>
      <c r="F19">
        <f t="shared" si="0"/>
        <v>84</v>
      </c>
      <c r="G19">
        <f t="shared" si="0"/>
        <v>108</v>
      </c>
      <c r="H19">
        <f t="shared" si="0"/>
        <v>132</v>
      </c>
      <c r="I19">
        <f t="shared" si="0"/>
        <v>155</v>
      </c>
      <c r="J19">
        <f t="shared" si="0"/>
        <v>179</v>
      </c>
      <c r="K19">
        <f t="shared" si="0"/>
        <v>203</v>
      </c>
      <c r="L19">
        <f t="shared" si="0"/>
        <v>227</v>
      </c>
      <c r="M19">
        <f t="shared" si="0"/>
        <v>251</v>
      </c>
      <c r="N19">
        <f t="shared" si="0"/>
        <v>274</v>
      </c>
      <c r="O19">
        <f t="shared" si="0"/>
        <v>298</v>
      </c>
      <c r="P19">
        <f t="shared" si="0"/>
        <v>322</v>
      </c>
      <c r="Q19">
        <f t="shared" si="0"/>
        <v>346</v>
      </c>
      <c r="R19">
        <f t="shared" ref="R19:AC30" si="1">ROUNDUP((R$3*600*((1.09)^$B19))/$Q$1,0)</f>
        <v>370</v>
      </c>
    </row>
    <row r="20" spans="1:31" x14ac:dyDescent="0.25">
      <c r="A20" s="456"/>
      <c r="B20" s="139">
        <v>17</v>
      </c>
      <c r="C20">
        <f t="shared" ref="C20:R30" si="2">ROUNDUP((C$3*600*((1.09)^$B20))/$Q$1,0)</f>
        <v>13</v>
      </c>
      <c r="D20">
        <f t="shared" si="2"/>
        <v>39</v>
      </c>
      <c r="E20">
        <f t="shared" si="2"/>
        <v>65</v>
      </c>
      <c r="F20">
        <f t="shared" si="2"/>
        <v>91</v>
      </c>
      <c r="G20">
        <f t="shared" si="2"/>
        <v>117</v>
      </c>
      <c r="H20">
        <f t="shared" si="2"/>
        <v>143</v>
      </c>
      <c r="I20">
        <f t="shared" si="2"/>
        <v>169</v>
      </c>
      <c r="J20">
        <f t="shared" si="2"/>
        <v>195</v>
      </c>
      <c r="K20">
        <f t="shared" si="2"/>
        <v>221</v>
      </c>
      <c r="L20">
        <f t="shared" si="2"/>
        <v>247</v>
      </c>
      <c r="M20">
        <f t="shared" si="2"/>
        <v>273</v>
      </c>
      <c r="N20">
        <f t="shared" si="2"/>
        <v>299</v>
      </c>
      <c r="O20">
        <f t="shared" si="2"/>
        <v>325</v>
      </c>
      <c r="P20">
        <f t="shared" si="2"/>
        <v>351</v>
      </c>
      <c r="Q20">
        <f t="shared" si="2"/>
        <v>377</v>
      </c>
      <c r="R20">
        <f t="shared" si="2"/>
        <v>403</v>
      </c>
      <c r="S20">
        <f t="shared" si="1"/>
        <v>429</v>
      </c>
    </row>
    <row r="21" spans="1:31" x14ac:dyDescent="0.25">
      <c r="A21" s="456"/>
      <c r="B21" s="139">
        <v>18</v>
      </c>
      <c r="C21">
        <f t="shared" si="2"/>
        <v>15</v>
      </c>
      <c r="D21">
        <f t="shared" si="2"/>
        <v>43</v>
      </c>
      <c r="E21">
        <f t="shared" si="2"/>
        <v>71</v>
      </c>
      <c r="F21">
        <f t="shared" si="2"/>
        <v>100</v>
      </c>
      <c r="G21">
        <f t="shared" si="2"/>
        <v>128</v>
      </c>
      <c r="H21">
        <f t="shared" si="2"/>
        <v>156</v>
      </c>
      <c r="I21">
        <f t="shared" si="2"/>
        <v>184</v>
      </c>
      <c r="J21">
        <f t="shared" si="2"/>
        <v>213</v>
      </c>
      <c r="K21">
        <f t="shared" si="2"/>
        <v>241</v>
      </c>
      <c r="L21">
        <f t="shared" si="2"/>
        <v>269</v>
      </c>
      <c r="M21">
        <f t="shared" si="2"/>
        <v>298</v>
      </c>
      <c r="N21">
        <f t="shared" si="2"/>
        <v>326</v>
      </c>
      <c r="O21">
        <f t="shared" si="2"/>
        <v>354</v>
      </c>
      <c r="P21">
        <f t="shared" si="2"/>
        <v>383</v>
      </c>
      <c r="Q21">
        <f t="shared" si="2"/>
        <v>411</v>
      </c>
      <c r="R21">
        <f t="shared" si="2"/>
        <v>439</v>
      </c>
      <c r="S21">
        <f t="shared" si="1"/>
        <v>467</v>
      </c>
      <c r="T21">
        <f t="shared" si="1"/>
        <v>496</v>
      </c>
    </row>
    <row r="22" spans="1:31" x14ac:dyDescent="0.25">
      <c r="A22" s="456"/>
      <c r="B22" s="139">
        <v>19</v>
      </c>
      <c r="C22">
        <f t="shared" si="2"/>
        <v>16</v>
      </c>
      <c r="D22">
        <f t="shared" si="2"/>
        <v>47</v>
      </c>
      <c r="E22">
        <f t="shared" si="2"/>
        <v>78</v>
      </c>
      <c r="F22">
        <f t="shared" si="2"/>
        <v>108</v>
      </c>
      <c r="G22">
        <f t="shared" si="2"/>
        <v>139</v>
      </c>
      <c r="H22">
        <f t="shared" si="2"/>
        <v>170</v>
      </c>
      <c r="I22">
        <f t="shared" si="2"/>
        <v>201</v>
      </c>
      <c r="J22">
        <f t="shared" si="2"/>
        <v>232</v>
      </c>
      <c r="K22">
        <f t="shared" si="2"/>
        <v>263</v>
      </c>
      <c r="L22">
        <f t="shared" si="2"/>
        <v>294</v>
      </c>
      <c r="M22">
        <f t="shared" si="2"/>
        <v>324</v>
      </c>
      <c r="N22">
        <f t="shared" si="2"/>
        <v>355</v>
      </c>
      <c r="O22">
        <f t="shared" si="2"/>
        <v>386</v>
      </c>
      <c r="P22">
        <f t="shared" si="2"/>
        <v>417</v>
      </c>
      <c r="Q22">
        <f t="shared" si="2"/>
        <v>448</v>
      </c>
      <c r="R22">
        <f t="shared" si="2"/>
        <v>479</v>
      </c>
      <c r="S22">
        <f t="shared" si="1"/>
        <v>510</v>
      </c>
      <c r="T22">
        <f t="shared" si="1"/>
        <v>540</v>
      </c>
      <c r="U22">
        <f t="shared" si="1"/>
        <v>571</v>
      </c>
    </row>
    <row r="23" spans="1:31" x14ac:dyDescent="0.25">
      <c r="A23" s="456"/>
      <c r="B23" s="139">
        <v>20</v>
      </c>
      <c r="C23">
        <f t="shared" si="2"/>
        <v>17</v>
      </c>
      <c r="D23">
        <f t="shared" si="2"/>
        <v>51</v>
      </c>
      <c r="E23">
        <f t="shared" si="2"/>
        <v>85</v>
      </c>
      <c r="F23">
        <f t="shared" si="2"/>
        <v>118</v>
      </c>
      <c r="G23">
        <f t="shared" si="2"/>
        <v>152</v>
      </c>
      <c r="H23">
        <f t="shared" si="2"/>
        <v>185</v>
      </c>
      <c r="I23">
        <f t="shared" si="2"/>
        <v>219</v>
      </c>
      <c r="J23">
        <f t="shared" si="2"/>
        <v>253</v>
      </c>
      <c r="K23">
        <f t="shared" si="2"/>
        <v>286</v>
      </c>
      <c r="L23">
        <f t="shared" si="2"/>
        <v>320</v>
      </c>
      <c r="M23">
        <f t="shared" si="2"/>
        <v>354</v>
      </c>
      <c r="N23">
        <f t="shared" si="2"/>
        <v>387</v>
      </c>
      <c r="O23">
        <f t="shared" si="2"/>
        <v>421</v>
      </c>
      <c r="P23">
        <f t="shared" si="2"/>
        <v>454</v>
      </c>
      <c r="Q23">
        <f t="shared" si="2"/>
        <v>488</v>
      </c>
      <c r="R23">
        <f t="shared" si="2"/>
        <v>522</v>
      </c>
      <c r="S23">
        <f t="shared" si="1"/>
        <v>555</v>
      </c>
      <c r="T23">
        <f t="shared" si="1"/>
        <v>589</v>
      </c>
      <c r="U23">
        <f t="shared" si="1"/>
        <v>623</v>
      </c>
      <c r="V23">
        <f t="shared" si="1"/>
        <v>656</v>
      </c>
    </row>
    <row r="24" spans="1:31" x14ac:dyDescent="0.25">
      <c r="A24" s="456"/>
      <c r="B24" s="139">
        <v>21</v>
      </c>
      <c r="C24">
        <f t="shared" si="2"/>
        <v>19</v>
      </c>
      <c r="D24">
        <f t="shared" si="2"/>
        <v>55</v>
      </c>
      <c r="E24">
        <f t="shared" si="2"/>
        <v>92</v>
      </c>
      <c r="F24">
        <f t="shared" si="2"/>
        <v>129</v>
      </c>
      <c r="G24">
        <f t="shared" si="2"/>
        <v>165</v>
      </c>
      <c r="H24">
        <f t="shared" si="2"/>
        <v>202</v>
      </c>
      <c r="I24">
        <f t="shared" si="2"/>
        <v>239</v>
      </c>
      <c r="J24">
        <f t="shared" si="2"/>
        <v>275</v>
      </c>
      <c r="K24">
        <f t="shared" si="2"/>
        <v>312</v>
      </c>
      <c r="L24">
        <f t="shared" si="2"/>
        <v>349</v>
      </c>
      <c r="M24">
        <f t="shared" si="2"/>
        <v>385</v>
      </c>
      <c r="N24">
        <f t="shared" si="2"/>
        <v>422</v>
      </c>
      <c r="O24">
        <f t="shared" si="2"/>
        <v>459</v>
      </c>
      <c r="P24">
        <f t="shared" si="2"/>
        <v>495</v>
      </c>
      <c r="Q24">
        <f t="shared" si="2"/>
        <v>532</v>
      </c>
      <c r="R24">
        <f t="shared" si="2"/>
        <v>569</v>
      </c>
      <c r="S24">
        <f t="shared" si="1"/>
        <v>605</v>
      </c>
      <c r="T24">
        <f t="shared" si="1"/>
        <v>642</v>
      </c>
      <c r="U24">
        <f t="shared" si="1"/>
        <v>679</v>
      </c>
      <c r="V24">
        <f t="shared" si="1"/>
        <v>715</v>
      </c>
      <c r="W24">
        <f t="shared" si="1"/>
        <v>752</v>
      </c>
    </row>
    <row r="25" spans="1:31" x14ac:dyDescent="0.25">
      <c r="A25" s="456"/>
      <c r="B25" s="139">
        <v>22</v>
      </c>
      <c r="C25">
        <f t="shared" si="2"/>
        <v>20</v>
      </c>
      <c r="D25">
        <f t="shared" si="2"/>
        <v>60</v>
      </c>
      <c r="E25">
        <f t="shared" si="2"/>
        <v>100</v>
      </c>
      <c r="F25">
        <f t="shared" si="2"/>
        <v>140</v>
      </c>
      <c r="G25">
        <f t="shared" si="2"/>
        <v>180</v>
      </c>
      <c r="H25">
        <f t="shared" si="2"/>
        <v>220</v>
      </c>
      <c r="I25">
        <f t="shared" si="2"/>
        <v>260</v>
      </c>
      <c r="J25">
        <f t="shared" si="2"/>
        <v>300</v>
      </c>
      <c r="K25">
        <f t="shared" si="2"/>
        <v>340</v>
      </c>
      <c r="L25">
        <f t="shared" si="2"/>
        <v>380</v>
      </c>
      <c r="M25">
        <f t="shared" si="2"/>
        <v>420</v>
      </c>
      <c r="N25">
        <f t="shared" si="2"/>
        <v>460</v>
      </c>
      <c r="O25">
        <f t="shared" si="2"/>
        <v>500</v>
      </c>
      <c r="P25">
        <f t="shared" si="2"/>
        <v>540</v>
      </c>
      <c r="Q25">
        <f t="shared" si="2"/>
        <v>580</v>
      </c>
      <c r="R25">
        <f t="shared" si="2"/>
        <v>620</v>
      </c>
      <c r="S25">
        <f t="shared" si="1"/>
        <v>660</v>
      </c>
      <c r="T25">
        <f t="shared" si="1"/>
        <v>700</v>
      </c>
      <c r="U25">
        <f t="shared" si="1"/>
        <v>740</v>
      </c>
      <c r="V25">
        <f t="shared" si="1"/>
        <v>780</v>
      </c>
      <c r="W25">
        <f t="shared" si="1"/>
        <v>820</v>
      </c>
      <c r="X25">
        <f t="shared" si="1"/>
        <v>859</v>
      </c>
    </row>
    <row r="26" spans="1:31" x14ac:dyDescent="0.25">
      <c r="A26" s="456"/>
      <c r="B26" s="139">
        <v>23</v>
      </c>
      <c r="C26">
        <f t="shared" si="2"/>
        <v>22</v>
      </c>
      <c r="D26">
        <f t="shared" si="2"/>
        <v>66</v>
      </c>
      <c r="E26">
        <f t="shared" si="2"/>
        <v>109</v>
      </c>
      <c r="F26">
        <f t="shared" si="2"/>
        <v>153</v>
      </c>
      <c r="G26">
        <f t="shared" si="2"/>
        <v>196</v>
      </c>
      <c r="H26">
        <f t="shared" si="2"/>
        <v>240</v>
      </c>
      <c r="I26">
        <f t="shared" si="2"/>
        <v>284</v>
      </c>
      <c r="J26">
        <f t="shared" si="2"/>
        <v>327</v>
      </c>
      <c r="K26">
        <f t="shared" si="2"/>
        <v>371</v>
      </c>
      <c r="L26">
        <f t="shared" si="2"/>
        <v>414</v>
      </c>
      <c r="M26">
        <f t="shared" si="2"/>
        <v>458</v>
      </c>
      <c r="N26">
        <f t="shared" si="2"/>
        <v>501</v>
      </c>
      <c r="O26">
        <f t="shared" si="2"/>
        <v>545</v>
      </c>
      <c r="P26">
        <f t="shared" si="2"/>
        <v>588</v>
      </c>
      <c r="Q26">
        <f t="shared" si="2"/>
        <v>632</v>
      </c>
      <c r="R26">
        <f t="shared" si="2"/>
        <v>675</v>
      </c>
      <c r="S26">
        <f t="shared" si="1"/>
        <v>719</v>
      </c>
      <c r="T26">
        <f t="shared" si="1"/>
        <v>763</v>
      </c>
      <c r="U26">
        <f t="shared" si="1"/>
        <v>806</v>
      </c>
      <c r="V26">
        <f t="shared" si="1"/>
        <v>850</v>
      </c>
      <c r="W26">
        <f t="shared" si="1"/>
        <v>893</v>
      </c>
      <c r="X26">
        <f t="shared" si="1"/>
        <v>937</v>
      </c>
      <c r="Y26">
        <f t="shared" si="1"/>
        <v>980</v>
      </c>
    </row>
    <row r="27" spans="1:31" x14ac:dyDescent="0.25">
      <c r="A27" s="456"/>
      <c r="B27" s="139">
        <v>24</v>
      </c>
      <c r="C27">
        <f t="shared" si="2"/>
        <v>24</v>
      </c>
      <c r="D27">
        <f t="shared" si="2"/>
        <v>72</v>
      </c>
      <c r="E27">
        <f t="shared" si="2"/>
        <v>119</v>
      </c>
      <c r="F27">
        <f t="shared" si="2"/>
        <v>167</v>
      </c>
      <c r="G27">
        <f t="shared" si="2"/>
        <v>214</v>
      </c>
      <c r="H27">
        <f t="shared" si="2"/>
        <v>262</v>
      </c>
      <c r="I27">
        <f t="shared" si="2"/>
        <v>309</v>
      </c>
      <c r="J27">
        <f t="shared" si="2"/>
        <v>356</v>
      </c>
      <c r="K27">
        <f t="shared" si="2"/>
        <v>404</v>
      </c>
      <c r="L27">
        <f t="shared" si="2"/>
        <v>451</v>
      </c>
      <c r="M27">
        <f t="shared" si="2"/>
        <v>499</v>
      </c>
      <c r="N27">
        <f t="shared" si="2"/>
        <v>546</v>
      </c>
      <c r="O27">
        <f t="shared" si="2"/>
        <v>594</v>
      </c>
      <c r="P27">
        <f t="shared" si="2"/>
        <v>641</v>
      </c>
      <c r="Q27">
        <f t="shared" si="2"/>
        <v>689</v>
      </c>
      <c r="R27">
        <f t="shared" si="2"/>
        <v>736</v>
      </c>
      <c r="S27">
        <f t="shared" si="1"/>
        <v>784</v>
      </c>
      <c r="T27">
        <f t="shared" si="1"/>
        <v>831</v>
      </c>
      <c r="U27">
        <f t="shared" si="1"/>
        <v>879</v>
      </c>
      <c r="V27">
        <f t="shared" si="1"/>
        <v>926</v>
      </c>
      <c r="W27">
        <f t="shared" si="1"/>
        <v>974</v>
      </c>
      <c r="X27">
        <f t="shared" si="1"/>
        <v>1021</v>
      </c>
      <c r="Y27">
        <f t="shared" si="1"/>
        <v>1068</v>
      </c>
      <c r="Z27">
        <f t="shared" si="1"/>
        <v>1116</v>
      </c>
    </row>
    <row r="28" spans="1:31" x14ac:dyDescent="0.25">
      <c r="A28" s="456"/>
      <c r="B28" s="139">
        <v>25</v>
      </c>
      <c r="C28">
        <f t="shared" si="2"/>
        <v>26</v>
      </c>
      <c r="D28">
        <f t="shared" si="2"/>
        <v>78</v>
      </c>
      <c r="E28">
        <f t="shared" si="2"/>
        <v>130</v>
      </c>
      <c r="F28">
        <f t="shared" si="2"/>
        <v>182</v>
      </c>
      <c r="G28">
        <f t="shared" si="2"/>
        <v>233</v>
      </c>
      <c r="H28">
        <f t="shared" si="2"/>
        <v>285</v>
      </c>
      <c r="I28">
        <f t="shared" si="2"/>
        <v>337</v>
      </c>
      <c r="J28">
        <f t="shared" si="2"/>
        <v>389</v>
      </c>
      <c r="K28">
        <f t="shared" si="2"/>
        <v>440</v>
      </c>
      <c r="L28">
        <f t="shared" si="2"/>
        <v>492</v>
      </c>
      <c r="M28">
        <f t="shared" si="2"/>
        <v>544</v>
      </c>
      <c r="N28">
        <f t="shared" si="2"/>
        <v>595</v>
      </c>
      <c r="O28">
        <f t="shared" si="2"/>
        <v>647</v>
      </c>
      <c r="P28">
        <f t="shared" si="2"/>
        <v>699</v>
      </c>
      <c r="Q28">
        <f t="shared" si="2"/>
        <v>751</v>
      </c>
      <c r="R28">
        <f t="shared" si="2"/>
        <v>802</v>
      </c>
      <c r="S28">
        <f t="shared" si="1"/>
        <v>854</v>
      </c>
      <c r="T28">
        <f t="shared" si="1"/>
        <v>906</v>
      </c>
      <c r="U28">
        <f t="shared" si="1"/>
        <v>958</v>
      </c>
      <c r="V28">
        <f t="shared" si="1"/>
        <v>1009</v>
      </c>
      <c r="W28">
        <f t="shared" si="1"/>
        <v>1061</v>
      </c>
      <c r="X28">
        <f t="shared" si="1"/>
        <v>1113</v>
      </c>
      <c r="Y28">
        <f t="shared" si="1"/>
        <v>1165</v>
      </c>
      <c r="Z28">
        <f t="shared" si="1"/>
        <v>1216</v>
      </c>
      <c r="AA28">
        <f t="shared" si="1"/>
        <v>1268</v>
      </c>
    </row>
    <row r="29" spans="1:31" x14ac:dyDescent="0.25">
      <c r="A29" s="456"/>
      <c r="B29" s="139">
        <v>26</v>
      </c>
      <c r="C29">
        <f t="shared" si="2"/>
        <v>29</v>
      </c>
      <c r="D29">
        <f t="shared" si="2"/>
        <v>85</v>
      </c>
      <c r="E29">
        <f t="shared" si="2"/>
        <v>141</v>
      </c>
      <c r="F29">
        <f t="shared" si="2"/>
        <v>198</v>
      </c>
      <c r="G29">
        <f t="shared" si="2"/>
        <v>254</v>
      </c>
      <c r="H29">
        <f t="shared" si="2"/>
        <v>311</v>
      </c>
      <c r="I29">
        <f t="shared" si="2"/>
        <v>367</v>
      </c>
      <c r="J29">
        <f t="shared" si="2"/>
        <v>423</v>
      </c>
      <c r="K29">
        <f t="shared" si="2"/>
        <v>480</v>
      </c>
      <c r="L29">
        <f t="shared" si="2"/>
        <v>536</v>
      </c>
      <c r="M29">
        <f t="shared" si="2"/>
        <v>593</v>
      </c>
      <c r="N29">
        <f t="shared" si="2"/>
        <v>649</v>
      </c>
      <c r="O29">
        <f t="shared" si="2"/>
        <v>705</v>
      </c>
      <c r="P29">
        <f t="shared" si="2"/>
        <v>762</v>
      </c>
      <c r="Q29">
        <f t="shared" si="2"/>
        <v>818</v>
      </c>
      <c r="R29">
        <f t="shared" si="2"/>
        <v>875</v>
      </c>
      <c r="S29">
        <f t="shared" si="1"/>
        <v>931</v>
      </c>
      <c r="T29">
        <f t="shared" si="1"/>
        <v>987</v>
      </c>
      <c r="U29">
        <f t="shared" si="1"/>
        <v>1044</v>
      </c>
      <c r="V29">
        <f t="shared" si="1"/>
        <v>1100</v>
      </c>
      <c r="W29">
        <f t="shared" si="1"/>
        <v>1157</v>
      </c>
      <c r="X29">
        <f t="shared" si="1"/>
        <v>1213</v>
      </c>
      <c r="Y29">
        <f t="shared" si="1"/>
        <v>1269</v>
      </c>
      <c r="Z29">
        <f t="shared" si="1"/>
        <v>1326</v>
      </c>
      <c r="AA29">
        <f t="shared" si="1"/>
        <v>1382</v>
      </c>
      <c r="AB29">
        <f t="shared" si="1"/>
        <v>1439</v>
      </c>
    </row>
    <row r="30" spans="1:31" x14ac:dyDescent="0.25">
      <c r="A30" s="456"/>
      <c r="B30" s="139">
        <v>27</v>
      </c>
      <c r="C30">
        <f t="shared" si="2"/>
        <v>31</v>
      </c>
      <c r="D30">
        <f t="shared" si="2"/>
        <v>93</v>
      </c>
      <c r="E30">
        <f t="shared" si="2"/>
        <v>154</v>
      </c>
      <c r="F30">
        <f t="shared" si="2"/>
        <v>216</v>
      </c>
      <c r="G30">
        <f t="shared" si="2"/>
        <v>277</v>
      </c>
      <c r="H30">
        <f t="shared" si="2"/>
        <v>339</v>
      </c>
      <c r="I30">
        <f t="shared" si="2"/>
        <v>400</v>
      </c>
      <c r="J30">
        <f t="shared" si="2"/>
        <v>462</v>
      </c>
      <c r="K30">
        <f t="shared" si="2"/>
        <v>523</v>
      </c>
      <c r="L30">
        <f t="shared" si="2"/>
        <v>584</v>
      </c>
      <c r="M30">
        <f t="shared" si="2"/>
        <v>646</v>
      </c>
      <c r="N30">
        <f t="shared" si="2"/>
        <v>707</v>
      </c>
      <c r="O30">
        <f t="shared" si="2"/>
        <v>769</v>
      </c>
      <c r="P30">
        <f t="shared" si="2"/>
        <v>830</v>
      </c>
      <c r="Q30">
        <f t="shared" si="2"/>
        <v>892</v>
      </c>
      <c r="R30">
        <f t="shared" si="2"/>
        <v>953</v>
      </c>
      <c r="S30">
        <f t="shared" si="1"/>
        <v>1015</v>
      </c>
      <c r="T30">
        <f t="shared" si="1"/>
        <v>1076</v>
      </c>
      <c r="U30">
        <f t="shared" si="1"/>
        <v>1138</v>
      </c>
      <c r="V30">
        <f t="shared" si="1"/>
        <v>1199</v>
      </c>
      <c r="W30">
        <f t="shared" si="1"/>
        <v>1261</v>
      </c>
      <c r="X30">
        <f t="shared" si="1"/>
        <v>1322</v>
      </c>
      <c r="Y30">
        <f t="shared" si="1"/>
        <v>1384</v>
      </c>
      <c r="Z30">
        <f t="shared" si="1"/>
        <v>1445</v>
      </c>
      <c r="AA30">
        <f t="shared" si="1"/>
        <v>1507</v>
      </c>
      <c r="AB30">
        <f t="shared" si="1"/>
        <v>1568</v>
      </c>
      <c r="AC30">
        <f t="shared" si="1"/>
        <v>1629</v>
      </c>
    </row>
    <row r="31" spans="1:31" x14ac:dyDescent="0.25">
      <c r="A31" s="456"/>
      <c r="B31" s="139">
        <v>28</v>
      </c>
      <c r="C31">
        <f t="shared" ref="C31:AE33" si="3">ROUNDUP((C$3*600*((1.09)^$B31))/$Q$1,0)</f>
        <v>34</v>
      </c>
      <c r="D31">
        <f t="shared" si="3"/>
        <v>101</v>
      </c>
      <c r="E31">
        <f t="shared" si="3"/>
        <v>168</v>
      </c>
      <c r="F31">
        <f t="shared" si="3"/>
        <v>235</v>
      </c>
      <c r="G31">
        <f t="shared" si="3"/>
        <v>302</v>
      </c>
      <c r="H31">
        <f t="shared" si="3"/>
        <v>369</v>
      </c>
      <c r="I31">
        <f t="shared" si="3"/>
        <v>436</v>
      </c>
      <c r="J31">
        <f t="shared" si="3"/>
        <v>503</v>
      </c>
      <c r="K31">
        <f t="shared" si="3"/>
        <v>570</v>
      </c>
      <c r="L31">
        <f t="shared" si="3"/>
        <v>637</v>
      </c>
      <c r="M31">
        <f t="shared" si="3"/>
        <v>704</v>
      </c>
      <c r="N31">
        <f t="shared" si="3"/>
        <v>771</v>
      </c>
      <c r="O31">
        <f t="shared" si="3"/>
        <v>838</v>
      </c>
      <c r="P31">
        <f t="shared" si="3"/>
        <v>905</v>
      </c>
      <c r="Q31">
        <f t="shared" si="3"/>
        <v>972</v>
      </c>
      <c r="R31">
        <f t="shared" si="3"/>
        <v>1039</v>
      </c>
      <c r="S31">
        <f t="shared" si="3"/>
        <v>1106</v>
      </c>
      <c r="T31">
        <f t="shared" si="3"/>
        <v>1173</v>
      </c>
      <c r="U31">
        <f t="shared" si="3"/>
        <v>1240</v>
      </c>
      <c r="V31">
        <f t="shared" si="3"/>
        <v>1307</v>
      </c>
      <c r="W31">
        <f t="shared" si="3"/>
        <v>1374</v>
      </c>
      <c r="X31">
        <f t="shared" si="3"/>
        <v>1441</v>
      </c>
      <c r="Y31">
        <f t="shared" si="3"/>
        <v>1508</v>
      </c>
      <c r="Z31">
        <f t="shared" si="3"/>
        <v>1575</v>
      </c>
      <c r="AA31">
        <f t="shared" si="3"/>
        <v>1642</v>
      </c>
      <c r="AB31">
        <f t="shared" si="3"/>
        <v>1709</v>
      </c>
      <c r="AC31">
        <f t="shared" si="3"/>
        <v>1776</v>
      </c>
      <c r="AD31">
        <f t="shared" si="3"/>
        <v>1843</v>
      </c>
    </row>
    <row r="32" spans="1:31" x14ac:dyDescent="0.25">
      <c r="A32" s="456"/>
      <c r="B32" s="139">
        <v>29</v>
      </c>
      <c r="C32">
        <f t="shared" si="3"/>
        <v>37</v>
      </c>
      <c r="D32">
        <f t="shared" si="3"/>
        <v>110</v>
      </c>
      <c r="E32">
        <f t="shared" si="3"/>
        <v>183</v>
      </c>
      <c r="F32">
        <f t="shared" si="3"/>
        <v>256</v>
      </c>
      <c r="G32">
        <f t="shared" si="3"/>
        <v>329</v>
      </c>
      <c r="H32">
        <f t="shared" si="3"/>
        <v>402</v>
      </c>
      <c r="I32">
        <f t="shared" si="3"/>
        <v>475</v>
      </c>
      <c r="J32">
        <f t="shared" si="3"/>
        <v>548</v>
      </c>
      <c r="K32">
        <f t="shared" si="3"/>
        <v>621</v>
      </c>
      <c r="L32">
        <f t="shared" si="3"/>
        <v>694</v>
      </c>
      <c r="M32">
        <f t="shared" si="3"/>
        <v>767</v>
      </c>
      <c r="N32">
        <f t="shared" si="3"/>
        <v>840</v>
      </c>
      <c r="O32">
        <f t="shared" si="3"/>
        <v>913</v>
      </c>
      <c r="P32">
        <f t="shared" si="3"/>
        <v>986</v>
      </c>
      <c r="Q32">
        <f t="shared" si="3"/>
        <v>1059</v>
      </c>
      <c r="R32">
        <f t="shared" si="3"/>
        <v>1133</v>
      </c>
      <c r="S32">
        <f t="shared" si="3"/>
        <v>1206</v>
      </c>
      <c r="T32">
        <f t="shared" si="3"/>
        <v>1279</v>
      </c>
      <c r="U32">
        <f t="shared" si="3"/>
        <v>1352</v>
      </c>
      <c r="V32">
        <f t="shared" si="3"/>
        <v>1425</v>
      </c>
      <c r="W32">
        <f t="shared" si="3"/>
        <v>1498</v>
      </c>
      <c r="X32">
        <f t="shared" si="3"/>
        <v>1571</v>
      </c>
      <c r="Y32">
        <f t="shared" si="3"/>
        <v>1644</v>
      </c>
      <c r="Z32">
        <f t="shared" si="3"/>
        <v>1717</v>
      </c>
      <c r="AA32">
        <f t="shared" si="3"/>
        <v>1790</v>
      </c>
      <c r="AB32">
        <f t="shared" si="3"/>
        <v>1863</v>
      </c>
      <c r="AC32">
        <f t="shared" si="3"/>
        <v>1936</v>
      </c>
      <c r="AD32">
        <f t="shared" si="3"/>
        <v>2009</v>
      </c>
      <c r="AE32">
        <f t="shared" si="3"/>
        <v>2082</v>
      </c>
    </row>
    <row r="33" spans="1:32" x14ac:dyDescent="0.25">
      <c r="A33" s="456"/>
      <c r="B33" s="139">
        <v>30</v>
      </c>
      <c r="C33">
        <f t="shared" si="3"/>
        <v>40</v>
      </c>
      <c r="D33">
        <f t="shared" si="3"/>
        <v>120</v>
      </c>
      <c r="E33">
        <f t="shared" si="3"/>
        <v>200</v>
      </c>
      <c r="F33">
        <f t="shared" si="3"/>
        <v>279</v>
      </c>
      <c r="G33">
        <f t="shared" si="3"/>
        <v>359</v>
      </c>
      <c r="H33">
        <f t="shared" si="3"/>
        <v>438</v>
      </c>
      <c r="I33">
        <f t="shared" si="3"/>
        <v>518</v>
      </c>
      <c r="J33">
        <f t="shared" si="3"/>
        <v>598</v>
      </c>
      <c r="K33">
        <f t="shared" si="3"/>
        <v>677</v>
      </c>
      <c r="L33">
        <f t="shared" si="3"/>
        <v>757</v>
      </c>
      <c r="M33">
        <f t="shared" si="3"/>
        <v>836</v>
      </c>
      <c r="N33">
        <f t="shared" si="3"/>
        <v>916</v>
      </c>
      <c r="O33">
        <f t="shared" si="3"/>
        <v>996</v>
      </c>
      <c r="P33">
        <f t="shared" si="3"/>
        <v>1075</v>
      </c>
      <c r="Q33">
        <f t="shared" si="3"/>
        <v>1155</v>
      </c>
      <c r="R33">
        <f t="shared" si="3"/>
        <v>1234</v>
      </c>
      <c r="S33">
        <f t="shared" si="3"/>
        <v>1314</v>
      </c>
      <c r="T33">
        <f t="shared" si="3"/>
        <v>1394</v>
      </c>
      <c r="U33">
        <f t="shared" si="3"/>
        <v>1473</v>
      </c>
      <c r="V33">
        <f t="shared" si="3"/>
        <v>1553</v>
      </c>
      <c r="W33">
        <f t="shared" si="3"/>
        <v>1632</v>
      </c>
      <c r="X33">
        <f t="shared" si="3"/>
        <v>1712</v>
      </c>
      <c r="Y33">
        <f t="shared" si="3"/>
        <v>1792</v>
      </c>
      <c r="Z33">
        <f t="shared" si="3"/>
        <v>1871</v>
      </c>
      <c r="AA33">
        <f t="shared" si="3"/>
        <v>1951</v>
      </c>
      <c r="AB33">
        <f t="shared" si="3"/>
        <v>2030</v>
      </c>
      <c r="AC33">
        <f t="shared" si="3"/>
        <v>2110</v>
      </c>
      <c r="AD33">
        <f t="shared" si="3"/>
        <v>2190</v>
      </c>
      <c r="AE33">
        <f t="shared" si="3"/>
        <v>2269</v>
      </c>
      <c r="AF33">
        <f>ROUNDUP((AF$3*600*((1.09)^$B33))/$Q$1,0)</f>
        <v>2349</v>
      </c>
    </row>
  </sheetData>
  <mergeCells count="5">
    <mergeCell ref="E1:G1"/>
    <mergeCell ref="L1:P1"/>
    <mergeCell ref="W1:X1"/>
    <mergeCell ref="C2:AF2"/>
    <mergeCell ref="A3:A33"/>
  </mergeCells>
  <dataValidations count="2">
    <dataValidation type="list" allowBlank="1" showInputMessage="1" showErrorMessage="1" sqref="W1">
      <formula1>$AT$1:$AT$3</formula1>
    </dataValidation>
    <dataValidation type="list" allowBlank="1" showInputMessage="1" showErrorMessage="1" sqref="AI5">
      <formula1>"Angreifer,Verteidiger"</formula1>
    </dataValidation>
  </dataValidations>
  <pageMargins left="0.7" right="0.7" top="0.78740157499999996" bottom="0.78740157499999996"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12" sqref="G12"/>
    </sheetView>
  </sheetViews>
  <sheetFormatPr baseColWidth="10" defaultRowHeight="15" x14ac:dyDescent="0.25"/>
  <cols>
    <col min="1" max="1" width="21.42578125" bestFit="1" customWidth="1"/>
    <col min="6" max="6" width="21.42578125" bestFit="1" customWidth="1"/>
    <col min="7" max="7" width="10.42578125" bestFit="1" customWidth="1"/>
  </cols>
  <sheetData>
    <row r="1" spans="1:7" ht="15.75" thickBot="1" x14ac:dyDescent="0.3">
      <c r="A1" s="139" t="s">
        <v>314</v>
      </c>
      <c r="F1" s="139" t="s">
        <v>315</v>
      </c>
    </row>
    <row r="2" spans="1:7" x14ac:dyDescent="0.25">
      <c r="A2" s="100" t="s">
        <v>317</v>
      </c>
      <c r="B2" s="381">
        <v>0.3</v>
      </c>
      <c r="F2" s="100" t="s">
        <v>317</v>
      </c>
      <c r="G2" s="381">
        <v>0.25</v>
      </c>
    </row>
    <row r="3" spans="1:7" x14ac:dyDescent="0.25">
      <c r="A3" s="81" t="s">
        <v>325</v>
      </c>
      <c r="B3" s="382">
        <v>600</v>
      </c>
      <c r="F3" s="81" t="s">
        <v>318</v>
      </c>
      <c r="G3" s="141">
        <v>0.5</v>
      </c>
    </row>
    <row r="4" spans="1:7" ht="15.75" thickBot="1" x14ac:dyDescent="0.3">
      <c r="A4" s="88" t="s">
        <v>326</v>
      </c>
      <c r="B4" s="226">
        <v>4.3</v>
      </c>
      <c r="F4" s="81" t="s">
        <v>319</v>
      </c>
      <c r="G4" s="40">
        <v>125</v>
      </c>
    </row>
    <row r="5" spans="1:7" ht="15.75" thickBot="1" x14ac:dyDescent="0.3">
      <c r="F5" s="81" t="s">
        <v>324</v>
      </c>
      <c r="G5" s="383">
        <f>ROUND(G2+(((1+G9)/G4)*(G3-G2)),2)</f>
        <v>0.27</v>
      </c>
    </row>
    <row r="6" spans="1:7" x14ac:dyDescent="0.25">
      <c r="A6" s="100" t="s">
        <v>320</v>
      </c>
      <c r="B6" s="310">
        <v>52</v>
      </c>
      <c r="F6" s="81" t="s">
        <v>325</v>
      </c>
      <c r="G6" s="382">
        <v>600</v>
      </c>
    </row>
    <row r="7" spans="1:7" ht="15.75" thickBot="1" x14ac:dyDescent="0.3">
      <c r="A7" s="88" t="s">
        <v>321</v>
      </c>
      <c r="B7" s="309">
        <v>500</v>
      </c>
      <c r="F7" s="88" t="s">
        <v>326</v>
      </c>
      <c r="G7" s="341">
        <f>(G9/125)*2+4</f>
        <v>4.16</v>
      </c>
    </row>
    <row r="8" spans="1:7" ht="15.75" thickBot="1" x14ac:dyDescent="0.3">
      <c r="A8" s="260" t="s">
        <v>327</v>
      </c>
      <c r="B8" s="377">
        <f>B7/B4</f>
        <v>116.27906976744187</v>
      </c>
    </row>
    <row r="9" spans="1:7" x14ac:dyDescent="0.25">
      <c r="A9" s="26" t="s">
        <v>328</v>
      </c>
      <c r="B9" s="378">
        <f>B7/B3</f>
        <v>0.83333333333333337</v>
      </c>
      <c r="F9" s="100" t="s">
        <v>316</v>
      </c>
      <c r="G9" s="307">
        <v>10</v>
      </c>
    </row>
    <row r="10" spans="1:7" ht="15.75" thickBot="1" x14ac:dyDescent="0.3">
      <c r="A10" s="26" t="s">
        <v>323</v>
      </c>
      <c r="B10" s="306">
        <f>B7/B6</f>
        <v>9.615384615384615</v>
      </c>
      <c r="F10" s="81" t="s">
        <v>320</v>
      </c>
      <c r="G10" s="308">
        <v>52</v>
      </c>
    </row>
    <row r="11" spans="1:7" ht="15.75" thickBot="1" x14ac:dyDescent="0.3">
      <c r="A11" s="380" t="s">
        <v>322</v>
      </c>
      <c r="B11" s="379">
        <f>IF(B10&gt;600,B4,IF(B10&lt;B2,1,1-((B8-B6)/(B7/3))))</f>
        <v>0.61432558139534876</v>
      </c>
      <c r="F11" s="88" t="s">
        <v>321</v>
      </c>
      <c r="G11" s="309">
        <v>500</v>
      </c>
    </row>
    <row r="12" spans="1:7" x14ac:dyDescent="0.25">
      <c r="F12" s="260" t="s">
        <v>327</v>
      </c>
      <c r="G12" s="377">
        <f>G11/G7</f>
        <v>120.19230769230769</v>
      </c>
    </row>
    <row r="13" spans="1:7" x14ac:dyDescent="0.25">
      <c r="F13" s="26" t="s">
        <v>328</v>
      </c>
      <c r="G13" s="378">
        <f>G11/G6</f>
        <v>0.83333333333333337</v>
      </c>
    </row>
    <row r="14" spans="1:7" ht="15.75" thickBot="1" x14ac:dyDescent="0.3">
      <c r="F14" s="26" t="s">
        <v>323</v>
      </c>
      <c r="G14" s="306">
        <f>G11/G10</f>
        <v>9.615384615384615</v>
      </c>
    </row>
    <row r="15" spans="1:7" ht="15.75" thickBot="1" x14ac:dyDescent="0.3">
      <c r="F15" s="380" t="s">
        <v>322</v>
      </c>
      <c r="G15" s="379">
        <f>IF(G14&gt;600,G5,IF(G14&lt;G7,1,1-((G12-G10)/(G11/3))))</f>
        <v>0.5908461538461538</v>
      </c>
    </row>
    <row r="16" spans="1:7" x14ac:dyDescent="0.25">
      <c r="G16" s="112"/>
    </row>
    <row r="17" spans="7:8" x14ac:dyDescent="0.25">
      <c r="G17" s="305"/>
    </row>
    <row r="18" spans="7:8" x14ac:dyDescent="0.25">
      <c r="G18" s="112"/>
      <c r="H18" s="183"/>
    </row>
    <row r="19" spans="7:8" x14ac:dyDescent="0.25">
      <c r="G19" s="183"/>
    </row>
    <row r="20" spans="7:8" x14ac:dyDescent="0.25">
      <c r="G20" s="61"/>
    </row>
  </sheetData>
  <pageMargins left="0.7" right="0.7" top="0.78740157499999996" bottom="0.78740157499999996"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3" sqref="C3"/>
    </sheetView>
  </sheetViews>
  <sheetFormatPr baseColWidth="10" defaultRowHeight="15" x14ac:dyDescent="0.25"/>
  <cols>
    <col min="1" max="1" width="17" bestFit="1" customWidth="1"/>
    <col min="2" max="2" width="13.140625" bestFit="1" customWidth="1"/>
  </cols>
  <sheetData>
    <row r="1" spans="1:8" ht="15.75" thickBot="1" x14ac:dyDescent="0.3">
      <c r="A1" s="380" t="s">
        <v>116</v>
      </c>
      <c r="B1" s="387">
        <v>2000</v>
      </c>
    </row>
    <row r="2" spans="1:8" ht="15.75" thickBot="1" x14ac:dyDescent="0.3">
      <c r="A2" s="100" t="s">
        <v>115</v>
      </c>
      <c r="B2" s="91" t="s">
        <v>127</v>
      </c>
      <c r="C2" s="92" t="s">
        <v>111</v>
      </c>
    </row>
    <row r="3" spans="1:8" ht="15.75" thickBot="1" x14ac:dyDescent="0.3">
      <c r="A3" s="81">
        <v>1</v>
      </c>
      <c r="B3" s="79">
        <f>A3*$B$1</f>
        <v>2000</v>
      </c>
      <c r="C3" s="384">
        <f t="shared" ref="C3:C32" si="0">IF(B3/$F$14&gt;1,1,B3/$F$14)</f>
        <v>2.9411764705882353E-2</v>
      </c>
      <c r="E3" s="410" t="s">
        <v>117</v>
      </c>
      <c r="F3" s="412"/>
    </row>
    <row r="4" spans="1:8" x14ac:dyDescent="0.25">
      <c r="A4" s="81">
        <v>2</v>
      </c>
      <c r="B4" s="79">
        <f t="shared" ref="B4:B32" si="1">A4*$B$1</f>
        <v>4000</v>
      </c>
      <c r="C4" s="384">
        <f t="shared" si="0"/>
        <v>5.8823529411764705E-2</v>
      </c>
      <c r="E4" s="81" t="s">
        <v>118</v>
      </c>
      <c r="F4" s="40">
        <v>34000</v>
      </c>
      <c r="H4" s="135" t="s">
        <v>126</v>
      </c>
    </row>
    <row r="5" spans="1:8" ht="15.75" thickBot="1" x14ac:dyDescent="0.3">
      <c r="A5" s="81">
        <v>3</v>
      </c>
      <c r="B5" s="79">
        <f t="shared" si="1"/>
        <v>6000</v>
      </c>
      <c r="C5" s="384">
        <f t="shared" si="0"/>
        <v>8.8235294117647065E-2</v>
      </c>
      <c r="E5" s="81" t="s">
        <v>119</v>
      </c>
      <c r="F5" s="40">
        <v>34000</v>
      </c>
      <c r="H5" s="386">
        <f>C32</f>
        <v>0.88235294117647056</v>
      </c>
    </row>
    <row r="6" spans="1:8" x14ac:dyDescent="0.25">
      <c r="A6" s="81">
        <v>4</v>
      </c>
      <c r="B6" s="79">
        <f t="shared" si="1"/>
        <v>8000</v>
      </c>
      <c r="C6" s="384">
        <f t="shared" si="0"/>
        <v>0.11764705882352941</v>
      </c>
      <c r="E6" s="81" t="s">
        <v>120</v>
      </c>
      <c r="F6" s="40"/>
    </row>
    <row r="7" spans="1:8" x14ac:dyDescent="0.25">
      <c r="A7" s="81">
        <v>5</v>
      </c>
      <c r="B7" s="79">
        <f t="shared" si="1"/>
        <v>10000</v>
      </c>
      <c r="C7" s="384">
        <f t="shared" si="0"/>
        <v>0.14705882352941177</v>
      </c>
      <c r="E7" s="81" t="s">
        <v>424</v>
      </c>
      <c r="F7" s="40"/>
    </row>
    <row r="8" spans="1:8" x14ac:dyDescent="0.25">
      <c r="A8" s="81">
        <v>6</v>
      </c>
      <c r="B8" s="79">
        <f t="shared" si="1"/>
        <v>12000</v>
      </c>
      <c r="C8" s="384">
        <f t="shared" si="0"/>
        <v>0.17647058823529413</v>
      </c>
      <c r="E8" s="81" t="s">
        <v>121</v>
      </c>
      <c r="F8" s="40"/>
    </row>
    <row r="9" spans="1:8" x14ac:dyDescent="0.25">
      <c r="A9" s="81">
        <v>7</v>
      </c>
      <c r="B9" s="79">
        <f t="shared" si="1"/>
        <v>14000</v>
      </c>
      <c r="C9" s="384">
        <f t="shared" si="0"/>
        <v>0.20588235294117646</v>
      </c>
      <c r="E9" s="81" t="s">
        <v>122</v>
      </c>
      <c r="F9" s="40"/>
    </row>
    <row r="10" spans="1:8" x14ac:dyDescent="0.25">
      <c r="A10" s="81">
        <v>8</v>
      </c>
      <c r="B10" s="79">
        <f t="shared" si="1"/>
        <v>16000</v>
      </c>
      <c r="C10" s="384">
        <f t="shared" si="0"/>
        <v>0.23529411764705882</v>
      </c>
      <c r="E10" s="81" t="s">
        <v>425</v>
      </c>
      <c r="F10" s="40"/>
    </row>
    <row r="11" spans="1:8" x14ac:dyDescent="0.25">
      <c r="A11" s="81">
        <v>9</v>
      </c>
      <c r="B11" s="79">
        <f t="shared" si="1"/>
        <v>18000</v>
      </c>
      <c r="C11" s="384">
        <f t="shared" si="0"/>
        <v>0.26470588235294118</v>
      </c>
      <c r="E11" s="81" t="s">
        <v>125</v>
      </c>
      <c r="F11" s="40"/>
    </row>
    <row r="12" spans="1:8" x14ac:dyDescent="0.25">
      <c r="A12" s="81">
        <v>10</v>
      </c>
      <c r="B12" s="79">
        <f t="shared" si="1"/>
        <v>20000</v>
      </c>
      <c r="C12" s="384">
        <f t="shared" si="0"/>
        <v>0.29411764705882354</v>
      </c>
      <c r="E12" s="81" t="s">
        <v>123</v>
      </c>
      <c r="F12" s="40"/>
    </row>
    <row r="13" spans="1:8" x14ac:dyDescent="0.25">
      <c r="A13" s="81">
        <v>11</v>
      </c>
      <c r="B13" s="79">
        <f t="shared" si="1"/>
        <v>22000</v>
      </c>
      <c r="C13" s="384">
        <f t="shared" si="0"/>
        <v>0.3235294117647059</v>
      </c>
      <c r="E13" s="81" t="s">
        <v>124</v>
      </c>
      <c r="F13" s="40"/>
    </row>
    <row r="14" spans="1:8" ht="15.75" thickBot="1" x14ac:dyDescent="0.3">
      <c r="A14" s="81">
        <v>12</v>
      </c>
      <c r="B14" s="79">
        <f t="shared" si="1"/>
        <v>24000</v>
      </c>
      <c r="C14" s="384">
        <f t="shared" si="0"/>
        <v>0.35294117647058826</v>
      </c>
      <c r="E14" s="88"/>
      <c r="F14" s="89">
        <f>SUM(F4:F7)+F8*2+F9*4+F10*5+F11*6+F12*5+F13*8</f>
        <v>68000</v>
      </c>
    </row>
    <row r="15" spans="1:8" x14ac:dyDescent="0.25">
      <c r="A15" s="81">
        <v>13</v>
      </c>
      <c r="B15" s="79">
        <f t="shared" si="1"/>
        <v>26000</v>
      </c>
      <c r="C15" s="384">
        <f t="shared" si="0"/>
        <v>0.38235294117647056</v>
      </c>
    </row>
    <row r="16" spans="1:8" x14ac:dyDescent="0.25">
      <c r="A16" s="81">
        <v>14</v>
      </c>
      <c r="B16" s="79">
        <f t="shared" si="1"/>
        <v>28000</v>
      </c>
      <c r="C16" s="384">
        <f t="shared" si="0"/>
        <v>0.41176470588235292</v>
      </c>
    </row>
    <row r="17" spans="1:3" x14ac:dyDescent="0.25">
      <c r="A17" s="81">
        <v>15</v>
      </c>
      <c r="B17" s="79">
        <f t="shared" si="1"/>
        <v>30000</v>
      </c>
      <c r="C17" s="384">
        <f t="shared" si="0"/>
        <v>0.44117647058823528</v>
      </c>
    </row>
    <row r="18" spans="1:3" x14ac:dyDescent="0.25">
      <c r="A18" s="81">
        <v>16</v>
      </c>
      <c r="B18" s="79">
        <f t="shared" si="1"/>
        <v>32000</v>
      </c>
      <c r="C18" s="384">
        <f t="shared" si="0"/>
        <v>0.47058823529411764</v>
      </c>
    </row>
    <row r="19" spans="1:3" x14ac:dyDescent="0.25">
      <c r="A19" s="81">
        <v>17</v>
      </c>
      <c r="B19" s="79">
        <f t="shared" si="1"/>
        <v>34000</v>
      </c>
      <c r="C19" s="384">
        <f t="shared" si="0"/>
        <v>0.5</v>
      </c>
    </row>
    <row r="20" spans="1:3" x14ac:dyDescent="0.25">
      <c r="A20" s="81">
        <v>18</v>
      </c>
      <c r="B20" s="79">
        <f t="shared" si="1"/>
        <v>36000</v>
      </c>
      <c r="C20" s="384">
        <f t="shared" si="0"/>
        <v>0.52941176470588236</v>
      </c>
    </row>
    <row r="21" spans="1:3" x14ac:dyDescent="0.25">
      <c r="A21" s="81">
        <v>19</v>
      </c>
      <c r="B21" s="79">
        <f t="shared" si="1"/>
        <v>38000</v>
      </c>
      <c r="C21" s="384">
        <f t="shared" si="0"/>
        <v>0.55882352941176472</v>
      </c>
    </row>
    <row r="22" spans="1:3" x14ac:dyDescent="0.25">
      <c r="A22" s="81">
        <v>20</v>
      </c>
      <c r="B22" s="79">
        <f t="shared" si="1"/>
        <v>40000</v>
      </c>
      <c r="C22" s="384">
        <f t="shared" si="0"/>
        <v>0.58823529411764708</v>
      </c>
    </row>
    <row r="23" spans="1:3" x14ac:dyDescent="0.25">
      <c r="A23" s="81">
        <v>21</v>
      </c>
      <c r="B23" s="79">
        <f t="shared" si="1"/>
        <v>42000</v>
      </c>
      <c r="C23" s="384">
        <f t="shared" si="0"/>
        <v>0.61764705882352944</v>
      </c>
    </row>
    <row r="24" spans="1:3" x14ac:dyDescent="0.25">
      <c r="A24" s="81">
        <v>22</v>
      </c>
      <c r="B24" s="79">
        <f t="shared" si="1"/>
        <v>44000</v>
      </c>
      <c r="C24" s="384">
        <f t="shared" si="0"/>
        <v>0.6470588235294118</v>
      </c>
    </row>
    <row r="25" spans="1:3" x14ac:dyDescent="0.25">
      <c r="A25" s="81">
        <v>23</v>
      </c>
      <c r="B25" s="79">
        <f t="shared" si="1"/>
        <v>46000</v>
      </c>
      <c r="C25" s="384">
        <f t="shared" si="0"/>
        <v>0.67647058823529416</v>
      </c>
    </row>
    <row r="26" spans="1:3" x14ac:dyDescent="0.25">
      <c r="A26" s="81">
        <v>24</v>
      </c>
      <c r="B26" s="79">
        <f t="shared" si="1"/>
        <v>48000</v>
      </c>
      <c r="C26" s="384">
        <f t="shared" si="0"/>
        <v>0.70588235294117652</v>
      </c>
    </row>
    <row r="27" spans="1:3" x14ac:dyDescent="0.25">
      <c r="A27" s="81">
        <v>25</v>
      </c>
      <c r="B27" s="79">
        <f t="shared" si="1"/>
        <v>50000</v>
      </c>
      <c r="C27" s="384">
        <f t="shared" si="0"/>
        <v>0.73529411764705888</v>
      </c>
    </row>
    <row r="28" spans="1:3" x14ac:dyDescent="0.25">
      <c r="A28" s="81">
        <v>26</v>
      </c>
      <c r="B28" s="79">
        <f t="shared" si="1"/>
        <v>52000</v>
      </c>
      <c r="C28" s="384">
        <f t="shared" si="0"/>
        <v>0.76470588235294112</v>
      </c>
    </row>
    <row r="29" spans="1:3" x14ac:dyDescent="0.25">
      <c r="A29" s="81">
        <v>27</v>
      </c>
      <c r="B29" s="79">
        <f t="shared" si="1"/>
        <v>54000</v>
      </c>
      <c r="C29" s="384">
        <f t="shared" si="0"/>
        <v>0.79411764705882348</v>
      </c>
    </row>
    <row r="30" spans="1:3" x14ac:dyDescent="0.25">
      <c r="A30" s="81">
        <v>28</v>
      </c>
      <c r="B30" s="79">
        <f t="shared" si="1"/>
        <v>56000</v>
      </c>
      <c r="C30" s="384">
        <f t="shared" si="0"/>
        <v>0.82352941176470584</v>
      </c>
    </row>
    <row r="31" spans="1:3" x14ac:dyDescent="0.25">
      <c r="A31" s="81">
        <v>29</v>
      </c>
      <c r="B31" s="79">
        <f t="shared" si="1"/>
        <v>58000</v>
      </c>
      <c r="C31" s="384">
        <f t="shared" si="0"/>
        <v>0.8529411764705882</v>
      </c>
    </row>
    <row r="32" spans="1:3" ht="15.75" thickBot="1" x14ac:dyDescent="0.3">
      <c r="A32" s="88">
        <v>30</v>
      </c>
      <c r="B32" s="93">
        <f t="shared" si="1"/>
        <v>60000</v>
      </c>
      <c r="C32" s="385">
        <f t="shared" si="0"/>
        <v>0.88235294117647056</v>
      </c>
    </row>
  </sheetData>
  <mergeCells count="1">
    <mergeCell ref="E3:F3"/>
  </mergeCell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topLeftCell="B1" workbookViewId="0">
      <selection activeCell="P12" sqref="P12"/>
    </sheetView>
  </sheetViews>
  <sheetFormatPr baseColWidth="10" defaultRowHeight="15" x14ac:dyDescent="0.25"/>
  <cols>
    <col min="1" max="1" width="11.140625" bestFit="1" customWidth="1"/>
    <col min="2" max="2" width="13.42578125" bestFit="1" customWidth="1"/>
    <col min="3" max="3" width="12.42578125" bestFit="1" customWidth="1"/>
    <col min="4" max="4" width="11.28515625" bestFit="1" customWidth="1"/>
    <col min="5" max="5" width="8.28515625" bestFit="1" customWidth="1"/>
    <col min="6" max="6" width="6.85546875" bestFit="1" customWidth="1"/>
    <col min="7" max="7" width="12" bestFit="1" customWidth="1"/>
    <col min="8" max="8" width="9.7109375" customWidth="1"/>
    <col min="9" max="9" width="9.5703125" customWidth="1"/>
    <col min="10" max="10" width="13.140625" bestFit="1" customWidth="1"/>
    <col min="11" max="11" width="8.140625" bestFit="1" customWidth="1"/>
    <col min="12" max="12" width="8.5703125" bestFit="1" customWidth="1"/>
    <col min="13" max="13" width="10.85546875" bestFit="1" customWidth="1"/>
    <col min="14" max="14" width="13.85546875" bestFit="1" customWidth="1"/>
    <col min="15" max="15" width="6.7109375" bestFit="1" customWidth="1"/>
    <col min="16" max="16" width="18.140625" bestFit="1" customWidth="1"/>
    <col min="17" max="17" width="14.5703125" bestFit="1" customWidth="1"/>
  </cols>
  <sheetData>
    <row r="1" spans="1:23" x14ac:dyDescent="0.25">
      <c r="B1" s="76" t="s">
        <v>227</v>
      </c>
      <c r="C1" s="8">
        <f>SUM(G7:J7)/(SUM(K7:O7)+SUM(C7:F7))</f>
        <v>1.6163927088255041</v>
      </c>
      <c r="D1" s="467" t="s">
        <v>241</v>
      </c>
      <c r="E1" s="467"/>
      <c r="F1" s="467"/>
      <c r="G1" s="467"/>
      <c r="H1" s="467"/>
      <c r="I1" s="467"/>
      <c r="J1" s="467"/>
      <c r="K1" s="467"/>
      <c r="L1" s="467"/>
      <c r="M1" s="467"/>
      <c r="N1" s="467"/>
      <c r="V1">
        <v>1.0369999999999999</v>
      </c>
      <c r="W1">
        <v>50</v>
      </c>
    </row>
    <row r="2" spans="1:23" ht="15.75" thickBot="1" x14ac:dyDescent="0.3">
      <c r="U2" t="s">
        <v>226</v>
      </c>
      <c r="V2" t="s">
        <v>228</v>
      </c>
      <c r="W2" t="s">
        <v>229</v>
      </c>
    </row>
    <row r="3" spans="1:23" ht="15.75" thickBot="1" x14ac:dyDescent="0.3">
      <c r="A3" s="131"/>
      <c r="B3" s="184"/>
      <c r="C3" s="184" t="s">
        <v>73</v>
      </c>
      <c r="D3" s="184" t="s">
        <v>74</v>
      </c>
      <c r="E3" s="184" t="s">
        <v>75</v>
      </c>
      <c r="F3" s="184" t="s">
        <v>190</v>
      </c>
      <c r="G3" s="184" t="s">
        <v>71</v>
      </c>
      <c r="H3" s="184" t="s">
        <v>76</v>
      </c>
      <c r="I3" s="184" t="s">
        <v>191</v>
      </c>
      <c r="J3" s="184" t="s">
        <v>77</v>
      </c>
      <c r="K3" s="184" t="s">
        <v>78</v>
      </c>
      <c r="L3" s="184" t="s">
        <v>79</v>
      </c>
      <c r="M3" s="184" t="s">
        <v>192</v>
      </c>
      <c r="N3" s="184" t="s">
        <v>193</v>
      </c>
      <c r="O3" s="185" t="s">
        <v>194</v>
      </c>
      <c r="P3" s="188" t="s">
        <v>154</v>
      </c>
      <c r="Q3" s="189" t="s">
        <v>240</v>
      </c>
      <c r="U3">
        <v>0</v>
      </c>
      <c r="V3" s="183">
        <f>$V$1^U3</f>
        <v>1</v>
      </c>
      <c r="W3">
        <v>40</v>
      </c>
    </row>
    <row r="4" spans="1:23" x14ac:dyDescent="0.25">
      <c r="A4" s="468" t="s">
        <v>219</v>
      </c>
      <c r="B4" s="91" t="s">
        <v>70</v>
      </c>
      <c r="C4" s="193">
        <v>0</v>
      </c>
      <c r="D4" s="193">
        <v>0</v>
      </c>
      <c r="E4" s="193">
        <v>2000</v>
      </c>
      <c r="F4" s="193">
        <v>0</v>
      </c>
      <c r="G4" s="193">
        <v>0</v>
      </c>
      <c r="H4" s="193">
        <v>1000</v>
      </c>
      <c r="I4" s="193">
        <v>0</v>
      </c>
      <c r="J4" s="193">
        <v>0</v>
      </c>
      <c r="K4" s="193">
        <v>213</v>
      </c>
      <c r="L4" s="193">
        <v>0</v>
      </c>
      <c r="M4" s="193">
        <v>0</v>
      </c>
      <c r="N4" s="193">
        <v>0</v>
      </c>
      <c r="O4" s="194">
        <v>0</v>
      </c>
      <c r="P4" s="81">
        <f>SUM(C4:F4)+G4*2+H4*4+I4*5+J4*6+K4*5+L4*8+M4*10+N4*100+O4</f>
        <v>7065</v>
      </c>
      <c r="Q4" s="82"/>
      <c r="S4" s="100" t="s">
        <v>230</v>
      </c>
      <c r="T4" s="388">
        <v>0</v>
      </c>
      <c r="U4">
        <v>1</v>
      </c>
      <c r="V4" s="183">
        <f t="shared" ref="V4:V23" si="0">$V$1^U4</f>
        <v>1.0369999999999999</v>
      </c>
      <c r="W4">
        <f>$W$3+$W$1*U4</f>
        <v>90</v>
      </c>
    </row>
    <row r="5" spans="1:23" ht="15.75" thickBot="1" x14ac:dyDescent="0.3">
      <c r="A5" s="465"/>
      <c r="B5" s="79" t="s">
        <v>221</v>
      </c>
      <c r="C5" s="11">
        <v>1</v>
      </c>
      <c r="D5" s="11">
        <v>1</v>
      </c>
      <c r="E5" s="11">
        <v>1</v>
      </c>
      <c r="F5" s="11">
        <v>1</v>
      </c>
      <c r="G5" s="11">
        <v>1</v>
      </c>
      <c r="H5" s="11">
        <v>1</v>
      </c>
      <c r="I5" s="11">
        <v>1</v>
      </c>
      <c r="J5" s="11">
        <v>1</v>
      </c>
      <c r="K5" s="11">
        <v>1</v>
      </c>
      <c r="L5" s="11">
        <v>1</v>
      </c>
      <c r="M5" s="11">
        <v>1</v>
      </c>
      <c r="N5" s="11">
        <v>1</v>
      </c>
      <c r="O5" s="304">
        <v>1</v>
      </c>
      <c r="P5" s="81"/>
      <c r="Q5" s="82"/>
      <c r="S5" s="88" t="s">
        <v>322</v>
      </c>
      <c r="T5" s="389">
        <v>1</v>
      </c>
      <c r="U5">
        <v>2</v>
      </c>
      <c r="V5" s="183">
        <f t="shared" si="0"/>
        <v>1.0753689999999998</v>
      </c>
      <c r="W5">
        <f t="shared" ref="W5:W23" si="1">$W$3+$W$1*U5</f>
        <v>140</v>
      </c>
    </row>
    <row r="6" spans="1:23" ht="15.75" thickBot="1" x14ac:dyDescent="0.3">
      <c r="A6" s="465"/>
      <c r="B6" s="79" t="s">
        <v>222</v>
      </c>
      <c r="C6" s="181">
        <f>VLOOKUP(C3,'Unit information'!$AA$2:$AH$15,5,FALSE)*'Unit information'!$AE$19^(C5-1)</f>
        <v>10</v>
      </c>
      <c r="D6" s="181">
        <f>VLOOKUP(D3,'Unit information'!$AA$2:$AH$15,5,FALSE)*'Unit information'!$AE$19^(D5-1)</f>
        <v>25</v>
      </c>
      <c r="E6" s="181">
        <f>VLOOKUP(E3,'Unit information'!$AA$2:$AH$15,5,FALSE)*'Unit information'!$AE$19^(E5-1)</f>
        <v>40</v>
      </c>
      <c r="F6" s="181">
        <f>VLOOKUP(F3,'Unit information'!$AA$2:$AH$15,5,FALSE)*'Unit information'!$AE$19^(F5-1)</f>
        <v>15</v>
      </c>
      <c r="G6" s="181">
        <f>VLOOKUP(G3,'Unit information'!$AA$2:$AH$15,5,FALSE)*'Unit information'!$AE$19^(G5-1)</f>
        <v>0</v>
      </c>
      <c r="H6" s="181">
        <f>VLOOKUP(H3,'Unit information'!$AA$2:$AH$15,5,FALSE)*'Unit information'!$AE$19^(H5-1)</f>
        <v>130</v>
      </c>
      <c r="I6" s="181">
        <f>VLOOKUP(I3,'Unit information'!$AA$2:$AH$15,5,FALSE)*'Unit information'!$AE$19^(I5-1)</f>
        <v>120</v>
      </c>
      <c r="J6" s="181">
        <f>VLOOKUP(J3,'Unit information'!$AA$2:$AH$15,5,FALSE)*'Unit information'!$AE$19^(J5-1)</f>
        <v>150</v>
      </c>
      <c r="K6" s="181">
        <f>VLOOKUP(K3,'Unit information'!$AA$2:$AH$15,5,FALSE)*'Unit information'!$AE$19^(K5-1)</f>
        <v>2</v>
      </c>
      <c r="L6" s="181">
        <f>VLOOKUP(L3,'Unit information'!$AA$2:$AH$15,5,FALSE)*'Unit information'!$AE$19^(L5-1)</f>
        <v>100</v>
      </c>
      <c r="M6" s="181">
        <f>VLOOKUP(M3,'Unit information'!$AA$2:$AH$15,5,FALSE)*'Unit information'!$AE$19^(M5-1)</f>
        <v>150</v>
      </c>
      <c r="N6" s="181">
        <f>VLOOKUP(N3,'Unit information'!$AA$2:$AH$15,5,FALSE)*'Unit information'!$AE$19^(N5-1)</f>
        <v>30</v>
      </c>
      <c r="O6" s="186">
        <f>VLOOKUP(O3,'Unit information'!$AA$2:$AH$15,5,FALSE)*'Unit information'!$AE$19^(O5-1)</f>
        <v>0</v>
      </c>
      <c r="P6" s="121"/>
      <c r="Q6" s="176"/>
      <c r="U6">
        <v>3</v>
      </c>
      <c r="V6" s="183">
        <f t="shared" si="0"/>
        <v>1.1151576529999998</v>
      </c>
      <c r="W6">
        <f t="shared" si="1"/>
        <v>190</v>
      </c>
    </row>
    <row r="7" spans="1:23" ht="15.75" thickBot="1" x14ac:dyDescent="0.3">
      <c r="A7" s="466"/>
      <c r="B7" s="93" t="s">
        <v>223</v>
      </c>
      <c r="C7" s="93">
        <f t="shared" ref="C7:O7" si="2">C6*C4</f>
        <v>0</v>
      </c>
      <c r="D7" s="93">
        <f t="shared" si="2"/>
        <v>0</v>
      </c>
      <c r="E7" s="93">
        <f t="shared" si="2"/>
        <v>80000</v>
      </c>
      <c r="F7" s="93">
        <f t="shared" si="2"/>
        <v>0</v>
      </c>
      <c r="G7" s="93">
        <f t="shared" si="2"/>
        <v>0</v>
      </c>
      <c r="H7" s="93">
        <f t="shared" si="2"/>
        <v>130000</v>
      </c>
      <c r="I7" s="93">
        <f t="shared" si="2"/>
        <v>0</v>
      </c>
      <c r="J7" s="93">
        <f t="shared" si="2"/>
        <v>0</v>
      </c>
      <c r="K7" s="93">
        <f t="shared" si="2"/>
        <v>426</v>
      </c>
      <c r="L7" s="93">
        <f t="shared" si="2"/>
        <v>0</v>
      </c>
      <c r="M7" s="93">
        <f t="shared" si="2"/>
        <v>0</v>
      </c>
      <c r="N7" s="93">
        <f t="shared" si="2"/>
        <v>0</v>
      </c>
      <c r="O7" s="145">
        <f t="shared" si="2"/>
        <v>0</v>
      </c>
      <c r="P7" s="121">
        <f>SUM(C7:O7)</f>
        <v>210426</v>
      </c>
      <c r="Q7" s="176">
        <f>P7*(1+T4)*(T5)</f>
        <v>210426</v>
      </c>
      <c r="S7" s="408" t="s">
        <v>231</v>
      </c>
      <c r="T7" s="409"/>
      <c r="U7">
        <v>4</v>
      </c>
      <c r="V7" s="183">
        <f t="shared" si="0"/>
        <v>1.1564184861609996</v>
      </c>
      <c r="W7">
        <f t="shared" si="1"/>
        <v>240</v>
      </c>
    </row>
    <row r="8" spans="1:23" x14ac:dyDescent="0.25">
      <c r="A8" s="468" t="s">
        <v>220</v>
      </c>
      <c r="B8" s="91" t="s">
        <v>70</v>
      </c>
      <c r="C8" s="193">
        <v>2000</v>
      </c>
      <c r="D8" s="193">
        <v>2000</v>
      </c>
      <c r="E8" s="193">
        <v>0</v>
      </c>
      <c r="F8" s="193">
        <v>0</v>
      </c>
      <c r="G8" s="193">
        <v>0</v>
      </c>
      <c r="H8" s="193">
        <v>0</v>
      </c>
      <c r="I8" s="193">
        <v>0</v>
      </c>
      <c r="J8" s="193">
        <v>0</v>
      </c>
      <c r="K8" s="193">
        <v>0</v>
      </c>
      <c r="L8" s="193">
        <v>0</v>
      </c>
      <c r="M8" s="193">
        <v>0</v>
      </c>
      <c r="N8" s="193">
        <v>0</v>
      </c>
      <c r="O8" s="194">
        <v>0</v>
      </c>
      <c r="P8" s="121">
        <f>SUM(C8:F8)+G8*2+H8*4+I8*5+J8*6+K8*5+L8*8+M8*10+N8*100+O8</f>
        <v>4000</v>
      </c>
      <c r="Q8" s="176"/>
      <c r="S8" s="81" t="s">
        <v>232</v>
      </c>
      <c r="T8" s="40">
        <v>20</v>
      </c>
      <c r="U8">
        <v>5</v>
      </c>
      <c r="V8" s="183">
        <f t="shared" si="0"/>
        <v>1.1992059701489566</v>
      </c>
      <c r="W8">
        <f t="shared" si="1"/>
        <v>290</v>
      </c>
    </row>
    <row r="9" spans="1:23" x14ac:dyDescent="0.25">
      <c r="A9" s="465"/>
      <c r="B9" s="79" t="s">
        <v>221</v>
      </c>
      <c r="C9" s="11">
        <v>1</v>
      </c>
      <c r="D9" s="11">
        <v>1</v>
      </c>
      <c r="E9" s="11">
        <v>1</v>
      </c>
      <c r="F9" s="11">
        <v>1</v>
      </c>
      <c r="G9" s="11">
        <v>1</v>
      </c>
      <c r="H9" s="11">
        <v>1</v>
      </c>
      <c r="I9" s="11">
        <v>1</v>
      </c>
      <c r="J9" s="11">
        <v>1</v>
      </c>
      <c r="K9" s="11">
        <v>1</v>
      </c>
      <c r="L9" s="11">
        <v>1</v>
      </c>
      <c r="M9" s="11">
        <v>1</v>
      </c>
      <c r="N9" s="11">
        <v>1</v>
      </c>
      <c r="O9" s="304">
        <v>1</v>
      </c>
      <c r="P9" s="121"/>
      <c r="Q9" s="176"/>
      <c r="S9" s="81" t="s">
        <v>233</v>
      </c>
      <c r="T9" s="82">
        <f>IF(T8-(K4*2/(8*1.09^T8))&lt;T8/2,ROUNDDOWN(T8/2,0),T8-ROUND(K4*2/(8*1.09^T8),0))</f>
        <v>10</v>
      </c>
      <c r="U9">
        <v>6</v>
      </c>
      <c r="V9" s="183">
        <f t="shared" si="0"/>
        <v>1.2435765910444678</v>
      </c>
      <c r="W9">
        <f t="shared" si="1"/>
        <v>340</v>
      </c>
    </row>
    <row r="10" spans="1:23" ht="15.75" thickBot="1" x14ac:dyDescent="0.3">
      <c r="A10" s="465"/>
      <c r="B10" s="79" t="s">
        <v>224</v>
      </c>
      <c r="C10" s="181">
        <f>VLOOKUP(C3,'Unit information'!$AA$2:$AH$15,6,FALSE)*'Unit information'!$AE$19^(C9-1)</f>
        <v>15</v>
      </c>
      <c r="D10" s="181">
        <f>VLOOKUP(D3,'Unit information'!$AA$2:$AH$15,6,FALSE)*'Unit information'!$AE$19^(D9-1)</f>
        <v>50</v>
      </c>
      <c r="E10" s="181">
        <f>VLOOKUP(E3,'Unit information'!$AA$2:$AH$15,6,FALSE)*'Unit information'!$AE$19^(E9-1)</f>
        <v>10</v>
      </c>
      <c r="F10" s="181">
        <f>VLOOKUP(F3,'Unit information'!$AA$2:$AH$15,6,FALSE)*'Unit information'!$AE$19^(F9-1)</f>
        <v>50</v>
      </c>
      <c r="G10" s="181">
        <f>VLOOKUP(G3,'Unit information'!$AA$2:$AH$15,6,FALSE)*'Unit information'!$AE$19^(G9-1)</f>
        <v>2</v>
      </c>
      <c r="H10" s="181">
        <f>VLOOKUP(H3,'Unit information'!$AA$2:$AH$15,6,FALSE)*'Unit information'!$AE$19^(H9-1)</f>
        <v>30</v>
      </c>
      <c r="I10" s="181">
        <f>VLOOKUP(I3,'Unit information'!$AA$2:$AH$15,6,FALSE)*'Unit information'!$AE$19^(I9-1)</f>
        <v>40</v>
      </c>
      <c r="J10" s="181">
        <f>VLOOKUP(J3,'Unit information'!$AA$2:$AH$15,6,FALSE)*'Unit information'!$AE$19^(J9-1)</f>
        <v>200</v>
      </c>
      <c r="K10" s="181">
        <f>VLOOKUP(K3,'Unit information'!$AA$2:$AH$15,6,FALSE)*'Unit information'!$AE$19^(K9-1)</f>
        <v>20</v>
      </c>
      <c r="L10" s="181">
        <f>VLOOKUP(L3,'Unit information'!$AA$2:$AH$15,6,FALSE)*'Unit information'!$AE$19^(L9-1)</f>
        <v>100</v>
      </c>
      <c r="M10" s="181">
        <f>VLOOKUP(M3,'Unit information'!$AA$2:$AH$15,6,FALSE)*'Unit information'!$AE$19^(M9-1)</f>
        <v>250</v>
      </c>
      <c r="N10" s="181">
        <f>VLOOKUP(N3,'Unit information'!$AA$2:$AH$15,6,FALSE)*'Unit information'!$AE$19^(N9-1)</f>
        <v>100</v>
      </c>
      <c r="O10" s="143"/>
      <c r="P10" s="121"/>
      <c r="Q10" s="176"/>
      <c r="S10" s="390" t="s">
        <v>244</v>
      </c>
      <c r="T10" s="391">
        <f>ROUND(IF(K15=K16,Q15/Q12*K4,K15+(K15-K16)),0)</f>
        <v>234</v>
      </c>
      <c r="U10">
        <v>7</v>
      </c>
      <c r="V10" s="183">
        <f t="shared" si="0"/>
        <v>1.2895889249131132</v>
      </c>
      <c r="W10">
        <f t="shared" si="1"/>
        <v>390</v>
      </c>
    </row>
    <row r="11" spans="1:23" ht="15.75" thickBot="1" x14ac:dyDescent="0.3">
      <c r="A11" s="465"/>
      <c r="B11" s="79" t="s">
        <v>225</v>
      </c>
      <c r="C11" s="181">
        <f>VLOOKUP(C3,'Unit information'!$AA$2:$AH$15,7,FALSE)*'Unit information'!$AE$19^(C9-1)</f>
        <v>45</v>
      </c>
      <c r="D11" s="181">
        <f>VLOOKUP(D3,'Unit information'!$AA$2:$AH$15,7,FALSE)*'Unit information'!$AE$19^(D9-1)</f>
        <v>25</v>
      </c>
      <c r="E11" s="181">
        <f>VLOOKUP(E3,'Unit information'!$AA$2:$AH$15,7,FALSE)*'Unit information'!$AE$19^(E9-1)</f>
        <v>5</v>
      </c>
      <c r="F11" s="181">
        <f>VLOOKUP(F3,'Unit information'!$AA$2:$AH$15,7,FALSE)*'Unit information'!$AE$19^(F9-1)</f>
        <v>40</v>
      </c>
      <c r="G11" s="181">
        <f>VLOOKUP(G3,'Unit information'!$AA$2:$AH$15,7,FALSE)*'Unit information'!$AE$19^(G9-1)</f>
        <v>1</v>
      </c>
      <c r="H11" s="181">
        <f>VLOOKUP(H3,'Unit information'!$AA$2:$AH$15,7,FALSE)*'Unit information'!$AE$19^(H9-1)</f>
        <v>40</v>
      </c>
      <c r="I11" s="181">
        <f>VLOOKUP(I3,'Unit information'!$AA$2:$AH$15,7,FALSE)*'Unit information'!$AE$19^(I9-1)</f>
        <v>30</v>
      </c>
      <c r="J11" s="181">
        <f>VLOOKUP(J3,'Unit information'!$AA$2:$AH$15,7,FALSE)*'Unit information'!$AE$19^(J9-1)</f>
        <v>80</v>
      </c>
      <c r="K11" s="181">
        <f>VLOOKUP(K3,'Unit information'!$AA$2:$AH$15,7,FALSE)*'Unit information'!$AE$19^(K9-1)</f>
        <v>50</v>
      </c>
      <c r="L11" s="181">
        <f>VLOOKUP(L3,'Unit information'!$AA$2:$AH$15,7,FALSE)*'Unit information'!$AE$19^(L9-1)</f>
        <v>50</v>
      </c>
      <c r="M11" s="181">
        <f>VLOOKUP(M3,'Unit information'!$AA$2:$AH$15,7,FALSE)*'Unit information'!$AE$19^(M9-1)</f>
        <v>400</v>
      </c>
      <c r="N11" s="181">
        <f>VLOOKUP(N3,'Unit information'!$AA$2:$AH$15,7,FALSE)*'Unit information'!$AE$19^(N9-1)</f>
        <v>50</v>
      </c>
      <c r="O11" s="186">
        <f>VLOOKUP(O3,'Unit information'!$AA$2:$AH$15,7,FALSE)*'Unit information'!$AE$19^(O9-1)</f>
        <v>45</v>
      </c>
      <c r="P11" s="121"/>
      <c r="Q11" s="176"/>
      <c r="S11" s="131" t="s">
        <v>234</v>
      </c>
      <c r="T11" s="392">
        <f>IF(T8-ROUND(T10*K6/(8*1.09^T8),0)&lt;0,"0",T8-ROUND(T10*K6/(8*1.09^T8),0))</f>
        <v>10</v>
      </c>
      <c r="U11">
        <v>8</v>
      </c>
      <c r="V11" s="183">
        <f t="shared" si="0"/>
        <v>1.3373037151348981</v>
      </c>
      <c r="W11">
        <f t="shared" si="1"/>
        <v>440</v>
      </c>
    </row>
    <row r="12" spans="1:23" ht="15.75" thickBot="1" x14ac:dyDescent="0.3">
      <c r="A12" s="466"/>
      <c r="B12" s="93" t="s">
        <v>223</v>
      </c>
      <c r="C12" s="182">
        <f>(C8)*($C$1*$C$11+$C$10)/($C$1+1)</f>
        <v>67067.662741296226</v>
      </c>
      <c r="D12" s="182">
        <f>(D8)*($C$1*$D$11+$D$10)/($C$1+1)</f>
        <v>69110.281048919802</v>
      </c>
      <c r="E12" s="182">
        <f t="shared" ref="E12:O12" si="3">(E8)*($C$1*E11+E10)/($C$1+1)</f>
        <v>0</v>
      </c>
      <c r="F12" s="182">
        <f t="shared" si="3"/>
        <v>0</v>
      </c>
      <c r="G12" s="182">
        <f t="shared" si="3"/>
        <v>0</v>
      </c>
      <c r="H12" s="182">
        <f t="shared" si="3"/>
        <v>0</v>
      </c>
      <c r="I12" s="182">
        <f t="shared" si="3"/>
        <v>0</v>
      </c>
      <c r="J12" s="182">
        <f>(J8)*($C$1*$J$11+$J$10)/($C$1+1)</f>
        <v>0</v>
      </c>
      <c r="K12" s="182">
        <f t="shared" si="3"/>
        <v>0</v>
      </c>
      <c r="L12" s="182">
        <f t="shared" si="3"/>
        <v>0</v>
      </c>
      <c r="M12" s="182">
        <f t="shared" si="3"/>
        <v>0</v>
      </c>
      <c r="N12" s="182">
        <f t="shared" si="3"/>
        <v>0</v>
      </c>
      <c r="O12" s="187">
        <f t="shared" si="3"/>
        <v>0</v>
      </c>
      <c r="P12" s="177">
        <f>SUM(C12:O12)</f>
        <v>136177.94379021603</v>
      </c>
      <c r="Q12" s="179">
        <f>IF(S14="ja",P12*(VLOOKUP(T9,U2:W23,2,FALSE))*2+VLOOKUP(T9,U2:W23,3,FALSE),P12*(VLOOKUP(T9,U2:W23,2,FALSE))+VLOOKUP(T9,U2:W23,3,FALSE))</f>
        <v>196376.81447002912</v>
      </c>
      <c r="U12">
        <v>9</v>
      </c>
      <c r="V12" s="183">
        <f t="shared" si="0"/>
        <v>1.3867839525948893</v>
      </c>
      <c r="W12">
        <f t="shared" si="1"/>
        <v>490</v>
      </c>
    </row>
    <row r="13" spans="1:23" x14ac:dyDescent="0.25">
      <c r="S13" s="135" t="s">
        <v>254</v>
      </c>
      <c r="U13">
        <v>10</v>
      </c>
      <c r="V13" s="183">
        <f t="shared" si="0"/>
        <v>1.4380949588409</v>
      </c>
      <c r="W13">
        <f t="shared" si="1"/>
        <v>540</v>
      </c>
    </row>
    <row r="14" spans="1:23" ht="15.75" thickBot="1" x14ac:dyDescent="0.3">
      <c r="P14" s="61" t="s">
        <v>243</v>
      </c>
      <c r="Q14" s="61">
        <f>IF(S18="ja",Q7/((Q7/Q12)^1.6),Q7/((Q7/Q12)^1.5))</f>
        <v>189707.98727889912</v>
      </c>
      <c r="S14" s="207" t="s">
        <v>255</v>
      </c>
      <c r="U14">
        <v>11</v>
      </c>
      <c r="V14" s="183">
        <f t="shared" si="0"/>
        <v>1.4913044723180133</v>
      </c>
      <c r="W14">
        <f t="shared" si="1"/>
        <v>590</v>
      </c>
    </row>
    <row r="15" spans="1:23" x14ac:dyDescent="0.25">
      <c r="A15" s="468" t="s">
        <v>235</v>
      </c>
      <c r="B15" s="91" t="s">
        <v>236</v>
      </c>
      <c r="C15" s="91">
        <f>C4</f>
        <v>0</v>
      </c>
      <c r="D15" s="91">
        <f t="shared" ref="D15:O15" si="4">D4</f>
        <v>0</v>
      </c>
      <c r="E15" s="91">
        <f t="shared" si="4"/>
        <v>2000</v>
      </c>
      <c r="F15" s="91">
        <f t="shared" si="4"/>
        <v>0</v>
      </c>
      <c r="G15" s="91">
        <f t="shared" si="4"/>
        <v>0</v>
      </c>
      <c r="H15" s="91">
        <f t="shared" si="4"/>
        <v>1000</v>
      </c>
      <c r="I15" s="91">
        <f t="shared" si="4"/>
        <v>0</v>
      </c>
      <c r="J15" s="91">
        <f t="shared" si="4"/>
        <v>0</v>
      </c>
      <c r="K15" s="91">
        <f t="shared" si="4"/>
        <v>213</v>
      </c>
      <c r="L15" s="91">
        <f t="shared" si="4"/>
        <v>0</v>
      </c>
      <c r="M15" s="91">
        <f t="shared" si="4"/>
        <v>0</v>
      </c>
      <c r="N15" s="91">
        <f t="shared" si="4"/>
        <v>0</v>
      </c>
      <c r="O15" s="92">
        <f t="shared" si="4"/>
        <v>0</v>
      </c>
      <c r="P15" s="61" t="s">
        <v>242</v>
      </c>
      <c r="Q15" s="61">
        <f>IF(S18="ja",Q12/((Q12/Q7)^1.6),Q12/((Q12/Q7)^1.5))</f>
        <v>217823.12992926157</v>
      </c>
      <c r="U15">
        <v>12</v>
      </c>
      <c r="V15" s="183">
        <f t="shared" si="0"/>
        <v>1.5464827377937795</v>
      </c>
      <c r="W15">
        <f t="shared" si="1"/>
        <v>640</v>
      </c>
    </row>
    <row r="16" spans="1:23" ht="15.75" thickBot="1" x14ac:dyDescent="0.3">
      <c r="A16" s="465"/>
      <c r="B16" s="79" t="s">
        <v>237</v>
      </c>
      <c r="C16" s="122">
        <f t="shared" ref="C16" si="5">ROUND(IF($Q$14/$Q$7*C15&gt;C15,C15,$Q$14/$Q$7*C15),0)</f>
        <v>0</v>
      </c>
      <c r="D16" s="122">
        <f t="shared" ref="D16" si="6">ROUND(IF($Q$14/$Q$7*D15&gt;D15,D15,$Q$14/$Q$7*D15),0)</f>
        <v>0</v>
      </c>
      <c r="E16" s="122">
        <f t="shared" ref="E16:F16" si="7">ROUND(IF($Q$14/$Q$7*E15&gt;E15,E15,$Q$14/$Q$7*E15),0)</f>
        <v>1803</v>
      </c>
      <c r="F16" s="122">
        <f t="shared" si="7"/>
        <v>0</v>
      </c>
      <c r="G16" s="122">
        <f t="shared" ref="G16" si="8">ROUND(IF($Q$14/$Q$7*G15&gt;G15,G15,$Q$14/$Q$7*G15),0)</f>
        <v>0</v>
      </c>
      <c r="H16" s="122">
        <f>ROUND(IF($Q$14/$Q$7*H15&gt;H15,H15,$Q$14/$Q$7*H15),0)</f>
        <v>902</v>
      </c>
      <c r="I16" s="122">
        <f t="shared" ref="I16:L16" si="9">ROUND(IF($Q$14/$Q$7*I15&gt;I15,I15,$Q$14/$Q$7*I15),0)</f>
        <v>0</v>
      </c>
      <c r="J16" s="122">
        <f t="shared" si="9"/>
        <v>0</v>
      </c>
      <c r="K16" s="122">
        <f t="shared" si="9"/>
        <v>192</v>
      </c>
      <c r="L16" s="122">
        <f t="shared" si="9"/>
        <v>0</v>
      </c>
      <c r="M16" s="122">
        <f t="shared" ref="M16:O16" si="10">ROUND(IF($Q$14/$Q$7*M15&gt;M15,M15,$Q$14/$Q$7*M15),0)</f>
        <v>0</v>
      </c>
      <c r="N16" s="122">
        <f t="shared" si="10"/>
        <v>0</v>
      </c>
      <c r="O16" s="176">
        <f t="shared" si="10"/>
        <v>0</v>
      </c>
      <c r="U16">
        <v>13</v>
      </c>
      <c r="V16" s="183">
        <f t="shared" si="0"/>
        <v>1.6037025990921494</v>
      </c>
      <c r="W16">
        <f t="shared" si="1"/>
        <v>690</v>
      </c>
    </row>
    <row r="17" spans="1:23" x14ac:dyDescent="0.25">
      <c r="A17" s="465"/>
      <c r="B17" s="79" t="s">
        <v>238</v>
      </c>
      <c r="C17" s="195">
        <f>C15-C16</f>
        <v>0</v>
      </c>
      <c r="D17" s="195">
        <f t="shared" ref="D17:O17" si="11">D15-D16</f>
        <v>0</v>
      </c>
      <c r="E17" s="195">
        <f t="shared" si="11"/>
        <v>197</v>
      </c>
      <c r="F17" s="195">
        <f t="shared" si="11"/>
        <v>0</v>
      </c>
      <c r="G17" s="195">
        <f t="shared" si="11"/>
        <v>0</v>
      </c>
      <c r="H17" s="195">
        <f t="shared" si="11"/>
        <v>98</v>
      </c>
      <c r="I17" s="195">
        <f t="shared" si="11"/>
        <v>0</v>
      </c>
      <c r="J17" s="195">
        <f t="shared" si="11"/>
        <v>0</v>
      </c>
      <c r="K17" s="195">
        <f t="shared" si="11"/>
        <v>21</v>
      </c>
      <c r="L17" s="195">
        <f t="shared" si="11"/>
        <v>0</v>
      </c>
      <c r="M17" s="195">
        <f t="shared" si="11"/>
        <v>0</v>
      </c>
      <c r="N17" s="195">
        <f t="shared" si="11"/>
        <v>0</v>
      </c>
      <c r="O17" s="196">
        <f t="shared" si="11"/>
        <v>0</v>
      </c>
      <c r="Q17" s="274"/>
      <c r="S17" s="46" t="s">
        <v>313</v>
      </c>
      <c r="U17">
        <v>14</v>
      </c>
      <c r="V17" s="183">
        <f t="shared" si="0"/>
        <v>1.6630395952585586</v>
      </c>
      <c r="W17">
        <f t="shared" si="1"/>
        <v>740</v>
      </c>
    </row>
    <row r="18" spans="1:23" ht="15.75" thickBot="1" x14ac:dyDescent="0.3">
      <c r="A18" s="465" t="s">
        <v>239</v>
      </c>
      <c r="B18" s="79" t="s">
        <v>236</v>
      </c>
      <c r="C18" s="79">
        <f>C8</f>
        <v>2000</v>
      </c>
      <c r="D18" s="79">
        <f t="shared" ref="D18:O18" si="12">D8</f>
        <v>2000</v>
      </c>
      <c r="E18" s="79">
        <f t="shared" si="12"/>
        <v>0</v>
      </c>
      <c r="F18" s="79">
        <f t="shared" si="12"/>
        <v>0</v>
      </c>
      <c r="G18" s="79">
        <f t="shared" si="12"/>
        <v>0</v>
      </c>
      <c r="H18" s="79">
        <f t="shared" si="12"/>
        <v>0</v>
      </c>
      <c r="I18" s="79">
        <f t="shared" si="12"/>
        <v>0</v>
      </c>
      <c r="J18" s="79">
        <f t="shared" si="12"/>
        <v>0</v>
      </c>
      <c r="K18" s="79">
        <f t="shared" si="12"/>
        <v>0</v>
      </c>
      <c r="L18" s="79">
        <f t="shared" si="12"/>
        <v>0</v>
      </c>
      <c r="M18" s="79">
        <f t="shared" si="12"/>
        <v>0</v>
      </c>
      <c r="N18" s="79">
        <f t="shared" si="12"/>
        <v>0</v>
      </c>
      <c r="O18" s="82">
        <f t="shared" si="12"/>
        <v>0</v>
      </c>
      <c r="S18" s="207" t="s">
        <v>255</v>
      </c>
      <c r="U18">
        <v>15</v>
      </c>
      <c r="V18" s="183">
        <f t="shared" si="0"/>
        <v>1.7245720602831254</v>
      </c>
      <c r="W18">
        <f t="shared" si="1"/>
        <v>790</v>
      </c>
    </row>
    <row r="19" spans="1:23" x14ac:dyDescent="0.25">
      <c r="A19" s="465"/>
      <c r="B19" s="79" t="s">
        <v>237</v>
      </c>
      <c r="C19" s="122">
        <f>ROUND(IF($Q$15/$Q$12*C18&gt;C18,C18,$Q$15/$Q$12*C18),0)</f>
        <v>2000</v>
      </c>
      <c r="D19" s="122">
        <f t="shared" ref="D19:O19" si="13">ROUND(IF($Q$15/$Q$12*D18&gt;D18,D18,$Q$15/$Q$12*D18),0)</f>
        <v>2000</v>
      </c>
      <c r="E19" s="122">
        <f t="shared" si="13"/>
        <v>0</v>
      </c>
      <c r="F19" s="122">
        <f t="shared" si="13"/>
        <v>0</v>
      </c>
      <c r="G19" s="122">
        <f t="shared" si="13"/>
        <v>0</v>
      </c>
      <c r="H19" s="122">
        <f t="shared" si="13"/>
        <v>0</v>
      </c>
      <c r="I19" s="122">
        <f t="shared" si="13"/>
        <v>0</v>
      </c>
      <c r="J19" s="122">
        <f t="shared" si="13"/>
        <v>0</v>
      </c>
      <c r="K19" s="122">
        <f t="shared" si="13"/>
        <v>0</v>
      </c>
      <c r="L19" s="122">
        <f t="shared" si="13"/>
        <v>0</v>
      </c>
      <c r="M19" s="122">
        <f t="shared" si="13"/>
        <v>0</v>
      </c>
      <c r="N19" s="122">
        <f t="shared" si="13"/>
        <v>0</v>
      </c>
      <c r="O19" s="176">
        <f t="shared" si="13"/>
        <v>0</v>
      </c>
      <c r="Q19" s="273"/>
      <c r="U19">
        <v>16</v>
      </c>
      <c r="V19" s="183">
        <f t="shared" si="0"/>
        <v>1.7883812265136008</v>
      </c>
      <c r="W19">
        <f t="shared" si="1"/>
        <v>840</v>
      </c>
    </row>
    <row r="20" spans="1:23" ht="15.75" thickBot="1" x14ac:dyDescent="0.3">
      <c r="A20" s="466"/>
      <c r="B20" s="93" t="s">
        <v>238</v>
      </c>
      <c r="C20" s="197">
        <f>C18-C19</f>
        <v>0</v>
      </c>
      <c r="D20" s="197">
        <f t="shared" ref="D20:O20" si="14">D18-D19</f>
        <v>0</v>
      </c>
      <c r="E20" s="197">
        <f t="shared" si="14"/>
        <v>0</v>
      </c>
      <c r="F20" s="197">
        <f t="shared" si="14"/>
        <v>0</v>
      </c>
      <c r="G20" s="197">
        <f t="shared" si="14"/>
        <v>0</v>
      </c>
      <c r="H20" s="197">
        <f t="shared" si="14"/>
        <v>0</v>
      </c>
      <c r="I20" s="197">
        <f t="shared" si="14"/>
        <v>0</v>
      </c>
      <c r="J20" s="197">
        <f t="shared" si="14"/>
        <v>0</v>
      </c>
      <c r="K20" s="197">
        <f t="shared" si="14"/>
        <v>0</v>
      </c>
      <c r="L20" s="197">
        <f t="shared" si="14"/>
        <v>0</v>
      </c>
      <c r="M20" s="197">
        <f t="shared" si="14"/>
        <v>0</v>
      </c>
      <c r="N20" s="197">
        <f t="shared" si="14"/>
        <v>0</v>
      </c>
      <c r="O20" s="198">
        <f t="shared" si="14"/>
        <v>0</v>
      </c>
      <c r="U20">
        <v>17</v>
      </c>
      <c r="V20" s="183">
        <f t="shared" si="0"/>
        <v>1.8545513318946039</v>
      </c>
      <c r="W20">
        <f t="shared" si="1"/>
        <v>890</v>
      </c>
    </row>
    <row r="21" spans="1:23" x14ac:dyDescent="0.25">
      <c r="Q21" s="77"/>
      <c r="U21">
        <v>18</v>
      </c>
      <c r="V21" s="183">
        <f t="shared" si="0"/>
        <v>1.923169731174704</v>
      </c>
      <c r="W21">
        <f t="shared" si="1"/>
        <v>940</v>
      </c>
    </row>
    <row r="22" spans="1:23" x14ac:dyDescent="0.25">
      <c r="Q22" s="77"/>
      <c r="R22" s="153"/>
      <c r="S22" s="153"/>
      <c r="T22" s="153"/>
      <c r="U22">
        <v>19</v>
      </c>
      <c r="V22" s="183">
        <f t="shared" si="0"/>
        <v>1.9943270112281681</v>
      </c>
      <c r="W22">
        <f t="shared" si="1"/>
        <v>990</v>
      </c>
    </row>
    <row r="23" spans="1:23" x14ac:dyDescent="0.25">
      <c r="Q23" s="77"/>
      <c r="U23">
        <v>20</v>
      </c>
      <c r="V23" s="183">
        <f t="shared" si="0"/>
        <v>2.0681171106436098</v>
      </c>
      <c r="W23">
        <f t="shared" si="1"/>
        <v>1040</v>
      </c>
    </row>
  </sheetData>
  <mergeCells count="6">
    <mergeCell ref="A18:A20"/>
    <mergeCell ref="D1:N1"/>
    <mergeCell ref="A4:A7"/>
    <mergeCell ref="S7:T7"/>
    <mergeCell ref="A8:A12"/>
    <mergeCell ref="A15:A17"/>
  </mergeCells>
  <dataValidations count="1">
    <dataValidation type="list" allowBlank="1" showInputMessage="1" showErrorMessage="1" sqref="S14 S18">
      <formula1>"ja,nein"</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509"/>
  <sheetViews>
    <sheetView tabSelected="1" workbookViewId="0">
      <selection activeCell="E1" sqref="E1"/>
    </sheetView>
  </sheetViews>
  <sheetFormatPr baseColWidth="10" defaultRowHeight="15" x14ac:dyDescent="0.25"/>
  <cols>
    <col min="1" max="1" width="6.5703125" bestFit="1" customWidth="1"/>
    <col min="2" max="2" width="10.140625" bestFit="1" customWidth="1"/>
    <col min="3" max="3" width="7.85546875" bestFit="1" customWidth="1"/>
    <col min="4" max="5" width="7.7109375" bestFit="1" customWidth="1"/>
    <col min="6" max="6" width="10" bestFit="1" customWidth="1"/>
    <col min="7" max="7" width="7" bestFit="1" customWidth="1"/>
    <col min="8" max="8" width="19" bestFit="1" customWidth="1"/>
    <col min="9" max="9" width="9.140625" customWidth="1"/>
    <col min="10" max="10" width="13.42578125" customWidth="1"/>
    <col min="11" max="11" width="10.85546875" bestFit="1" customWidth="1"/>
    <col min="12" max="12" width="10.140625" customWidth="1"/>
    <col min="13" max="14" width="10.42578125" customWidth="1"/>
    <col min="15" max="15" width="11.85546875" bestFit="1" customWidth="1"/>
    <col min="16" max="16" width="13" customWidth="1"/>
    <col min="17" max="17" width="10" customWidth="1"/>
    <col min="18" max="18" width="12.42578125" customWidth="1"/>
    <col min="19" max="19" width="11.28515625" bestFit="1" customWidth="1"/>
    <col min="20" max="20" width="8.28515625" bestFit="1" customWidth="1"/>
    <col min="21" max="21" width="8.28515625" customWidth="1"/>
    <col min="22" max="22" width="7.140625" bestFit="1" customWidth="1"/>
    <col min="23" max="23" width="11.85546875" bestFit="1" customWidth="1"/>
    <col min="24" max="24" width="11.85546875" customWidth="1"/>
    <col min="25" max="25" width="11.42578125" customWidth="1"/>
    <col min="26" max="26" width="8.140625" bestFit="1" customWidth="1"/>
    <col min="27" max="27" width="8.42578125" bestFit="1" customWidth="1"/>
    <col min="28" max="28" width="7.85546875" customWidth="1"/>
    <col min="29" max="29" width="8.42578125" customWidth="1"/>
    <col min="30" max="31" width="7.28515625" customWidth="1"/>
    <col min="32" max="32" width="8.42578125" customWidth="1"/>
    <col min="33" max="33" width="7.28515625" customWidth="1"/>
    <col min="34" max="34" width="9.42578125" customWidth="1"/>
    <col min="35" max="35" width="7.28515625" customWidth="1"/>
    <col min="36" max="36" width="15.85546875" bestFit="1" customWidth="1"/>
    <col min="37" max="37" width="15.140625" bestFit="1" customWidth="1"/>
    <col min="38" max="38" width="10" customWidth="1"/>
    <col min="39" max="39" width="9.140625" customWidth="1"/>
    <col min="40" max="40" width="10.7109375" customWidth="1"/>
    <col min="41" max="41" width="11.5703125" customWidth="1"/>
    <col min="42" max="69" width="11" customWidth="1"/>
    <col min="70" max="70" width="11.5703125" bestFit="1" customWidth="1"/>
    <col min="71" max="294" width="9.140625" customWidth="1"/>
  </cols>
  <sheetData>
    <row r="1" spans="1:145" ht="21" x14ac:dyDescent="0.35">
      <c r="B1" s="410" t="s">
        <v>45</v>
      </c>
      <c r="C1" s="411"/>
      <c r="D1" s="416"/>
      <c r="E1" s="150">
        <v>1</v>
      </c>
      <c r="G1" s="422" t="s">
        <v>387</v>
      </c>
      <c r="H1" s="423"/>
      <c r="J1" s="421" t="s">
        <v>518</v>
      </c>
      <c r="K1" s="421"/>
      <c r="L1" s="421"/>
      <c r="M1" s="421"/>
      <c r="N1" s="421"/>
      <c r="O1" s="421"/>
      <c r="P1" s="421"/>
      <c r="Q1" s="421"/>
      <c r="R1" s="327"/>
      <c r="S1" s="327"/>
      <c r="T1" s="327"/>
      <c r="U1" s="327"/>
      <c r="V1" s="327"/>
      <c r="W1" s="327"/>
      <c r="X1" s="327"/>
      <c r="Y1" s="327"/>
      <c r="Z1" s="327"/>
      <c r="AA1" s="327"/>
      <c r="AB1" s="327"/>
      <c r="AC1" s="76"/>
      <c r="AD1" s="76"/>
      <c r="AE1" s="76"/>
      <c r="AF1" s="76"/>
      <c r="AG1" s="76"/>
      <c r="AH1" s="76"/>
      <c r="AI1" s="76"/>
      <c r="AJ1" s="76"/>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row>
    <row r="2" spans="1:145" ht="15.75" thickBot="1" x14ac:dyDescent="0.3">
      <c r="B2" s="417" t="s">
        <v>147</v>
      </c>
      <c r="C2" s="418"/>
      <c r="D2" s="419"/>
      <c r="E2" s="151">
        <v>1</v>
      </c>
      <c r="G2" s="424" t="s">
        <v>383</v>
      </c>
      <c r="H2" s="425"/>
      <c r="I2" s="10"/>
      <c r="J2" s="15"/>
      <c r="K2" s="15"/>
      <c r="L2" s="15"/>
      <c r="M2" s="15"/>
      <c r="N2" s="15"/>
      <c r="O2" s="15"/>
      <c r="P2" s="15"/>
      <c r="Q2" s="15"/>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row>
    <row r="3" spans="1:145" ht="15.75" thickBot="1" x14ac:dyDescent="0.3">
      <c r="B3" s="405" t="s">
        <v>146</v>
      </c>
      <c r="C3" s="406"/>
      <c r="D3" s="420"/>
      <c r="E3" s="152">
        <f>E2*E1</f>
        <v>1</v>
      </c>
      <c r="M3" s="19"/>
      <c r="N3" s="19"/>
      <c r="O3" s="19"/>
      <c r="P3" s="19"/>
      <c r="Q3" s="19"/>
      <c r="R3" s="19"/>
      <c r="S3" s="19"/>
      <c r="T3" s="19"/>
      <c r="U3" s="19"/>
      <c r="V3" s="19"/>
      <c r="W3" s="19"/>
      <c r="X3" s="19"/>
      <c r="Y3" s="19"/>
      <c r="Z3" s="19"/>
      <c r="AA3" s="19"/>
      <c r="AC3" s="405" t="s">
        <v>47</v>
      </c>
      <c r="AD3" s="406"/>
      <c r="AE3" s="406"/>
      <c r="AF3" s="406"/>
      <c r="AG3" s="420"/>
      <c r="AH3" s="60">
        <v>4.1666666666666664E-2</v>
      </c>
      <c r="AI3" s="16"/>
      <c r="AJ3" s="41" t="s">
        <v>50</v>
      </c>
      <c r="AK3" s="42">
        <v>4.1666666666666664E-2</v>
      </c>
      <c r="AL3" s="41" t="s">
        <v>51</v>
      </c>
      <c r="AM3" s="42">
        <v>6.9444444444444447E-4</v>
      </c>
      <c r="AN3" s="41" t="s">
        <v>52</v>
      </c>
      <c r="AO3" s="42">
        <v>1.1574074074074073E-5</v>
      </c>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7"/>
    </row>
    <row r="4" spans="1:145" ht="15.75" thickBot="1" x14ac:dyDescent="0.3">
      <c r="B4" s="405" t="s">
        <v>420</v>
      </c>
      <c r="C4" s="406"/>
      <c r="D4" s="420"/>
      <c r="E4" s="396">
        <v>1</v>
      </c>
      <c r="K4" s="222"/>
      <c r="L4" s="19"/>
      <c r="M4" s="19"/>
      <c r="N4" s="19"/>
      <c r="O4" s="19"/>
      <c r="P4" s="19"/>
      <c r="Q4" s="19"/>
      <c r="R4" s="19"/>
      <c r="S4" s="19"/>
      <c r="T4" s="19"/>
      <c r="U4" s="19"/>
      <c r="V4" s="19"/>
      <c r="W4" s="19"/>
      <c r="X4" s="19"/>
      <c r="Y4" s="19"/>
      <c r="Z4" s="19"/>
      <c r="AA4" s="19"/>
      <c r="AB4" s="10"/>
      <c r="AC4" s="19"/>
      <c r="AD4" s="19"/>
      <c r="AE4" s="20"/>
      <c r="AF4" s="20"/>
      <c r="AG4" s="20"/>
      <c r="AH4" s="16"/>
      <c r="AI4" s="16"/>
      <c r="AJ4" s="222"/>
      <c r="AK4" s="223"/>
      <c r="AL4" s="222"/>
      <c r="AM4" s="223"/>
      <c r="AN4" s="222"/>
      <c r="AO4" s="223"/>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7"/>
    </row>
    <row r="5" spans="1:145" ht="15.75" thickBot="1" x14ac:dyDescent="0.3">
      <c r="C5" s="20"/>
      <c r="D5" s="20"/>
      <c r="E5" s="20"/>
      <c r="F5" s="19"/>
      <c r="I5" s="19"/>
      <c r="J5" s="405" t="s">
        <v>285</v>
      </c>
      <c r="K5" s="406"/>
      <c r="L5" s="406"/>
      <c r="M5" s="406"/>
      <c r="N5" s="406"/>
      <c r="O5" s="406"/>
      <c r="P5" s="406"/>
      <c r="Q5" s="406"/>
      <c r="R5" s="406"/>
      <c r="S5" s="406"/>
      <c r="T5" s="406"/>
      <c r="U5" s="406"/>
      <c r="V5" s="406"/>
      <c r="W5" s="406"/>
      <c r="X5" s="406"/>
      <c r="Y5" s="406"/>
      <c r="Z5" s="406"/>
      <c r="AA5" s="406"/>
      <c r="AB5" s="406"/>
      <c r="AC5" s="406"/>
      <c r="AD5" s="407"/>
      <c r="AE5" s="161"/>
      <c r="AF5" s="20"/>
      <c r="AG5" s="20"/>
      <c r="AH5" s="16"/>
      <c r="AI5" s="16"/>
      <c r="AJ5" s="188" t="s">
        <v>163</v>
      </c>
      <c r="AK5" s="140">
        <v>10000</v>
      </c>
      <c r="AL5" s="222"/>
      <c r="AM5" s="223"/>
      <c r="AN5" s="222"/>
      <c r="AO5" s="223"/>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7"/>
    </row>
    <row r="6" spans="1:145" x14ac:dyDescent="0.25">
      <c r="A6" s="408" t="s">
        <v>309</v>
      </c>
      <c r="B6" s="409"/>
      <c r="D6" s="408" t="s">
        <v>312</v>
      </c>
      <c r="E6" s="409"/>
      <c r="G6" s="408" t="s">
        <v>310</v>
      </c>
      <c r="H6" s="409"/>
      <c r="I6" s="19"/>
      <c r="J6" s="328" t="s">
        <v>0</v>
      </c>
      <c r="K6" s="329" t="s">
        <v>1</v>
      </c>
      <c r="L6" s="329" t="s">
        <v>2</v>
      </c>
      <c r="M6" s="329" t="s">
        <v>3</v>
      </c>
      <c r="N6" s="330" t="s">
        <v>59</v>
      </c>
      <c r="O6" s="330" t="s">
        <v>60</v>
      </c>
      <c r="P6" s="329" t="s">
        <v>64</v>
      </c>
      <c r="Q6" s="329" t="s">
        <v>4</v>
      </c>
      <c r="R6" s="329" t="s">
        <v>5</v>
      </c>
      <c r="S6" s="329" t="s">
        <v>6</v>
      </c>
      <c r="T6" s="329" t="s">
        <v>7</v>
      </c>
      <c r="U6" s="329" t="s">
        <v>8</v>
      </c>
      <c r="V6" s="329" t="s">
        <v>9</v>
      </c>
      <c r="W6" s="329" t="s">
        <v>10</v>
      </c>
      <c r="X6" s="329" t="s">
        <v>11</v>
      </c>
      <c r="Y6" s="329" t="s">
        <v>12</v>
      </c>
      <c r="Z6" s="329" t="s">
        <v>13</v>
      </c>
      <c r="AA6" s="329" t="s">
        <v>14</v>
      </c>
      <c r="AB6" s="329" t="s">
        <v>107</v>
      </c>
      <c r="AC6" s="329" t="s">
        <v>106</v>
      </c>
      <c r="AD6" s="331" t="s">
        <v>15</v>
      </c>
      <c r="AE6" s="12"/>
      <c r="AF6" s="20"/>
      <c r="AG6" s="20"/>
      <c r="AH6" s="16"/>
      <c r="AI6" s="16"/>
      <c r="AJ6" s="126" t="s">
        <v>334</v>
      </c>
      <c r="AK6" s="311">
        <v>43971.855555555558</v>
      </c>
      <c r="AL6" s="222"/>
      <c r="AM6" s="223"/>
      <c r="AN6" s="222"/>
      <c r="AO6" s="223"/>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7"/>
    </row>
    <row r="7" spans="1:145" ht="15.75" thickBot="1" x14ac:dyDescent="0.3">
      <c r="A7" s="300" t="s">
        <v>192</v>
      </c>
      <c r="B7" s="302">
        <v>0</v>
      </c>
      <c r="D7" s="300" t="s">
        <v>386</v>
      </c>
      <c r="E7" s="302">
        <v>0</v>
      </c>
      <c r="G7" s="300" t="s">
        <v>386</v>
      </c>
      <c r="H7" s="302">
        <v>0</v>
      </c>
      <c r="I7" s="19"/>
      <c r="J7" s="276">
        <v>1</v>
      </c>
      <c r="K7" s="277">
        <v>0</v>
      </c>
      <c r="L7" s="277">
        <v>0</v>
      </c>
      <c r="M7" s="277">
        <v>0</v>
      </c>
      <c r="N7" s="277">
        <v>0</v>
      </c>
      <c r="O7" s="277">
        <v>0</v>
      </c>
      <c r="P7" s="277">
        <v>0</v>
      </c>
      <c r="Q7" s="277">
        <v>0</v>
      </c>
      <c r="R7" s="277">
        <v>0</v>
      </c>
      <c r="S7" s="277">
        <v>1</v>
      </c>
      <c r="T7" s="277">
        <v>0</v>
      </c>
      <c r="U7" s="277">
        <v>0</v>
      </c>
      <c r="V7" s="277">
        <v>0</v>
      </c>
      <c r="W7" s="277">
        <v>0</v>
      </c>
      <c r="X7" s="277">
        <v>0</v>
      </c>
      <c r="Y7" s="277">
        <v>1</v>
      </c>
      <c r="Z7" s="277">
        <v>1</v>
      </c>
      <c r="AA7" s="277">
        <v>1</v>
      </c>
      <c r="AB7" s="277">
        <v>0</v>
      </c>
      <c r="AC7" s="277">
        <v>0</v>
      </c>
      <c r="AD7" s="278">
        <v>0</v>
      </c>
      <c r="AE7" s="12"/>
      <c r="AF7" s="20"/>
      <c r="AG7" s="20"/>
      <c r="AH7" s="16"/>
      <c r="AI7" s="16"/>
      <c r="AJ7" s="126" t="s">
        <v>329</v>
      </c>
      <c r="AK7" s="312">
        <f ca="1">NOW()</f>
        <v>44000.030114120367</v>
      </c>
      <c r="AL7" s="222"/>
      <c r="AM7" s="223"/>
      <c r="AN7" s="222"/>
      <c r="AO7" s="223"/>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7"/>
    </row>
    <row r="8" spans="1:145" ht="15.75" thickBot="1" x14ac:dyDescent="0.3">
      <c r="A8" s="300" t="s">
        <v>386</v>
      </c>
      <c r="B8" s="302">
        <v>0</v>
      </c>
      <c r="D8" s="300" t="s">
        <v>311</v>
      </c>
      <c r="E8" s="302">
        <v>0</v>
      </c>
      <c r="G8" s="300" t="s">
        <v>311</v>
      </c>
      <c r="H8" s="302">
        <v>0</v>
      </c>
      <c r="I8" s="19"/>
      <c r="J8" s="19"/>
      <c r="K8" s="222"/>
      <c r="L8" s="19"/>
      <c r="M8" s="19"/>
      <c r="N8" s="19"/>
      <c r="O8" s="19"/>
      <c r="P8" s="19"/>
      <c r="Q8" s="19"/>
      <c r="R8" s="19"/>
      <c r="S8" s="19"/>
      <c r="T8" s="19"/>
      <c r="U8" s="19"/>
      <c r="V8" s="19"/>
      <c r="W8" s="19"/>
      <c r="X8" s="19"/>
      <c r="Y8" s="19"/>
      <c r="Z8" s="19"/>
      <c r="AA8" s="19"/>
      <c r="AB8" s="10"/>
      <c r="AC8" s="19"/>
      <c r="AD8" s="19"/>
      <c r="AE8" s="20"/>
      <c r="AF8" s="20"/>
      <c r="AG8" s="20"/>
      <c r="AH8" s="16"/>
      <c r="AI8" s="16"/>
      <c r="AJ8" s="126" t="s">
        <v>330</v>
      </c>
      <c r="AK8" s="313">
        <f ca="1">AK7-AK6</f>
        <v>28.174558564809558</v>
      </c>
      <c r="AL8" s="222"/>
      <c r="AM8" s="223"/>
      <c r="AN8" s="222"/>
      <c r="AO8" s="223"/>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7"/>
    </row>
    <row r="9" spans="1:145" ht="15.75" thickBot="1" x14ac:dyDescent="0.3">
      <c r="A9" s="301" t="s">
        <v>385</v>
      </c>
      <c r="B9" s="303">
        <v>0</v>
      </c>
      <c r="D9" s="295" t="s">
        <v>82</v>
      </c>
      <c r="E9" s="299">
        <f>SUM(E7:E8)</f>
        <v>0</v>
      </c>
      <c r="G9" s="295" t="s">
        <v>82</v>
      </c>
      <c r="H9" s="299">
        <f>SUM(H7:H8)</f>
        <v>0</v>
      </c>
      <c r="I9" s="19"/>
      <c r="J9" s="408" t="s">
        <v>286</v>
      </c>
      <c r="K9" s="413"/>
      <c r="L9" s="413"/>
      <c r="M9" s="413"/>
      <c r="N9" s="413"/>
      <c r="O9" s="413"/>
      <c r="P9" s="413"/>
      <c r="Q9" s="413"/>
      <c r="R9" s="413"/>
      <c r="S9" s="409"/>
      <c r="T9" s="161"/>
      <c r="U9" s="161"/>
      <c r="V9" s="19"/>
      <c r="W9" s="402" t="s">
        <v>287</v>
      </c>
      <c r="X9" s="403"/>
      <c r="Y9" s="404"/>
      <c r="Z9" s="19"/>
      <c r="AA9" s="19"/>
      <c r="AB9" s="10"/>
      <c r="AC9" s="19"/>
      <c r="AD9" s="19"/>
      <c r="AE9" s="20"/>
      <c r="AF9" s="20"/>
      <c r="AG9" s="20"/>
      <c r="AH9" s="16"/>
      <c r="AI9" s="16"/>
      <c r="AJ9" s="126" t="s">
        <v>331</v>
      </c>
      <c r="AK9" s="40">
        <v>1</v>
      </c>
      <c r="AL9" s="222"/>
      <c r="AM9" s="223"/>
      <c r="AN9" s="222"/>
      <c r="AO9" s="223"/>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7"/>
    </row>
    <row r="10" spans="1:145" ht="15.75" thickBot="1" x14ac:dyDescent="0.3">
      <c r="A10" s="295" t="s">
        <v>82</v>
      </c>
      <c r="B10" s="299">
        <f>SUM(B7:B9)</f>
        <v>0</v>
      </c>
      <c r="E10" s="20"/>
      <c r="F10" s="19"/>
      <c r="I10" s="19"/>
      <c r="J10" s="81" t="s">
        <v>73</v>
      </c>
      <c r="K10" s="79" t="s">
        <v>74</v>
      </c>
      <c r="L10" s="79" t="s">
        <v>75</v>
      </c>
      <c r="M10" s="79" t="s">
        <v>190</v>
      </c>
      <c r="N10" s="79" t="s">
        <v>71</v>
      </c>
      <c r="O10" s="79" t="s">
        <v>76</v>
      </c>
      <c r="P10" s="79" t="s">
        <v>195</v>
      </c>
      <c r="Q10" s="79" t="s">
        <v>77</v>
      </c>
      <c r="R10" s="79" t="s">
        <v>78</v>
      </c>
      <c r="S10" s="82" t="s">
        <v>79</v>
      </c>
      <c r="T10" s="12"/>
      <c r="U10" s="12"/>
      <c r="V10" s="19"/>
      <c r="W10" s="26" t="s">
        <v>29</v>
      </c>
      <c r="X10" s="12" t="s">
        <v>30</v>
      </c>
      <c r="Y10" s="32" t="s">
        <v>31</v>
      </c>
      <c r="Z10" s="19"/>
      <c r="AA10" s="19"/>
      <c r="AB10" s="10"/>
      <c r="AC10" s="19"/>
      <c r="AD10" s="19"/>
      <c r="AE10" s="20"/>
      <c r="AF10" s="20"/>
      <c r="AG10" s="20"/>
      <c r="AH10" s="16"/>
      <c r="AI10" s="16"/>
      <c r="AJ10" s="126" t="s">
        <v>332</v>
      </c>
      <c r="AK10" s="313">
        <f ca="1">(AK9+AK8+1)*AK5</f>
        <v>301745.58564809558</v>
      </c>
      <c r="AL10" s="222"/>
      <c r="AM10" s="223"/>
      <c r="AN10" s="222"/>
      <c r="AO10" s="223"/>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7"/>
    </row>
    <row r="11" spans="1:145" ht="15.75" thickBot="1" x14ac:dyDescent="0.3">
      <c r="C11" s="20"/>
      <c r="D11" s="20"/>
      <c r="I11" s="19"/>
      <c r="J11" s="224">
        <v>0</v>
      </c>
      <c r="K11" s="225">
        <v>0</v>
      </c>
      <c r="L11" s="225">
        <v>0</v>
      </c>
      <c r="M11" s="225">
        <v>0</v>
      </c>
      <c r="N11" s="225">
        <v>0</v>
      </c>
      <c r="O11" s="225">
        <v>0</v>
      </c>
      <c r="P11" s="225">
        <v>0</v>
      </c>
      <c r="Q11" s="225">
        <v>0</v>
      </c>
      <c r="R11" s="225">
        <v>0</v>
      </c>
      <c r="S11" s="226">
        <v>0</v>
      </c>
      <c r="T11" s="12"/>
      <c r="U11" s="12"/>
      <c r="V11" s="19"/>
      <c r="W11" s="224">
        <v>500</v>
      </c>
      <c r="X11" s="225">
        <v>500</v>
      </c>
      <c r="Y11" s="226">
        <v>500</v>
      </c>
      <c r="Z11" s="19"/>
      <c r="AA11" s="19"/>
      <c r="AB11" s="10"/>
      <c r="AC11" s="19"/>
      <c r="AD11" s="19"/>
      <c r="AE11" s="20"/>
      <c r="AF11" s="20"/>
      <c r="AG11" s="20"/>
      <c r="AH11" s="16"/>
      <c r="AI11" s="16"/>
      <c r="AJ11" s="314" t="s">
        <v>333</v>
      </c>
      <c r="AK11" s="315">
        <f ca="1">AK10/3/24</f>
        <v>4190.9109117791058</v>
      </c>
      <c r="AL11" s="222"/>
      <c r="AM11" s="223"/>
      <c r="AN11" s="222"/>
      <c r="AO11" s="223"/>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7"/>
    </row>
    <row r="12" spans="1:145" ht="15.75" thickBot="1" x14ac:dyDescent="0.3">
      <c r="I12" s="19"/>
      <c r="J12" s="19"/>
      <c r="K12" s="222"/>
      <c r="L12" s="19"/>
      <c r="M12" s="19"/>
      <c r="N12" s="19"/>
      <c r="O12" s="19"/>
      <c r="P12" s="19"/>
      <c r="Q12" s="19"/>
      <c r="R12" s="19"/>
      <c r="S12" s="19"/>
      <c r="T12" s="19"/>
      <c r="U12" s="19"/>
      <c r="V12" s="19"/>
      <c r="W12" s="19"/>
      <c r="X12" s="19"/>
      <c r="Y12" s="19"/>
      <c r="Z12" s="19"/>
      <c r="AA12" s="19"/>
      <c r="AB12" s="10"/>
      <c r="AC12" s="19"/>
      <c r="AD12" s="19"/>
      <c r="AE12" s="20"/>
      <c r="AF12" s="20"/>
      <c r="AG12" s="20"/>
      <c r="AH12" s="16"/>
      <c r="AI12" s="16"/>
      <c r="AJ12" s="222"/>
      <c r="AK12" s="223"/>
      <c r="AL12" s="222"/>
      <c r="AM12" s="223"/>
      <c r="AN12" s="222"/>
      <c r="AO12" s="223"/>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7"/>
    </row>
    <row r="13" spans="1:145" ht="15.75" thickBot="1" x14ac:dyDescent="0.3">
      <c r="A13" t="s">
        <v>62</v>
      </c>
      <c r="B13" s="171" t="s">
        <v>208</v>
      </c>
      <c r="C13" s="408" t="s">
        <v>108</v>
      </c>
      <c r="D13" s="413"/>
      <c r="E13" s="413"/>
      <c r="F13" s="409"/>
      <c r="G13" s="166" t="s">
        <v>63</v>
      </c>
      <c r="H13" s="167" t="s">
        <v>110</v>
      </c>
      <c r="I13" s="410" t="s">
        <v>34</v>
      </c>
      <c r="J13" s="411"/>
      <c r="K13" s="411"/>
      <c r="L13" s="412"/>
      <c r="M13" s="410" t="s">
        <v>35</v>
      </c>
      <c r="N13" s="411"/>
      <c r="O13" s="411"/>
      <c r="P13" s="411"/>
      <c r="Q13" s="412"/>
      <c r="R13" s="408" t="s">
        <v>90</v>
      </c>
      <c r="S13" s="413"/>
      <c r="T13" s="413"/>
      <c r="U13" s="413"/>
      <c r="V13" s="413"/>
      <c r="W13" s="413"/>
      <c r="X13" s="413"/>
      <c r="Y13" s="413"/>
      <c r="Z13" s="413"/>
      <c r="AA13" s="409"/>
      <c r="AB13" s="410" t="s">
        <v>91</v>
      </c>
      <c r="AC13" s="411"/>
      <c r="AD13" s="411"/>
      <c r="AE13" s="412"/>
      <c r="AF13" s="410" t="s">
        <v>92</v>
      </c>
      <c r="AG13" s="411"/>
      <c r="AH13" s="411"/>
      <c r="AI13" s="412"/>
      <c r="AJ13" s="410" t="s">
        <v>32</v>
      </c>
      <c r="AK13" s="411"/>
      <c r="AL13" s="412"/>
      <c r="AM13" s="410" t="s">
        <v>43</v>
      </c>
      <c r="AN13" s="411"/>
      <c r="AO13" s="412"/>
      <c r="AP13" s="410" t="s">
        <v>44</v>
      </c>
      <c r="AQ13" s="411"/>
      <c r="AR13" s="412"/>
      <c r="AS13" s="346" t="s">
        <v>163</v>
      </c>
      <c r="AT13" s="408" t="s">
        <v>93</v>
      </c>
      <c r="AU13" s="413"/>
      <c r="AV13" s="413"/>
      <c r="AW13" s="413"/>
      <c r="AX13" s="413"/>
      <c r="AY13" s="413"/>
      <c r="AZ13" s="413"/>
      <c r="BA13" s="413"/>
      <c r="BB13" s="413"/>
      <c r="BC13" s="409"/>
      <c r="BD13" s="410" t="s">
        <v>94</v>
      </c>
      <c r="BE13" s="411"/>
      <c r="BF13" s="412"/>
      <c r="BG13" s="410" t="s">
        <v>53</v>
      </c>
      <c r="BH13" s="411"/>
      <c r="BI13" s="412"/>
      <c r="BJ13" s="410" t="s">
        <v>42</v>
      </c>
      <c r="BK13" s="411"/>
      <c r="BL13" s="411"/>
      <c r="BM13" s="412"/>
      <c r="BN13" s="410" t="s">
        <v>24</v>
      </c>
      <c r="BO13" s="411"/>
      <c r="BP13" s="411"/>
      <c r="BQ13" s="411"/>
      <c r="BR13" s="412"/>
      <c r="BS13" s="405" t="s">
        <v>33</v>
      </c>
      <c r="BT13" s="406"/>
      <c r="BU13" s="406"/>
      <c r="BV13" s="406"/>
      <c r="BW13" s="406"/>
      <c r="BX13" s="406"/>
      <c r="BY13" s="406"/>
      <c r="BZ13" s="406"/>
      <c r="CA13" s="406"/>
      <c r="CB13" s="406"/>
      <c r="CC13" s="406"/>
      <c r="CD13" s="406"/>
      <c r="CE13" s="406"/>
      <c r="CF13" s="406"/>
      <c r="CG13" s="406"/>
      <c r="CH13" s="406"/>
      <c r="CI13" s="406"/>
      <c r="CJ13" s="406"/>
      <c r="CK13" s="406"/>
      <c r="CL13" s="406"/>
      <c r="CM13" s="407"/>
      <c r="CN13" s="402" t="s">
        <v>48</v>
      </c>
      <c r="CO13" s="403"/>
      <c r="CP13" s="403"/>
      <c r="CQ13" s="403"/>
      <c r="CR13" s="403"/>
      <c r="CS13" s="403"/>
      <c r="CT13" s="403"/>
      <c r="CU13" s="403"/>
      <c r="CV13" s="403"/>
      <c r="CW13" s="403"/>
      <c r="CX13" s="403"/>
      <c r="CY13" s="403"/>
      <c r="CZ13" s="403"/>
      <c r="DA13" s="403"/>
      <c r="DB13" s="403"/>
      <c r="DC13" s="403"/>
      <c r="DD13" s="403"/>
      <c r="DE13" s="403"/>
      <c r="DF13" s="403"/>
      <c r="DG13" s="403"/>
      <c r="DH13" s="403"/>
      <c r="DI13" s="406" t="s">
        <v>284</v>
      </c>
      <c r="DJ13" s="406"/>
      <c r="DK13" s="406"/>
      <c r="DL13" s="406"/>
      <c r="DM13" s="406"/>
      <c r="DN13" s="406"/>
      <c r="DO13" s="406"/>
      <c r="DP13" s="406"/>
      <c r="DQ13" s="406"/>
      <c r="DR13" s="407"/>
      <c r="DS13" s="46" t="s">
        <v>55</v>
      </c>
      <c r="DT13" s="46" t="s">
        <v>56</v>
      </c>
      <c r="DU13" s="402" t="s">
        <v>335</v>
      </c>
      <c r="DV13" s="403"/>
      <c r="DW13" s="403"/>
      <c r="DX13" s="403"/>
      <c r="DY13" s="403"/>
      <c r="DZ13" s="403"/>
      <c r="EA13" s="403"/>
      <c r="EB13" s="403"/>
      <c r="EC13" s="403"/>
      <c r="ED13" s="403"/>
      <c r="EE13" s="403"/>
      <c r="EF13" s="403"/>
      <c r="EG13" s="403"/>
      <c r="EH13" s="403"/>
      <c r="EI13" s="403"/>
      <c r="EJ13" s="403"/>
      <c r="EK13" s="403"/>
      <c r="EL13" s="403"/>
      <c r="EM13" s="403"/>
      <c r="EN13" s="403"/>
      <c r="EO13" s="404"/>
    </row>
    <row r="14" spans="1:145" x14ac:dyDescent="0.25">
      <c r="B14" s="146" t="s">
        <v>54</v>
      </c>
      <c r="C14" s="126" t="s">
        <v>83</v>
      </c>
      <c r="D14" s="170" t="s">
        <v>30</v>
      </c>
      <c r="E14" s="170" t="s">
        <v>31</v>
      </c>
      <c r="F14" s="175" t="s">
        <v>109</v>
      </c>
      <c r="G14" s="126"/>
      <c r="H14" s="175"/>
      <c r="I14" s="47" t="s">
        <v>56</v>
      </c>
      <c r="J14" s="12" t="s">
        <v>27</v>
      </c>
      <c r="K14" s="12" t="s">
        <v>61</v>
      </c>
      <c r="L14" s="32" t="s">
        <v>28</v>
      </c>
      <c r="M14" s="26" t="s">
        <v>37</v>
      </c>
      <c r="N14" s="414" t="s">
        <v>36</v>
      </c>
      <c r="O14" s="414"/>
      <c r="P14" s="414" t="s">
        <v>38</v>
      </c>
      <c r="Q14" s="415"/>
      <c r="R14" s="81" t="s">
        <v>73</v>
      </c>
      <c r="S14" s="79" t="s">
        <v>74</v>
      </c>
      <c r="T14" s="79" t="s">
        <v>75</v>
      </c>
      <c r="U14" s="79" t="s">
        <v>190</v>
      </c>
      <c r="V14" s="79" t="s">
        <v>71</v>
      </c>
      <c r="W14" s="79" t="s">
        <v>76</v>
      </c>
      <c r="X14" s="79" t="s">
        <v>191</v>
      </c>
      <c r="Y14" s="79" t="s">
        <v>77</v>
      </c>
      <c r="Z14" s="79" t="s">
        <v>78</v>
      </c>
      <c r="AA14" s="82" t="s">
        <v>79</v>
      </c>
      <c r="AB14" s="12" t="s">
        <v>29</v>
      </c>
      <c r="AC14" s="12" t="s">
        <v>30</v>
      </c>
      <c r="AD14" s="12" t="s">
        <v>31</v>
      </c>
      <c r="AE14" s="32" t="s">
        <v>49</v>
      </c>
      <c r="AF14" s="26" t="s">
        <v>29</v>
      </c>
      <c r="AG14" s="12" t="s">
        <v>30</v>
      </c>
      <c r="AH14" s="12" t="s">
        <v>31</v>
      </c>
      <c r="AI14" s="32" t="s">
        <v>49</v>
      </c>
      <c r="AJ14" s="26" t="s">
        <v>29</v>
      </c>
      <c r="AK14" s="12" t="s">
        <v>30</v>
      </c>
      <c r="AL14" s="32" t="s">
        <v>31</v>
      </c>
      <c r="AM14" s="23" t="s">
        <v>29</v>
      </c>
      <c r="AN14" s="13" t="s">
        <v>30</v>
      </c>
      <c r="AO14" s="24" t="s">
        <v>31</v>
      </c>
      <c r="AP14" s="23" t="s">
        <v>29</v>
      </c>
      <c r="AQ14" s="13" t="s">
        <v>30</v>
      </c>
      <c r="AR14" s="24" t="s">
        <v>31</v>
      </c>
      <c r="AS14" s="13" t="s">
        <v>154</v>
      </c>
      <c r="AT14" s="81" t="s">
        <v>73</v>
      </c>
      <c r="AU14" s="79" t="s">
        <v>74</v>
      </c>
      <c r="AV14" s="79" t="s">
        <v>75</v>
      </c>
      <c r="AW14" s="79" t="s">
        <v>190</v>
      </c>
      <c r="AX14" s="79" t="s">
        <v>71</v>
      </c>
      <c r="AY14" s="79" t="s">
        <v>76</v>
      </c>
      <c r="AZ14" s="79" t="s">
        <v>195</v>
      </c>
      <c r="BA14" s="79" t="s">
        <v>77</v>
      </c>
      <c r="BB14" s="79" t="s">
        <v>78</v>
      </c>
      <c r="BC14" s="82" t="s">
        <v>79</v>
      </c>
      <c r="BD14" s="23" t="s">
        <v>29</v>
      </c>
      <c r="BE14" s="13" t="s">
        <v>30</v>
      </c>
      <c r="BF14" s="24" t="s">
        <v>31</v>
      </c>
      <c r="BG14" s="23" t="s">
        <v>29</v>
      </c>
      <c r="BH14" s="13" t="s">
        <v>30</v>
      </c>
      <c r="BI14" s="24" t="s">
        <v>31</v>
      </c>
      <c r="BJ14" s="26" t="s">
        <v>39</v>
      </c>
      <c r="BK14" s="12" t="s">
        <v>40</v>
      </c>
      <c r="BL14" s="12" t="s">
        <v>41</v>
      </c>
      <c r="BM14" s="24" t="s">
        <v>54</v>
      </c>
      <c r="BN14" s="26" t="s">
        <v>26</v>
      </c>
      <c r="BO14" s="12" t="s">
        <v>88</v>
      </c>
      <c r="BP14" s="13" t="s">
        <v>89</v>
      </c>
      <c r="BQ14" s="12" t="s">
        <v>25</v>
      </c>
      <c r="BR14" s="32" t="s">
        <v>46</v>
      </c>
      <c r="BS14" s="43" t="s">
        <v>0</v>
      </c>
      <c r="BT14" s="44" t="s">
        <v>1</v>
      </c>
      <c r="BU14" s="44" t="s">
        <v>2</v>
      </c>
      <c r="BV14" s="44" t="s">
        <v>3</v>
      </c>
      <c r="BW14" s="20" t="s">
        <v>59</v>
      </c>
      <c r="BX14" s="20" t="s">
        <v>60</v>
      </c>
      <c r="BY14" s="20" t="s">
        <v>64</v>
      </c>
      <c r="BZ14" s="44" t="s">
        <v>4</v>
      </c>
      <c r="CA14" s="44" t="s">
        <v>5</v>
      </c>
      <c r="CB14" s="44" t="s">
        <v>6</v>
      </c>
      <c r="CC14" s="44" t="s">
        <v>7</v>
      </c>
      <c r="CD14" s="44" t="s">
        <v>8</v>
      </c>
      <c r="CE14" s="44" t="s">
        <v>9</v>
      </c>
      <c r="CF14" s="44" t="s">
        <v>10</v>
      </c>
      <c r="CG14" s="44" t="s">
        <v>11</v>
      </c>
      <c r="CH14" s="44" t="s">
        <v>12</v>
      </c>
      <c r="CI14" s="44" t="s">
        <v>13</v>
      </c>
      <c r="CJ14" s="44" t="s">
        <v>14</v>
      </c>
      <c r="CK14" s="44" t="s">
        <v>107</v>
      </c>
      <c r="CL14" t="str">
        <f>IF('Construction Planner'!$G$2="Goldmünzen","Coin",IF('Construction Planner'!$G$2="Einlagerung","Package","Einstellung wählen"))</f>
        <v>Coin</v>
      </c>
      <c r="CM14" s="45" t="s">
        <v>15</v>
      </c>
      <c r="CN14" s="323" t="s">
        <v>0</v>
      </c>
      <c r="CO14" s="324" t="s">
        <v>1</v>
      </c>
      <c r="CP14" s="324" t="s">
        <v>2</v>
      </c>
      <c r="CQ14" s="324" t="s">
        <v>3</v>
      </c>
      <c r="CR14" s="319" t="s">
        <v>59</v>
      </c>
      <c r="CS14" s="319" t="s">
        <v>60</v>
      </c>
      <c r="CT14" s="319" t="s">
        <v>64</v>
      </c>
      <c r="CU14" s="324" t="s">
        <v>4</v>
      </c>
      <c r="CV14" s="324" t="s">
        <v>5</v>
      </c>
      <c r="CW14" s="324" t="s">
        <v>6</v>
      </c>
      <c r="CX14" s="324" t="s">
        <v>7</v>
      </c>
      <c r="CY14" s="324" t="s">
        <v>8</v>
      </c>
      <c r="CZ14" s="324" t="s">
        <v>9</v>
      </c>
      <c r="DA14" s="324" t="s">
        <v>10</v>
      </c>
      <c r="DB14" s="324" t="s">
        <v>11</v>
      </c>
      <c r="DC14" s="324" t="s">
        <v>12</v>
      </c>
      <c r="DD14" s="324" t="s">
        <v>13</v>
      </c>
      <c r="DE14" s="324" t="s">
        <v>14</v>
      </c>
      <c r="DF14" s="324" t="s">
        <v>107</v>
      </c>
      <c r="DG14" s="324" t="str">
        <f>IF('Construction Planner'!$G$2="Goldmünzen","Coin",IF('Construction Planner'!$G$2="Einlagerung","Package","Einstellung wählen"))</f>
        <v>Coin</v>
      </c>
      <c r="DH14" s="325" t="s">
        <v>15</v>
      </c>
      <c r="DI14" s="100" t="s">
        <v>73</v>
      </c>
      <c r="DJ14" s="91" t="s">
        <v>74</v>
      </c>
      <c r="DK14" s="91" t="s">
        <v>75</v>
      </c>
      <c r="DL14" s="91" t="s">
        <v>190</v>
      </c>
      <c r="DM14" s="91" t="s">
        <v>71</v>
      </c>
      <c r="DN14" s="91" t="s">
        <v>76</v>
      </c>
      <c r="DO14" s="91" t="s">
        <v>195</v>
      </c>
      <c r="DP14" s="91" t="s">
        <v>77</v>
      </c>
      <c r="DQ14" s="91" t="s">
        <v>78</v>
      </c>
      <c r="DR14" s="92" t="s">
        <v>79</v>
      </c>
      <c r="DS14" s="99" t="s">
        <v>13</v>
      </c>
      <c r="DT14" s="332" t="s">
        <v>57</v>
      </c>
      <c r="DU14" s="336" t="s">
        <v>0</v>
      </c>
      <c r="DV14" s="337" t="s">
        <v>1</v>
      </c>
      <c r="DW14" s="337" t="s">
        <v>2</v>
      </c>
      <c r="DX14" s="337" t="s">
        <v>3</v>
      </c>
      <c r="DY14" s="320" t="s">
        <v>59</v>
      </c>
      <c r="DZ14" s="320" t="s">
        <v>60</v>
      </c>
      <c r="EA14" s="320" t="s">
        <v>64</v>
      </c>
      <c r="EB14" s="337" t="s">
        <v>4</v>
      </c>
      <c r="EC14" s="337" t="s">
        <v>5</v>
      </c>
      <c r="ED14" s="337" t="s">
        <v>6</v>
      </c>
      <c r="EE14" s="337" t="s">
        <v>7</v>
      </c>
      <c r="EF14" s="337" t="s">
        <v>8</v>
      </c>
      <c r="EG14" s="337" t="s">
        <v>9</v>
      </c>
      <c r="EH14" s="337" t="s">
        <v>10</v>
      </c>
      <c r="EI14" s="337" t="s">
        <v>11</v>
      </c>
      <c r="EJ14" s="337" t="s">
        <v>12</v>
      </c>
      <c r="EK14" s="337" t="s">
        <v>13</v>
      </c>
      <c r="EL14" s="337" t="s">
        <v>14</v>
      </c>
      <c r="EM14" s="345" t="s">
        <v>107</v>
      </c>
      <c r="EN14" s="345" t="s">
        <v>106</v>
      </c>
      <c r="EO14" s="338" t="s">
        <v>15</v>
      </c>
    </row>
    <row r="15" spans="1:145" x14ac:dyDescent="0.25">
      <c r="A15">
        <v>1</v>
      </c>
      <c r="B15" s="172">
        <f>BM15</f>
        <v>0</v>
      </c>
      <c r="C15" s="121" t="e">
        <f>AJ15-SUM(AB15:AB19)</f>
        <v>#N/A</v>
      </c>
      <c r="D15" s="122" t="e">
        <f>AK15-SUM(AC15:AC19)</f>
        <v>#N/A</v>
      </c>
      <c r="E15" s="122" t="e">
        <f>AL15-SUM(AD15:AD19)</f>
        <v>#N/A</v>
      </c>
      <c r="F15" s="176" t="e">
        <f t="shared" ref="F15:F78" si="0">IF(AND(MAX(C15:E15)&gt;0,DS15-MAX(C15:E15)&lt;DS15),DS15-MAX(C15:E15),DS15)</f>
        <v>#N/A</v>
      </c>
      <c r="G15" s="121">
        <f>BQ15</f>
        <v>228</v>
      </c>
      <c r="H15" s="176" t="e">
        <f>BQ15-SUM(BR15:BR19)</f>
        <v>#N/A</v>
      </c>
      <c r="I15" s="48">
        <v>1</v>
      </c>
      <c r="J15" s="39" t="s">
        <v>9</v>
      </c>
      <c r="K15" s="350">
        <v>1</v>
      </c>
      <c r="L15" s="34">
        <f t="shared" ref="L15:L78" si="1">HLOOKUP(J15,$BS$14:$CM$508,A16,FALSE)+K15</f>
        <v>1</v>
      </c>
      <c r="M15" s="38">
        <f>(HLOOKUP(J15,'Construction Times'!$B$3:$W$34,L15+2,FALSE)*HLOOKUP("hq modifier",'Construction Times'!$W$3:$W$34,BS15+2,FALSE))*(1-$H$9)</f>
        <v>8.1237518540402276E-5</v>
      </c>
      <c r="N15" s="428">
        <v>43971.688194444447</v>
      </c>
      <c r="O15" s="429"/>
      <c r="P15" s="430">
        <f t="shared" ref="P15" si="2">IF(MAX(AB15:AD15)&gt;DS15,"Speicher zu klein",IF(HLOOKUP(J15,$DU$14:$EO$509,A15+2,FALSE)=0,"Gebäude Vor. nicht erfüllt",N15+BM15))</f>
        <v>43971.688194444447</v>
      </c>
      <c r="Q15" s="431"/>
      <c r="R15" s="347">
        <v>0</v>
      </c>
      <c r="S15" s="348">
        <v>0</v>
      </c>
      <c r="T15" s="348">
        <v>0</v>
      </c>
      <c r="U15" s="348">
        <v>0</v>
      </c>
      <c r="V15" s="348">
        <v>9.9999999999999995E-8</v>
      </c>
      <c r="W15" s="348">
        <v>0</v>
      </c>
      <c r="X15" s="348">
        <v>0</v>
      </c>
      <c r="Y15" s="348">
        <v>9.9999999999999995E-8</v>
      </c>
      <c r="Z15" s="348">
        <v>9.9999999999999995E-8</v>
      </c>
      <c r="AA15" s="349">
        <v>9.9999999999999995E-8</v>
      </c>
      <c r="AB15" s="101">
        <f>$DT15*HLOOKUP($J15,'Construction Costs (timber)'!$B$1:$V$32,'Construction Planner'!$L15+2,FALSE)</f>
        <v>50</v>
      </c>
      <c r="AC15" s="14">
        <f>$DT15*HLOOKUP($J15,'Construction Costs (clay)'!$B$1:$V$32,'Construction Planner'!$L15+2,FALSE)</f>
        <v>60</v>
      </c>
      <c r="AD15" s="14">
        <f>$DT15*HLOOKUP($J15,'Construction Costs (iron)'!$B$1:$V$32,'Construction Planner'!$L15+2,FALSE)</f>
        <v>40</v>
      </c>
      <c r="AE15" s="34">
        <f>SUM(AB15:AD15)</f>
        <v>150</v>
      </c>
      <c r="AF15" s="33">
        <f t="shared" ref="AF15:AF78" si="3">AB15*($AH$3/$M15)</f>
        <v>25644.965168368828</v>
      </c>
      <c r="AG15" s="14">
        <f t="shared" ref="AG15:AG78" si="4">AC15*($AH$3/$M15)</f>
        <v>30773.958202042591</v>
      </c>
      <c r="AH15" s="14">
        <f t="shared" ref="AH15:AH78" si="5">AD15*($AH$3/$M15)</f>
        <v>20515.972134695061</v>
      </c>
      <c r="AI15" s="34">
        <f>SUM(AF15:AH15)</f>
        <v>76934.895505106484</v>
      </c>
      <c r="AJ15" s="33">
        <f>W11</f>
        <v>500</v>
      </c>
      <c r="AK15" s="33">
        <f>X11</f>
        <v>500</v>
      </c>
      <c r="AL15" s="33">
        <f>Y11</f>
        <v>500</v>
      </c>
      <c r="AM15" s="25">
        <f t="shared" ref="AM15:AM78" si="6">IF(CE15 = 0,$E$3*5,$E$3*30*1.163118^(CE15-1))*(1+$B$10)</f>
        <v>5</v>
      </c>
      <c r="AN15" s="25">
        <f t="shared" ref="AN15:AN78" si="7">IF(CF15 = 0,$E$3*5,$E$3*30*1.163118^(CF15-1))*(1+$B$10)</f>
        <v>5</v>
      </c>
      <c r="AO15" s="25">
        <f t="shared" ref="AO15:AO78" si="8">IF(CG15 = 0,$E$3*5,$E$3*30*1.163118^(CG15-1))*(1+$B$10)</f>
        <v>5</v>
      </c>
      <c r="AP15" s="52">
        <f>($N15-$AK$6+$AK$9+1)*$AK$5/24/3*$AS15</f>
        <v>0</v>
      </c>
      <c r="AQ15" s="53">
        <f t="shared" ref="AQ15:AR30" si="9">($N15-$AK$6+$AK$9+1)*$AK$5/24/3*$AS15</f>
        <v>0</v>
      </c>
      <c r="AR15" s="54">
        <f t="shared" si="9"/>
        <v>0</v>
      </c>
      <c r="AS15" s="317">
        <v>0</v>
      </c>
      <c r="AT15" s="106">
        <f>_xlfn.IFNA($M15/VLOOKUP($BT15,'Unit information'!$A$2:$K$29,2,FALSE)*R15,0)*(1+$E$9)</f>
        <v>0</v>
      </c>
      <c r="AU15" s="107">
        <f>_xlfn.IFNA($M15/VLOOKUP($BT15,'Unit information'!$A$2:$K$29,3,FALSE)*S15,0)*(1+$E$9)</f>
        <v>0</v>
      </c>
      <c r="AV15" s="107">
        <f>_xlfn.IFNA($M15/VLOOKUP($BT15,'Unit information'!$A$2:$K$29,4,FALSE)*T15,0)*(1+$E$9)</f>
        <v>0</v>
      </c>
      <c r="AW15" s="107">
        <f>_xlfn.IFNA($M15/VLOOKUP($BT15,'Unit information'!$A$2:$K$29,5,FALSE)*U15,0)*(1+$E$9)</f>
        <v>0</v>
      </c>
      <c r="AX15" s="107">
        <f>_xlfn.IFNA($M15/VLOOKUP($BU15,'Unit information'!$A$2:$K$29,6,FALSE)*V15,0)*(1+$E$9)</f>
        <v>0</v>
      </c>
      <c r="AY15" s="107">
        <f>_xlfn.IFNA($M15/VLOOKUP($BU15,'Unit information'!$A$2:$K$29,7,FALSE)*W15,0)*(1+$E$9)</f>
        <v>0</v>
      </c>
      <c r="AZ15" s="107">
        <f>_xlfn.IFNA($M15/VLOOKUP($BU15,'Unit information'!$A$2:$K$29,8,FALSE)*X15,0)*(1+$E$9)</f>
        <v>0</v>
      </c>
      <c r="BA15" s="107">
        <f>_xlfn.IFNA($M15/VLOOKUP($BU15,'Unit information'!$A$2:$K$29,9,FALSE)*Y15,0)*(1+$E$9)</f>
        <v>0</v>
      </c>
      <c r="BB15" s="107">
        <f>_xlfn.IFNA($M15/VLOOKUP($BV15,'Unit information'!$A$2:$K$29,10,FALSE)*Z15,0)*(1+$E$9)</f>
        <v>0</v>
      </c>
      <c r="BC15" s="108">
        <f>_xlfn.IFNA($M15/VLOOKUP($BV15,'Unit information'!$A$2:$K$29,11,FALSE)*AA15,0)*(1+$E$9)</f>
        <v>0</v>
      </c>
      <c r="BD15" s="106">
        <f t="shared" ref="BD15:BD78" si="10">$AT15*50+$AU15*30+$AV15*60+$AX15*50+$AY15*125+$BA15*200+$BB15*300+$BC15*320</f>
        <v>0</v>
      </c>
      <c r="BE15" s="107">
        <f t="shared" ref="BE15:BE78" si="11">$AT15*30+$AU15*30+$AV15*30+$AX15*50+$AY15*100+$BA15*150+$BB15*200+$BC15*400</f>
        <v>0</v>
      </c>
      <c r="BF15" s="108">
        <f t="shared" ref="BF15:BF78" si="12">$AT15*10+$AU15*70+$AV15*40+$AX15*20+$AY15*250+$BA15*600+$BB15*200+$BC15*100</f>
        <v>0</v>
      </c>
      <c r="BG15" s="25">
        <f t="shared" ref="BG15:BG78" si="13">AM15+AP15</f>
        <v>5</v>
      </c>
      <c r="BH15" s="25">
        <f t="shared" ref="BH15:BH78" si="14">AN15+AQ15</f>
        <v>5</v>
      </c>
      <c r="BI15" s="25">
        <f t="shared" ref="BI15:BI78" si="15">AO15+AR15</f>
        <v>5</v>
      </c>
      <c r="BJ15" s="27">
        <f t="shared" ref="BJ15:BJ78" si="16">IF(AJ15&gt;AB15,0,(AB15-AJ15)/BG15*$AK$3)</f>
        <v>0</v>
      </c>
      <c r="BK15" s="18">
        <f t="shared" ref="BK15:BK78" si="17">IF(AK15&gt;AC15,0,(AC15-AK15)/BH15*$AK$3)</f>
        <v>0</v>
      </c>
      <c r="BL15" s="18">
        <f t="shared" ref="BL15:BL78" si="18">IF(AL15&gt;AD15,0,(AD15-AL15)/BI15*$AK$3)</f>
        <v>0</v>
      </c>
      <c r="BM15" s="28">
        <f>MAX(BJ15:BL15)</f>
        <v>0</v>
      </c>
      <c r="BN15" s="33">
        <f>HLOOKUP("maximum population",Miscelaneous!$C$1:$C$33,CH15+3,FALSE)</f>
        <v>240</v>
      </c>
      <c r="BO15" s="14">
        <f>SUM(CN16:DH16)</f>
        <v>12</v>
      </c>
      <c r="BP15" s="14">
        <f>SUM(DI15:DL15)+DM15*2+DN15*4+DO15*5+DP15*6+DQ15*5+DR15*8</f>
        <v>0</v>
      </c>
      <c r="BQ15" s="14">
        <f>BN15-BO15-BP15</f>
        <v>228</v>
      </c>
      <c r="BR15" s="34">
        <f>HLOOKUP(J15,Villagers!$B$1:$V$33,L15+3,FALSE)-HLOOKUP(J15,Villagers!$B$1:$V$33,L15+2,FALSE)</f>
        <v>5</v>
      </c>
      <c r="BS15" s="33">
        <f t="shared" ref="BS15:CM15" si="19">J7</f>
        <v>1</v>
      </c>
      <c r="BT15" s="14">
        <f t="shared" si="19"/>
        <v>0</v>
      </c>
      <c r="BU15" s="14">
        <f t="shared" si="19"/>
        <v>0</v>
      </c>
      <c r="BV15" s="14">
        <f t="shared" si="19"/>
        <v>0</v>
      </c>
      <c r="BW15" s="14">
        <f t="shared" si="19"/>
        <v>0</v>
      </c>
      <c r="BX15" s="14">
        <f t="shared" si="19"/>
        <v>0</v>
      </c>
      <c r="BY15" s="229">
        <f t="shared" si="19"/>
        <v>0</v>
      </c>
      <c r="BZ15" s="14">
        <f t="shared" si="19"/>
        <v>0</v>
      </c>
      <c r="CA15" s="14">
        <f t="shared" si="19"/>
        <v>0</v>
      </c>
      <c r="CB15" s="14">
        <f t="shared" si="19"/>
        <v>1</v>
      </c>
      <c r="CC15" s="14">
        <f t="shared" si="19"/>
        <v>0</v>
      </c>
      <c r="CD15" s="14">
        <f t="shared" si="19"/>
        <v>0</v>
      </c>
      <c r="CE15" s="14">
        <f t="shared" si="19"/>
        <v>0</v>
      </c>
      <c r="CF15" s="14">
        <f t="shared" si="19"/>
        <v>0</v>
      </c>
      <c r="CG15" s="14">
        <f t="shared" si="19"/>
        <v>0</v>
      </c>
      <c r="CH15" s="14">
        <f t="shared" si="19"/>
        <v>1</v>
      </c>
      <c r="CI15" s="14">
        <f t="shared" si="19"/>
        <v>1</v>
      </c>
      <c r="CJ15" s="14">
        <f t="shared" si="19"/>
        <v>1</v>
      </c>
      <c r="CK15" s="14">
        <f t="shared" si="19"/>
        <v>0</v>
      </c>
      <c r="CL15" s="14">
        <f t="shared" si="19"/>
        <v>0</v>
      </c>
      <c r="CM15" s="34">
        <f t="shared" si="19"/>
        <v>0</v>
      </c>
      <c r="CN15" s="33">
        <f>ROUND(IF(BS15=0,0,HLOOKUP(BS$14,Villagers!$B$1:$V$33,BS15+3,FALSE)),)</f>
        <v>5</v>
      </c>
      <c r="CO15" s="14">
        <f>ROUND(IF(BT15=0,0,HLOOKUP(BT$14,Villagers!$B$1:$V$33,BT15+3,FALSE)),)</f>
        <v>0</v>
      </c>
      <c r="CP15" s="14">
        <f>ROUND(IF(BU15=0,0,HLOOKUP(BU$14,Villagers!$B$1:$V$33,BU15+3,FALSE)),)</f>
        <v>0</v>
      </c>
      <c r="CQ15" s="14">
        <f>ROUND(IF(BV15=0,0,HLOOKUP(BV$14,Villagers!$B$1:$V$33,BV15+3,FALSE)),)</f>
        <v>0</v>
      </c>
      <c r="CR15" s="14">
        <f>ROUND(IF(BW15=0,0,HLOOKUP(BW$14,Villagers!$B$1:$V$33,BW15+3,FALSE)),)</f>
        <v>0</v>
      </c>
      <c r="CS15" s="14">
        <f>ROUND(IF(BX15=0,0,HLOOKUP(BX$14,Villagers!$B$1:$V$33,BX15+3,FALSE)),)</f>
        <v>0</v>
      </c>
      <c r="CT15" s="14">
        <f>ROUND(IF(BY15=0,0,HLOOKUP(BY$14,Villagers!$B$1:$V$33,BY15+3,FALSE)),)</f>
        <v>0</v>
      </c>
      <c r="CU15" s="14">
        <f>ROUND(IF(BZ15=0,0,HLOOKUP(BZ$14,Villagers!$B$1:$V$33,BZ15+3,FALSE)),)</f>
        <v>0</v>
      </c>
      <c r="CV15" s="14">
        <f>ROUND(IF(CA15=0,0,HLOOKUP(CA$14,Villagers!$B$1:$V$33,CA15+3,FALSE)),)</f>
        <v>0</v>
      </c>
      <c r="CW15" s="14">
        <f>ROUND(IF(CB15=0,0,HLOOKUP(CB$14,Villagers!$B$1:$V$33,CB15+3,FALSE)),)</f>
        <v>0</v>
      </c>
      <c r="CX15" s="14">
        <f>ROUND(IF(CC15=0,0,HLOOKUP(CC$14,Villagers!$B$1:$V$33,CC15+3,FALSE)),)</f>
        <v>0</v>
      </c>
      <c r="CY15" s="14">
        <f>ROUND(IF(CD15=0,0,HLOOKUP(CD$14,Villagers!$B$1:$V$33,CD15+3,FALSE)),)</f>
        <v>0</v>
      </c>
      <c r="CZ15" s="14">
        <f>ROUND(IF(CE15=0,0,HLOOKUP(CE$14,Villagers!$B$1:$V$33,CE15+3,FALSE)),)</f>
        <v>0</v>
      </c>
      <c r="DA15" s="14">
        <f>ROUND(IF(CF15=0,0,HLOOKUP(CF$14,Villagers!$B$1:$V$33,CF15+3,FALSE)),)</f>
        <v>0</v>
      </c>
      <c r="DB15" s="14">
        <f>ROUND(IF(CG15=0,0,HLOOKUP(CG$14,Villagers!$B$1:$V$33,CG15+3,FALSE)),)</f>
        <v>0</v>
      </c>
      <c r="DC15" s="14">
        <f>ROUND(IF(CH15=0,0,HLOOKUP(CH$14,Villagers!$B$1:$V$33,CH15+3,FALSE)),)</f>
        <v>0</v>
      </c>
      <c r="DD15" s="14">
        <f>ROUND(IF(CI15=0,0,HLOOKUP(CI$14,Villagers!$B$1:$V$33,CI15+3,FALSE)),)</f>
        <v>0</v>
      </c>
      <c r="DE15" s="14">
        <f>ROUND(IF(CJ15=0,0,HLOOKUP(CJ$14,Villagers!$B$1:$V$33,CJ15+3,FALSE)),)</f>
        <v>2</v>
      </c>
      <c r="DF15" s="370">
        <f>ROUND(IF(CK15=0,0,HLOOKUP(CK$14,Villagers!$B$1:$V$33,CK15+3,FALSE)),)</f>
        <v>0</v>
      </c>
      <c r="DG15" s="370">
        <f>ROUND(IF(CL15=0,0,HLOOKUP(CL$14,Villagers!$B$1:$V$33,CL15+3,FALSE)),)</f>
        <v>0</v>
      </c>
      <c r="DH15" s="34">
        <f>ROUND(IF(CM15=0,0,HLOOKUP(CM$14,Villagers!$B$1:$V$33,CM15+3,FALSE)),)</f>
        <v>0</v>
      </c>
      <c r="DI15" s="351">
        <f t="shared" ref="DI15:DR15" si="20">J11</f>
        <v>0</v>
      </c>
      <c r="DJ15" s="14">
        <f t="shared" si="20"/>
        <v>0</v>
      </c>
      <c r="DK15" s="14">
        <f t="shared" si="20"/>
        <v>0</v>
      </c>
      <c r="DL15" s="14">
        <f t="shared" si="20"/>
        <v>0</v>
      </c>
      <c r="DM15" s="14">
        <f t="shared" si="20"/>
        <v>0</v>
      </c>
      <c r="DN15" s="14">
        <f t="shared" si="20"/>
        <v>0</v>
      </c>
      <c r="DO15" s="14">
        <f t="shared" si="20"/>
        <v>0</v>
      </c>
      <c r="DP15" s="14">
        <f t="shared" si="20"/>
        <v>0</v>
      </c>
      <c r="DQ15" s="14">
        <f t="shared" si="20"/>
        <v>0</v>
      </c>
      <c r="DR15" s="14">
        <f t="shared" si="20"/>
        <v>0</v>
      </c>
      <c r="DS15" s="96">
        <f>Miscelaneous!$D$4*Miscelaneous!$D$2^($CI15-1)</f>
        <v>1000</v>
      </c>
      <c r="DT15" s="333">
        <f>IF(I15&lt;5,1,1.125^(I15-5))</f>
        <v>1</v>
      </c>
      <c r="DU15" s="81">
        <v>1</v>
      </c>
      <c r="DV15" s="79">
        <f>IF(BS15&gt;2,1,0)</f>
        <v>0</v>
      </c>
      <c r="DW15" s="79">
        <f t="shared" ref="DW15:DW79" si="21">IF(AND(BS15&gt;9,CA15&gt;4,BT15&gt;4)=TRUE,1,0)</f>
        <v>0</v>
      </c>
      <c r="DX15" s="79">
        <f>IF(AND(BS15&gt;9,CA15&gt;9)=TRUE,1,0)</f>
        <v>0</v>
      </c>
      <c r="DY15" s="79">
        <v>1</v>
      </c>
      <c r="DZ15" s="79">
        <f t="shared" ref="DZ15:DZ79" si="22">IF(AND(BS15&gt;4,CH15&gt;4),1,0)</f>
        <v>0</v>
      </c>
      <c r="EA15" s="79">
        <f>IF(AND(BS15&gt;4,CH15&gt;4),1,0)</f>
        <v>0</v>
      </c>
      <c r="EB15" s="79">
        <f>IF(AND(BS15&gt;19,CA15&gt;19,CD15&gt;9)=TRUE,1,0)</f>
        <v>0</v>
      </c>
      <c r="EC15" s="79">
        <f>IF(AND(BS15&gt;4,BT15&gt;0)=TRUE,1,0)</f>
        <v>0</v>
      </c>
      <c r="ED15" s="79">
        <v>1</v>
      </c>
      <c r="EE15" s="79">
        <v>1</v>
      </c>
      <c r="EF15" s="79">
        <f>IF(AND(BS15&gt;2,CI15&gt;1),1,0)</f>
        <v>0</v>
      </c>
      <c r="EG15" s="79">
        <v>1</v>
      </c>
      <c r="EH15" s="79">
        <v>1</v>
      </c>
      <c r="EI15" s="79">
        <v>1</v>
      </c>
      <c r="EJ15" s="79">
        <v>1</v>
      </c>
      <c r="EK15" s="79">
        <v>1</v>
      </c>
      <c r="EL15" s="79">
        <v>1</v>
      </c>
      <c r="EM15" s="143">
        <f>IF(CL15&gt;0,1,0)</f>
        <v>0</v>
      </c>
      <c r="EN15" s="143">
        <f>IF(BZ15&gt;0,1,0)</f>
        <v>0</v>
      </c>
      <c r="EO15" s="82">
        <f>IF(BT15&gt;0,1,0)</f>
        <v>0</v>
      </c>
    </row>
    <row r="16" spans="1:145" x14ac:dyDescent="0.25">
      <c r="A16">
        <v>2</v>
      </c>
      <c r="B16" s="172">
        <f t="shared" ref="B16:B79" si="23">BM16</f>
        <v>0</v>
      </c>
      <c r="C16" s="121" t="e">
        <f t="shared" ref="C16:E16" si="24">AJ16-SUM(AB16:AB20)</f>
        <v>#N/A</v>
      </c>
      <c r="D16" s="122" t="e">
        <f t="shared" si="24"/>
        <v>#N/A</v>
      </c>
      <c r="E16" s="122" t="e">
        <f t="shared" si="24"/>
        <v>#N/A</v>
      </c>
      <c r="F16" s="176" t="e">
        <f t="shared" si="0"/>
        <v>#N/A</v>
      </c>
      <c r="G16" s="121">
        <f t="shared" ref="G16:G79" si="25">BQ16</f>
        <v>218</v>
      </c>
      <c r="H16" s="176" t="e">
        <f t="shared" ref="H16:H79" si="26">BQ16-SUM(BR16:BR20)</f>
        <v>#N/A</v>
      </c>
      <c r="I16" s="48">
        <v>1</v>
      </c>
      <c r="J16" s="39" t="s">
        <v>10</v>
      </c>
      <c r="K16" s="350">
        <v>1</v>
      </c>
      <c r="L16" s="34">
        <f t="shared" si="1"/>
        <v>1</v>
      </c>
      <c r="M16" s="38">
        <f>(HLOOKUP(J16,'Construction Times'!$B$3:$W$34,L16+2,FALSE)*HLOOKUP("hq modifier",'Construction Times'!$W$3:$W$34,BS16+2,FALSE))*(1-$H$9)</f>
        <v>8.1237518540402276E-5</v>
      </c>
      <c r="N16" s="426">
        <f t="shared" ref="N16:N79" si="27">P15+M15</f>
        <v>43971.688275681969</v>
      </c>
      <c r="O16" s="427"/>
      <c r="P16" s="430">
        <f t="shared" ref="P16:P79" si="28">IF(MAX(AB16:AD16)&gt;DS16,"Speicher zu klein",IF(HLOOKUP(J16,$DU$14:$EO$509,A16+2,FALSE)=0,"Gebäude Vor. nicht erfüllt",N16+BM16))</f>
        <v>43971.688275681969</v>
      </c>
      <c r="Q16" s="431"/>
      <c r="R16" s="103">
        <f>R15</f>
        <v>0</v>
      </c>
      <c r="S16" s="104">
        <f t="shared" ref="S16:AA16" si="29">S15</f>
        <v>0</v>
      </c>
      <c r="T16" s="104">
        <f>T15</f>
        <v>0</v>
      </c>
      <c r="U16" s="104">
        <f t="shared" ref="U16:AA44" si="30">U15</f>
        <v>0</v>
      </c>
      <c r="V16" s="104">
        <f t="shared" si="29"/>
        <v>9.9999999999999995E-8</v>
      </c>
      <c r="W16" s="104">
        <f t="shared" si="29"/>
        <v>0</v>
      </c>
      <c r="X16" s="104">
        <f>X15</f>
        <v>0</v>
      </c>
      <c r="Y16" s="104">
        <f t="shared" si="29"/>
        <v>9.9999999999999995E-8</v>
      </c>
      <c r="Z16" s="104">
        <f t="shared" si="29"/>
        <v>9.9999999999999995E-8</v>
      </c>
      <c r="AA16" s="105">
        <f t="shared" si="29"/>
        <v>9.9999999999999995E-8</v>
      </c>
      <c r="AB16" s="101">
        <f>$DT16*HLOOKUP($J16,'Construction Costs (timber)'!$B$1:$V$32,'Construction Planner'!$L16+2,FALSE)</f>
        <v>65</v>
      </c>
      <c r="AC16" s="14">
        <f>$DT16*HLOOKUP($J16,'Construction Costs (clay)'!$B$1:$V$32,'Construction Planner'!$L16+2,FALSE)</f>
        <v>50</v>
      </c>
      <c r="AD16" s="14">
        <f>$DT16*HLOOKUP($J16,'Construction Costs (iron)'!$B$1:$V$32,'Construction Planner'!$L16+2,FALSE)</f>
        <v>40</v>
      </c>
      <c r="AE16" s="34">
        <f>SUM(AB16:AD16)</f>
        <v>155</v>
      </c>
      <c r="AF16" s="33">
        <f t="shared" si="3"/>
        <v>33338.454718879475</v>
      </c>
      <c r="AG16" s="14">
        <f t="shared" si="4"/>
        <v>25644.965168368828</v>
      </c>
      <c r="AH16" s="14">
        <f t="shared" si="5"/>
        <v>20515.972134695061</v>
      </c>
      <c r="AI16" s="34">
        <f>SUM(AF16:AH16)</f>
        <v>79499.392021943364</v>
      </c>
      <c r="AJ16" s="49">
        <f t="shared" ref="AJ16:AJ79" si="31">(($N16-$N15)/$AK$3)*BG15+AJ15-AB15-BD15</f>
        <v>450.00974850263447</v>
      </c>
      <c r="AK16" s="49">
        <f t="shared" ref="AK16:AK79" si="32">(($N16-$N15)/$AK$3)*BH15+AK15-AC15-BE15</f>
        <v>440.00974850263447</v>
      </c>
      <c r="AL16" s="49">
        <f t="shared" ref="AL16:AL79" si="33">(($N16-$N15)/$AK$3)*BI15+AL15-AD15-BF15</f>
        <v>460.00974850263447</v>
      </c>
      <c r="AM16" s="25">
        <f t="shared" si="6"/>
        <v>30</v>
      </c>
      <c r="AN16" s="25">
        <f t="shared" si="7"/>
        <v>5</v>
      </c>
      <c r="AO16" s="25">
        <f t="shared" si="8"/>
        <v>5</v>
      </c>
      <c r="AP16" s="52">
        <f t="shared" ref="AP16:AR79" si="34">($N16-$AK$6+$AK$9+1)*$AK$5/24/3*$AS16</f>
        <v>0</v>
      </c>
      <c r="AQ16" s="53">
        <f t="shared" si="9"/>
        <v>0</v>
      </c>
      <c r="AR16" s="54">
        <f t="shared" si="9"/>
        <v>0</v>
      </c>
      <c r="AS16" s="316">
        <f>AS15</f>
        <v>0</v>
      </c>
      <c r="AT16" s="106">
        <f>_xlfn.IFNA($M16/VLOOKUP($BT16,'Unit information'!$A$2:$K$29,2,FALSE)*R16,0)*(1+$E$9)</f>
        <v>0</v>
      </c>
      <c r="AU16" s="107">
        <f>_xlfn.IFNA($M16/VLOOKUP($BT16,'Unit information'!$A$2:$K$29,3,FALSE)*S16,0)*(1+$E$9)</f>
        <v>0</v>
      </c>
      <c r="AV16" s="107">
        <f>_xlfn.IFNA($M16/VLOOKUP($BT16,'Unit information'!$A$2:$K$29,4,FALSE)*T16,0)*(1+$E$9)</f>
        <v>0</v>
      </c>
      <c r="AW16" s="107">
        <f>_xlfn.IFNA($M16/VLOOKUP($BT16,'Unit information'!$A$2:$K$29,5,FALSE)*U16,0)*(1+$E$9)</f>
        <v>0</v>
      </c>
      <c r="AX16" s="107">
        <f>_xlfn.IFNA($M16/VLOOKUP($BU16,'Unit information'!$A$2:$K$29,6,FALSE)*V16,0)*(1+$E$9)</f>
        <v>0</v>
      </c>
      <c r="AY16" s="107">
        <f>_xlfn.IFNA($M16/VLOOKUP($BU16,'Unit information'!$A$2:$K$29,7,FALSE)*W16,0)*(1+$E$9)</f>
        <v>0</v>
      </c>
      <c r="AZ16" s="107">
        <f>_xlfn.IFNA($M16/VLOOKUP($BU16,'Unit information'!$A$2:$K$29,8,FALSE)*X16,0)*(1+$E$9)</f>
        <v>0</v>
      </c>
      <c r="BA16" s="107">
        <f>_xlfn.IFNA($M16/VLOOKUP($BU16,'Unit information'!$A$2:$K$29,9,FALSE)*Y16,0)*(1+$E$9)</f>
        <v>0</v>
      </c>
      <c r="BB16" s="107">
        <f>_xlfn.IFNA($M16/VLOOKUP($BV16,'Unit information'!$A$2:$K$29,10,FALSE)*Z16,0)*(1+$E$9)</f>
        <v>0</v>
      </c>
      <c r="BC16" s="108">
        <f>_xlfn.IFNA($M16/VLOOKUP($BV16,'Unit information'!$A$2:$K$29,11,FALSE)*AA16,0)*(1+$E$9)</f>
        <v>0</v>
      </c>
      <c r="BD16" s="106">
        <f t="shared" si="10"/>
        <v>0</v>
      </c>
      <c r="BE16" s="107">
        <f t="shared" si="11"/>
        <v>0</v>
      </c>
      <c r="BF16" s="108">
        <f t="shared" si="12"/>
        <v>0</v>
      </c>
      <c r="BG16" s="25">
        <f t="shared" si="13"/>
        <v>30</v>
      </c>
      <c r="BH16" s="25">
        <f t="shared" si="14"/>
        <v>5</v>
      </c>
      <c r="BI16" s="25">
        <f t="shared" si="15"/>
        <v>5</v>
      </c>
      <c r="BJ16" s="27">
        <f t="shared" si="16"/>
        <v>0</v>
      </c>
      <c r="BK16" s="18">
        <f t="shared" si="17"/>
        <v>0</v>
      </c>
      <c r="BL16" s="18">
        <f t="shared" si="18"/>
        <v>0</v>
      </c>
      <c r="BM16" s="28">
        <f>MAX(BJ16:BL16)</f>
        <v>0</v>
      </c>
      <c r="BN16" s="33">
        <f>HLOOKUP("maximum population",Miscelaneous!$C$1:$C$33,CH16+3,FALSE)</f>
        <v>240</v>
      </c>
      <c r="BO16" s="14">
        <f t="shared" ref="BO16:BO79" si="35">SUM(CN17:DH17)</f>
        <v>22</v>
      </c>
      <c r="BP16" s="14">
        <f t="shared" ref="BP16:BP79" si="36">SUM(DI16:DL16)+DM16*2+DN16*4+DO16*5+DP16*6+DQ16*5+DR16*8</f>
        <v>0</v>
      </c>
      <c r="BQ16" s="14">
        <f t="shared" ref="BQ16:BQ79" si="37">BN16-BO16-BP16</f>
        <v>218</v>
      </c>
      <c r="BR16" s="34">
        <f>HLOOKUP(J16,Villagers!$B$1:$V$33,L16+3,FALSE)-HLOOKUP(J16,Villagers!$B$1:$V$33,L16+2,FALSE)</f>
        <v>10</v>
      </c>
      <c r="BS16" s="49">
        <f t="shared" ref="BS16:BS79" si="38">IF($J15=BS$14,$L15,BS15)</f>
        <v>1</v>
      </c>
      <c r="BT16" s="50">
        <f t="shared" ref="BT16:BT79" si="39">IF($J15=BT$14,$L15,BT15)</f>
        <v>0</v>
      </c>
      <c r="BU16" s="50">
        <f t="shared" ref="BU16:BU79" si="40">IF($J15=BU$14,$L15,BU15)</f>
        <v>0</v>
      </c>
      <c r="BV16" s="50">
        <f t="shared" ref="BV16:BV47" si="41">IF($J15=BV$14,$L15,BV15)</f>
        <v>0</v>
      </c>
      <c r="BW16" s="50">
        <f t="shared" ref="BW16:BW47" si="42">IF($J15=BW$14,$L15,BW15)</f>
        <v>0</v>
      </c>
      <c r="BX16" s="50">
        <f t="shared" ref="BX16:BY47" si="43">IF($J15=BX$14,$L15,BX15)</f>
        <v>0</v>
      </c>
      <c r="BY16" s="50">
        <f>IF($J15=BY$14,$L15,BY15)</f>
        <v>0</v>
      </c>
      <c r="BZ16" s="50">
        <f t="shared" ref="BZ16:BZ79" si="44">IF($J15=BZ$14,$L15,BZ15)</f>
        <v>0</v>
      </c>
      <c r="CA16" s="50">
        <f t="shared" ref="CA16:CA79" si="45">IF($J15=CA$14,$L15,CA15)</f>
        <v>0</v>
      </c>
      <c r="CB16" s="50">
        <f t="shared" ref="CB16:CB79" si="46">IF($J15=CB$14,$L15,CB15)</f>
        <v>1</v>
      </c>
      <c r="CC16" s="50">
        <f t="shared" ref="CC16:CC79" si="47">IF($J15=CC$14,$L15,CC15)</f>
        <v>0</v>
      </c>
      <c r="CD16" s="50">
        <f t="shared" ref="CD16:CD79" si="48">IF($J15=CD$14,$L15,CD15)</f>
        <v>0</v>
      </c>
      <c r="CE16" s="50">
        <f t="shared" ref="CE16:CE79" si="49">IF($J15=CE$14,$L15,CE15)</f>
        <v>1</v>
      </c>
      <c r="CF16" s="50">
        <f t="shared" ref="CF16:CF79" si="50">IF($J15=CF$14,$L15,CF15)</f>
        <v>0</v>
      </c>
      <c r="CG16" s="50">
        <f t="shared" ref="CG16:CG79" si="51">IF($J15=CG$14,$L15,CG15)</f>
        <v>0</v>
      </c>
      <c r="CH16" s="50">
        <f t="shared" ref="CH16:CH79" si="52">IF($J15=CH$14,$L15,CH15)</f>
        <v>1</v>
      </c>
      <c r="CI16" s="50">
        <f t="shared" ref="CI16:CI79" si="53">IF($J15=CI$14,$L15,CI15)</f>
        <v>1</v>
      </c>
      <c r="CJ16" s="50">
        <f t="shared" ref="CJ16:CL79" si="54">IF($J15=CJ$14,$L15,CJ15)</f>
        <v>1</v>
      </c>
      <c r="CK16" s="50">
        <f t="shared" ref="CK16:CK79" si="55">IF($J15=CK$14,$L15,CK15)</f>
        <v>0</v>
      </c>
      <c r="CL16" s="50">
        <f t="shared" si="54"/>
        <v>0</v>
      </c>
      <c r="CM16" s="51">
        <f t="shared" ref="CM16:CM79" si="56">IF($J15=CM$14,$L15,CM15)</f>
        <v>0</v>
      </c>
      <c r="CN16" s="33">
        <f>ROUND(IF(BS16=0,0,HLOOKUP(BS$14,Villagers!$B$1:$V$33,BS16+3,FALSE)),)</f>
        <v>5</v>
      </c>
      <c r="CO16" s="14">
        <f>ROUND(IF(BT16=0,0,HLOOKUP(BT$14,Villagers!$B$1:$V$33,BT16+3,FALSE)),)</f>
        <v>0</v>
      </c>
      <c r="CP16" s="14">
        <f>ROUND(IF(BU16=0,0,HLOOKUP(BU$14,Villagers!$B$1:$V$33,BU16+3,FALSE)),)</f>
        <v>0</v>
      </c>
      <c r="CQ16" s="14">
        <f>ROUND(IF(BV16=0,0,HLOOKUP(BV$14,Villagers!$B$1:$V$33,BV16+3,FALSE)),)</f>
        <v>0</v>
      </c>
      <c r="CR16" s="14">
        <f>ROUND(IF(BW16=0,0,HLOOKUP(BW$14,Villagers!$B$1:$V$33,BW16+3,FALSE)),)</f>
        <v>0</v>
      </c>
      <c r="CS16" s="14">
        <f>ROUND(IF(BX16=0,0,HLOOKUP(BX$14,Villagers!$B$1:$V$33,BX16+3,FALSE)),)</f>
        <v>0</v>
      </c>
      <c r="CT16" s="14">
        <f>ROUND(IF(BY16=0,0,HLOOKUP(BY$14,Villagers!$B$1:$V$33,BY16+3,FALSE)),)</f>
        <v>0</v>
      </c>
      <c r="CU16" s="14">
        <f>ROUND(IF(BZ16=0,0,HLOOKUP(BZ$14,Villagers!$B$1:$V$33,BZ16+3,FALSE)),)</f>
        <v>0</v>
      </c>
      <c r="CV16" s="14">
        <f>ROUND(IF(CA16=0,0,HLOOKUP(CA$14,Villagers!$B$1:$V$33,CA16+3,FALSE)),)</f>
        <v>0</v>
      </c>
      <c r="CW16" s="14">
        <f>ROUND(IF(CB16=0,0,HLOOKUP(CB$14,Villagers!$B$1:$V$33,CB16+3,FALSE)),)</f>
        <v>0</v>
      </c>
      <c r="CX16" s="14">
        <f>ROUND(IF(CC16=0,0,HLOOKUP(CC$14,Villagers!$B$1:$V$33,CC16+3,FALSE)),)</f>
        <v>0</v>
      </c>
      <c r="CY16" s="14">
        <f>ROUND(IF(CD16=0,0,HLOOKUP(CD$14,Villagers!$B$1:$V$33,CD16+3,FALSE)),)</f>
        <v>0</v>
      </c>
      <c r="CZ16" s="14">
        <f>ROUND(IF(CE16=0,0,HLOOKUP(CE$14,Villagers!$B$1:$V$33,CE16+3,FALSE)),)</f>
        <v>5</v>
      </c>
      <c r="DA16" s="14">
        <f>ROUND(IF(CF16=0,0,HLOOKUP(CF$14,Villagers!$B$1:$V$33,CF16+3,FALSE)),)</f>
        <v>0</v>
      </c>
      <c r="DB16" s="14">
        <f>ROUND(IF(CG16=0,0,HLOOKUP(CG$14,Villagers!$B$1:$V$33,CG16+3,FALSE)),)</f>
        <v>0</v>
      </c>
      <c r="DC16" s="14">
        <f>ROUND(IF(CH16=0,0,HLOOKUP(CH$14,Villagers!$B$1:$V$33,CH16+3,FALSE)),)</f>
        <v>0</v>
      </c>
      <c r="DD16" s="14">
        <f>ROUND(IF(CI16=0,0,HLOOKUP(CI$14,Villagers!$B$1:$V$33,CI16+3,FALSE)),)</f>
        <v>0</v>
      </c>
      <c r="DE16" s="14">
        <f>ROUND(IF(CJ16=0,0,HLOOKUP(CJ$14,Villagers!$B$1:$V$33,CJ16+3,FALSE)),)</f>
        <v>2</v>
      </c>
      <c r="DF16" s="370">
        <f>ROUND(IF(CK16=0,0,HLOOKUP(CK$14,Villagers!$B$1:$V$33,CK16+3,FALSE)),)</f>
        <v>0</v>
      </c>
      <c r="DG16" s="370">
        <f>ROUND(IF(CL16=0,0,HLOOKUP(CL$14,Villagers!$B$1:$V$33,CL16+3,FALSE)),)</f>
        <v>0</v>
      </c>
      <c r="DH16" s="34">
        <f>ROUND(IF(CM16=0,0,HLOOKUP(CM$14,Villagers!$B$1:$V$33,CM16+3,FALSE)),)</f>
        <v>0</v>
      </c>
      <c r="DI16" s="109">
        <f t="shared" ref="DI16:DP16" si="57">ROUND(_xlfn.IFNA(DI15+AT16,DI15),0)</f>
        <v>0</v>
      </c>
      <c r="DJ16" s="50">
        <f t="shared" si="57"/>
        <v>0</v>
      </c>
      <c r="DK16" s="50">
        <f t="shared" si="57"/>
        <v>0</v>
      </c>
      <c r="DL16" s="50">
        <f t="shared" si="57"/>
        <v>0</v>
      </c>
      <c r="DM16" s="50">
        <f t="shared" si="57"/>
        <v>0</v>
      </c>
      <c r="DN16" s="50">
        <f t="shared" si="57"/>
        <v>0</v>
      </c>
      <c r="DO16" s="50">
        <f t="shared" si="57"/>
        <v>0</v>
      </c>
      <c r="DP16" s="50">
        <f t="shared" si="57"/>
        <v>0</v>
      </c>
      <c r="DQ16" s="50">
        <f t="shared" ref="DQ16:DQ79" si="58">ROUND(_xlfn.IFNA(DQ15+BB16,DQ15),0)</f>
        <v>0</v>
      </c>
      <c r="DR16" s="50">
        <f t="shared" ref="DR16:DR79" si="59">ROUND(_xlfn.IFNA(DR15+BC16,DR15),0)</f>
        <v>0</v>
      </c>
      <c r="DS16" s="96">
        <f>Miscelaneous!$D$4*Miscelaneous!$D$2^($CI16-1)</f>
        <v>1000</v>
      </c>
      <c r="DT16" s="333">
        <f t="shared" ref="DT16:DT78" si="60">IF(I16&lt;3,1,1.125^(I16-3))</f>
        <v>1</v>
      </c>
      <c r="DU16" s="81">
        <v>1</v>
      </c>
      <c r="DV16" s="79">
        <f t="shared" ref="DV16:DV79" si="61">IF(BS16&gt;2,1,0)</f>
        <v>0</v>
      </c>
      <c r="DW16" s="79">
        <f t="shared" si="21"/>
        <v>0</v>
      </c>
      <c r="DX16" s="79">
        <f t="shared" ref="DX16:DX79" si="62">IF(AND(BS16&gt;9,CA16&gt;9)=TRUE,1,0)</f>
        <v>0</v>
      </c>
      <c r="DY16" s="79">
        <v>1</v>
      </c>
      <c r="DZ16" s="79">
        <f t="shared" si="22"/>
        <v>0</v>
      </c>
      <c r="EA16" s="79">
        <f t="shared" ref="EA16:EA79" si="63">IF(AND(BS16&gt;4,CH16&gt;4),1,0)</f>
        <v>0</v>
      </c>
      <c r="EB16" s="79">
        <f t="shared" ref="EB16:EB79" si="64">IF(AND(BS16&gt;19,CA16&gt;19,CD16&gt;9)=TRUE,1,0)</f>
        <v>0</v>
      </c>
      <c r="EC16" s="79">
        <f t="shared" ref="EC16:EC79" si="65">IF(AND(BS16&gt;4,BT16&gt;0)=TRUE,1,0)</f>
        <v>0</v>
      </c>
      <c r="ED16" s="79">
        <v>1</v>
      </c>
      <c r="EE16" s="79">
        <v>1</v>
      </c>
      <c r="EF16" s="79">
        <f t="shared" ref="EF16:EF79" si="66">IF(AND(BS16&gt;2,CI16&gt;1),1,0)</f>
        <v>0</v>
      </c>
      <c r="EG16" s="79">
        <v>1</v>
      </c>
      <c r="EH16" s="79">
        <v>1</v>
      </c>
      <c r="EI16" s="79">
        <v>1</v>
      </c>
      <c r="EJ16" s="79">
        <v>1</v>
      </c>
      <c r="EK16" s="79">
        <v>1</v>
      </c>
      <c r="EL16" s="79">
        <v>1</v>
      </c>
      <c r="EM16" s="143">
        <f t="shared" ref="EM16:EM79" si="67">IF(CL16&gt;0,1,0)</f>
        <v>0</v>
      </c>
      <c r="EN16" s="143">
        <f t="shared" ref="EN16:EN79" si="68">IF(BZ16&gt;0,1,0)</f>
        <v>0</v>
      </c>
      <c r="EO16" s="82">
        <f t="shared" ref="EO16:EO79" si="69">IF(BT16&gt;0,1,0)</f>
        <v>0</v>
      </c>
    </row>
    <row r="17" spans="1:145" x14ac:dyDescent="0.25">
      <c r="A17">
        <v>3</v>
      </c>
      <c r="B17" s="172">
        <f t="shared" si="23"/>
        <v>0</v>
      </c>
      <c r="C17" s="121" t="e">
        <f t="shared" ref="C17:E17" si="70">AJ17-SUM(AB17:AB21)</f>
        <v>#N/A</v>
      </c>
      <c r="D17" s="122" t="e">
        <f t="shared" si="70"/>
        <v>#N/A</v>
      </c>
      <c r="E17" s="122" t="e">
        <f t="shared" si="70"/>
        <v>#N/A</v>
      </c>
      <c r="F17" s="176" t="e">
        <f t="shared" si="0"/>
        <v>#N/A</v>
      </c>
      <c r="G17" s="121">
        <f t="shared" si="25"/>
        <v>208</v>
      </c>
      <c r="H17" s="176" t="e">
        <f t="shared" si="26"/>
        <v>#N/A</v>
      </c>
      <c r="I17" s="48">
        <v>1</v>
      </c>
      <c r="J17" s="39" t="s">
        <v>11</v>
      </c>
      <c r="K17" s="350">
        <v>1</v>
      </c>
      <c r="L17" s="34">
        <f t="shared" si="1"/>
        <v>1</v>
      </c>
      <c r="M17" s="38">
        <f>(HLOOKUP(J17,'Construction Times'!$B$3:$W$34,L17+2,FALSE)*HLOOKUP("hq modifier",'Construction Times'!$W$3:$W$34,BS17+2,FALSE))*(1-$H$9)</f>
        <v>9.7485022248482725E-5</v>
      </c>
      <c r="N17" s="426">
        <f t="shared" si="27"/>
        <v>43971.688356919491</v>
      </c>
      <c r="O17" s="427"/>
      <c r="P17" s="430">
        <f t="shared" si="28"/>
        <v>43971.688356919491</v>
      </c>
      <c r="Q17" s="431"/>
      <c r="R17" s="103">
        <f t="shared" ref="R17:S80" si="71">R16</f>
        <v>0</v>
      </c>
      <c r="S17" s="104">
        <f t="shared" si="71"/>
        <v>0</v>
      </c>
      <c r="T17" s="104">
        <f t="shared" ref="T17:W80" si="72">T16</f>
        <v>0</v>
      </c>
      <c r="U17" s="104">
        <f t="shared" si="30"/>
        <v>0</v>
      </c>
      <c r="V17" s="104">
        <f t="shared" si="30"/>
        <v>9.9999999999999995E-8</v>
      </c>
      <c r="W17" s="104">
        <f t="shared" si="30"/>
        <v>0</v>
      </c>
      <c r="X17" s="104">
        <f t="shared" si="30"/>
        <v>0</v>
      </c>
      <c r="Y17" s="104">
        <f t="shared" si="30"/>
        <v>9.9999999999999995E-8</v>
      </c>
      <c r="Z17" s="104">
        <f t="shared" si="30"/>
        <v>9.9999999999999995E-8</v>
      </c>
      <c r="AA17" s="105">
        <f t="shared" si="30"/>
        <v>9.9999999999999995E-8</v>
      </c>
      <c r="AB17" s="101">
        <f>$DT17*HLOOKUP($J17,'Construction Costs (timber)'!$B$1:$V$32,'Construction Planner'!$L17+2,FALSE)</f>
        <v>75</v>
      </c>
      <c r="AC17" s="14">
        <f>$DT17*HLOOKUP($J17,'Construction Costs (clay)'!$B$1:$V$32,'Construction Planner'!$L17+2,FALSE)</f>
        <v>65</v>
      </c>
      <c r="AD17" s="14">
        <f>$DT17*HLOOKUP($J17,'Construction Costs (iron)'!$B$1:$V$32,'Construction Planner'!$L17+2,FALSE)</f>
        <v>70</v>
      </c>
      <c r="AE17" s="34">
        <f>SUM(AB17:AD17)</f>
        <v>210</v>
      </c>
      <c r="AF17" s="33">
        <f t="shared" si="3"/>
        <v>32056.206460461039</v>
      </c>
      <c r="AG17" s="14">
        <f t="shared" si="4"/>
        <v>27782.045599066234</v>
      </c>
      <c r="AH17" s="14">
        <f t="shared" si="5"/>
        <v>29919.126029763636</v>
      </c>
      <c r="AI17" s="34">
        <f>SUM(AF17:AH17)</f>
        <v>89757.378089290913</v>
      </c>
      <c r="AJ17" s="49">
        <f t="shared" si="31"/>
        <v>385.06823951844126</v>
      </c>
      <c r="AK17" s="49">
        <f t="shared" si="32"/>
        <v>390.01949700526893</v>
      </c>
      <c r="AL17" s="49">
        <f t="shared" si="33"/>
        <v>420.01949700526893</v>
      </c>
      <c r="AM17" s="25">
        <f t="shared" si="6"/>
        <v>30</v>
      </c>
      <c r="AN17" s="25">
        <f t="shared" si="7"/>
        <v>30</v>
      </c>
      <c r="AO17" s="25">
        <f t="shared" si="8"/>
        <v>5</v>
      </c>
      <c r="AP17" s="52">
        <f t="shared" si="34"/>
        <v>0</v>
      </c>
      <c r="AQ17" s="53">
        <f t="shared" si="9"/>
        <v>0</v>
      </c>
      <c r="AR17" s="54">
        <f t="shared" si="9"/>
        <v>0</v>
      </c>
      <c r="AS17" s="316">
        <f t="shared" ref="AS17" si="73">AS16</f>
        <v>0</v>
      </c>
      <c r="AT17" s="106">
        <f>_xlfn.IFNA($M17/VLOOKUP($BT17,'Unit information'!$A$2:$K$29,2,FALSE)*R17,0)*(1+$E$9)</f>
        <v>0</v>
      </c>
      <c r="AU17" s="107">
        <f>_xlfn.IFNA($M17/VLOOKUP($BT17,'Unit information'!$A$2:$K$29,3,FALSE)*S17,0)*(1+$E$9)</f>
        <v>0</v>
      </c>
      <c r="AV17" s="107">
        <f>_xlfn.IFNA($M17/VLOOKUP($BT17,'Unit information'!$A$2:$K$29,4,FALSE)*T17,0)*(1+$E$9)</f>
        <v>0</v>
      </c>
      <c r="AW17" s="107">
        <f>_xlfn.IFNA($M17/VLOOKUP($BT17,'Unit information'!$A$2:$K$29,5,FALSE)*U17,0)*(1+$E$9)</f>
        <v>0</v>
      </c>
      <c r="AX17" s="107">
        <f>_xlfn.IFNA($M17/VLOOKUP($BU17,'Unit information'!$A$2:$K$29,6,FALSE)*V17,0)*(1+$E$9)</f>
        <v>0</v>
      </c>
      <c r="AY17" s="107">
        <f>_xlfn.IFNA($M17/VLOOKUP($BU17,'Unit information'!$A$2:$K$29,7,FALSE)*W17,0)*(1+$E$9)</f>
        <v>0</v>
      </c>
      <c r="AZ17" s="107">
        <f>_xlfn.IFNA($M17/VLOOKUP($BU17,'Unit information'!$A$2:$K$29,8,FALSE)*X17,0)*(1+$E$9)</f>
        <v>0</v>
      </c>
      <c r="BA17" s="107">
        <f>_xlfn.IFNA($M17/VLOOKUP($BU17,'Unit information'!$A$2:$K$29,9,FALSE)*Y17,0)*(1+$E$9)</f>
        <v>0</v>
      </c>
      <c r="BB17" s="107">
        <f>_xlfn.IFNA($M17/VLOOKUP($BV17,'Unit information'!$A$2:$K$29,10,FALSE)*Z17,0)*(1+$E$9)</f>
        <v>0</v>
      </c>
      <c r="BC17" s="108">
        <f>_xlfn.IFNA($M17/VLOOKUP($BV17,'Unit information'!$A$2:$K$29,11,FALSE)*AA17,0)*(1+$E$9)</f>
        <v>0</v>
      </c>
      <c r="BD17" s="106">
        <f t="shared" si="10"/>
        <v>0</v>
      </c>
      <c r="BE17" s="107">
        <f t="shared" si="11"/>
        <v>0</v>
      </c>
      <c r="BF17" s="108">
        <f t="shared" si="12"/>
        <v>0</v>
      </c>
      <c r="BG17" s="25">
        <f t="shared" si="13"/>
        <v>30</v>
      </c>
      <c r="BH17" s="25">
        <f t="shared" si="14"/>
        <v>30</v>
      </c>
      <c r="BI17" s="25">
        <f t="shared" si="15"/>
        <v>5</v>
      </c>
      <c r="BJ17" s="27">
        <f t="shared" si="16"/>
        <v>0</v>
      </c>
      <c r="BK17" s="18">
        <f t="shared" si="17"/>
        <v>0</v>
      </c>
      <c r="BL17" s="18">
        <f t="shared" si="18"/>
        <v>0</v>
      </c>
      <c r="BM17" s="28">
        <f>MAX(BJ17:BL17)</f>
        <v>0</v>
      </c>
      <c r="BN17" s="33">
        <f>HLOOKUP("maximum population",Miscelaneous!$C$1:$C$33,CH17+3,FALSE)</f>
        <v>240</v>
      </c>
      <c r="BO17" s="14">
        <f t="shared" si="35"/>
        <v>32</v>
      </c>
      <c r="BP17" s="14">
        <f t="shared" si="36"/>
        <v>0</v>
      </c>
      <c r="BQ17" s="14">
        <f t="shared" si="37"/>
        <v>208</v>
      </c>
      <c r="BR17" s="34">
        <f>HLOOKUP(J17,Villagers!$B$1:$V$33,L17+3,FALSE)-HLOOKUP(J17,Villagers!$B$1:$V$33,L17+2,FALSE)</f>
        <v>10</v>
      </c>
      <c r="BS17" s="49">
        <f t="shared" si="38"/>
        <v>1</v>
      </c>
      <c r="BT17" s="50">
        <f t="shared" si="39"/>
        <v>0</v>
      </c>
      <c r="BU17" s="50">
        <f t="shared" si="40"/>
        <v>0</v>
      </c>
      <c r="BV17" s="50">
        <f t="shared" si="41"/>
        <v>0</v>
      </c>
      <c r="BW17" s="50">
        <f t="shared" si="42"/>
        <v>0</v>
      </c>
      <c r="BX17" s="50">
        <f t="shared" si="43"/>
        <v>0</v>
      </c>
      <c r="BY17" s="50">
        <f t="shared" si="43"/>
        <v>0</v>
      </c>
      <c r="BZ17" s="50">
        <f t="shared" si="44"/>
        <v>0</v>
      </c>
      <c r="CA17" s="50">
        <f t="shared" si="45"/>
        <v>0</v>
      </c>
      <c r="CB17" s="50">
        <f t="shared" si="46"/>
        <v>1</v>
      </c>
      <c r="CC17" s="50">
        <f t="shared" si="47"/>
        <v>0</v>
      </c>
      <c r="CD17" s="50">
        <f t="shared" si="48"/>
        <v>0</v>
      </c>
      <c r="CE17" s="50">
        <f t="shared" si="49"/>
        <v>1</v>
      </c>
      <c r="CF17" s="50">
        <f t="shared" si="50"/>
        <v>1</v>
      </c>
      <c r="CG17" s="50">
        <f t="shared" si="51"/>
        <v>0</v>
      </c>
      <c r="CH17" s="50">
        <f t="shared" si="52"/>
        <v>1</v>
      </c>
      <c r="CI17" s="50">
        <f t="shared" si="53"/>
        <v>1</v>
      </c>
      <c r="CJ17" s="50">
        <f t="shared" si="54"/>
        <v>1</v>
      </c>
      <c r="CK17" s="50">
        <f t="shared" si="55"/>
        <v>0</v>
      </c>
      <c r="CL17" s="50">
        <f t="shared" si="54"/>
        <v>0</v>
      </c>
      <c r="CM17" s="51">
        <f t="shared" si="56"/>
        <v>0</v>
      </c>
      <c r="CN17" s="33">
        <f>ROUND(IF(BS17=0,0,HLOOKUP(BS$14,Villagers!$B$1:$V$33,BS17+3,FALSE)),)</f>
        <v>5</v>
      </c>
      <c r="CO17" s="14">
        <f>ROUND(IF(BT17=0,0,HLOOKUP(BT$14,Villagers!$B$1:$V$33,BT17+3,FALSE)),)</f>
        <v>0</v>
      </c>
      <c r="CP17" s="14">
        <f>ROUND(IF(BU17=0,0,HLOOKUP(BU$14,Villagers!$B$1:$V$33,BU17+3,FALSE)),)</f>
        <v>0</v>
      </c>
      <c r="CQ17" s="14">
        <f>ROUND(IF(BV17=0,0,HLOOKUP(BV$14,Villagers!$B$1:$V$33,BV17+3,FALSE)),)</f>
        <v>0</v>
      </c>
      <c r="CR17" s="14">
        <f>ROUND(IF(BW17=0,0,HLOOKUP(BW$14,Villagers!$B$1:$V$33,BW17+3,FALSE)),)</f>
        <v>0</v>
      </c>
      <c r="CS17" s="14">
        <f>ROUND(IF(BX17=0,0,HLOOKUP(BX$14,Villagers!$B$1:$V$33,BX17+3,FALSE)),)</f>
        <v>0</v>
      </c>
      <c r="CT17" s="14">
        <f>ROUND(IF(BY17=0,0,HLOOKUP(BY$14,Villagers!$B$1:$V$33,BY17+3,FALSE)),)</f>
        <v>0</v>
      </c>
      <c r="CU17" s="14">
        <f>ROUND(IF(BZ17=0,0,HLOOKUP(BZ$14,Villagers!$B$1:$V$33,BZ17+3,FALSE)),)</f>
        <v>0</v>
      </c>
      <c r="CV17" s="14">
        <f>ROUND(IF(CA17=0,0,HLOOKUP(CA$14,Villagers!$B$1:$V$33,CA17+3,FALSE)),)</f>
        <v>0</v>
      </c>
      <c r="CW17" s="14">
        <f>ROUND(IF(CB17=0,0,HLOOKUP(CB$14,Villagers!$B$1:$V$33,CB17+3,FALSE)),)</f>
        <v>0</v>
      </c>
      <c r="CX17" s="14">
        <f>ROUND(IF(CC17=0,0,HLOOKUP(CC$14,Villagers!$B$1:$V$33,CC17+3,FALSE)),)</f>
        <v>0</v>
      </c>
      <c r="CY17" s="14">
        <f>ROUND(IF(CD17=0,0,HLOOKUP(CD$14,Villagers!$B$1:$V$33,CD17+3,FALSE)),)</f>
        <v>0</v>
      </c>
      <c r="CZ17" s="14">
        <f>ROUND(IF(CE17=0,0,HLOOKUP(CE$14,Villagers!$B$1:$V$33,CE17+3,FALSE)),)</f>
        <v>5</v>
      </c>
      <c r="DA17" s="14">
        <f>ROUND(IF(CF17=0,0,HLOOKUP(CF$14,Villagers!$B$1:$V$33,CF17+3,FALSE)),)</f>
        <v>10</v>
      </c>
      <c r="DB17" s="14">
        <f>ROUND(IF(CG17=0,0,HLOOKUP(CG$14,Villagers!$B$1:$V$33,CG17+3,FALSE)),)</f>
        <v>0</v>
      </c>
      <c r="DC17" s="14">
        <f>ROUND(IF(CH17=0,0,HLOOKUP(CH$14,Villagers!$B$1:$V$33,CH17+3,FALSE)),)</f>
        <v>0</v>
      </c>
      <c r="DD17" s="14">
        <f>ROUND(IF(CI17=0,0,HLOOKUP(CI$14,Villagers!$B$1:$V$33,CI17+3,FALSE)),)</f>
        <v>0</v>
      </c>
      <c r="DE17" s="14">
        <f>ROUND(IF(CJ17=0,0,HLOOKUP(CJ$14,Villagers!$B$1:$V$33,CJ17+3,FALSE)),)</f>
        <v>2</v>
      </c>
      <c r="DF17" s="370">
        <f>ROUND(IF(CK17=0,0,HLOOKUP(CK$14,Villagers!$B$1:$V$33,CK17+3,FALSE)),)</f>
        <v>0</v>
      </c>
      <c r="DG17" s="370">
        <f>ROUND(IF(CL17=0,0,HLOOKUP(CL$14,Villagers!$B$1:$V$33,CL17+3,FALSE)),)</f>
        <v>0</v>
      </c>
      <c r="DH17" s="34">
        <f>ROUND(IF(CM17=0,0,HLOOKUP(CM$14,Villagers!$B$1:$V$33,CM17+3,FALSE)),)</f>
        <v>0</v>
      </c>
      <c r="DI17" s="109">
        <f t="shared" ref="DI17:DI80" si="74">ROUND(_xlfn.IFNA(DI16+AT17,DI16),0)</f>
        <v>0</v>
      </c>
      <c r="DJ17" s="50">
        <f t="shared" ref="DJ17:DJ80" si="75">ROUND(_xlfn.IFNA(DJ16+AU17,DJ16),0)</f>
        <v>0</v>
      </c>
      <c r="DK17" s="50">
        <f t="shared" ref="DK17:DK80" si="76">ROUND(_xlfn.IFNA(DK16+AV17,DK16),0)</f>
        <v>0</v>
      </c>
      <c r="DL17" s="50">
        <f t="shared" ref="DL17:DL80" si="77">ROUND(_xlfn.IFNA(DL16+AW17,DL16),0)</f>
        <v>0</v>
      </c>
      <c r="DM17" s="50">
        <f t="shared" ref="DM17:DM80" si="78">ROUND(_xlfn.IFNA(DM16+AX17,DM16),0)</f>
        <v>0</v>
      </c>
      <c r="DN17" s="50">
        <f t="shared" ref="DN17:DN80" si="79">ROUND(_xlfn.IFNA(DN16+AY17,DN16),0)</f>
        <v>0</v>
      </c>
      <c r="DO17" s="50">
        <f t="shared" ref="DO17:DO80" si="80">ROUND(_xlfn.IFNA(DO16+AZ17,DO16),0)</f>
        <v>0</v>
      </c>
      <c r="DP17" s="50">
        <f t="shared" ref="DP17:DP80" si="81">ROUND(_xlfn.IFNA(DP16+BA17,DP16),0)</f>
        <v>0</v>
      </c>
      <c r="DQ17" s="50">
        <f t="shared" si="58"/>
        <v>0</v>
      </c>
      <c r="DR17" s="50">
        <f t="shared" si="59"/>
        <v>0</v>
      </c>
      <c r="DS17" s="96">
        <f>Miscelaneous!$D$4*Miscelaneous!$D$2^($CI17-1)</f>
        <v>1000</v>
      </c>
      <c r="DT17" s="333">
        <f t="shared" si="60"/>
        <v>1</v>
      </c>
      <c r="DU17" s="81">
        <v>1</v>
      </c>
      <c r="DV17" s="79">
        <f t="shared" si="61"/>
        <v>0</v>
      </c>
      <c r="DW17" s="79">
        <f t="shared" si="21"/>
        <v>0</v>
      </c>
      <c r="DX17" s="79">
        <f t="shared" si="62"/>
        <v>0</v>
      </c>
      <c r="DY17" s="79">
        <v>1</v>
      </c>
      <c r="DZ17" s="79">
        <f t="shared" si="22"/>
        <v>0</v>
      </c>
      <c r="EA17" s="79">
        <f t="shared" si="63"/>
        <v>0</v>
      </c>
      <c r="EB17" s="79">
        <f t="shared" si="64"/>
        <v>0</v>
      </c>
      <c r="EC17" s="79">
        <f t="shared" si="65"/>
        <v>0</v>
      </c>
      <c r="ED17" s="79">
        <v>1</v>
      </c>
      <c r="EE17" s="79">
        <v>1</v>
      </c>
      <c r="EF17" s="79">
        <f t="shared" si="66"/>
        <v>0</v>
      </c>
      <c r="EG17" s="79">
        <v>1</v>
      </c>
      <c r="EH17" s="79">
        <v>1</v>
      </c>
      <c r="EI17" s="79">
        <v>1</v>
      </c>
      <c r="EJ17" s="79">
        <v>1</v>
      </c>
      <c r="EK17" s="79">
        <v>1</v>
      </c>
      <c r="EL17" s="79">
        <v>1</v>
      </c>
      <c r="EM17" s="143">
        <f t="shared" si="67"/>
        <v>0</v>
      </c>
      <c r="EN17" s="143">
        <f t="shared" si="68"/>
        <v>0</v>
      </c>
      <c r="EO17" s="82">
        <f t="shared" si="69"/>
        <v>0</v>
      </c>
    </row>
    <row r="18" spans="1:145" x14ac:dyDescent="0.25">
      <c r="A18">
        <v>4</v>
      </c>
      <c r="B18" s="172" t="e">
        <f t="shared" si="23"/>
        <v>#N/A</v>
      </c>
      <c r="C18" s="121" t="e">
        <f t="shared" ref="C18:E18" si="82">AJ18-SUM(AB18:AB22)</f>
        <v>#N/A</v>
      </c>
      <c r="D18" s="122" t="e">
        <f t="shared" si="82"/>
        <v>#N/A</v>
      </c>
      <c r="E18" s="122" t="e">
        <f t="shared" si="82"/>
        <v>#N/A</v>
      </c>
      <c r="F18" s="176" t="e">
        <f t="shared" si="0"/>
        <v>#N/A</v>
      </c>
      <c r="G18" s="121">
        <f t="shared" si="25"/>
        <v>208</v>
      </c>
      <c r="H18" s="176" t="e">
        <f t="shared" si="26"/>
        <v>#N/A</v>
      </c>
      <c r="I18" s="48">
        <v>1</v>
      </c>
      <c r="J18" s="39"/>
      <c r="K18" s="350">
        <v>1</v>
      </c>
      <c r="L18" s="34" t="e">
        <f t="shared" si="1"/>
        <v>#N/A</v>
      </c>
      <c r="M18" s="38" t="e">
        <f>(HLOOKUP(J18,'Construction Times'!$B$3:$W$34,L18+2,FALSE)*HLOOKUP("hq modifier",'Construction Times'!$W$3:$W$34,BS18+2,FALSE))*(1-$H$9)</f>
        <v>#N/A</v>
      </c>
      <c r="N18" s="426">
        <f t="shared" si="27"/>
        <v>43971.68845440451</v>
      </c>
      <c r="O18" s="427"/>
      <c r="P18" s="430" t="e">
        <f t="shared" si="28"/>
        <v>#N/A</v>
      </c>
      <c r="Q18" s="431"/>
      <c r="R18" s="103">
        <f t="shared" si="71"/>
        <v>0</v>
      </c>
      <c r="S18" s="104">
        <f t="shared" si="71"/>
        <v>0</v>
      </c>
      <c r="T18" s="104">
        <f t="shared" si="72"/>
        <v>0</v>
      </c>
      <c r="U18" s="104">
        <f t="shared" si="30"/>
        <v>0</v>
      </c>
      <c r="V18" s="104">
        <f t="shared" si="30"/>
        <v>9.9999999999999995E-8</v>
      </c>
      <c r="W18" s="104">
        <f t="shared" si="30"/>
        <v>0</v>
      </c>
      <c r="X18" s="104">
        <f t="shared" si="30"/>
        <v>0</v>
      </c>
      <c r="Y18" s="104">
        <f t="shared" si="30"/>
        <v>9.9999999999999995E-8</v>
      </c>
      <c r="Z18" s="104">
        <f t="shared" si="30"/>
        <v>9.9999999999999995E-8</v>
      </c>
      <c r="AA18" s="105">
        <f t="shared" si="30"/>
        <v>9.9999999999999995E-8</v>
      </c>
      <c r="AB18" s="101" t="e">
        <f>$DT18*HLOOKUP($J18,'Construction Costs (timber)'!$B$1:$V$32,'Construction Planner'!$L18+2,FALSE)</f>
        <v>#N/A</v>
      </c>
      <c r="AC18" s="14" t="e">
        <f>$DT18*HLOOKUP($J18,'Construction Costs (clay)'!$B$1:$V$32,'Construction Planner'!$L18+2,FALSE)</f>
        <v>#N/A</v>
      </c>
      <c r="AD18" s="14" t="e">
        <f>$DT18*HLOOKUP($J18,'Construction Costs (iron)'!$B$1:$V$32,'Construction Planner'!$L18+2,FALSE)</f>
        <v>#N/A</v>
      </c>
      <c r="AE18" s="34" t="e">
        <f>SUM(AB18:AD18)</f>
        <v>#N/A</v>
      </c>
      <c r="AF18" s="33" t="e">
        <f t="shared" si="3"/>
        <v>#N/A</v>
      </c>
      <c r="AG18" s="14" t="e">
        <f t="shared" si="4"/>
        <v>#N/A</v>
      </c>
      <c r="AH18" s="14" t="e">
        <f t="shared" si="5"/>
        <v>#N/A</v>
      </c>
      <c r="AI18" s="34" t="e">
        <f>SUM(AF18:AH18)</f>
        <v>#N/A</v>
      </c>
      <c r="AJ18" s="49">
        <f t="shared" si="31"/>
        <v>310.13842873217072</v>
      </c>
      <c r="AK18" s="49">
        <f t="shared" si="32"/>
        <v>325.08968621899839</v>
      </c>
      <c r="AL18" s="49">
        <f t="shared" si="33"/>
        <v>350.03119520755718</v>
      </c>
      <c r="AM18" s="25">
        <f t="shared" si="6"/>
        <v>30</v>
      </c>
      <c r="AN18" s="25">
        <f t="shared" si="7"/>
        <v>30</v>
      </c>
      <c r="AO18" s="25">
        <f t="shared" si="8"/>
        <v>30</v>
      </c>
      <c r="AP18" s="52">
        <f t="shared" si="34"/>
        <v>0</v>
      </c>
      <c r="AQ18" s="53">
        <f t="shared" si="9"/>
        <v>0</v>
      </c>
      <c r="AR18" s="54">
        <f t="shared" si="9"/>
        <v>0</v>
      </c>
      <c r="AS18" s="316">
        <f t="shared" ref="AS18:AS19" si="83">AS17</f>
        <v>0</v>
      </c>
      <c r="AT18" s="106">
        <f>_xlfn.IFNA($M18/VLOOKUP($BT18,'Unit information'!$A$2:$K$29,2,FALSE)*R18,0)*(1+$E$9)</f>
        <v>0</v>
      </c>
      <c r="AU18" s="107">
        <f>_xlfn.IFNA($M18/VLOOKUP($BT18,'Unit information'!$A$2:$K$29,3,FALSE)*S18,0)*(1+$E$9)</f>
        <v>0</v>
      </c>
      <c r="AV18" s="107">
        <f>_xlfn.IFNA($M18/VLOOKUP($BT18,'Unit information'!$A$2:$K$29,4,FALSE)*T18,0)*(1+$E$9)</f>
        <v>0</v>
      </c>
      <c r="AW18" s="107">
        <f>_xlfn.IFNA($M18/VLOOKUP($BT18,'Unit information'!$A$2:$K$29,5,FALSE)*U18,0)*(1+$E$9)</f>
        <v>0</v>
      </c>
      <c r="AX18" s="107">
        <f>_xlfn.IFNA($M18/VLOOKUP($BU18,'Unit information'!$A$2:$K$29,6,FALSE)*V18,0)*(1+$E$9)</f>
        <v>0</v>
      </c>
      <c r="AY18" s="107">
        <f>_xlfn.IFNA($M18/VLOOKUP($BU18,'Unit information'!$A$2:$K$29,7,FALSE)*W18,0)*(1+$E$9)</f>
        <v>0</v>
      </c>
      <c r="AZ18" s="107">
        <f>_xlfn.IFNA($M18/VLOOKUP($BU18,'Unit information'!$A$2:$K$29,8,FALSE)*X18,0)*(1+$E$9)</f>
        <v>0</v>
      </c>
      <c r="BA18" s="107">
        <f>_xlfn.IFNA($M18/VLOOKUP($BU18,'Unit information'!$A$2:$K$29,9,FALSE)*Y18,0)*(1+$E$9)</f>
        <v>0</v>
      </c>
      <c r="BB18" s="107">
        <f>_xlfn.IFNA($M18/VLOOKUP($BV18,'Unit information'!$A$2:$K$29,10,FALSE)*Z18,0)*(1+$E$9)</f>
        <v>0</v>
      </c>
      <c r="BC18" s="108">
        <f>_xlfn.IFNA($M18/VLOOKUP($BV18,'Unit information'!$A$2:$K$29,11,FALSE)*AA18,0)*(1+$E$9)</f>
        <v>0</v>
      </c>
      <c r="BD18" s="106">
        <f t="shared" si="10"/>
        <v>0</v>
      </c>
      <c r="BE18" s="107">
        <f t="shared" si="11"/>
        <v>0</v>
      </c>
      <c r="BF18" s="108">
        <f t="shared" si="12"/>
        <v>0</v>
      </c>
      <c r="BG18" s="25">
        <f t="shared" si="13"/>
        <v>30</v>
      </c>
      <c r="BH18" s="25">
        <f t="shared" si="14"/>
        <v>30</v>
      </c>
      <c r="BI18" s="25">
        <f t="shared" si="15"/>
        <v>30</v>
      </c>
      <c r="BJ18" s="27" t="e">
        <f t="shared" si="16"/>
        <v>#N/A</v>
      </c>
      <c r="BK18" s="18" t="e">
        <f t="shared" si="17"/>
        <v>#N/A</v>
      </c>
      <c r="BL18" s="18" t="e">
        <f t="shared" si="18"/>
        <v>#N/A</v>
      </c>
      <c r="BM18" s="28" t="e">
        <f>MAX(BJ18:BL18)</f>
        <v>#N/A</v>
      </c>
      <c r="BN18" s="33">
        <f>HLOOKUP("maximum population",Miscelaneous!$C$1:$C$33,CH18+3,FALSE)</f>
        <v>240</v>
      </c>
      <c r="BO18" s="14">
        <f t="shared" si="35"/>
        <v>32</v>
      </c>
      <c r="BP18" s="14">
        <f t="shared" si="36"/>
        <v>0</v>
      </c>
      <c r="BQ18" s="14">
        <f t="shared" si="37"/>
        <v>208</v>
      </c>
      <c r="BR18" s="34" t="e">
        <f>HLOOKUP(J18,Villagers!$B$1:$V$33,L18+3,FALSE)-HLOOKUP(J18,Villagers!$B$1:$V$33,L18+2,FALSE)</f>
        <v>#N/A</v>
      </c>
      <c r="BS18" s="49">
        <f t="shared" si="38"/>
        <v>1</v>
      </c>
      <c r="BT18" s="50">
        <f t="shared" si="39"/>
        <v>0</v>
      </c>
      <c r="BU18" s="50">
        <f t="shared" si="40"/>
        <v>0</v>
      </c>
      <c r="BV18" s="50">
        <f t="shared" si="41"/>
        <v>0</v>
      </c>
      <c r="BW18" s="50">
        <f t="shared" si="42"/>
        <v>0</v>
      </c>
      <c r="BX18" s="50">
        <f t="shared" si="43"/>
        <v>0</v>
      </c>
      <c r="BY18" s="50">
        <f t="shared" si="43"/>
        <v>0</v>
      </c>
      <c r="BZ18" s="50">
        <f t="shared" si="44"/>
        <v>0</v>
      </c>
      <c r="CA18" s="50">
        <f t="shared" si="45"/>
        <v>0</v>
      </c>
      <c r="CB18" s="50">
        <f t="shared" si="46"/>
        <v>1</v>
      </c>
      <c r="CC18" s="50">
        <f t="shared" si="47"/>
        <v>0</v>
      </c>
      <c r="CD18" s="50">
        <f t="shared" si="48"/>
        <v>0</v>
      </c>
      <c r="CE18" s="50">
        <f t="shared" si="49"/>
        <v>1</v>
      </c>
      <c r="CF18" s="50">
        <f t="shared" si="50"/>
        <v>1</v>
      </c>
      <c r="CG18" s="50">
        <f t="shared" si="51"/>
        <v>1</v>
      </c>
      <c r="CH18" s="50">
        <f t="shared" si="52"/>
        <v>1</v>
      </c>
      <c r="CI18" s="50">
        <f t="shared" si="53"/>
        <v>1</v>
      </c>
      <c r="CJ18" s="50">
        <f t="shared" si="54"/>
        <v>1</v>
      </c>
      <c r="CK18" s="50">
        <f t="shared" si="55"/>
        <v>0</v>
      </c>
      <c r="CL18" s="50">
        <f t="shared" si="54"/>
        <v>0</v>
      </c>
      <c r="CM18" s="51">
        <f t="shared" si="56"/>
        <v>0</v>
      </c>
      <c r="CN18" s="33">
        <f>ROUND(IF(BS18=0,0,HLOOKUP(BS$14,Villagers!$B$1:$V$33,BS18+3,FALSE)),)</f>
        <v>5</v>
      </c>
      <c r="CO18" s="14">
        <f>ROUND(IF(BT18=0,0,HLOOKUP(BT$14,Villagers!$B$1:$V$33,BT18+3,FALSE)),)</f>
        <v>0</v>
      </c>
      <c r="CP18" s="14">
        <f>ROUND(IF(BU18=0,0,HLOOKUP(BU$14,Villagers!$B$1:$V$33,BU18+3,FALSE)),)</f>
        <v>0</v>
      </c>
      <c r="CQ18" s="14">
        <f>ROUND(IF(BV18=0,0,HLOOKUP(BV$14,Villagers!$B$1:$V$33,BV18+3,FALSE)),)</f>
        <v>0</v>
      </c>
      <c r="CR18" s="14">
        <f>ROUND(IF(BW18=0,0,HLOOKUP(BW$14,Villagers!$B$1:$V$33,BW18+3,FALSE)),)</f>
        <v>0</v>
      </c>
      <c r="CS18" s="14">
        <f>ROUND(IF(BX18=0,0,HLOOKUP(BX$14,Villagers!$B$1:$V$33,BX18+3,FALSE)),)</f>
        <v>0</v>
      </c>
      <c r="CT18" s="14">
        <f>ROUND(IF(BY18=0,0,HLOOKUP(BY$14,Villagers!$B$1:$V$33,BY18+3,FALSE)),)</f>
        <v>0</v>
      </c>
      <c r="CU18" s="14">
        <f>ROUND(IF(BZ18=0,0,HLOOKUP(BZ$14,Villagers!$B$1:$V$33,BZ18+3,FALSE)),)</f>
        <v>0</v>
      </c>
      <c r="CV18" s="14">
        <f>ROUND(IF(CA18=0,0,HLOOKUP(CA$14,Villagers!$B$1:$V$33,CA18+3,FALSE)),)</f>
        <v>0</v>
      </c>
      <c r="CW18" s="14">
        <f>ROUND(IF(CB18=0,0,HLOOKUP(CB$14,Villagers!$B$1:$V$33,CB18+3,FALSE)),)</f>
        <v>0</v>
      </c>
      <c r="CX18" s="14">
        <f>ROUND(IF(CC18=0,0,HLOOKUP(CC$14,Villagers!$B$1:$V$33,CC18+3,FALSE)),)</f>
        <v>0</v>
      </c>
      <c r="CY18" s="14">
        <f>ROUND(IF(CD18=0,0,HLOOKUP(CD$14,Villagers!$B$1:$V$33,CD18+3,FALSE)),)</f>
        <v>0</v>
      </c>
      <c r="CZ18" s="14">
        <f>ROUND(IF(CE18=0,0,HLOOKUP(CE$14,Villagers!$B$1:$V$33,CE18+3,FALSE)),)</f>
        <v>5</v>
      </c>
      <c r="DA18" s="14">
        <f>ROUND(IF(CF18=0,0,HLOOKUP(CF$14,Villagers!$B$1:$V$33,CF18+3,FALSE)),)</f>
        <v>10</v>
      </c>
      <c r="DB18" s="14">
        <f>ROUND(IF(CG18=0,0,HLOOKUP(CG$14,Villagers!$B$1:$V$33,CG18+3,FALSE)),)</f>
        <v>10</v>
      </c>
      <c r="DC18" s="14">
        <f>ROUND(IF(CH18=0,0,HLOOKUP(CH$14,Villagers!$B$1:$V$33,CH18+3,FALSE)),)</f>
        <v>0</v>
      </c>
      <c r="DD18" s="14">
        <f>ROUND(IF(CI18=0,0,HLOOKUP(CI$14,Villagers!$B$1:$V$33,CI18+3,FALSE)),)</f>
        <v>0</v>
      </c>
      <c r="DE18" s="14">
        <f>ROUND(IF(CJ18=0,0,HLOOKUP(CJ$14,Villagers!$B$1:$V$33,CJ18+3,FALSE)),)</f>
        <v>2</v>
      </c>
      <c r="DF18" s="370">
        <f>ROUND(IF(CK18=0,0,HLOOKUP(CK$14,Villagers!$B$1:$V$33,CK18+3,FALSE)),)</f>
        <v>0</v>
      </c>
      <c r="DG18" s="370">
        <f>ROUND(IF(CL18=0,0,HLOOKUP(CL$14,Villagers!$B$1:$V$33,CL18+3,FALSE)),)</f>
        <v>0</v>
      </c>
      <c r="DH18" s="34">
        <f>ROUND(IF(CM18=0,0,HLOOKUP(CM$14,Villagers!$B$1:$V$33,CM18+3,FALSE)),)</f>
        <v>0</v>
      </c>
      <c r="DI18" s="109">
        <f t="shared" si="74"/>
        <v>0</v>
      </c>
      <c r="DJ18" s="50">
        <f t="shared" si="75"/>
        <v>0</v>
      </c>
      <c r="DK18" s="50">
        <f t="shared" si="76"/>
        <v>0</v>
      </c>
      <c r="DL18" s="50">
        <f t="shared" si="77"/>
        <v>0</v>
      </c>
      <c r="DM18" s="50">
        <f t="shared" si="78"/>
        <v>0</v>
      </c>
      <c r="DN18" s="50">
        <f t="shared" si="79"/>
        <v>0</v>
      </c>
      <c r="DO18" s="50">
        <f t="shared" si="80"/>
        <v>0</v>
      </c>
      <c r="DP18" s="50">
        <f t="shared" si="81"/>
        <v>0</v>
      </c>
      <c r="DQ18" s="50">
        <f t="shared" si="58"/>
        <v>0</v>
      </c>
      <c r="DR18" s="50">
        <f t="shared" si="59"/>
        <v>0</v>
      </c>
      <c r="DS18" s="96">
        <f>Miscelaneous!$D$4*Miscelaneous!$D$2^($CI18-1)</f>
        <v>1000</v>
      </c>
      <c r="DT18" s="333">
        <f t="shared" si="60"/>
        <v>1</v>
      </c>
      <c r="DU18" s="81">
        <v>1</v>
      </c>
      <c r="DV18" s="79">
        <f t="shared" si="61"/>
        <v>0</v>
      </c>
      <c r="DW18" s="79">
        <f t="shared" si="21"/>
        <v>0</v>
      </c>
      <c r="DX18" s="79">
        <f t="shared" si="62"/>
        <v>0</v>
      </c>
      <c r="DY18" s="79">
        <v>1</v>
      </c>
      <c r="DZ18" s="79">
        <f t="shared" si="22"/>
        <v>0</v>
      </c>
      <c r="EA18" s="79">
        <f t="shared" si="63"/>
        <v>0</v>
      </c>
      <c r="EB18" s="79">
        <f t="shared" si="64"/>
        <v>0</v>
      </c>
      <c r="EC18" s="79">
        <f t="shared" si="65"/>
        <v>0</v>
      </c>
      <c r="ED18" s="79">
        <v>1</v>
      </c>
      <c r="EE18" s="79">
        <v>1</v>
      </c>
      <c r="EF18" s="79">
        <f t="shared" si="66"/>
        <v>0</v>
      </c>
      <c r="EG18" s="79">
        <v>1</v>
      </c>
      <c r="EH18" s="79">
        <v>1</v>
      </c>
      <c r="EI18" s="79">
        <v>1</v>
      </c>
      <c r="EJ18" s="79">
        <v>1</v>
      </c>
      <c r="EK18" s="79">
        <v>1</v>
      </c>
      <c r="EL18" s="79">
        <v>1</v>
      </c>
      <c r="EM18" s="143">
        <f t="shared" si="67"/>
        <v>0</v>
      </c>
      <c r="EN18" s="143">
        <f t="shared" si="68"/>
        <v>0</v>
      </c>
      <c r="EO18" s="82">
        <f t="shared" si="69"/>
        <v>0</v>
      </c>
    </row>
    <row r="19" spans="1:145" x14ac:dyDescent="0.25">
      <c r="A19">
        <v>5</v>
      </c>
      <c r="B19" s="172" t="e">
        <f t="shared" si="23"/>
        <v>#N/A</v>
      </c>
      <c r="C19" s="121" t="e">
        <f t="shared" ref="C19:E19" si="84">AJ19-SUM(AB19:AB23)</f>
        <v>#N/A</v>
      </c>
      <c r="D19" s="122" t="e">
        <f t="shared" si="84"/>
        <v>#N/A</v>
      </c>
      <c r="E19" s="122" t="e">
        <f t="shared" si="84"/>
        <v>#N/A</v>
      </c>
      <c r="F19" s="176" t="e">
        <f t="shared" si="0"/>
        <v>#N/A</v>
      </c>
      <c r="G19" s="121">
        <f t="shared" si="25"/>
        <v>208</v>
      </c>
      <c r="H19" s="176" t="e">
        <f t="shared" si="26"/>
        <v>#N/A</v>
      </c>
      <c r="I19" s="48">
        <v>1</v>
      </c>
      <c r="J19" s="39"/>
      <c r="K19" s="350">
        <v>1</v>
      </c>
      <c r="L19" s="34" t="e">
        <f t="shared" si="1"/>
        <v>#N/A</v>
      </c>
      <c r="M19" s="38" t="e">
        <f>(HLOOKUP(J19,'Construction Times'!$B$3:$W$34,L19+2,FALSE)*HLOOKUP("hq modifier",'Construction Times'!$W$3:$W$34,BS19+2,FALSE))*(1-$H$9)</f>
        <v>#N/A</v>
      </c>
      <c r="N19" s="426" t="e">
        <f t="shared" si="27"/>
        <v>#N/A</v>
      </c>
      <c r="O19" s="427"/>
      <c r="P19" s="430" t="e">
        <f t="shared" si="28"/>
        <v>#N/A</v>
      </c>
      <c r="Q19" s="431"/>
      <c r="R19" s="103">
        <f t="shared" si="71"/>
        <v>0</v>
      </c>
      <c r="S19" s="104">
        <f t="shared" si="71"/>
        <v>0</v>
      </c>
      <c r="T19" s="104">
        <f t="shared" si="72"/>
        <v>0</v>
      </c>
      <c r="U19" s="104">
        <f t="shared" si="30"/>
        <v>0</v>
      </c>
      <c r="V19" s="104">
        <f t="shared" si="30"/>
        <v>9.9999999999999995E-8</v>
      </c>
      <c r="W19" s="104">
        <f t="shared" si="30"/>
        <v>0</v>
      </c>
      <c r="X19" s="104">
        <f t="shared" si="30"/>
        <v>0</v>
      </c>
      <c r="Y19" s="104">
        <f t="shared" si="30"/>
        <v>9.9999999999999995E-8</v>
      </c>
      <c r="Z19" s="104">
        <f t="shared" si="30"/>
        <v>9.9999999999999995E-8</v>
      </c>
      <c r="AA19" s="105">
        <f t="shared" si="30"/>
        <v>9.9999999999999995E-8</v>
      </c>
      <c r="AB19" s="101" t="e">
        <f>$DT19*HLOOKUP($J19,'Construction Costs (timber)'!$B$1:$V$32,'Construction Planner'!$L19+2,FALSE)</f>
        <v>#N/A</v>
      </c>
      <c r="AC19" s="14" t="e">
        <f>$DT19*HLOOKUP($J19,'Construction Costs (clay)'!$B$1:$V$32,'Construction Planner'!$L19+2,FALSE)</f>
        <v>#N/A</v>
      </c>
      <c r="AD19" s="14" t="e">
        <f>$DT19*HLOOKUP($J19,'Construction Costs (iron)'!$B$1:$V$32,'Construction Planner'!$L19+2,FALSE)</f>
        <v>#N/A</v>
      </c>
      <c r="AE19" s="34" t="e">
        <f>SUM(AB19:AD19)</f>
        <v>#N/A</v>
      </c>
      <c r="AF19" s="33" t="e">
        <f t="shared" si="3"/>
        <v>#N/A</v>
      </c>
      <c r="AG19" s="14" t="e">
        <f t="shared" si="4"/>
        <v>#N/A</v>
      </c>
      <c r="AH19" s="14" t="e">
        <f t="shared" si="5"/>
        <v>#N/A</v>
      </c>
      <c r="AI19" s="34" t="e">
        <f>SUM(AF19:AH19)</f>
        <v>#N/A</v>
      </c>
      <c r="AJ19" s="49" t="e">
        <f t="shared" si="31"/>
        <v>#N/A</v>
      </c>
      <c r="AK19" s="49" t="e">
        <f t="shared" si="32"/>
        <v>#N/A</v>
      </c>
      <c r="AL19" s="49" t="e">
        <f t="shared" si="33"/>
        <v>#N/A</v>
      </c>
      <c r="AM19" s="25">
        <f t="shared" si="6"/>
        <v>30</v>
      </c>
      <c r="AN19" s="25">
        <f t="shared" si="7"/>
        <v>30</v>
      </c>
      <c r="AO19" s="25">
        <f t="shared" si="8"/>
        <v>30</v>
      </c>
      <c r="AP19" s="52" t="e">
        <f t="shared" si="34"/>
        <v>#N/A</v>
      </c>
      <c r="AQ19" s="53" t="e">
        <f t="shared" si="9"/>
        <v>#N/A</v>
      </c>
      <c r="AR19" s="54" t="e">
        <f t="shared" si="9"/>
        <v>#N/A</v>
      </c>
      <c r="AS19" s="316">
        <f t="shared" si="83"/>
        <v>0</v>
      </c>
      <c r="AT19" s="106">
        <f>_xlfn.IFNA($M19/VLOOKUP($BT19,'Unit information'!$A$2:$K$29,2,FALSE)*R19,0)*(1+$E$9)</f>
        <v>0</v>
      </c>
      <c r="AU19" s="107">
        <f>_xlfn.IFNA($M19/VLOOKUP($BT19,'Unit information'!$A$2:$K$29,3,FALSE)*S19,0)*(1+$E$9)</f>
        <v>0</v>
      </c>
      <c r="AV19" s="107">
        <f>_xlfn.IFNA($M19/VLOOKUP($BT19,'Unit information'!$A$2:$K$29,4,FALSE)*T19,0)*(1+$E$9)</f>
        <v>0</v>
      </c>
      <c r="AW19" s="107">
        <f>_xlfn.IFNA($M19/VLOOKUP($BT19,'Unit information'!$A$2:$K$29,5,FALSE)*U19,0)*(1+$E$9)</f>
        <v>0</v>
      </c>
      <c r="AX19" s="107">
        <f>_xlfn.IFNA($M19/VLOOKUP($BU19,'Unit information'!$A$2:$K$29,6,FALSE)*V19,0)*(1+$E$9)</f>
        <v>0</v>
      </c>
      <c r="AY19" s="107">
        <f>_xlfn.IFNA($M19/VLOOKUP($BU19,'Unit information'!$A$2:$K$29,7,FALSE)*W19,0)*(1+$E$9)</f>
        <v>0</v>
      </c>
      <c r="AZ19" s="107">
        <f>_xlfn.IFNA($M19/VLOOKUP($BU19,'Unit information'!$A$2:$K$29,8,FALSE)*X19,0)*(1+$E$9)</f>
        <v>0</v>
      </c>
      <c r="BA19" s="107">
        <f>_xlfn.IFNA($M19/VLOOKUP($BU19,'Unit information'!$A$2:$K$29,9,FALSE)*Y19,0)*(1+$E$9)</f>
        <v>0</v>
      </c>
      <c r="BB19" s="107">
        <f>_xlfn.IFNA($M19/VLOOKUP($BV19,'Unit information'!$A$2:$K$29,10,FALSE)*Z19,0)*(1+$E$9)</f>
        <v>0</v>
      </c>
      <c r="BC19" s="108">
        <f>_xlfn.IFNA($M19/VLOOKUP($BV19,'Unit information'!$A$2:$K$29,11,FALSE)*AA19,0)*(1+$E$9)</f>
        <v>0</v>
      </c>
      <c r="BD19" s="106">
        <f t="shared" si="10"/>
        <v>0</v>
      </c>
      <c r="BE19" s="107">
        <f t="shared" si="11"/>
        <v>0</v>
      </c>
      <c r="BF19" s="108">
        <f t="shared" si="12"/>
        <v>0</v>
      </c>
      <c r="BG19" s="25" t="e">
        <f t="shared" si="13"/>
        <v>#N/A</v>
      </c>
      <c r="BH19" s="25" t="e">
        <f t="shared" si="14"/>
        <v>#N/A</v>
      </c>
      <c r="BI19" s="25" t="e">
        <f t="shared" si="15"/>
        <v>#N/A</v>
      </c>
      <c r="BJ19" s="27" t="e">
        <f t="shared" si="16"/>
        <v>#N/A</v>
      </c>
      <c r="BK19" s="18" t="e">
        <f t="shared" si="17"/>
        <v>#N/A</v>
      </c>
      <c r="BL19" s="18" t="e">
        <f t="shared" si="18"/>
        <v>#N/A</v>
      </c>
      <c r="BM19" s="28" t="e">
        <f>MAX(BJ19:BL19)</f>
        <v>#N/A</v>
      </c>
      <c r="BN19" s="33">
        <f>HLOOKUP("maximum population",Miscelaneous!$C$1:$C$33,CH19+3,FALSE)</f>
        <v>240</v>
      </c>
      <c r="BO19" s="14">
        <f t="shared" si="35"/>
        <v>32</v>
      </c>
      <c r="BP19" s="14">
        <f t="shared" si="36"/>
        <v>0</v>
      </c>
      <c r="BQ19" s="14">
        <f t="shared" si="37"/>
        <v>208</v>
      </c>
      <c r="BR19" s="34" t="e">
        <f>HLOOKUP(J19,Villagers!$B$1:$V$33,L19+3,FALSE)-HLOOKUP(J19,Villagers!$B$1:$V$33,L19+2,FALSE)</f>
        <v>#N/A</v>
      </c>
      <c r="BS19" s="49">
        <f t="shared" si="38"/>
        <v>1</v>
      </c>
      <c r="BT19" s="50">
        <f t="shared" si="39"/>
        <v>0</v>
      </c>
      <c r="BU19" s="50">
        <f t="shared" si="40"/>
        <v>0</v>
      </c>
      <c r="BV19" s="50">
        <f t="shared" si="41"/>
        <v>0</v>
      </c>
      <c r="BW19" s="50">
        <f t="shared" si="42"/>
        <v>0</v>
      </c>
      <c r="BX19" s="50">
        <f t="shared" si="43"/>
        <v>0</v>
      </c>
      <c r="BY19" s="50">
        <f t="shared" si="43"/>
        <v>0</v>
      </c>
      <c r="BZ19" s="50">
        <f t="shared" si="44"/>
        <v>0</v>
      </c>
      <c r="CA19" s="50">
        <f t="shared" si="45"/>
        <v>0</v>
      </c>
      <c r="CB19" s="50">
        <f t="shared" si="46"/>
        <v>1</v>
      </c>
      <c r="CC19" s="50">
        <f t="shared" si="47"/>
        <v>0</v>
      </c>
      <c r="CD19" s="50">
        <f t="shared" si="48"/>
        <v>0</v>
      </c>
      <c r="CE19" s="50">
        <f t="shared" si="49"/>
        <v>1</v>
      </c>
      <c r="CF19" s="50">
        <f t="shared" si="50"/>
        <v>1</v>
      </c>
      <c r="CG19" s="50">
        <f t="shared" si="51"/>
        <v>1</v>
      </c>
      <c r="CH19" s="50">
        <f t="shared" si="52"/>
        <v>1</v>
      </c>
      <c r="CI19" s="50">
        <f t="shared" si="53"/>
        <v>1</v>
      </c>
      <c r="CJ19" s="50">
        <f t="shared" si="54"/>
        <v>1</v>
      </c>
      <c r="CK19" s="50">
        <f t="shared" si="55"/>
        <v>0</v>
      </c>
      <c r="CL19" s="50">
        <f t="shared" si="54"/>
        <v>0</v>
      </c>
      <c r="CM19" s="51">
        <f t="shared" si="56"/>
        <v>0</v>
      </c>
      <c r="CN19" s="33">
        <f>ROUND(IF(BS19=0,0,HLOOKUP(BS$14,Villagers!$B$1:$V$33,BS19+3,FALSE)),)</f>
        <v>5</v>
      </c>
      <c r="CO19" s="14">
        <f>ROUND(IF(BT19=0,0,HLOOKUP(BT$14,Villagers!$B$1:$V$33,BT19+3,FALSE)),)</f>
        <v>0</v>
      </c>
      <c r="CP19" s="14">
        <f>ROUND(IF(BU19=0,0,HLOOKUP(BU$14,Villagers!$B$1:$V$33,BU19+3,FALSE)),)</f>
        <v>0</v>
      </c>
      <c r="CQ19" s="14">
        <f>ROUND(IF(BV19=0,0,HLOOKUP(BV$14,Villagers!$B$1:$V$33,BV19+3,FALSE)),)</f>
        <v>0</v>
      </c>
      <c r="CR19" s="14">
        <f>ROUND(IF(BW19=0,0,HLOOKUP(BW$14,Villagers!$B$1:$V$33,BW19+3,FALSE)),)</f>
        <v>0</v>
      </c>
      <c r="CS19" s="14">
        <f>ROUND(IF(BX19=0,0,HLOOKUP(BX$14,Villagers!$B$1:$V$33,BX19+3,FALSE)),)</f>
        <v>0</v>
      </c>
      <c r="CT19" s="14">
        <f>ROUND(IF(BY19=0,0,HLOOKUP(BY$14,Villagers!$B$1:$V$33,BY19+3,FALSE)),)</f>
        <v>0</v>
      </c>
      <c r="CU19" s="14">
        <f>ROUND(IF(BZ19=0,0,HLOOKUP(BZ$14,Villagers!$B$1:$V$33,BZ19+3,FALSE)),)</f>
        <v>0</v>
      </c>
      <c r="CV19" s="14">
        <f>ROUND(IF(CA19=0,0,HLOOKUP(CA$14,Villagers!$B$1:$V$33,CA19+3,FALSE)),)</f>
        <v>0</v>
      </c>
      <c r="CW19" s="14">
        <f>ROUND(IF(CB19=0,0,HLOOKUP(CB$14,Villagers!$B$1:$V$33,CB19+3,FALSE)),)</f>
        <v>0</v>
      </c>
      <c r="CX19" s="14">
        <f>ROUND(IF(CC19=0,0,HLOOKUP(CC$14,Villagers!$B$1:$V$33,CC19+3,FALSE)),)</f>
        <v>0</v>
      </c>
      <c r="CY19" s="14">
        <f>ROUND(IF(CD19=0,0,HLOOKUP(CD$14,Villagers!$B$1:$V$33,CD19+3,FALSE)),)</f>
        <v>0</v>
      </c>
      <c r="CZ19" s="14">
        <f>ROUND(IF(CE19=0,0,HLOOKUP(CE$14,Villagers!$B$1:$V$33,CE19+3,FALSE)),)</f>
        <v>5</v>
      </c>
      <c r="DA19" s="14">
        <f>ROUND(IF(CF19=0,0,HLOOKUP(CF$14,Villagers!$B$1:$V$33,CF19+3,FALSE)),)</f>
        <v>10</v>
      </c>
      <c r="DB19" s="14">
        <f>ROUND(IF(CG19=0,0,HLOOKUP(CG$14,Villagers!$B$1:$V$33,CG19+3,FALSE)),)</f>
        <v>10</v>
      </c>
      <c r="DC19" s="14">
        <f>ROUND(IF(CH19=0,0,HLOOKUP(CH$14,Villagers!$B$1:$V$33,CH19+3,FALSE)),)</f>
        <v>0</v>
      </c>
      <c r="DD19" s="14">
        <f>ROUND(IF(CI19=0,0,HLOOKUP(CI$14,Villagers!$B$1:$V$33,CI19+3,FALSE)),)</f>
        <v>0</v>
      </c>
      <c r="DE19" s="14">
        <f>ROUND(IF(CJ19=0,0,HLOOKUP(CJ$14,Villagers!$B$1:$V$33,CJ19+3,FALSE)),)</f>
        <v>2</v>
      </c>
      <c r="DF19" s="370">
        <f>ROUND(IF(CK19=0,0,HLOOKUP(CK$14,Villagers!$B$1:$V$33,CK19+3,FALSE)),)</f>
        <v>0</v>
      </c>
      <c r="DG19" s="370">
        <f>ROUND(IF(CL19=0,0,HLOOKUP(CL$14,Villagers!$B$1:$V$33,CL19+3,FALSE)),)</f>
        <v>0</v>
      </c>
      <c r="DH19" s="34">
        <f>ROUND(IF(CM19=0,0,HLOOKUP(CM$14,Villagers!$B$1:$V$33,CM19+3,FALSE)),)</f>
        <v>0</v>
      </c>
      <c r="DI19" s="109">
        <f t="shared" si="74"/>
        <v>0</v>
      </c>
      <c r="DJ19" s="50">
        <f t="shared" si="75"/>
        <v>0</v>
      </c>
      <c r="DK19" s="50">
        <f t="shared" si="76"/>
        <v>0</v>
      </c>
      <c r="DL19" s="50">
        <f t="shared" si="77"/>
        <v>0</v>
      </c>
      <c r="DM19" s="50">
        <f t="shared" si="78"/>
        <v>0</v>
      </c>
      <c r="DN19" s="50">
        <f t="shared" si="79"/>
        <v>0</v>
      </c>
      <c r="DO19" s="50">
        <f t="shared" si="80"/>
        <v>0</v>
      </c>
      <c r="DP19" s="50">
        <f t="shared" si="81"/>
        <v>0</v>
      </c>
      <c r="DQ19" s="50">
        <f t="shared" si="58"/>
        <v>0</v>
      </c>
      <c r="DR19" s="50">
        <f t="shared" si="59"/>
        <v>0</v>
      </c>
      <c r="DS19" s="96">
        <f>Miscelaneous!$D$4*Miscelaneous!$D$2^($CI19-1)</f>
        <v>1000</v>
      </c>
      <c r="DT19" s="333">
        <f t="shared" si="60"/>
        <v>1</v>
      </c>
      <c r="DU19" s="81">
        <v>1</v>
      </c>
      <c r="DV19" s="79">
        <f t="shared" si="61"/>
        <v>0</v>
      </c>
      <c r="DW19" s="79">
        <f t="shared" si="21"/>
        <v>0</v>
      </c>
      <c r="DX19" s="79">
        <f t="shared" si="62"/>
        <v>0</v>
      </c>
      <c r="DY19" s="79">
        <v>1</v>
      </c>
      <c r="DZ19" s="79">
        <f t="shared" si="22"/>
        <v>0</v>
      </c>
      <c r="EA19" s="79">
        <f t="shared" si="63"/>
        <v>0</v>
      </c>
      <c r="EB19" s="79">
        <f t="shared" si="64"/>
        <v>0</v>
      </c>
      <c r="EC19" s="79">
        <f t="shared" si="65"/>
        <v>0</v>
      </c>
      <c r="ED19" s="79">
        <v>1</v>
      </c>
      <c r="EE19" s="79">
        <v>1</v>
      </c>
      <c r="EF19" s="79">
        <f t="shared" si="66"/>
        <v>0</v>
      </c>
      <c r="EG19" s="79">
        <v>1</v>
      </c>
      <c r="EH19" s="79">
        <v>1</v>
      </c>
      <c r="EI19" s="79">
        <v>1</v>
      </c>
      <c r="EJ19" s="79">
        <v>1</v>
      </c>
      <c r="EK19" s="79">
        <v>1</v>
      </c>
      <c r="EL19" s="79">
        <v>1</v>
      </c>
      <c r="EM19" s="143">
        <f t="shared" si="67"/>
        <v>0</v>
      </c>
      <c r="EN19" s="143">
        <f t="shared" si="68"/>
        <v>0</v>
      </c>
      <c r="EO19" s="82">
        <f t="shared" si="69"/>
        <v>0</v>
      </c>
    </row>
    <row r="20" spans="1:145" x14ac:dyDescent="0.25">
      <c r="A20">
        <v>6</v>
      </c>
      <c r="B20" s="172" t="e">
        <f t="shared" si="23"/>
        <v>#N/A</v>
      </c>
      <c r="C20" s="121" t="e">
        <f t="shared" ref="C20:E20" si="85">AJ20-SUM(AB20:AB24)</f>
        <v>#N/A</v>
      </c>
      <c r="D20" s="122" t="e">
        <f t="shared" si="85"/>
        <v>#N/A</v>
      </c>
      <c r="E20" s="122" t="e">
        <f t="shared" si="85"/>
        <v>#N/A</v>
      </c>
      <c r="F20" s="176" t="e">
        <f t="shared" si="0"/>
        <v>#N/A</v>
      </c>
      <c r="G20" s="121">
        <f t="shared" si="25"/>
        <v>208</v>
      </c>
      <c r="H20" s="176" t="e">
        <f t="shared" si="26"/>
        <v>#N/A</v>
      </c>
      <c r="I20" s="48">
        <v>1</v>
      </c>
      <c r="J20" s="39"/>
      <c r="K20" s="350">
        <v>1</v>
      </c>
      <c r="L20" s="34" t="e">
        <f t="shared" si="1"/>
        <v>#N/A</v>
      </c>
      <c r="M20" s="38" t="e">
        <f>(HLOOKUP(J20,'Construction Times'!$B$3:$W$34,L20+2,FALSE)*HLOOKUP("hq modifier",'Construction Times'!$W$3:$W$34,BS20+2,FALSE))*(1-$H$9)</f>
        <v>#N/A</v>
      </c>
      <c r="N20" s="426" t="e">
        <f t="shared" si="27"/>
        <v>#N/A</v>
      </c>
      <c r="O20" s="427"/>
      <c r="P20" s="430" t="e">
        <f t="shared" si="28"/>
        <v>#N/A</v>
      </c>
      <c r="Q20" s="431"/>
      <c r="R20" s="103">
        <f t="shared" si="71"/>
        <v>0</v>
      </c>
      <c r="S20" s="104">
        <f t="shared" si="71"/>
        <v>0</v>
      </c>
      <c r="T20" s="104">
        <f t="shared" si="72"/>
        <v>0</v>
      </c>
      <c r="U20" s="104">
        <f t="shared" si="30"/>
        <v>0</v>
      </c>
      <c r="V20" s="104">
        <f t="shared" si="30"/>
        <v>9.9999999999999995E-8</v>
      </c>
      <c r="W20" s="104">
        <f t="shared" si="30"/>
        <v>0</v>
      </c>
      <c r="X20" s="104">
        <f t="shared" si="30"/>
        <v>0</v>
      </c>
      <c r="Y20" s="104">
        <f t="shared" si="30"/>
        <v>9.9999999999999995E-8</v>
      </c>
      <c r="Z20" s="104">
        <f t="shared" si="30"/>
        <v>9.9999999999999995E-8</v>
      </c>
      <c r="AA20" s="105">
        <f t="shared" si="30"/>
        <v>9.9999999999999995E-8</v>
      </c>
      <c r="AB20" s="101" t="e">
        <f>$DT20*HLOOKUP($J20,'Construction Costs (timber)'!$B$1:$V$32,'Construction Planner'!$L20+2,FALSE)</f>
        <v>#N/A</v>
      </c>
      <c r="AC20" s="14" t="e">
        <f>$DT20*HLOOKUP($J20,'Construction Costs (clay)'!$B$1:$V$32,'Construction Planner'!$L20+2,FALSE)</f>
        <v>#N/A</v>
      </c>
      <c r="AD20" s="14" t="e">
        <f>$DT20*HLOOKUP($J20,'Construction Costs (iron)'!$B$1:$V$32,'Construction Planner'!$L20+2,FALSE)</f>
        <v>#N/A</v>
      </c>
      <c r="AE20" s="34" t="e">
        <f t="shared" ref="AE20:AE83" si="86">SUM(AB20:AD20)</f>
        <v>#N/A</v>
      </c>
      <c r="AF20" s="33" t="e">
        <f t="shared" si="3"/>
        <v>#N/A</v>
      </c>
      <c r="AG20" s="14" t="e">
        <f t="shared" si="4"/>
        <v>#N/A</v>
      </c>
      <c r="AH20" s="14" t="e">
        <f t="shared" si="5"/>
        <v>#N/A</v>
      </c>
      <c r="AI20" s="34" t="e">
        <f t="shared" ref="AI20:AI83" si="87">SUM(AF20:AH20)</f>
        <v>#N/A</v>
      </c>
      <c r="AJ20" s="49" t="e">
        <f t="shared" si="31"/>
        <v>#N/A</v>
      </c>
      <c r="AK20" s="49" t="e">
        <f t="shared" si="32"/>
        <v>#N/A</v>
      </c>
      <c r="AL20" s="49" t="e">
        <f t="shared" si="33"/>
        <v>#N/A</v>
      </c>
      <c r="AM20" s="25">
        <f t="shared" si="6"/>
        <v>30</v>
      </c>
      <c r="AN20" s="25">
        <f t="shared" si="7"/>
        <v>30</v>
      </c>
      <c r="AO20" s="25">
        <f t="shared" si="8"/>
        <v>30</v>
      </c>
      <c r="AP20" s="52" t="e">
        <f t="shared" si="34"/>
        <v>#N/A</v>
      </c>
      <c r="AQ20" s="53" t="e">
        <f t="shared" si="9"/>
        <v>#N/A</v>
      </c>
      <c r="AR20" s="54" t="e">
        <f t="shared" si="9"/>
        <v>#N/A</v>
      </c>
      <c r="AS20" s="316">
        <f t="shared" ref="AS20:AS83" si="88">AS19</f>
        <v>0</v>
      </c>
      <c r="AT20" s="106">
        <f>_xlfn.IFNA($M20/VLOOKUP($BT20,'Unit information'!$A$2:$K$29,2,FALSE)*R20,0)*(1+$E$9)</f>
        <v>0</v>
      </c>
      <c r="AU20" s="107">
        <f>_xlfn.IFNA($M20/VLOOKUP($BT20,'Unit information'!$A$2:$K$29,3,FALSE)*S20,0)*(1+$E$9)</f>
        <v>0</v>
      </c>
      <c r="AV20" s="107">
        <f>_xlfn.IFNA($M20/VLOOKUP($BT20,'Unit information'!$A$2:$K$29,4,FALSE)*T20,0)*(1+$E$9)</f>
        <v>0</v>
      </c>
      <c r="AW20" s="107">
        <f>_xlfn.IFNA($M20/VLOOKUP($BT20,'Unit information'!$A$2:$K$29,5,FALSE)*U20,0)*(1+$E$9)</f>
        <v>0</v>
      </c>
      <c r="AX20" s="107">
        <f>_xlfn.IFNA($M20/VLOOKUP($BU20,'Unit information'!$A$2:$K$29,6,FALSE)*V20,0)*(1+$E$9)</f>
        <v>0</v>
      </c>
      <c r="AY20" s="107">
        <f>_xlfn.IFNA($M20/VLOOKUP($BU20,'Unit information'!$A$2:$K$29,7,FALSE)*W20,0)*(1+$E$9)</f>
        <v>0</v>
      </c>
      <c r="AZ20" s="107">
        <f>_xlfn.IFNA($M20/VLOOKUP($BU20,'Unit information'!$A$2:$K$29,8,FALSE)*X20,0)*(1+$E$9)</f>
        <v>0</v>
      </c>
      <c r="BA20" s="107">
        <f>_xlfn.IFNA($M20/VLOOKUP($BU20,'Unit information'!$A$2:$K$29,9,FALSE)*Y20,0)*(1+$E$9)</f>
        <v>0</v>
      </c>
      <c r="BB20" s="107">
        <f>_xlfn.IFNA($M20/VLOOKUP($BV20,'Unit information'!$A$2:$K$29,10,FALSE)*Z20,0)*(1+$E$9)</f>
        <v>0</v>
      </c>
      <c r="BC20" s="108">
        <f>_xlfn.IFNA($M20/VLOOKUP($BV20,'Unit information'!$A$2:$K$29,11,FALSE)*AA20,0)*(1+$E$9)</f>
        <v>0</v>
      </c>
      <c r="BD20" s="106">
        <f t="shared" si="10"/>
        <v>0</v>
      </c>
      <c r="BE20" s="107">
        <f t="shared" si="11"/>
        <v>0</v>
      </c>
      <c r="BF20" s="108">
        <f t="shared" si="12"/>
        <v>0</v>
      </c>
      <c r="BG20" s="25" t="e">
        <f t="shared" si="13"/>
        <v>#N/A</v>
      </c>
      <c r="BH20" s="25" t="e">
        <f t="shared" si="14"/>
        <v>#N/A</v>
      </c>
      <c r="BI20" s="25" t="e">
        <f t="shared" si="15"/>
        <v>#N/A</v>
      </c>
      <c r="BJ20" s="27" t="e">
        <f t="shared" si="16"/>
        <v>#N/A</v>
      </c>
      <c r="BK20" s="18" t="e">
        <f t="shared" si="17"/>
        <v>#N/A</v>
      </c>
      <c r="BL20" s="18" t="e">
        <f t="shared" si="18"/>
        <v>#N/A</v>
      </c>
      <c r="BM20" s="28" t="e">
        <f t="shared" ref="BM20:BM83" si="89">MAX(BJ20:BL20)</f>
        <v>#N/A</v>
      </c>
      <c r="BN20" s="33">
        <f>HLOOKUP("maximum population",Miscelaneous!$C$1:$C$33,CH20+3,FALSE)</f>
        <v>240</v>
      </c>
      <c r="BO20" s="14">
        <f t="shared" si="35"/>
        <v>32</v>
      </c>
      <c r="BP20" s="14">
        <f t="shared" si="36"/>
        <v>0</v>
      </c>
      <c r="BQ20" s="14">
        <f t="shared" si="37"/>
        <v>208</v>
      </c>
      <c r="BR20" s="34" t="e">
        <f>HLOOKUP(J20,Villagers!$B$1:$V$33,L20+3,FALSE)-HLOOKUP(J20,Villagers!$B$1:$V$33,L20+2,FALSE)</f>
        <v>#N/A</v>
      </c>
      <c r="BS20" s="49">
        <f t="shared" si="38"/>
        <v>1</v>
      </c>
      <c r="BT20" s="50">
        <f t="shared" si="39"/>
        <v>0</v>
      </c>
      <c r="BU20" s="50">
        <f t="shared" si="40"/>
        <v>0</v>
      </c>
      <c r="BV20" s="50">
        <f t="shared" si="41"/>
        <v>0</v>
      </c>
      <c r="BW20" s="50">
        <f t="shared" si="42"/>
        <v>0</v>
      </c>
      <c r="BX20" s="50">
        <f t="shared" si="43"/>
        <v>0</v>
      </c>
      <c r="BY20" s="50">
        <f t="shared" si="43"/>
        <v>0</v>
      </c>
      <c r="BZ20" s="50">
        <f t="shared" si="44"/>
        <v>0</v>
      </c>
      <c r="CA20" s="50">
        <f t="shared" si="45"/>
        <v>0</v>
      </c>
      <c r="CB20" s="50">
        <f t="shared" si="46"/>
        <v>1</v>
      </c>
      <c r="CC20" s="50">
        <f t="shared" si="47"/>
        <v>0</v>
      </c>
      <c r="CD20" s="50">
        <f t="shared" si="48"/>
        <v>0</v>
      </c>
      <c r="CE20" s="50">
        <f t="shared" si="49"/>
        <v>1</v>
      </c>
      <c r="CF20" s="50">
        <f t="shared" si="50"/>
        <v>1</v>
      </c>
      <c r="CG20" s="50">
        <f t="shared" si="51"/>
        <v>1</v>
      </c>
      <c r="CH20" s="50">
        <f t="shared" si="52"/>
        <v>1</v>
      </c>
      <c r="CI20" s="50">
        <f t="shared" si="53"/>
        <v>1</v>
      </c>
      <c r="CJ20" s="50">
        <f t="shared" si="54"/>
        <v>1</v>
      </c>
      <c r="CK20" s="50">
        <f t="shared" si="55"/>
        <v>0</v>
      </c>
      <c r="CL20" s="50">
        <f t="shared" si="54"/>
        <v>0</v>
      </c>
      <c r="CM20" s="51">
        <f t="shared" si="56"/>
        <v>0</v>
      </c>
      <c r="CN20" s="33">
        <f>ROUND(IF(BS20=0,0,HLOOKUP(BS$14,Villagers!$B$1:$V$33,BS20+3,FALSE)),)</f>
        <v>5</v>
      </c>
      <c r="CO20" s="14">
        <f>ROUND(IF(BT20=0,0,HLOOKUP(BT$14,Villagers!$B$1:$V$33,BT20+3,FALSE)),)</f>
        <v>0</v>
      </c>
      <c r="CP20" s="14">
        <f>ROUND(IF(BU20=0,0,HLOOKUP(BU$14,Villagers!$B$1:$V$33,BU20+3,FALSE)),)</f>
        <v>0</v>
      </c>
      <c r="CQ20" s="14">
        <f>ROUND(IF(BV20=0,0,HLOOKUP(BV$14,Villagers!$B$1:$V$33,BV20+3,FALSE)),)</f>
        <v>0</v>
      </c>
      <c r="CR20" s="14">
        <f>ROUND(IF(BW20=0,0,HLOOKUP(BW$14,Villagers!$B$1:$V$33,BW20+3,FALSE)),)</f>
        <v>0</v>
      </c>
      <c r="CS20" s="14">
        <f>ROUND(IF(BX20=0,0,HLOOKUP(BX$14,Villagers!$B$1:$V$33,BX20+3,FALSE)),)</f>
        <v>0</v>
      </c>
      <c r="CT20" s="14">
        <f>ROUND(IF(BY20=0,0,HLOOKUP(BY$14,Villagers!$B$1:$V$33,BY20+3,FALSE)),)</f>
        <v>0</v>
      </c>
      <c r="CU20" s="14">
        <f>ROUND(IF(BZ20=0,0,HLOOKUP(BZ$14,Villagers!$B$1:$V$33,BZ20+3,FALSE)),)</f>
        <v>0</v>
      </c>
      <c r="CV20" s="14">
        <f>ROUND(IF(CA20=0,0,HLOOKUP(CA$14,Villagers!$B$1:$V$33,CA20+3,FALSE)),)</f>
        <v>0</v>
      </c>
      <c r="CW20" s="14">
        <f>ROUND(IF(CB20=0,0,HLOOKUP(CB$14,Villagers!$B$1:$V$33,CB20+3,FALSE)),)</f>
        <v>0</v>
      </c>
      <c r="CX20" s="14">
        <f>ROUND(IF(CC20=0,0,HLOOKUP(CC$14,Villagers!$B$1:$V$33,CC20+3,FALSE)),)</f>
        <v>0</v>
      </c>
      <c r="CY20" s="14">
        <f>ROUND(IF(CD20=0,0,HLOOKUP(CD$14,Villagers!$B$1:$V$33,CD20+3,FALSE)),)</f>
        <v>0</v>
      </c>
      <c r="CZ20" s="14">
        <f>ROUND(IF(CE20=0,0,HLOOKUP(CE$14,Villagers!$B$1:$V$33,CE20+3,FALSE)),)</f>
        <v>5</v>
      </c>
      <c r="DA20" s="14">
        <f>ROUND(IF(CF20=0,0,HLOOKUP(CF$14,Villagers!$B$1:$V$33,CF20+3,FALSE)),)</f>
        <v>10</v>
      </c>
      <c r="DB20" s="14">
        <f>ROUND(IF(CG20=0,0,HLOOKUP(CG$14,Villagers!$B$1:$V$33,CG20+3,FALSE)),)</f>
        <v>10</v>
      </c>
      <c r="DC20" s="14">
        <f>ROUND(IF(CH20=0,0,HLOOKUP(CH$14,Villagers!$B$1:$V$33,CH20+3,FALSE)),)</f>
        <v>0</v>
      </c>
      <c r="DD20" s="14">
        <f>ROUND(IF(CI20=0,0,HLOOKUP(CI$14,Villagers!$B$1:$V$33,CI20+3,FALSE)),)</f>
        <v>0</v>
      </c>
      <c r="DE20" s="14">
        <f>ROUND(IF(CJ20=0,0,HLOOKUP(CJ$14,Villagers!$B$1:$V$33,CJ20+3,FALSE)),)</f>
        <v>2</v>
      </c>
      <c r="DF20" s="370">
        <f>ROUND(IF(CK20=0,0,HLOOKUP(CK$14,Villagers!$B$1:$V$33,CK20+3,FALSE)),)</f>
        <v>0</v>
      </c>
      <c r="DG20" s="370">
        <f>ROUND(IF(CL20=0,0,HLOOKUP(CL$14,Villagers!$B$1:$V$33,CL20+3,FALSE)),)</f>
        <v>0</v>
      </c>
      <c r="DH20" s="34">
        <f>ROUND(IF(CM20=0,0,HLOOKUP(CM$14,Villagers!$B$1:$V$33,CM20+3,FALSE)),)</f>
        <v>0</v>
      </c>
      <c r="DI20" s="109">
        <f t="shared" si="74"/>
        <v>0</v>
      </c>
      <c r="DJ20" s="50">
        <f t="shared" si="75"/>
        <v>0</v>
      </c>
      <c r="DK20" s="50">
        <f t="shared" si="76"/>
        <v>0</v>
      </c>
      <c r="DL20" s="50">
        <f t="shared" si="77"/>
        <v>0</v>
      </c>
      <c r="DM20" s="50">
        <f t="shared" si="78"/>
        <v>0</v>
      </c>
      <c r="DN20" s="50">
        <f t="shared" si="79"/>
        <v>0</v>
      </c>
      <c r="DO20" s="50">
        <f t="shared" si="80"/>
        <v>0</v>
      </c>
      <c r="DP20" s="50">
        <f t="shared" si="81"/>
        <v>0</v>
      </c>
      <c r="DQ20" s="50">
        <f t="shared" si="58"/>
        <v>0</v>
      </c>
      <c r="DR20" s="50">
        <f t="shared" si="59"/>
        <v>0</v>
      </c>
      <c r="DS20" s="96">
        <f>Miscelaneous!$D$4*Miscelaneous!$D$2^($CI20-1)</f>
        <v>1000</v>
      </c>
      <c r="DT20" s="333">
        <f t="shared" si="60"/>
        <v>1</v>
      </c>
      <c r="DU20" s="81">
        <v>1</v>
      </c>
      <c r="DV20" s="79">
        <f t="shared" si="61"/>
        <v>0</v>
      </c>
      <c r="DW20" s="79">
        <f t="shared" si="21"/>
        <v>0</v>
      </c>
      <c r="DX20" s="79">
        <f t="shared" si="62"/>
        <v>0</v>
      </c>
      <c r="DY20" s="79">
        <v>1</v>
      </c>
      <c r="DZ20" s="79">
        <f t="shared" si="22"/>
        <v>0</v>
      </c>
      <c r="EA20" s="79">
        <f t="shared" si="63"/>
        <v>0</v>
      </c>
      <c r="EB20" s="79">
        <f t="shared" si="64"/>
        <v>0</v>
      </c>
      <c r="EC20" s="79">
        <f t="shared" si="65"/>
        <v>0</v>
      </c>
      <c r="ED20" s="79">
        <v>1</v>
      </c>
      <c r="EE20" s="79">
        <v>1</v>
      </c>
      <c r="EF20" s="79">
        <f t="shared" si="66"/>
        <v>0</v>
      </c>
      <c r="EG20" s="79">
        <v>1</v>
      </c>
      <c r="EH20" s="79">
        <v>1</v>
      </c>
      <c r="EI20" s="79">
        <v>1</v>
      </c>
      <c r="EJ20" s="79">
        <v>1</v>
      </c>
      <c r="EK20" s="79">
        <v>1</v>
      </c>
      <c r="EL20" s="79">
        <v>1</v>
      </c>
      <c r="EM20" s="143">
        <f t="shared" si="67"/>
        <v>0</v>
      </c>
      <c r="EN20" s="143">
        <f t="shared" si="68"/>
        <v>0</v>
      </c>
      <c r="EO20" s="82">
        <f t="shared" si="69"/>
        <v>0</v>
      </c>
    </row>
    <row r="21" spans="1:145" x14ac:dyDescent="0.25">
      <c r="A21">
        <v>7</v>
      </c>
      <c r="B21" s="172" t="e">
        <f t="shared" si="23"/>
        <v>#N/A</v>
      </c>
      <c r="C21" s="121" t="e">
        <f t="shared" ref="C21:E21" si="90">AJ21-SUM(AB21:AB25)</f>
        <v>#N/A</v>
      </c>
      <c r="D21" s="122" t="e">
        <f t="shared" si="90"/>
        <v>#N/A</v>
      </c>
      <c r="E21" s="122" t="e">
        <f t="shared" si="90"/>
        <v>#N/A</v>
      </c>
      <c r="F21" s="176" t="e">
        <f t="shared" si="0"/>
        <v>#N/A</v>
      </c>
      <c r="G21" s="121">
        <f t="shared" si="25"/>
        <v>208</v>
      </c>
      <c r="H21" s="176" t="e">
        <f t="shared" si="26"/>
        <v>#N/A</v>
      </c>
      <c r="I21" s="48">
        <v>1</v>
      </c>
      <c r="J21" s="39"/>
      <c r="K21" s="350">
        <v>1</v>
      </c>
      <c r="L21" s="34" t="e">
        <f t="shared" si="1"/>
        <v>#N/A</v>
      </c>
      <c r="M21" s="38" t="e">
        <f>(HLOOKUP(J21,'Construction Times'!$B$3:$W$34,L21+2,FALSE)*HLOOKUP("hq modifier",'Construction Times'!$W$3:$W$34,BS21+2,FALSE))*(1-$H$9)</f>
        <v>#N/A</v>
      </c>
      <c r="N21" s="426" t="e">
        <f t="shared" si="27"/>
        <v>#N/A</v>
      </c>
      <c r="O21" s="427"/>
      <c r="P21" s="430" t="e">
        <f t="shared" si="28"/>
        <v>#N/A</v>
      </c>
      <c r="Q21" s="431"/>
      <c r="R21" s="103">
        <f t="shared" si="71"/>
        <v>0</v>
      </c>
      <c r="S21" s="104">
        <f t="shared" si="71"/>
        <v>0</v>
      </c>
      <c r="T21" s="104">
        <f t="shared" si="72"/>
        <v>0</v>
      </c>
      <c r="U21" s="104">
        <f t="shared" si="30"/>
        <v>0</v>
      </c>
      <c r="V21" s="104">
        <f t="shared" si="30"/>
        <v>9.9999999999999995E-8</v>
      </c>
      <c r="W21" s="104">
        <f t="shared" si="30"/>
        <v>0</v>
      </c>
      <c r="X21" s="104">
        <f t="shared" si="30"/>
        <v>0</v>
      </c>
      <c r="Y21" s="104">
        <f t="shared" si="30"/>
        <v>9.9999999999999995E-8</v>
      </c>
      <c r="Z21" s="104">
        <f t="shared" si="30"/>
        <v>9.9999999999999995E-8</v>
      </c>
      <c r="AA21" s="105">
        <f t="shared" si="30"/>
        <v>9.9999999999999995E-8</v>
      </c>
      <c r="AB21" s="101" t="e">
        <f>$DT21*HLOOKUP($J21,'Construction Costs (timber)'!$B$1:$V$32,'Construction Planner'!$L21+2,FALSE)</f>
        <v>#N/A</v>
      </c>
      <c r="AC21" s="14" t="e">
        <f>$DT21*HLOOKUP($J21,'Construction Costs (clay)'!$B$1:$V$32,'Construction Planner'!$L21+2,FALSE)</f>
        <v>#N/A</v>
      </c>
      <c r="AD21" s="14" t="e">
        <f>$DT21*HLOOKUP($J21,'Construction Costs (iron)'!$B$1:$V$32,'Construction Planner'!$L21+2,FALSE)</f>
        <v>#N/A</v>
      </c>
      <c r="AE21" s="34" t="e">
        <f t="shared" si="86"/>
        <v>#N/A</v>
      </c>
      <c r="AF21" s="33" t="e">
        <f t="shared" si="3"/>
        <v>#N/A</v>
      </c>
      <c r="AG21" s="14" t="e">
        <f t="shared" si="4"/>
        <v>#N/A</v>
      </c>
      <c r="AH21" s="14" t="e">
        <f t="shared" si="5"/>
        <v>#N/A</v>
      </c>
      <c r="AI21" s="34" t="e">
        <f t="shared" si="87"/>
        <v>#N/A</v>
      </c>
      <c r="AJ21" s="49" t="e">
        <f t="shared" si="31"/>
        <v>#N/A</v>
      </c>
      <c r="AK21" s="49" t="e">
        <f t="shared" si="32"/>
        <v>#N/A</v>
      </c>
      <c r="AL21" s="49" t="e">
        <f t="shared" si="33"/>
        <v>#N/A</v>
      </c>
      <c r="AM21" s="25">
        <f t="shared" si="6"/>
        <v>30</v>
      </c>
      <c r="AN21" s="25">
        <f t="shared" si="7"/>
        <v>30</v>
      </c>
      <c r="AO21" s="25">
        <f t="shared" si="8"/>
        <v>30</v>
      </c>
      <c r="AP21" s="52" t="e">
        <f t="shared" si="34"/>
        <v>#N/A</v>
      </c>
      <c r="AQ21" s="53" t="e">
        <f t="shared" si="9"/>
        <v>#N/A</v>
      </c>
      <c r="AR21" s="54" t="e">
        <f t="shared" si="9"/>
        <v>#N/A</v>
      </c>
      <c r="AS21" s="316">
        <f t="shared" si="88"/>
        <v>0</v>
      </c>
      <c r="AT21" s="106">
        <f>_xlfn.IFNA($M21/VLOOKUP($BT21,'Unit information'!$A$2:$K$29,2,FALSE)*R21,0)*(1+$E$9)</f>
        <v>0</v>
      </c>
      <c r="AU21" s="107">
        <f>_xlfn.IFNA($M21/VLOOKUP($BT21,'Unit information'!$A$2:$K$29,3,FALSE)*S21,0)*(1+$E$9)</f>
        <v>0</v>
      </c>
      <c r="AV21" s="107">
        <f>_xlfn.IFNA($M21/VLOOKUP($BT21,'Unit information'!$A$2:$K$29,4,FALSE)*T21,0)*(1+$E$9)</f>
        <v>0</v>
      </c>
      <c r="AW21" s="107">
        <f>_xlfn.IFNA($M21/VLOOKUP($BT21,'Unit information'!$A$2:$K$29,5,FALSE)*U21,0)*(1+$E$9)</f>
        <v>0</v>
      </c>
      <c r="AX21" s="107">
        <f>_xlfn.IFNA($M21/VLOOKUP($BU21,'Unit information'!$A$2:$K$29,6,FALSE)*V21,0)*(1+$E$9)</f>
        <v>0</v>
      </c>
      <c r="AY21" s="107">
        <f>_xlfn.IFNA($M21/VLOOKUP($BU21,'Unit information'!$A$2:$K$29,7,FALSE)*W21,0)*(1+$E$9)</f>
        <v>0</v>
      </c>
      <c r="AZ21" s="107">
        <f>_xlfn.IFNA($M21/VLOOKUP($BU21,'Unit information'!$A$2:$K$29,8,FALSE)*X21,0)*(1+$E$9)</f>
        <v>0</v>
      </c>
      <c r="BA21" s="107">
        <f>_xlfn.IFNA($M21/VLOOKUP($BU21,'Unit information'!$A$2:$K$29,9,FALSE)*Y21,0)*(1+$E$9)</f>
        <v>0</v>
      </c>
      <c r="BB21" s="107">
        <f>_xlfn.IFNA($M21/VLOOKUP($BV21,'Unit information'!$A$2:$K$29,10,FALSE)*Z21,0)*(1+$E$9)</f>
        <v>0</v>
      </c>
      <c r="BC21" s="108">
        <f>_xlfn.IFNA($M21/VLOOKUP($BV21,'Unit information'!$A$2:$K$29,11,FALSE)*AA21,0)*(1+$E$9)</f>
        <v>0</v>
      </c>
      <c r="BD21" s="106">
        <f t="shared" si="10"/>
        <v>0</v>
      </c>
      <c r="BE21" s="107">
        <f t="shared" si="11"/>
        <v>0</v>
      </c>
      <c r="BF21" s="108">
        <f t="shared" si="12"/>
        <v>0</v>
      </c>
      <c r="BG21" s="25" t="e">
        <f t="shared" si="13"/>
        <v>#N/A</v>
      </c>
      <c r="BH21" s="25" t="e">
        <f t="shared" si="14"/>
        <v>#N/A</v>
      </c>
      <c r="BI21" s="25" t="e">
        <f t="shared" si="15"/>
        <v>#N/A</v>
      </c>
      <c r="BJ21" s="27" t="e">
        <f t="shared" si="16"/>
        <v>#N/A</v>
      </c>
      <c r="BK21" s="18" t="e">
        <f t="shared" si="17"/>
        <v>#N/A</v>
      </c>
      <c r="BL21" s="18" t="e">
        <f t="shared" si="18"/>
        <v>#N/A</v>
      </c>
      <c r="BM21" s="28" t="e">
        <f t="shared" si="89"/>
        <v>#N/A</v>
      </c>
      <c r="BN21" s="33">
        <f>HLOOKUP("maximum population",Miscelaneous!$C$1:$C$33,CH21+3,FALSE)</f>
        <v>240</v>
      </c>
      <c r="BO21" s="14">
        <f t="shared" si="35"/>
        <v>32</v>
      </c>
      <c r="BP21" s="14">
        <f t="shared" si="36"/>
        <v>0</v>
      </c>
      <c r="BQ21" s="14">
        <f t="shared" si="37"/>
        <v>208</v>
      </c>
      <c r="BR21" s="34" t="e">
        <f>HLOOKUP(J21,Villagers!$B$1:$V$33,L21+3,FALSE)-HLOOKUP(J21,Villagers!$B$1:$V$33,L21+2,FALSE)</f>
        <v>#N/A</v>
      </c>
      <c r="BS21" s="49">
        <f t="shared" si="38"/>
        <v>1</v>
      </c>
      <c r="BT21" s="50">
        <f t="shared" si="39"/>
        <v>0</v>
      </c>
      <c r="BU21" s="50">
        <f t="shared" si="40"/>
        <v>0</v>
      </c>
      <c r="BV21" s="50">
        <f t="shared" si="41"/>
        <v>0</v>
      </c>
      <c r="BW21" s="50">
        <f t="shared" si="42"/>
        <v>0</v>
      </c>
      <c r="BX21" s="50">
        <f t="shared" si="43"/>
        <v>0</v>
      </c>
      <c r="BY21" s="50">
        <f t="shared" si="43"/>
        <v>0</v>
      </c>
      <c r="BZ21" s="50">
        <f t="shared" si="44"/>
        <v>0</v>
      </c>
      <c r="CA21" s="50">
        <f t="shared" si="45"/>
        <v>0</v>
      </c>
      <c r="CB21" s="50">
        <f t="shared" si="46"/>
        <v>1</v>
      </c>
      <c r="CC21" s="50">
        <f t="shared" si="47"/>
        <v>0</v>
      </c>
      <c r="CD21" s="50">
        <f t="shared" si="48"/>
        <v>0</v>
      </c>
      <c r="CE21" s="50">
        <f t="shared" si="49"/>
        <v>1</v>
      </c>
      <c r="CF21" s="50">
        <f t="shared" si="50"/>
        <v>1</v>
      </c>
      <c r="CG21" s="50">
        <f t="shared" si="51"/>
        <v>1</v>
      </c>
      <c r="CH21" s="50">
        <f t="shared" si="52"/>
        <v>1</v>
      </c>
      <c r="CI21" s="50">
        <f t="shared" si="53"/>
        <v>1</v>
      </c>
      <c r="CJ21" s="50">
        <f t="shared" si="54"/>
        <v>1</v>
      </c>
      <c r="CK21" s="50">
        <f t="shared" si="55"/>
        <v>0</v>
      </c>
      <c r="CL21" s="50">
        <f t="shared" si="54"/>
        <v>0</v>
      </c>
      <c r="CM21" s="51">
        <f t="shared" si="56"/>
        <v>0</v>
      </c>
      <c r="CN21" s="33">
        <f>ROUND(IF(BS21=0,0,HLOOKUP(BS$14,Villagers!$B$1:$V$33,BS21+3,FALSE)),)</f>
        <v>5</v>
      </c>
      <c r="CO21" s="14">
        <f>ROUND(IF(BT21=0,0,HLOOKUP(BT$14,Villagers!$B$1:$V$33,BT21+3,FALSE)),)</f>
        <v>0</v>
      </c>
      <c r="CP21" s="14">
        <f>ROUND(IF(BU21=0,0,HLOOKUP(BU$14,Villagers!$B$1:$V$33,BU21+3,FALSE)),)</f>
        <v>0</v>
      </c>
      <c r="CQ21" s="14">
        <f>ROUND(IF(BV21=0,0,HLOOKUP(BV$14,Villagers!$B$1:$V$33,BV21+3,FALSE)),)</f>
        <v>0</v>
      </c>
      <c r="CR21" s="14">
        <f>ROUND(IF(BW21=0,0,HLOOKUP(BW$14,Villagers!$B$1:$V$33,BW21+3,FALSE)),)</f>
        <v>0</v>
      </c>
      <c r="CS21" s="14">
        <f>ROUND(IF(BX21=0,0,HLOOKUP(BX$14,Villagers!$B$1:$V$33,BX21+3,FALSE)),)</f>
        <v>0</v>
      </c>
      <c r="CT21" s="14">
        <f>ROUND(IF(BY21=0,0,HLOOKUP(BY$14,Villagers!$B$1:$V$33,BY21+3,FALSE)),)</f>
        <v>0</v>
      </c>
      <c r="CU21" s="14">
        <f>ROUND(IF(BZ21=0,0,HLOOKUP(BZ$14,Villagers!$B$1:$V$33,BZ21+3,FALSE)),)</f>
        <v>0</v>
      </c>
      <c r="CV21" s="14">
        <f>ROUND(IF(CA21=0,0,HLOOKUP(CA$14,Villagers!$B$1:$V$33,CA21+3,FALSE)),)</f>
        <v>0</v>
      </c>
      <c r="CW21" s="14">
        <f>ROUND(IF(CB21=0,0,HLOOKUP(CB$14,Villagers!$B$1:$V$33,CB21+3,FALSE)),)</f>
        <v>0</v>
      </c>
      <c r="CX21" s="14">
        <f>ROUND(IF(CC21=0,0,HLOOKUP(CC$14,Villagers!$B$1:$V$33,CC21+3,FALSE)),)</f>
        <v>0</v>
      </c>
      <c r="CY21" s="14">
        <f>ROUND(IF(CD21=0,0,HLOOKUP(CD$14,Villagers!$B$1:$V$33,CD21+3,FALSE)),)</f>
        <v>0</v>
      </c>
      <c r="CZ21" s="14">
        <f>ROUND(IF(CE21=0,0,HLOOKUP(CE$14,Villagers!$B$1:$V$33,CE21+3,FALSE)),)</f>
        <v>5</v>
      </c>
      <c r="DA21" s="14">
        <f>ROUND(IF(CF21=0,0,HLOOKUP(CF$14,Villagers!$B$1:$V$33,CF21+3,FALSE)),)</f>
        <v>10</v>
      </c>
      <c r="DB21" s="14">
        <f>ROUND(IF(CG21=0,0,HLOOKUP(CG$14,Villagers!$B$1:$V$33,CG21+3,FALSE)),)</f>
        <v>10</v>
      </c>
      <c r="DC21" s="14">
        <f>ROUND(IF(CH21=0,0,HLOOKUP(CH$14,Villagers!$B$1:$V$33,CH21+3,FALSE)),)</f>
        <v>0</v>
      </c>
      <c r="DD21" s="14">
        <f>ROUND(IF(CI21=0,0,HLOOKUP(CI$14,Villagers!$B$1:$V$33,CI21+3,FALSE)),)</f>
        <v>0</v>
      </c>
      <c r="DE21" s="14">
        <f>ROUND(IF(CJ21=0,0,HLOOKUP(CJ$14,Villagers!$B$1:$V$33,CJ21+3,FALSE)),)</f>
        <v>2</v>
      </c>
      <c r="DF21" s="370">
        <f>ROUND(IF(CK21=0,0,HLOOKUP(CK$14,Villagers!$B$1:$V$33,CK21+3,FALSE)),)</f>
        <v>0</v>
      </c>
      <c r="DG21" s="370">
        <f>ROUND(IF(CL21=0,0,HLOOKUP(CL$14,Villagers!$B$1:$V$33,CL21+3,FALSE)),)</f>
        <v>0</v>
      </c>
      <c r="DH21" s="34">
        <f>ROUND(IF(CM21=0,0,HLOOKUP(CM$14,Villagers!$B$1:$V$33,CM21+3,FALSE)),)</f>
        <v>0</v>
      </c>
      <c r="DI21" s="109">
        <f t="shared" si="74"/>
        <v>0</v>
      </c>
      <c r="DJ21" s="50">
        <f t="shared" si="75"/>
        <v>0</v>
      </c>
      <c r="DK21" s="50">
        <f t="shared" si="76"/>
        <v>0</v>
      </c>
      <c r="DL21" s="50">
        <f t="shared" si="77"/>
        <v>0</v>
      </c>
      <c r="DM21" s="50">
        <f t="shared" si="78"/>
        <v>0</v>
      </c>
      <c r="DN21" s="50">
        <f t="shared" si="79"/>
        <v>0</v>
      </c>
      <c r="DO21" s="50">
        <f t="shared" si="80"/>
        <v>0</v>
      </c>
      <c r="DP21" s="50">
        <f t="shared" si="81"/>
        <v>0</v>
      </c>
      <c r="DQ21" s="50">
        <f t="shared" si="58"/>
        <v>0</v>
      </c>
      <c r="DR21" s="50">
        <f t="shared" si="59"/>
        <v>0</v>
      </c>
      <c r="DS21" s="96">
        <f>Miscelaneous!$D$4*Miscelaneous!$D$2^($CI21-1)</f>
        <v>1000</v>
      </c>
      <c r="DT21" s="333">
        <f t="shared" si="60"/>
        <v>1</v>
      </c>
      <c r="DU21" s="81">
        <v>1</v>
      </c>
      <c r="DV21" s="79">
        <f t="shared" si="61"/>
        <v>0</v>
      </c>
      <c r="DW21" s="79">
        <f t="shared" si="21"/>
        <v>0</v>
      </c>
      <c r="DX21" s="79">
        <f t="shared" si="62"/>
        <v>0</v>
      </c>
      <c r="DY21" s="79">
        <v>1</v>
      </c>
      <c r="DZ21" s="79">
        <f t="shared" si="22"/>
        <v>0</v>
      </c>
      <c r="EA21" s="79">
        <f t="shared" si="63"/>
        <v>0</v>
      </c>
      <c r="EB21" s="79">
        <f t="shared" si="64"/>
        <v>0</v>
      </c>
      <c r="EC21" s="79">
        <f t="shared" si="65"/>
        <v>0</v>
      </c>
      <c r="ED21" s="79">
        <v>1</v>
      </c>
      <c r="EE21" s="79">
        <v>1</v>
      </c>
      <c r="EF21" s="79">
        <f t="shared" si="66"/>
        <v>0</v>
      </c>
      <c r="EG21" s="79">
        <v>1</v>
      </c>
      <c r="EH21" s="79">
        <v>1</v>
      </c>
      <c r="EI21" s="79">
        <v>1</v>
      </c>
      <c r="EJ21" s="79">
        <v>1</v>
      </c>
      <c r="EK21" s="79">
        <v>1</v>
      </c>
      <c r="EL21" s="79">
        <v>1</v>
      </c>
      <c r="EM21" s="143">
        <f t="shared" si="67"/>
        <v>0</v>
      </c>
      <c r="EN21" s="143">
        <f t="shared" si="68"/>
        <v>0</v>
      </c>
      <c r="EO21" s="82">
        <f t="shared" si="69"/>
        <v>0</v>
      </c>
    </row>
    <row r="22" spans="1:145" x14ac:dyDescent="0.25">
      <c r="A22">
        <v>8</v>
      </c>
      <c r="B22" s="172" t="e">
        <f t="shared" si="23"/>
        <v>#N/A</v>
      </c>
      <c r="C22" s="121" t="e">
        <f t="shared" ref="C22:E22" si="91">AJ22-SUM(AB22:AB26)</f>
        <v>#N/A</v>
      </c>
      <c r="D22" s="122" t="e">
        <f t="shared" si="91"/>
        <v>#N/A</v>
      </c>
      <c r="E22" s="122" t="e">
        <f t="shared" si="91"/>
        <v>#N/A</v>
      </c>
      <c r="F22" s="176" t="e">
        <f t="shared" si="0"/>
        <v>#N/A</v>
      </c>
      <c r="G22" s="121">
        <f t="shared" si="25"/>
        <v>208</v>
      </c>
      <c r="H22" s="176" t="e">
        <f t="shared" si="26"/>
        <v>#N/A</v>
      </c>
      <c r="I22" s="48">
        <v>1</v>
      </c>
      <c r="J22" s="39"/>
      <c r="K22" s="350">
        <v>1</v>
      </c>
      <c r="L22" s="34" t="e">
        <f t="shared" si="1"/>
        <v>#N/A</v>
      </c>
      <c r="M22" s="38" t="e">
        <f>(HLOOKUP(J22,'Construction Times'!$B$3:$W$34,L22+2,FALSE)*HLOOKUP("hq modifier",'Construction Times'!$W$3:$W$34,BS22+2,FALSE))*(1-$H$9)</f>
        <v>#N/A</v>
      </c>
      <c r="N22" s="426" t="e">
        <f t="shared" si="27"/>
        <v>#N/A</v>
      </c>
      <c r="O22" s="427"/>
      <c r="P22" s="430" t="e">
        <f t="shared" si="28"/>
        <v>#N/A</v>
      </c>
      <c r="Q22" s="431"/>
      <c r="R22" s="103">
        <f t="shared" si="71"/>
        <v>0</v>
      </c>
      <c r="S22" s="104">
        <f t="shared" si="71"/>
        <v>0</v>
      </c>
      <c r="T22" s="104">
        <f t="shared" si="72"/>
        <v>0</v>
      </c>
      <c r="U22" s="104">
        <f t="shared" si="30"/>
        <v>0</v>
      </c>
      <c r="V22" s="104">
        <f t="shared" si="30"/>
        <v>9.9999999999999995E-8</v>
      </c>
      <c r="W22" s="104">
        <f t="shared" si="30"/>
        <v>0</v>
      </c>
      <c r="X22" s="104">
        <f t="shared" si="30"/>
        <v>0</v>
      </c>
      <c r="Y22" s="104">
        <f t="shared" si="30"/>
        <v>9.9999999999999995E-8</v>
      </c>
      <c r="Z22" s="104">
        <f t="shared" si="30"/>
        <v>9.9999999999999995E-8</v>
      </c>
      <c r="AA22" s="105">
        <f t="shared" si="30"/>
        <v>9.9999999999999995E-8</v>
      </c>
      <c r="AB22" s="101" t="e">
        <f>$DT22*HLOOKUP($J22,'Construction Costs (timber)'!$B$1:$V$32,'Construction Planner'!$L22+2,FALSE)</f>
        <v>#N/A</v>
      </c>
      <c r="AC22" s="14" t="e">
        <f>$DT22*HLOOKUP($J22,'Construction Costs (clay)'!$B$1:$V$32,'Construction Planner'!$L22+2,FALSE)</f>
        <v>#N/A</v>
      </c>
      <c r="AD22" s="14" t="e">
        <f>$DT22*HLOOKUP($J22,'Construction Costs (iron)'!$B$1:$V$32,'Construction Planner'!$L22+2,FALSE)</f>
        <v>#N/A</v>
      </c>
      <c r="AE22" s="34" t="e">
        <f t="shared" si="86"/>
        <v>#N/A</v>
      </c>
      <c r="AF22" s="33" t="e">
        <f t="shared" si="3"/>
        <v>#N/A</v>
      </c>
      <c r="AG22" s="14" t="e">
        <f t="shared" si="4"/>
        <v>#N/A</v>
      </c>
      <c r="AH22" s="14" t="e">
        <f t="shared" si="5"/>
        <v>#N/A</v>
      </c>
      <c r="AI22" s="34" t="e">
        <f t="shared" si="87"/>
        <v>#N/A</v>
      </c>
      <c r="AJ22" s="49" t="e">
        <f t="shared" si="31"/>
        <v>#N/A</v>
      </c>
      <c r="AK22" s="49" t="e">
        <f t="shared" si="32"/>
        <v>#N/A</v>
      </c>
      <c r="AL22" s="49" t="e">
        <f t="shared" si="33"/>
        <v>#N/A</v>
      </c>
      <c r="AM22" s="25">
        <f t="shared" si="6"/>
        <v>30</v>
      </c>
      <c r="AN22" s="25">
        <f t="shared" si="7"/>
        <v>30</v>
      </c>
      <c r="AO22" s="25">
        <f t="shared" si="8"/>
        <v>30</v>
      </c>
      <c r="AP22" s="52" t="e">
        <f t="shared" si="34"/>
        <v>#N/A</v>
      </c>
      <c r="AQ22" s="53" t="e">
        <f t="shared" si="9"/>
        <v>#N/A</v>
      </c>
      <c r="AR22" s="54" t="e">
        <f t="shared" si="9"/>
        <v>#N/A</v>
      </c>
      <c r="AS22" s="316">
        <f t="shared" si="88"/>
        <v>0</v>
      </c>
      <c r="AT22" s="106">
        <f>_xlfn.IFNA($M22/VLOOKUP($BT22,'Unit information'!$A$2:$K$29,2,FALSE)*R22,0)*(1+$E$9)</f>
        <v>0</v>
      </c>
      <c r="AU22" s="107">
        <f>_xlfn.IFNA($M22/VLOOKUP($BT22,'Unit information'!$A$2:$K$29,3,FALSE)*S22,0)*(1+$E$9)</f>
        <v>0</v>
      </c>
      <c r="AV22" s="107">
        <f>_xlfn.IFNA($M22/VLOOKUP($BT22,'Unit information'!$A$2:$K$29,4,FALSE)*T22,0)*(1+$E$9)</f>
        <v>0</v>
      </c>
      <c r="AW22" s="107">
        <f>_xlfn.IFNA($M22/VLOOKUP($BT22,'Unit information'!$A$2:$K$29,5,FALSE)*U22,0)*(1+$E$9)</f>
        <v>0</v>
      </c>
      <c r="AX22" s="107">
        <f>_xlfn.IFNA($M22/VLOOKUP($BU22,'Unit information'!$A$2:$K$29,6,FALSE)*V22,0)*(1+$E$9)</f>
        <v>0</v>
      </c>
      <c r="AY22" s="107">
        <f>_xlfn.IFNA($M22/VLOOKUP($BU22,'Unit information'!$A$2:$K$29,7,FALSE)*W22,0)*(1+$E$9)</f>
        <v>0</v>
      </c>
      <c r="AZ22" s="107">
        <f>_xlfn.IFNA($M22/VLOOKUP($BU22,'Unit information'!$A$2:$K$29,8,FALSE)*X22,0)*(1+$E$9)</f>
        <v>0</v>
      </c>
      <c r="BA22" s="107">
        <f>_xlfn.IFNA($M22/VLOOKUP($BU22,'Unit information'!$A$2:$K$29,9,FALSE)*Y22,0)*(1+$E$9)</f>
        <v>0</v>
      </c>
      <c r="BB22" s="107">
        <f>_xlfn.IFNA($M22/VLOOKUP($BV22,'Unit information'!$A$2:$K$29,10,FALSE)*Z22,0)*(1+$E$9)</f>
        <v>0</v>
      </c>
      <c r="BC22" s="108">
        <f>_xlfn.IFNA($M22/VLOOKUP($BV22,'Unit information'!$A$2:$K$29,11,FALSE)*AA22,0)*(1+$E$9)</f>
        <v>0</v>
      </c>
      <c r="BD22" s="106">
        <f t="shared" si="10"/>
        <v>0</v>
      </c>
      <c r="BE22" s="107">
        <f t="shared" si="11"/>
        <v>0</v>
      </c>
      <c r="BF22" s="108">
        <f t="shared" si="12"/>
        <v>0</v>
      </c>
      <c r="BG22" s="25" t="e">
        <f t="shared" si="13"/>
        <v>#N/A</v>
      </c>
      <c r="BH22" s="25" t="e">
        <f t="shared" si="14"/>
        <v>#N/A</v>
      </c>
      <c r="BI22" s="25" t="e">
        <f t="shared" si="15"/>
        <v>#N/A</v>
      </c>
      <c r="BJ22" s="27" t="e">
        <f t="shared" si="16"/>
        <v>#N/A</v>
      </c>
      <c r="BK22" s="18" t="e">
        <f t="shared" si="17"/>
        <v>#N/A</v>
      </c>
      <c r="BL22" s="18" t="e">
        <f t="shared" si="18"/>
        <v>#N/A</v>
      </c>
      <c r="BM22" s="28" t="e">
        <f t="shared" si="89"/>
        <v>#N/A</v>
      </c>
      <c r="BN22" s="33">
        <f>HLOOKUP("maximum population",Miscelaneous!$C$1:$C$33,CH22+3,FALSE)</f>
        <v>240</v>
      </c>
      <c r="BO22" s="14">
        <f t="shared" si="35"/>
        <v>32</v>
      </c>
      <c r="BP22" s="14">
        <f t="shared" si="36"/>
        <v>0</v>
      </c>
      <c r="BQ22" s="14">
        <f t="shared" si="37"/>
        <v>208</v>
      </c>
      <c r="BR22" s="34" t="e">
        <f>HLOOKUP(J22,Villagers!$B$1:$V$33,L22+3,FALSE)-HLOOKUP(J22,Villagers!$B$1:$V$33,L22+2,FALSE)</f>
        <v>#N/A</v>
      </c>
      <c r="BS22" s="49">
        <f t="shared" si="38"/>
        <v>1</v>
      </c>
      <c r="BT22" s="50">
        <f t="shared" si="39"/>
        <v>0</v>
      </c>
      <c r="BU22" s="50">
        <f t="shared" si="40"/>
        <v>0</v>
      </c>
      <c r="BV22" s="50">
        <f t="shared" si="41"/>
        <v>0</v>
      </c>
      <c r="BW22" s="50">
        <f t="shared" si="42"/>
        <v>0</v>
      </c>
      <c r="BX22" s="50">
        <f t="shared" si="43"/>
        <v>0</v>
      </c>
      <c r="BY22" s="50">
        <f t="shared" si="43"/>
        <v>0</v>
      </c>
      <c r="BZ22" s="50">
        <f t="shared" si="44"/>
        <v>0</v>
      </c>
      <c r="CA22" s="50">
        <f t="shared" si="45"/>
        <v>0</v>
      </c>
      <c r="CB22" s="50">
        <f t="shared" si="46"/>
        <v>1</v>
      </c>
      <c r="CC22" s="50">
        <f t="shared" si="47"/>
        <v>0</v>
      </c>
      <c r="CD22" s="50">
        <f t="shared" si="48"/>
        <v>0</v>
      </c>
      <c r="CE22" s="50">
        <f t="shared" si="49"/>
        <v>1</v>
      </c>
      <c r="CF22" s="50">
        <f t="shared" si="50"/>
        <v>1</v>
      </c>
      <c r="CG22" s="50">
        <f t="shared" si="51"/>
        <v>1</v>
      </c>
      <c r="CH22" s="50">
        <f t="shared" si="52"/>
        <v>1</v>
      </c>
      <c r="CI22" s="50">
        <f t="shared" si="53"/>
        <v>1</v>
      </c>
      <c r="CJ22" s="50">
        <f t="shared" si="54"/>
        <v>1</v>
      </c>
      <c r="CK22" s="50">
        <f t="shared" si="55"/>
        <v>0</v>
      </c>
      <c r="CL22" s="50">
        <f t="shared" si="54"/>
        <v>0</v>
      </c>
      <c r="CM22" s="51">
        <f t="shared" si="56"/>
        <v>0</v>
      </c>
      <c r="CN22" s="33">
        <f>ROUND(IF(BS22=0,0,HLOOKUP(BS$14,Villagers!$B$1:$V$33,BS22+3,FALSE)),)</f>
        <v>5</v>
      </c>
      <c r="CO22" s="14">
        <f>ROUND(IF(BT22=0,0,HLOOKUP(BT$14,Villagers!$B$1:$V$33,BT22+3,FALSE)),)</f>
        <v>0</v>
      </c>
      <c r="CP22" s="14">
        <f>ROUND(IF(BU22=0,0,HLOOKUP(BU$14,Villagers!$B$1:$V$33,BU22+3,FALSE)),)</f>
        <v>0</v>
      </c>
      <c r="CQ22" s="14">
        <f>ROUND(IF(BV22=0,0,HLOOKUP(BV$14,Villagers!$B$1:$V$33,BV22+3,FALSE)),)</f>
        <v>0</v>
      </c>
      <c r="CR22" s="14">
        <f>ROUND(IF(BW22=0,0,HLOOKUP(BW$14,Villagers!$B$1:$V$33,BW22+3,FALSE)),)</f>
        <v>0</v>
      </c>
      <c r="CS22" s="14">
        <f>ROUND(IF(BX22=0,0,HLOOKUP(BX$14,Villagers!$B$1:$V$33,BX22+3,FALSE)),)</f>
        <v>0</v>
      </c>
      <c r="CT22" s="14">
        <f>ROUND(IF(BY22=0,0,HLOOKUP(BY$14,Villagers!$B$1:$V$33,BY22+3,FALSE)),)</f>
        <v>0</v>
      </c>
      <c r="CU22" s="14">
        <f>ROUND(IF(BZ22=0,0,HLOOKUP(BZ$14,Villagers!$B$1:$V$33,BZ22+3,FALSE)),)</f>
        <v>0</v>
      </c>
      <c r="CV22" s="14">
        <f>ROUND(IF(CA22=0,0,HLOOKUP(CA$14,Villagers!$B$1:$V$33,CA22+3,FALSE)),)</f>
        <v>0</v>
      </c>
      <c r="CW22" s="14">
        <f>ROUND(IF(CB22=0,0,HLOOKUP(CB$14,Villagers!$B$1:$V$33,CB22+3,FALSE)),)</f>
        <v>0</v>
      </c>
      <c r="CX22" s="14">
        <f>ROUND(IF(CC22=0,0,HLOOKUP(CC$14,Villagers!$B$1:$V$33,CC22+3,FALSE)),)</f>
        <v>0</v>
      </c>
      <c r="CY22" s="14">
        <f>ROUND(IF(CD22=0,0,HLOOKUP(CD$14,Villagers!$B$1:$V$33,CD22+3,FALSE)),)</f>
        <v>0</v>
      </c>
      <c r="CZ22" s="14">
        <f>ROUND(IF(CE22=0,0,HLOOKUP(CE$14,Villagers!$B$1:$V$33,CE22+3,FALSE)),)</f>
        <v>5</v>
      </c>
      <c r="DA22" s="14">
        <f>ROUND(IF(CF22=0,0,HLOOKUP(CF$14,Villagers!$B$1:$V$33,CF22+3,FALSE)),)</f>
        <v>10</v>
      </c>
      <c r="DB22" s="14">
        <f>ROUND(IF(CG22=0,0,HLOOKUP(CG$14,Villagers!$B$1:$V$33,CG22+3,FALSE)),)</f>
        <v>10</v>
      </c>
      <c r="DC22" s="14">
        <f>ROUND(IF(CH22=0,0,HLOOKUP(CH$14,Villagers!$B$1:$V$33,CH22+3,FALSE)),)</f>
        <v>0</v>
      </c>
      <c r="DD22" s="14">
        <f>ROUND(IF(CI22=0,0,HLOOKUP(CI$14,Villagers!$B$1:$V$33,CI22+3,FALSE)),)</f>
        <v>0</v>
      </c>
      <c r="DE22" s="14">
        <f>ROUND(IF(CJ22=0,0,HLOOKUP(CJ$14,Villagers!$B$1:$V$33,CJ22+3,FALSE)),)</f>
        <v>2</v>
      </c>
      <c r="DF22" s="370">
        <f>ROUND(IF(CK22=0,0,HLOOKUP(CK$14,Villagers!$B$1:$V$33,CK22+3,FALSE)),)</f>
        <v>0</v>
      </c>
      <c r="DG22" s="370">
        <f>ROUND(IF(CL22=0,0,HLOOKUP(CL$14,Villagers!$B$1:$V$33,CL22+3,FALSE)),)</f>
        <v>0</v>
      </c>
      <c r="DH22" s="34">
        <f>ROUND(IF(CM22=0,0,HLOOKUP(CM$14,Villagers!$B$1:$V$33,CM22+3,FALSE)),)</f>
        <v>0</v>
      </c>
      <c r="DI22" s="109">
        <f t="shared" si="74"/>
        <v>0</v>
      </c>
      <c r="DJ22" s="50">
        <f t="shared" si="75"/>
        <v>0</v>
      </c>
      <c r="DK22" s="50">
        <f t="shared" si="76"/>
        <v>0</v>
      </c>
      <c r="DL22" s="50">
        <f t="shared" si="77"/>
        <v>0</v>
      </c>
      <c r="DM22" s="50">
        <f t="shared" si="78"/>
        <v>0</v>
      </c>
      <c r="DN22" s="50">
        <f t="shared" si="79"/>
        <v>0</v>
      </c>
      <c r="DO22" s="50">
        <f t="shared" si="80"/>
        <v>0</v>
      </c>
      <c r="DP22" s="50">
        <f t="shared" si="81"/>
        <v>0</v>
      </c>
      <c r="DQ22" s="50">
        <f t="shared" si="58"/>
        <v>0</v>
      </c>
      <c r="DR22" s="50">
        <f t="shared" si="59"/>
        <v>0</v>
      </c>
      <c r="DS22" s="96">
        <f>Miscelaneous!$D$4*Miscelaneous!$D$2^($CI22-1)</f>
        <v>1000</v>
      </c>
      <c r="DT22" s="333">
        <f t="shared" si="60"/>
        <v>1</v>
      </c>
      <c r="DU22" s="81">
        <v>1</v>
      </c>
      <c r="DV22" s="79">
        <f t="shared" si="61"/>
        <v>0</v>
      </c>
      <c r="DW22" s="79">
        <f t="shared" si="21"/>
        <v>0</v>
      </c>
      <c r="DX22" s="79">
        <f t="shared" si="62"/>
        <v>0</v>
      </c>
      <c r="DY22" s="79">
        <v>1</v>
      </c>
      <c r="DZ22" s="79">
        <f t="shared" si="22"/>
        <v>0</v>
      </c>
      <c r="EA22" s="79">
        <f t="shared" si="63"/>
        <v>0</v>
      </c>
      <c r="EB22" s="79">
        <f t="shared" si="64"/>
        <v>0</v>
      </c>
      <c r="EC22" s="79">
        <f t="shared" si="65"/>
        <v>0</v>
      </c>
      <c r="ED22" s="79">
        <v>1</v>
      </c>
      <c r="EE22" s="79">
        <v>1</v>
      </c>
      <c r="EF22" s="79">
        <f t="shared" si="66"/>
        <v>0</v>
      </c>
      <c r="EG22" s="79">
        <v>1</v>
      </c>
      <c r="EH22" s="79">
        <v>1</v>
      </c>
      <c r="EI22" s="79">
        <v>1</v>
      </c>
      <c r="EJ22" s="79">
        <v>1</v>
      </c>
      <c r="EK22" s="79">
        <v>1</v>
      </c>
      <c r="EL22" s="79">
        <v>1</v>
      </c>
      <c r="EM22" s="143">
        <f t="shared" si="67"/>
        <v>0</v>
      </c>
      <c r="EN22" s="143">
        <f t="shared" si="68"/>
        <v>0</v>
      </c>
      <c r="EO22" s="82">
        <f t="shared" si="69"/>
        <v>0</v>
      </c>
    </row>
    <row r="23" spans="1:145" x14ac:dyDescent="0.25">
      <c r="A23">
        <v>9</v>
      </c>
      <c r="B23" s="172" t="e">
        <f t="shared" si="23"/>
        <v>#N/A</v>
      </c>
      <c r="C23" s="121" t="e">
        <f t="shared" ref="C23:E23" si="92">AJ23-SUM(AB23:AB27)</f>
        <v>#N/A</v>
      </c>
      <c r="D23" s="122" t="e">
        <f t="shared" si="92"/>
        <v>#N/A</v>
      </c>
      <c r="E23" s="122" t="e">
        <f t="shared" si="92"/>
        <v>#N/A</v>
      </c>
      <c r="F23" s="176" t="e">
        <f t="shared" si="0"/>
        <v>#N/A</v>
      </c>
      <c r="G23" s="121">
        <f t="shared" si="25"/>
        <v>208</v>
      </c>
      <c r="H23" s="176" t="e">
        <f t="shared" si="26"/>
        <v>#N/A</v>
      </c>
      <c r="I23" s="48">
        <v>1</v>
      </c>
      <c r="J23" s="39"/>
      <c r="K23" s="350">
        <v>1</v>
      </c>
      <c r="L23" s="34" t="e">
        <f t="shared" si="1"/>
        <v>#N/A</v>
      </c>
      <c r="M23" s="38" t="e">
        <f>(HLOOKUP(J23,'Construction Times'!$B$3:$W$34,L23+2,FALSE)*HLOOKUP("hq modifier",'Construction Times'!$W$3:$W$34,BS23+2,FALSE))*(1-$H$9)</f>
        <v>#N/A</v>
      </c>
      <c r="N23" s="426" t="e">
        <f t="shared" si="27"/>
        <v>#N/A</v>
      </c>
      <c r="O23" s="427"/>
      <c r="P23" s="430" t="e">
        <f t="shared" si="28"/>
        <v>#N/A</v>
      </c>
      <c r="Q23" s="431"/>
      <c r="R23" s="103">
        <f t="shared" si="71"/>
        <v>0</v>
      </c>
      <c r="S23" s="104">
        <f t="shared" si="71"/>
        <v>0</v>
      </c>
      <c r="T23" s="104">
        <f t="shared" si="72"/>
        <v>0</v>
      </c>
      <c r="U23" s="104">
        <f t="shared" si="30"/>
        <v>0</v>
      </c>
      <c r="V23" s="104">
        <f t="shared" si="30"/>
        <v>9.9999999999999995E-8</v>
      </c>
      <c r="W23" s="104">
        <f t="shared" si="30"/>
        <v>0</v>
      </c>
      <c r="X23" s="104">
        <f t="shared" si="30"/>
        <v>0</v>
      </c>
      <c r="Y23" s="104">
        <f t="shared" si="30"/>
        <v>9.9999999999999995E-8</v>
      </c>
      <c r="Z23" s="104">
        <f t="shared" si="30"/>
        <v>9.9999999999999995E-8</v>
      </c>
      <c r="AA23" s="105">
        <f t="shared" si="30"/>
        <v>9.9999999999999995E-8</v>
      </c>
      <c r="AB23" s="101" t="e">
        <f>$DT23*HLOOKUP($J23,'Construction Costs (timber)'!$B$1:$V$32,'Construction Planner'!$L23+2,FALSE)</f>
        <v>#N/A</v>
      </c>
      <c r="AC23" s="14" t="e">
        <f>$DT23*HLOOKUP($J23,'Construction Costs (clay)'!$B$1:$V$32,'Construction Planner'!$L23+2,FALSE)</f>
        <v>#N/A</v>
      </c>
      <c r="AD23" s="14" t="e">
        <f>$DT23*HLOOKUP($J23,'Construction Costs (iron)'!$B$1:$V$32,'Construction Planner'!$L23+2,FALSE)</f>
        <v>#N/A</v>
      </c>
      <c r="AE23" s="34" t="e">
        <f t="shared" si="86"/>
        <v>#N/A</v>
      </c>
      <c r="AF23" s="33" t="e">
        <f t="shared" si="3"/>
        <v>#N/A</v>
      </c>
      <c r="AG23" s="14" t="e">
        <f t="shared" si="4"/>
        <v>#N/A</v>
      </c>
      <c r="AH23" s="14" t="e">
        <f t="shared" si="5"/>
        <v>#N/A</v>
      </c>
      <c r="AI23" s="34" t="e">
        <f t="shared" si="87"/>
        <v>#N/A</v>
      </c>
      <c r="AJ23" s="49" t="e">
        <f t="shared" si="31"/>
        <v>#N/A</v>
      </c>
      <c r="AK23" s="49" t="e">
        <f t="shared" si="32"/>
        <v>#N/A</v>
      </c>
      <c r="AL23" s="49" t="e">
        <f t="shared" si="33"/>
        <v>#N/A</v>
      </c>
      <c r="AM23" s="25">
        <f t="shared" si="6"/>
        <v>30</v>
      </c>
      <c r="AN23" s="25">
        <f t="shared" si="7"/>
        <v>30</v>
      </c>
      <c r="AO23" s="25">
        <f t="shared" si="8"/>
        <v>30</v>
      </c>
      <c r="AP23" s="52" t="e">
        <f t="shared" si="34"/>
        <v>#N/A</v>
      </c>
      <c r="AQ23" s="53" t="e">
        <f t="shared" si="9"/>
        <v>#N/A</v>
      </c>
      <c r="AR23" s="54" t="e">
        <f t="shared" si="9"/>
        <v>#N/A</v>
      </c>
      <c r="AS23" s="316">
        <f t="shared" si="88"/>
        <v>0</v>
      </c>
      <c r="AT23" s="106">
        <f>_xlfn.IFNA($M23/VLOOKUP($BT23,'Unit information'!$A$2:$K$29,2,FALSE)*R23,0)*(1+$E$9)</f>
        <v>0</v>
      </c>
      <c r="AU23" s="107">
        <f>_xlfn.IFNA($M23/VLOOKUP($BT23,'Unit information'!$A$2:$K$29,3,FALSE)*S23,0)*(1+$E$9)</f>
        <v>0</v>
      </c>
      <c r="AV23" s="107">
        <f>_xlfn.IFNA($M23/VLOOKUP($BT23,'Unit information'!$A$2:$K$29,4,FALSE)*T23,0)*(1+$E$9)</f>
        <v>0</v>
      </c>
      <c r="AW23" s="107">
        <f>_xlfn.IFNA($M23/VLOOKUP($BT23,'Unit information'!$A$2:$K$29,5,FALSE)*U23,0)*(1+$E$9)</f>
        <v>0</v>
      </c>
      <c r="AX23" s="107">
        <f>_xlfn.IFNA($M23/VLOOKUP($BU23,'Unit information'!$A$2:$K$29,6,FALSE)*V23,0)*(1+$E$9)</f>
        <v>0</v>
      </c>
      <c r="AY23" s="107">
        <f>_xlfn.IFNA($M23/VLOOKUP($BU23,'Unit information'!$A$2:$K$29,7,FALSE)*W23,0)*(1+$E$9)</f>
        <v>0</v>
      </c>
      <c r="AZ23" s="107">
        <f>_xlfn.IFNA($M23/VLOOKUP($BU23,'Unit information'!$A$2:$K$29,8,FALSE)*X23,0)*(1+$E$9)</f>
        <v>0</v>
      </c>
      <c r="BA23" s="107">
        <f>_xlfn.IFNA($M23/VLOOKUP($BU23,'Unit information'!$A$2:$K$29,9,FALSE)*Y23,0)*(1+$E$9)</f>
        <v>0</v>
      </c>
      <c r="BB23" s="107">
        <f>_xlfn.IFNA($M23/VLOOKUP($BV23,'Unit information'!$A$2:$K$29,10,FALSE)*Z23,0)*(1+$E$9)</f>
        <v>0</v>
      </c>
      <c r="BC23" s="108">
        <f>_xlfn.IFNA($M23/VLOOKUP($BV23,'Unit information'!$A$2:$K$29,11,FALSE)*AA23,0)*(1+$E$9)</f>
        <v>0</v>
      </c>
      <c r="BD23" s="106">
        <f t="shared" si="10"/>
        <v>0</v>
      </c>
      <c r="BE23" s="107">
        <f t="shared" si="11"/>
        <v>0</v>
      </c>
      <c r="BF23" s="108">
        <f t="shared" si="12"/>
        <v>0</v>
      </c>
      <c r="BG23" s="25" t="e">
        <f t="shared" si="13"/>
        <v>#N/A</v>
      </c>
      <c r="BH23" s="25" t="e">
        <f t="shared" si="14"/>
        <v>#N/A</v>
      </c>
      <c r="BI23" s="25" t="e">
        <f t="shared" si="15"/>
        <v>#N/A</v>
      </c>
      <c r="BJ23" s="27" t="e">
        <f t="shared" si="16"/>
        <v>#N/A</v>
      </c>
      <c r="BK23" s="18" t="e">
        <f t="shared" si="17"/>
        <v>#N/A</v>
      </c>
      <c r="BL23" s="18" t="e">
        <f t="shared" si="18"/>
        <v>#N/A</v>
      </c>
      <c r="BM23" s="28" t="e">
        <f t="shared" si="89"/>
        <v>#N/A</v>
      </c>
      <c r="BN23" s="33">
        <f>HLOOKUP("maximum population",Miscelaneous!$C$1:$C$33,CH23+3,FALSE)</f>
        <v>240</v>
      </c>
      <c r="BO23" s="14">
        <f t="shared" si="35"/>
        <v>32</v>
      </c>
      <c r="BP23" s="14">
        <f t="shared" si="36"/>
        <v>0</v>
      </c>
      <c r="BQ23" s="14">
        <f t="shared" si="37"/>
        <v>208</v>
      </c>
      <c r="BR23" s="34" t="e">
        <f>HLOOKUP(J23,Villagers!$B$1:$V$33,L23+3,FALSE)-HLOOKUP(J23,Villagers!$B$1:$V$33,L23+2,FALSE)</f>
        <v>#N/A</v>
      </c>
      <c r="BS23" s="49">
        <f t="shared" si="38"/>
        <v>1</v>
      </c>
      <c r="BT23" s="50">
        <f t="shared" si="39"/>
        <v>0</v>
      </c>
      <c r="BU23" s="50">
        <f t="shared" si="40"/>
        <v>0</v>
      </c>
      <c r="BV23" s="50">
        <f t="shared" si="41"/>
        <v>0</v>
      </c>
      <c r="BW23" s="50">
        <f t="shared" si="42"/>
        <v>0</v>
      </c>
      <c r="BX23" s="50">
        <f t="shared" si="43"/>
        <v>0</v>
      </c>
      <c r="BY23" s="50">
        <f t="shared" si="43"/>
        <v>0</v>
      </c>
      <c r="BZ23" s="50">
        <f t="shared" si="44"/>
        <v>0</v>
      </c>
      <c r="CA23" s="50">
        <f t="shared" si="45"/>
        <v>0</v>
      </c>
      <c r="CB23" s="50">
        <f t="shared" si="46"/>
        <v>1</v>
      </c>
      <c r="CC23" s="50">
        <f t="shared" si="47"/>
        <v>0</v>
      </c>
      <c r="CD23" s="50">
        <f t="shared" si="48"/>
        <v>0</v>
      </c>
      <c r="CE23" s="50">
        <f t="shared" si="49"/>
        <v>1</v>
      </c>
      <c r="CF23" s="50">
        <f t="shared" si="50"/>
        <v>1</v>
      </c>
      <c r="CG23" s="50">
        <f t="shared" si="51"/>
        <v>1</v>
      </c>
      <c r="CH23" s="50">
        <f t="shared" si="52"/>
        <v>1</v>
      </c>
      <c r="CI23" s="50">
        <f t="shared" si="53"/>
        <v>1</v>
      </c>
      <c r="CJ23" s="50">
        <f t="shared" si="54"/>
        <v>1</v>
      </c>
      <c r="CK23" s="50">
        <f t="shared" si="55"/>
        <v>0</v>
      </c>
      <c r="CL23" s="50">
        <f t="shared" si="54"/>
        <v>0</v>
      </c>
      <c r="CM23" s="51">
        <f t="shared" si="56"/>
        <v>0</v>
      </c>
      <c r="CN23" s="33">
        <f>ROUND(IF(BS23=0,0,HLOOKUP(BS$14,Villagers!$B$1:$V$33,BS23+3,FALSE)),)</f>
        <v>5</v>
      </c>
      <c r="CO23" s="14">
        <f>ROUND(IF(BT23=0,0,HLOOKUP(BT$14,Villagers!$B$1:$V$33,BT23+3,FALSE)),)</f>
        <v>0</v>
      </c>
      <c r="CP23" s="14">
        <f>ROUND(IF(BU23=0,0,HLOOKUP(BU$14,Villagers!$B$1:$V$33,BU23+3,FALSE)),)</f>
        <v>0</v>
      </c>
      <c r="CQ23" s="14">
        <f>ROUND(IF(BV23=0,0,HLOOKUP(BV$14,Villagers!$B$1:$V$33,BV23+3,FALSE)),)</f>
        <v>0</v>
      </c>
      <c r="CR23" s="14">
        <f>ROUND(IF(BW23=0,0,HLOOKUP(BW$14,Villagers!$B$1:$V$33,BW23+3,FALSE)),)</f>
        <v>0</v>
      </c>
      <c r="CS23" s="14">
        <f>ROUND(IF(BX23=0,0,HLOOKUP(BX$14,Villagers!$B$1:$V$33,BX23+3,FALSE)),)</f>
        <v>0</v>
      </c>
      <c r="CT23" s="14">
        <f>ROUND(IF(BY23=0,0,HLOOKUP(BY$14,Villagers!$B$1:$V$33,BY23+3,FALSE)),)</f>
        <v>0</v>
      </c>
      <c r="CU23" s="14">
        <f>ROUND(IF(BZ23=0,0,HLOOKUP(BZ$14,Villagers!$B$1:$V$33,BZ23+3,FALSE)),)</f>
        <v>0</v>
      </c>
      <c r="CV23" s="14">
        <f>ROUND(IF(CA23=0,0,HLOOKUP(CA$14,Villagers!$B$1:$V$33,CA23+3,FALSE)),)</f>
        <v>0</v>
      </c>
      <c r="CW23" s="14">
        <f>ROUND(IF(CB23=0,0,HLOOKUP(CB$14,Villagers!$B$1:$V$33,CB23+3,FALSE)),)</f>
        <v>0</v>
      </c>
      <c r="CX23" s="14">
        <f>ROUND(IF(CC23=0,0,HLOOKUP(CC$14,Villagers!$B$1:$V$33,CC23+3,FALSE)),)</f>
        <v>0</v>
      </c>
      <c r="CY23" s="14">
        <f>ROUND(IF(CD23=0,0,HLOOKUP(CD$14,Villagers!$B$1:$V$33,CD23+3,FALSE)),)</f>
        <v>0</v>
      </c>
      <c r="CZ23" s="14">
        <f>ROUND(IF(CE23=0,0,HLOOKUP(CE$14,Villagers!$B$1:$V$33,CE23+3,FALSE)),)</f>
        <v>5</v>
      </c>
      <c r="DA23" s="14">
        <f>ROUND(IF(CF23=0,0,HLOOKUP(CF$14,Villagers!$B$1:$V$33,CF23+3,FALSE)),)</f>
        <v>10</v>
      </c>
      <c r="DB23" s="14">
        <f>ROUND(IF(CG23=0,0,HLOOKUP(CG$14,Villagers!$B$1:$V$33,CG23+3,FALSE)),)</f>
        <v>10</v>
      </c>
      <c r="DC23" s="14">
        <f>ROUND(IF(CH23=0,0,HLOOKUP(CH$14,Villagers!$B$1:$V$33,CH23+3,FALSE)),)</f>
        <v>0</v>
      </c>
      <c r="DD23" s="14">
        <f>ROUND(IF(CI23=0,0,HLOOKUP(CI$14,Villagers!$B$1:$V$33,CI23+3,FALSE)),)</f>
        <v>0</v>
      </c>
      <c r="DE23" s="14">
        <f>ROUND(IF(CJ23=0,0,HLOOKUP(CJ$14,Villagers!$B$1:$V$33,CJ23+3,FALSE)),)</f>
        <v>2</v>
      </c>
      <c r="DF23" s="370">
        <f>ROUND(IF(CK23=0,0,HLOOKUP(CK$14,Villagers!$B$1:$V$33,CK23+3,FALSE)),)</f>
        <v>0</v>
      </c>
      <c r="DG23" s="370">
        <f>ROUND(IF(CL23=0,0,HLOOKUP(CL$14,Villagers!$B$1:$V$33,CL23+3,FALSE)),)</f>
        <v>0</v>
      </c>
      <c r="DH23" s="34">
        <f>ROUND(IF(CM23=0,0,HLOOKUP(CM$14,Villagers!$B$1:$V$33,CM23+3,FALSE)),)</f>
        <v>0</v>
      </c>
      <c r="DI23" s="109">
        <f t="shared" si="74"/>
        <v>0</v>
      </c>
      <c r="DJ23" s="50">
        <f t="shared" si="75"/>
        <v>0</v>
      </c>
      <c r="DK23" s="50">
        <f t="shared" si="76"/>
        <v>0</v>
      </c>
      <c r="DL23" s="50">
        <f t="shared" si="77"/>
        <v>0</v>
      </c>
      <c r="DM23" s="50">
        <f t="shared" si="78"/>
        <v>0</v>
      </c>
      <c r="DN23" s="50">
        <f t="shared" si="79"/>
        <v>0</v>
      </c>
      <c r="DO23" s="50">
        <f t="shared" si="80"/>
        <v>0</v>
      </c>
      <c r="DP23" s="50">
        <f t="shared" si="81"/>
        <v>0</v>
      </c>
      <c r="DQ23" s="50">
        <f t="shared" si="58"/>
        <v>0</v>
      </c>
      <c r="DR23" s="50">
        <f t="shared" si="59"/>
        <v>0</v>
      </c>
      <c r="DS23" s="96">
        <f>Miscelaneous!$D$4*Miscelaneous!$D$2^($CI23-1)</f>
        <v>1000</v>
      </c>
      <c r="DT23" s="333">
        <f t="shared" si="60"/>
        <v>1</v>
      </c>
      <c r="DU23" s="81">
        <v>1</v>
      </c>
      <c r="DV23" s="79">
        <f t="shared" si="61"/>
        <v>0</v>
      </c>
      <c r="DW23" s="79">
        <f t="shared" si="21"/>
        <v>0</v>
      </c>
      <c r="DX23" s="79">
        <f t="shared" si="62"/>
        <v>0</v>
      </c>
      <c r="DY23" s="79">
        <v>1</v>
      </c>
      <c r="DZ23" s="79">
        <f t="shared" si="22"/>
        <v>0</v>
      </c>
      <c r="EA23" s="79">
        <f t="shared" si="63"/>
        <v>0</v>
      </c>
      <c r="EB23" s="79">
        <f t="shared" si="64"/>
        <v>0</v>
      </c>
      <c r="EC23" s="79">
        <f t="shared" si="65"/>
        <v>0</v>
      </c>
      <c r="ED23" s="79">
        <v>1</v>
      </c>
      <c r="EE23" s="79">
        <v>1</v>
      </c>
      <c r="EF23" s="79">
        <f t="shared" si="66"/>
        <v>0</v>
      </c>
      <c r="EG23" s="79">
        <v>1</v>
      </c>
      <c r="EH23" s="79">
        <v>1</v>
      </c>
      <c r="EI23" s="79">
        <v>1</v>
      </c>
      <c r="EJ23" s="79">
        <v>1</v>
      </c>
      <c r="EK23" s="79">
        <v>1</v>
      </c>
      <c r="EL23" s="79">
        <v>1</v>
      </c>
      <c r="EM23" s="143">
        <f t="shared" si="67"/>
        <v>0</v>
      </c>
      <c r="EN23" s="143">
        <f t="shared" si="68"/>
        <v>0</v>
      </c>
      <c r="EO23" s="82">
        <f t="shared" si="69"/>
        <v>0</v>
      </c>
    </row>
    <row r="24" spans="1:145" x14ac:dyDescent="0.25">
      <c r="A24">
        <v>10</v>
      </c>
      <c r="B24" s="172" t="e">
        <f t="shared" si="23"/>
        <v>#N/A</v>
      </c>
      <c r="C24" s="121" t="e">
        <f t="shared" ref="C24:E24" si="93">AJ24-SUM(AB24:AB28)</f>
        <v>#N/A</v>
      </c>
      <c r="D24" s="122" t="e">
        <f t="shared" si="93"/>
        <v>#N/A</v>
      </c>
      <c r="E24" s="122" t="e">
        <f t="shared" si="93"/>
        <v>#N/A</v>
      </c>
      <c r="F24" s="176" t="e">
        <f t="shared" si="0"/>
        <v>#N/A</v>
      </c>
      <c r="G24" s="121">
        <f t="shared" si="25"/>
        <v>208</v>
      </c>
      <c r="H24" s="176" t="e">
        <f t="shared" si="26"/>
        <v>#N/A</v>
      </c>
      <c r="I24" s="48">
        <v>1</v>
      </c>
      <c r="J24" s="39"/>
      <c r="K24" s="350">
        <v>1</v>
      </c>
      <c r="L24" s="34" t="e">
        <f t="shared" si="1"/>
        <v>#N/A</v>
      </c>
      <c r="M24" s="38" t="e">
        <f>(HLOOKUP(J24,'Construction Times'!$B$3:$W$34,L24+2,FALSE)*HLOOKUP("hq modifier",'Construction Times'!$W$3:$W$34,BS24+2,FALSE))*(1-$H$9)</f>
        <v>#N/A</v>
      </c>
      <c r="N24" s="426" t="e">
        <f t="shared" si="27"/>
        <v>#N/A</v>
      </c>
      <c r="O24" s="427"/>
      <c r="P24" s="430" t="e">
        <f t="shared" si="28"/>
        <v>#N/A</v>
      </c>
      <c r="Q24" s="431"/>
      <c r="R24" s="103">
        <f t="shared" si="71"/>
        <v>0</v>
      </c>
      <c r="S24" s="104">
        <f t="shared" si="71"/>
        <v>0</v>
      </c>
      <c r="T24" s="104">
        <f t="shared" si="72"/>
        <v>0</v>
      </c>
      <c r="U24" s="104">
        <f t="shared" si="30"/>
        <v>0</v>
      </c>
      <c r="V24" s="104">
        <f t="shared" si="30"/>
        <v>9.9999999999999995E-8</v>
      </c>
      <c r="W24" s="104">
        <f t="shared" si="30"/>
        <v>0</v>
      </c>
      <c r="X24" s="104">
        <f t="shared" si="30"/>
        <v>0</v>
      </c>
      <c r="Y24" s="104">
        <f t="shared" si="30"/>
        <v>9.9999999999999995E-8</v>
      </c>
      <c r="Z24" s="104">
        <f t="shared" si="30"/>
        <v>9.9999999999999995E-8</v>
      </c>
      <c r="AA24" s="105">
        <f t="shared" si="30"/>
        <v>9.9999999999999995E-8</v>
      </c>
      <c r="AB24" s="101" t="e">
        <f>$DT24*HLOOKUP($J24,'Construction Costs (timber)'!$B$1:$V$32,'Construction Planner'!$L24+2,FALSE)</f>
        <v>#N/A</v>
      </c>
      <c r="AC24" s="14" t="e">
        <f>$DT24*HLOOKUP($J24,'Construction Costs (clay)'!$B$1:$V$32,'Construction Planner'!$L24+2,FALSE)</f>
        <v>#N/A</v>
      </c>
      <c r="AD24" s="14" t="e">
        <f>$DT24*HLOOKUP($J24,'Construction Costs (iron)'!$B$1:$V$32,'Construction Planner'!$L24+2,FALSE)</f>
        <v>#N/A</v>
      </c>
      <c r="AE24" s="34" t="e">
        <f t="shared" si="86"/>
        <v>#N/A</v>
      </c>
      <c r="AF24" s="33" t="e">
        <f t="shared" si="3"/>
        <v>#N/A</v>
      </c>
      <c r="AG24" s="14" t="e">
        <f t="shared" si="4"/>
        <v>#N/A</v>
      </c>
      <c r="AH24" s="14" t="e">
        <f t="shared" si="5"/>
        <v>#N/A</v>
      </c>
      <c r="AI24" s="34" t="e">
        <f t="shared" si="87"/>
        <v>#N/A</v>
      </c>
      <c r="AJ24" s="49" t="e">
        <f t="shared" si="31"/>
        <v>#N/A</v>
      </c>
      <c r="AK24" s="49" t="e">
        <f t="shared" si="32"/>
        <v>#N/A</v>
      </c>
      <c r="AL24" s="49" t="e">
        <f t="shared" si="33"/>
        <v>#N/A</v>
      </c>
      <c r="AM24" s="25">
        <f t="shared" si="6"/>
        <v>30</v>
      </c>
      <c r="AN24" s="25">
        <f t="shared" si="7"/>
        <v>30</v>
      </c>
      <c r="AO24" s="25">
        <f t="shared" si="8"/>
        <v>30</v>
      </c>
      <c r="AP24" s="52" t="e">
        <f t="shared" si="34"/>
        <v>#N/A</v>
      </c>
      <c r="AQ24" s="53" t="e">
        <f t="shared" si="9"/>
        <v>#N/A</v>
      </c>
      <c r="AR24" s="54" t="e">
        <f t="shared" si="9"/>
        <v>#N/A</v>
      </c>
      <c r="AS24" s="316">
        <f t="shared" si="88"/>
        <v>0</v>
      </c>
      <c r="AT24" s="106">
        <f>_xlfn.IFNA($M24/VLOOKUP($BT24,'Unit information'!$A$2:$K$29,2,FALSE)*R24,0)*(1+$E$9)</f>
        <v>0</v>
      </c>
      <c r="AU24" s="107">
        <f>_xlfn.IFNA($M24/VLOOKUP($BT24,'Unit information'!$A$2:$K$29,3,FALSE)*S24,0)*(1+$E$9)</f>
        <v>0</v>
      </c>
      <c r="AV24" s="107">
        <f>_xlfn.IFNA($M24/VLOOKUP($BT24,'Unit information'!$A$2:$K$29,4,FALSE)*T24,0)*(1+$E$9)</f>
        <v>0</v>
      </c>
      <c r="AW24" s="107">
        <f>_xlfn.IFNA($M24/VLOOKUP($BT24,'Unit information'!$A$2:$K$29,5,FALSE)*U24,0)*(1+$E$9)</f>
        <v>0</v>
      </c>
      <c r="AX24" s="107">
        <f>_xlfn.IFNA($M24/VLOOKUP($BU24,'Unit information'!$A$2:$K$29,6,FALSE)*V24,0)*(1+$E$9)</f>
        <v>0</v>
      </c>
      <c r="AY24" s="107">
        <f>_xlfn.IFNA($M24/VLOOKUP($BU24,'Unit information'!$A$2:$K$29,7,FALSE)*W24,0)*(1+$E$9)</f>
        <v>0</v>
      </c>
      <c r="AZ24" s="107">
        <f>_xlfn.IFNA($M24/VLOOKUP($BU24,'Unit information'!$A$2:$K$29,8,FALSE)*X24,0)*(1+$E$9)</f>
        <v>0</v>
      </c>
      <c r="BA24" s="107">
        <f>_xlfn.IFNA($M24/VLOOKUP($BU24,'Unit information'!$A$2:$K$29,9,FALSE)*Y24,0)*(1+$E$9)</f>
        <v>0</v>
      </c>
      <c r="BB24" s="107">
        <f>_xlfn.IFNA($M24/VLOOKUP($BV24,'Unit information'!$A$2:$K$29,10,FALSE)*Z24,0)*(1+$E$9)</f>
        <v>0</v>
      </c>
      <c r="BC24" s="108">
        <f>_xlfn.IFNA($M24/VLOOKUP($BV24,'Unit information'!$A$2:$K$29,11,FALSE)*AA24,0)*(1+$E$9)</f>
        <v>0</v>
      </c>
      <c r="BD24" s="106">
        <f t="shared" si="10"/>
        <v>0</v>
      </c>
      <c r="BE24" s="107">
        <f t="shared" si="11"/>
        <v>0</v>
      </c>
      <c r="BF24" s="108">
        <f t="shared" si="12"/>
        <v>0</v>
      </c>
      <c r="BG24" s="25" t="e">
        <f t="shared" si="13"/>
        <v>#N/A</v>
      </c>
      <c r="BH24" s="25" t="e">
        <f t="shared" si="14"/>
        <v>#N/A</v>
      </c>
      <c r="BI24" s="25" t="e">
        <f t="shared" si="15"/>
        <v>#N/A</v>
      </c>
      <c r="BJ24" s="27" t="e">
        <f t="shared" si="16"/>
        <v>#N/A</v>
      </c>
      <c r="BK24" s="18" t="e">
        <f t="shared" si="17"/>
        <v>#N/A</v>
      </c>
      <c r="BL24" s="18" t="e">
        <f t="shared" si="18"/>
        <v>#N/A</v>
      </c>
      <c r="BM24" s="28" t="e">
        <f t="shared" si="89"/>
        <v>#N/A</v>
      </c>
      <c r="BN24" s="33">
        <f>HLOOKUP("maximum population",Miscelaneous!$C$1:$C$33,CH24+3,FALSE)</f>
        <v>240</v>
      </c>
      <c r="BO24" s="14">
        <f t="shared" si="35"/>
        <v>32</v>
      </c>
      <c r="BP24" s="14">
        <f t="shared" si="36"/>
        <v>0</v>
      </c>
      <c r="BQ24" s="14">
        <f t="shared" si="37"/>
        <v>208</v>
      </c>
      <c r="BR24" s="34" t="e">
        <f>HLOOKUP(J24,Villagers!$B$1:$V$33,L24+3,FALSE)-HLOOKUP(J24,Villagers!$B$1:$V$33,L24+2,FALSE)</f>
        <v>#N/A</v>
      </c>
      <c r="BS24" s="49">
        <f t="shared" si="38"/>
        <v>1</v>
      </c>
      <c r="BT24" s="50">
        <f t="shared" si="39"/>
        <v>0</v>
      </c>
      <c r="BU24" s="50">
        <f t="shared" si="40"/>
        <v>0</v>
      </c>
      <c r="BV24" s="50">
        <f t="shared" si="41"/>
        <v>0</v>
      </c>
      <c r="BW24" s="50">
        <f t="shared" si="42"/>
        <v>0</v>
      </c>
      <c r="BX24" s="50">
        <f t="shared" si="43"/>
        <v>0</v>
      </c>
      <c r="BY24" s="50">
        <f t="shared" si="43"/>
        <v>0</v>
      </c>
      <c r="BZ24" s="50">
        <f t="shared" si="44"/>
        <v>0</v>
      </c>
      <c r="CA24" s="50">
        <f t="shared" si="45"/>
        <v>0</v>
      </c>
      <c r="CB24" s="50">
        <f t="shared" si="46"/>
        <v>1</v>
      </c>
      <c r="CC24" s="50">
        <f t="shared" si="47"/>
        <v>0</v>
      </c>
      <c r="CD24" s="50">
        <f t="shared" si="48"/>
        <v>0</v>
      </c>
      <c r="CE24" s="50">
        <f t="shared" si="49"/>
        <v>1</v>
      </c>
      <c r="CF24" s="50">
        <f t="shared" si="50"/>
        <v>1</v>
      </c>
      <c r="CG24" s="50">
        <f t="shared" si="51"/>
        <v>1</v>
      </c>
      <c r="CH24" s="50">
        <f t="shared" si="52"/>
        <v>1</v>
      </c>
      <c r="CI24" s="50">
        <f t="shared" si="53"/>
        <v>1</v>
      </c>
      <c r="CJ24" s="50">
        <f t="shared" si="54"/>
        <v>1</v>
      </c>
      <c r="CK24" s="50">
        <f t="shared" si="55"/>
        <v>0</v>
      </c>
      <c r="CL24" s="50">
        <f t="shared" si="54"/>
        <v>0</v>
      </c>
      <c r="CM24" s="51">
        <f t="shared" si="56"/>
        <v>0</v>
      </c>
      <c r="CN24" s="33">
        <f>ROUND(IF(BS24=0,0,HLOOKUP(BS$14,Villagers!$B$1:$V$33,BS24+3,FALSE)),)</f>
        <v>5</v>
      </c>
      <c r="CO24" s="14">
        <f>ROUND(IF(BT24=0,0,HLOOKUP(BT$14,Villagers!$B$1:$V$33,BT24+3,FALSE)),)</f>
        <v>0</v>
      </c>
      <c r="CP24" s="14">
        <f>ROUND(IF(BU24=0,0,HLOOKUP(BU$14,Villagers!$B$1:$V$33,BU24+3,FALSE)),)</f>
        <v>0</v>
      </c>
      <c r="CQ24" s="14">
        <f>ROUND(IF(BV24=0,0,HLOOKUP(BV$14,Villagers!$B$1:$V$33,BV24+3,FALSE)),)</f>
        <v>0</v>
      </c>
      <c r="CR24" s="14">
        <f>ROUND(IF(BW24=0,0,HLOOKUP(BW$14,Villagers!$B$1:$V$33,BW24+3,FALSE)),)</f>
        <v>0</v>
      </c>
      <c r="CS24" s="14">
        <f>ROUND(IF(BX24=0,0,HLOOKUP(BX$14,Villagers!$B$1:$V$33,BX24+3,FALSE)),)</f>
        <v>0</v>
      </c>
      <c r="CT24" s="14">
        <f>ROUND(IF(BY24=0,0,HLOOKUP(BY$14,Villagers!$B$1:$V$33,BY24+3,FALSE)),)</f>
        <v>0</v>
      </c>
      <c r="CU24" s="14">
        <f>ROUND(IF(BZ24=0,0,HLOOKUP(BZ$14,Villagers!$B$1:$V$33,BZ24+3,FALSE)),)</f>
        <v>0</v>
      </c>
      <c r="CV24" s="14">
        <f>ROUND(IF(CA24=0,0,HLOOKUP(CA$14,Villagers!$B$1:$V$33,CA24+3,FALSE)),)</f>
        <v>0</v>
      </c>
      <c r="CW24" s="14">
        <f>ROUND(IF(CB24=0,0,HLOOKUP(CB$14,Villagers!$B$1:$V$33,CB24+3,FALSE)),)</f>
        <v>0</v>
      </c>
      <c r="CX24" s="14">
        <f>ROUND(IF(CC24=0,0,HLOOKUP(CC$14,Villagers!$B$1:$V$33,CC24+3,FALSE)),)</f>
        <v>0</v>
      </c>
      <c r="CY24" s="14">
        <f>ROUND(IF(CD24=0,0,HLOOKUP(CD$14,Villagers!$B$1:$V$33,CD24+3,FALSE)),)</f>
        <v>0</v>
      </c>
      <c r="CZ24" s="14">
        <f>ROUND(IF(CE24=0,0,HLOOKUP(CE$14,Villagers!$B$1:$V$33,CE24+3,FALSE)),)</f>
        <v>5</v>
      </c>
      <c r="DA24" s="14">
        <f>ROUND(IF(CF24=0,0,HLOOKUP(CF$14,Villagers!$B$1:$V$33,CF24+3,FALSE)),)</f>
        <v>10</v>
      </c>
      <c r="DB24" s="14">
        <f>ROUND(IF(CG24=0,0,HLOOKUP(CG$14,Villagers!$B$1:$V$33,CG24+3,FALSE)),)</f>
        <v>10</v>
      </c>
      <c r="DC24" s="14">
        <f>ROUND(IF(CH24=0,0,HLOOKUP(CH$14,Villagers!$B$1:$V$33,CH24+3,FALSE)),)</f>
        <v>0</v>
      </c>
      <c r="DD24" s="14">
        <f>ROUND(IF(CI24=0,0,HLOOKUP(CI$14,Villagers!$B$1:$V$33,CI24+3,FALSE)),)</f>
        <v>0</v>
      </c>
      <c r="DE24" s="14">
        <f>ROUND(IF(CJ24=0,0,HLOOKUP(CJ$14,Villagers!$B$1:$V$33,CJ24+3,FALSE)),)</f>
        <v>2</v>
      </c>
      <c r="DF24" s="370">
        <f>ROUND(IF(CK24=0,0,HLOOKUP(CK$14,Villagers!$B$1:$V$33,CK24+3,FALSE)),)</f>
        <v>0</v>
      </c>
      <c r="DG24" s="370">
        <f>ROUND(IF(CL24=0,0,HLOOKUP(CL$14,Villagers!$B$1:$V$33,CL24+3,FALSE)),)</f>
        <v>0</v>
      </c>
      <c r="DH24" s="34">
        <f>ROUND(IF(CM24=0,0,HLOOKUP(CM$14,Villagers!$B$1:$V$33,CM24+3,FALSE)),)</f>
        <v>0</v>
      </c>
      <c r="DI24" s="109">
        <f t="shared" si="74"/>
        <v>0</v>
      </c>
      <c r="DJ24" s="50">
        <f t="shared" si="75"/>
        <v>0</v>
      </c>
      <c r="DK24" s="50">
        <f t="shared" si="76"/>
        <v>0</v>
      </c>
      <c r="DL24" s="50">
        <f t="shared" si="77"/>
        <v>0</v>
      </c>
      <c r="DM24" s="50">
        <f t="shared" si="78"/>
        <v>0</v>
      </c>
      <c r="DN24" s="50">
        <f t="shared" si="79"/>
        <v>0</v>
      </c>
      <c r="DO24" s="50">
        <f t="shared" si="80"/>
        <v>0</v>
      </c>
      <c r="DP24" s="50">
        <f t="shared" si="81"/>
        <v>0</v>
      </c>
      <c r="DQ24" s="50">
        <f t="shared" si="58"/>
        <v>0</v>
      </c>
      <c r="DR24" s="50">
        <f t="shared" si="59"/>
        <v>0</v>
      </c>
      <c r="DS24" s="96">
        <f>Miscelaneous!$D$4*Miscelaneous!$D$2^($CI24-1)</f>
        <v>1000</v>
      </c>
      <c r="DT24" s="333">
        <f t="shared" si="60"/>
        <v>1</v>
      </c>
      <c r="DU24" s="81">
        <v>1</v>
      </c>
      <c r="DV24" s="79">
        <f t="shared" si="61"/>
        <v>0</v>
      </c>
      <c r="DW24" s="79">
        <f t="shared" si="21"/>
        <v>0</v>
      </c>
      <c r="DX24" s="79">
        <f t="shared" si="62"/>
        <v>0</v>
      </c>
      <c r="DY24" s="79">
        <v>1</v>
      </c>
      <c r="DZ24" s="79">
        <f t="shared" si="22"/>
        <v>0</v>
      </c>
      <c r="EA24" s="79">
        <f t="shared" si="63"/>
        <v>0</v>
      </c>
      <c r="EB24" s="79">
        <f t="shared" si="64"/>
        <v>0</v>
      </c>
      <c r="EC24" s="79">
        <f t="shared" si="65"/>
        <v>0</v>
      </c>
      <c r="ED24" s="79">
        <v>1</v>
      </c>
      <c r="EE24" s="79">
        <v>1</v>
      </c>
      <c r="EF24" s="79">
        <f t="shared" si="66"/>
        <v>0</v>
      </c>
      <c r="EG24" s="79">
        <v>1</v>
      </c>
      <c r="EH24" s="79">
        <v>1</v>
      </c>
      <c r="EI24" s="79">
        <v>1</v>
      </c>
      <c r="EJ24" s="79">
        <v>1</v>
      </c>
      <c r="EK24" s="79">
        <v>1</v>
      </c>
      <c r="EL24" s="79">
        <v>1</v>
      </c>
      <c r="EM24" s="143">
        <f t="shared" si="67"/>
        <v>0</v>
      </c>
      <c r="EN24" s="143">
        <f t="shared" si="68"/>
        <v>0</v>
      </c>
      <c r="EO24" s="82">
        <f t="shared" si="69"/>
        <v>0</v>
      </c>
    </row>
    <row r="25" spans="1:145" x14ac:dyDescent="0.25">
      <c r="A25">
        <v>11</v>
      </c>
      <c r="B25" s="172" t="e">
        <f t="shared" si="23"/>
        <v>#N/A</v>
      </c>
      <c r="C25" s="121" t="e">
        <f t="shared" ref="C25:E25" si="94">AJ25-SUM(AB25:AB29)</f>
        <v>#N/A</v>
      </c>
      <c r="D25" s="122" t="e">
        <f t="shared" si="94"/>
        <v>#N/A</v>
      </c>
      <c r="E25" s="122" t="e">
        <f t="shared" si="94"/>
        <v>#N/A</v>
      </c>
      <c r="F25" s="176" t="e">
        <f t="shared" si="0"/>
        <v>#N/A</v>
      </c>
      <c r="G25" s="121">
        <f t="shared" si="25"/>
        <v>208</v>
      </c>
      <c r="H25" s="176" t="e">
        <f t="shared" si="26"/>
        <v>#N/A</v>
      </c>
      <c r="I25" s="48">
        <v>1</v>
      </c>
      <c r="J25" s="39"/>
      <c r="K25" s="350">
        <v>1</v>
      </c>
      <c r="L25" s="34" t="e">
        <f t="shared" si="1"/>
        <v>#N/A</v>
      </c>
      <c r="M25" s="38" t="e">
        <f>(HLOOKUP(J25,'Construction Times'!$B$3:$W$34,L25+2,FALSE)*HLOOKUP("hq modifier",'Construction Times'!$W$3:$W$34,BS25+2,FALSE))*(1-$H$9)</f>
        <v>#N/A</v>
      </c>
      <c r="N25" s="426" t="e">
        <f t="shared" si="27"/>
        <v>#N/A</v>
      </c>
      <c r="O25" s="427"/>
      <c r="P25" s="430" t="e">
        <f t="shared" si="28"/>
        <v>#N/A</v>
      </c>
      <c r="Q25" s="431"/>
      <c r="R25" s="103">
        <f t="shared" si="71"/>
        <v>0</v>
      </c>
      <c r="S25" s="104">
        <f t="shared" si="71"/>
        <v>0</v>
      </c>
      <c r="T25" s="104">
        <f t="shared" si="72"/>
        <v>0</v>
      </c>
      <c r="U25" s="104">
        <f t="shared" si="30"/>
        <v>0</v>
      </c>
      <c r="V25" s="104">
        <f t="shared" si="30"/>
        <v>9.9999999999999995E-8</v>
      </c>
      <c r="W25" s="104">
        <f t="shared" si="30"/>
        <v>0</v>
      </c>
      <c r="X25" s="104">
        <f t="shared" si="30"/>
        <v>0</v>
      </c>
      <c r="Y25" s="104">
        <f t="shared" si="30"/>
        <v>9.9999999999999995E-8</v>
      </c>
      <c r="Z25" s="104">
        <f t="shared" si="30"/>
        <v>9.9999999999999995E-8</v>
      </c>
      <c r="AA25" s="105">
        <f t="shared" si="30"/>
        <v>9.9999999999999995E-8</v>
      </c>
      <c r="AB25" s="101" t="e">
        <f>$DT25*HLOOKUP($J25,'Construction Costs (timber)'!$B$1:$V$32,'Construction Planner'!$L25+2,FALSE)</f>
        <v>#N/A</v>
      </c>
      <c r="AC25" s="14" t="e">
        <f>$DT25*HLOOKUP($J25,'Construction Costs (clay)'!$B$1:$V$32,'Construction Planner'!$L25+2,FALSE)</f>
        <v>#N/A</v>
      </c>
      <c r="AD25" s="14" t="e">
        <f>$DT25*HLOOKUP($J25,'Construction Costs (iron)'!$B$1:$V$32,'Construction Planner'!$L25+2,FALSE)</f>
        <v>#N/A</v>
      </c>
      <c r="AE25" s="34" t="e">
        <f t="shared" si="86"/>
        <v>#N/A</v>
      </c>
      <c r="AF25" s="33" t="e">
        <f t="shared" si="3"/>
        <v>#N/A</v>
      </c>
      <c r="AG25" s="14" t="e">
        <f t="shared" si="4"/>
        <v>#N/A</v>
      </c>
      <c r="AH25" s="14" t="e">
        <f t="shared" si="5"/>
        <v>#N/A</v>
      </c>
      <c r="AI25" s="34" t="e">
        <f t="shared" si="87"/>
        <v>#N/A</v>
      </c>
      <c r="AJ25" s="49" t="e">
        <f t="shared" si="31"/>
        <v>#N/A</v>
      </c>
      <c r="AK25" s="49" t="e">
        <f t="shared" si="32"/>
        <v>#N/A</v>
      </c>
      <c r="AL25" s="49" t="e">
        <f t="shared" si="33"/>
        <v>#N/A</v>
      </c>
      <c r="AM25" s="25">
        <f t="shared" si="6"/>
        <v>30</v>
      </c>
      <c r="AN25" s="25">
        <f t="shared" si="7"/>
        <v>30</v>
      </c>
      <c r="AO25" s="25">
        <f t="shared" si="8"/>
        <v>30</v>
      </c>
      <c r="AP25" s="52" t="e">
        <f t="shared" si="34"/>
        <v>#N/A</v>
      </c>
      <c r="AQ25" s="53" t="e">
        <f t="shared" si="9"/>
        <v>#N/A</v>
      </c>
      <c r="AR25" s="54" t="e">
        <f t="shared" si="9"/>
        <v>#N/A</v>
      </c>
      <c r="AS25" s="316">
        <f t="shared" si="88"/>
        <v>0</v>
      </c>
      <c r="AT25" s="106">
        <f>_xlfn.IFNA($M25/VLOOKUP($BT25,'Unit information'!$A$2:$K$29,2,FALSE)*R25,0)*(1+$E$9)</f>
        <v>0</v>
      </c>
      <c r="AU25" s="107">
        <f>_xlfn.IFNA($M25/VLOOKUP($BT25,'Unit information'!$A$2:$K$29,3,FALSE)*S25,0)*(1+$E$9)</f>
        <v>0</v>
      </c>
      <c r="AV25" s="107">
        <f>_xlfn.IFNA($M25/VLOOKUP($BT25,'Unit information'!$A$2:$K$29,4,FALSE)*T25,0)*(1+$E$9)</f>
        <v>0</v>
      </c>
      <c r="AW25" s="107">
        <f>_xlfn.IFNA($M25/VLOOKUP($BT25,'Unit information'!$A$2:$K$29,5,FALSE)*U25,0)*(1+$E$9)</f>
        <v>0</v>
      </c>
      <c r="AX25" s="107">
        <f>_xlfn.IFNA($M25/VLOOKUP($BU25,'Unit information'!$A$2:$K$29,6,FALSE)*V25,0)*(1+$E$9)</f>
        <v>0</v>
      </c>
      <c r="AY25" s="107">
        <f>_xlfn.IFNA($M25/VLOOKUP($BU25,'Unit information'!$A$2:$K$29,7,FALSE)*W25,0)*(1+$E$9)</f>
        <v>0</v>
      </c>
      <c r="AZ25" s="107">
        <f>_xlfn.IFNA($M25/VLOOKUP($BU25,'Unit information'!$A$2:$K$29,8,FALSE)*X25,0)*(1+$E$9)</f>
        <v>0</v>
      </c>
      <c r="BA25" s="107">
        <f>_xlfn.IFNA($M25/VLOOKUP($BU25,'Unit information'!$A$2:$K$29,9,FALSE)*Y25,0)*(1+$E$9)</f>
        <v>0</v>
      </c>
      <c r="BB25" s="107">
        <f>_xlfn.IFNA($M25/VLOOKUP($BV25,'Unit information'!$A$2:$K$29,10,FALSE)*Z25,0)*(1+$E$9)</f>
        <v>0</v>
      </c>
      <c r="BC25" s="108">
        <f>_xlfn.IFNA($M25/VLOOKUP($BV25,'Unit information'!$A$2:$K$29,11,FALSE)*AA25,0)*(1+$E$9)</f>
        <v>0</v>
      </c>
      <c r="BD25" s="106">
        <f t="shared" si="10"/>
        <v>0</v>
      </c>
      <c r="BE25" s="107">
        <f t="shared" si="11"/>
        <v>0</v>
      </c>
      <c r="BF25" s="108">
        <f t="shared" si="12"/>
        <v>0</v>
      </c>
      <c r="BG25" s="25" t="e">
        <f t="shared" si="13"/>
        <v>#N/A</v>
      </c>
      <c r="BH25" s="25" t="e">
        <f t="shared" si="14"/>
        <v>#N/A</v>
      </c>
      <c r="BI25" s="25" t="e">
        <f t="shared" si="15"/>
        <v>#N/A</v>
      </c>
      <c r="BJ25" s="27" t="e">
        <f t="shared" si="16"/>
        <v>#N/A</v>
      </c>
      <c r="BK25" s="18" t="e">
        <f t="shared" si="17"/>
        <v>#N/A</v>
      </c>
      <c r="BL25" s="18" t="e">
        <f t="shared" si="18"/>
        <v>#N/A</v>
      </c>
      <c r="BM25" s="28" t="e">
        <f t="shared" si="89"/>
        <v>#N/A</v>
      </c>
      <c r="BN25" s="33">
        <f>HLOOKUP("maximum population",Miscelaneous!$C$1:$C$33,CH25+3,FALSE)</f>
        <v>240</v>
      </c>
      <c r="BO25" s="14">
        <f t="shared" si="35"/>
        <v>32</v>
      </c>
      <c r="BP25" s="14">
        <f t="shared" si="36"/>
        <v>0</v>
      </c>
      <c r="BQ25" s="14">
        <f t="shared" si="37"/>
        <v>208</v>
      </c>
      <c r="BR25" s="34" t="e">
        <f>HLOOKUP(J25,Villagers!$B$1:$V$33,L25+3,FALSE)-HLOOKUP(J25,Villagers!$B$1:$V$33,L25+2,FALSE)</f>
        <v>#N/A</v>
      </c>
      <c r="BS25" s="49">
        <f t="shared" si="38"/>
        <v>1</v>
      </c>
      <c r="BT25" s="50">
        <f t="shared" si="39"/>
        <v>0</v>
      </c>
      <c r="BU25" s="50">
        <f t="shared" si="40"/>
        <v>0</v>
      </c>
      <c r="BV25" s="50">
        <f t="shared" si="41"/>
        <v>0</v>
      </c>
      <c r="BW25" s="50">
        <f t="shared" si="42"/>
        <v>0</v>
      </c>
      <c r="BX25" s="50">
        <f t="shared" si="43"/>
        <v>0</v>
      </c>
      <c r="BY25" s="50">
        <f t="shared" si="43"/>
        <v>0</v>
      </c>
      <c r="BZ25" s="50">
        <f t="shared" si="44"/>
        <v>0</v>
      </c>
      <c r="CA25" s="50">
        <f t="shared" si="45"/>
        <v>0</v>
      </c>
      <c r="CB25" s="50">
        <f t="shared" si="46"/>
        <v>1</v>
      </c>
      <c r="CC25" s="50">
        <f t="shared" si="47"/>
        <v>0</v>
      </c>
      <c r="CD25" s="50">
        <f t="shared" si="48"/>
        <v>0</v>
      </c>
      <c r="CE25" s="50">
        <f t="shared" si="49"/>
        <v>1</v>
      </c>
      <c r="CF25" s="50">
        <f t="shared" si="50"/>
        <v>1</v>
      </c>
      <c r="CG25" s="50">
        <f t="shared" si="51"/>
        <v>1</v>
      </c>
      <c r="CH25" s="50">
        <f t="shared" si="52"/>
        <v>1</v>
      </c>
      <c r="CI25" s="50">
        <f t="shared" si="53"/>
        <v>1</v>
      </c>
      <c r="CJ25" s="50">
        <f t="shared" si="54"/>
        <v>1</v>
      </c>
      <c r="CK25" s="50">
        <f t="shared" si="55"/>
        <v>0</v>
      </c>
      <c r="CL25" s="50">
        <f t="shared" si="54"/>
        <v>0</v>
      </c>
      <c r="CM25" s="51">
        <f t="shared" si="56"/>
        <v>0</v>
      </c>
      <c r="CN25" s="33">
        <f>ROUND(IF(BS25=0,0,HLOOKUP(BS$14,Villagers!$B$1:$V$33,BS25+3,FALSE)),)</f>
        <v>5</v>
      </c>
      <c r="CO25" s="14">
        <f>ROUND(IF(BT25=0,0,HLOOKUP(BT$14,Villagers!$B$1:$V$33,BT25+3,FALSE)),)</f>
        <v>0</v>
      </c>
      <c r="CP25" s="14">
        <f>ROUND(IF(BU25=0,0,HLOOKUP(BU$14,Villagers!$B$1:$V$33,BU25+3,FALSE)),)</f>
        <v>0</v>
      </c>
      <c r="CQ25" s="14">
        <f>ROUND(IF(BV25=0,0,HLOOKUP(BV$14,Villagers!$B$1:$V$33,BV25+3,FALSE)),)</f>
        <v>0</v>
      </c>
      <c r="CR25" s="14">
        <f>ROUND(IF(BW25=0,0,HLOOKUP(BW$14,Villagers!$B$1:$V$33,BW25+3,FALSE)),)</f>
        <v>0</v>
      </c>
      <c r="CS25" s="14">
        <f>ROUND(IF(BX25=0,0,HLOOKUP(BX$14,Villagers!$B$1:$V$33,BX25+3,FALSE)),)</f>
        <v>0</v>
      </c>
      <c r="CT25" s="14">
        <f>ROUND(IF(BY25=0,0,HLOOKUP(BY$14,Villagers!$B$1:$V$33,BY25+3,FALSE)),)</f>
        <v>0</v>
      </c>
      <c r="CU25" s="14">
        <f>ROUND(IF(BZ25=0,0,HLOOKUP(BZ$14,Villagers!$B$1:$V$33,BZ25+3,FALSE)),)</f>
        <v>0</v>
      </c>
      <c r="CV25" s="14">
        <f>ROUND(IF(CA25=0,0,HLOOKUP(CA$14,Villagers!$B$1:$V$33,CA25+3,FALSE)),)</f>
        <v>0</v>
      </c>
      <c r="CW25" s="14">
        <f>ROUND(IF(CB25=0,0,HLOOKUP(CB$14,Villagers!$B$1:$V$33,CB25+3,FALSE)),)</f>
        <v>0</v>
      </c>
      <c r="CX25" s="14">
        <f>ROUND(IF(CC25=0,0,HLOOKUP(CC$14,Villagers!$B$1:$V$33,CC25+3,FALSE)),)</f>
        <v>0</v>
      </c>
      <c r="CY25" s="14">
        <f>ROUND(IF(CD25=0,0,HLOOKUP(CD$14,Villagers!$B$1:$V$33,CD25+3,FALSE)),)</f>
        <v>0</v>
      </c>
      <c r="CZ25" s="14">
        <f>ROUND(IF(CE25=0,0,HLOOKUP(CE$14,Villagers!$B$1:$V$33,CE25+3,FALSE)),)</f>
        <v>5</v>
      </c>
      <c r="DA25" s="14">
        <f>ROUND(IF(CF25=0,0,HLOOKUP(CF$14,Villagers!$B$1:$V$33,CF25+3,FALSE)),)</f>
        <v>10</v>
      </c>
      <c r="DB25" s="14">
        <f>ROUND(IF(CG25=0,0,HLOOKUP(CG$14,Villagers!$B$1:$V$33,CG25+3,FALSE)),)</f>
        <v>10</v>
      </c>
      <c r="DC25" s="14">
        <f>ROUND(IF(CH25=0,0,HLOOKUP(CH$14,Villagers!$B$1:$V$33,CH25+3,FALSE)),)</f>
        <v>0</v>
      </c>
      <c r="DD25" s="14">
        <f>ROUND(IF(CI25=0,0,HLOOKUP(CI$14,Villagers!$B$1:$V$33,CI25+3,FALSE)),)</f>
        <v>0</v>
      </c>
      <c r="DE25" s="14">
        <f>ROUND(IF(CJ25=0,0,HLOOKUP(CJ$14,Villagers!$B$1:$V$33,CJ25+3,FALSE)),)</f>
        <v>2</v>
      </c>
      <c r="DF25" s="370">
        <f>ROUND(IF(CK25=0,0,HLOOKUP(CK$14,Villagers!$B$1:$V$33,CK25+3,FALSE)),)</f>
        <v>0</v>
      </c>
      <c r="DG25" s="370">
        <f>ROUND(IF(CL25=0,0,HLOOKUP(CL$14,Villagers!$B$1:$V$33,CL25+3,FALSE)),)</f>
        <v>0</v>
      </c>
      <c r="DH25" s="34">
        <f>ROUND(IF(CM25=0,0,HLOOKUP(CM$14,Villagers!$B$1:$V$33,CM25+3,FALSE)),)</f>
        <v>0</v>
      </c>
      <c r="DI25" s="109">
        <f t="shared" si="74"/>
        <v>0</v>
      </c>
      <c r="DJ25" s="50">
        <f t="shared" si="75"/>
        <v>0</v>
      </c>
      <c r="DK25" s="50">
        <f t="shared" si="76"/>
        <v>0</v>
      </c>
      <c r="DL25" s="50">
        <f t="shared" si="77"/>
        <v>0</v>
      </c>
      <c r="DM25" s="50">
        <f t="shared" si="78"/>
        <v>0</v>
      </c>
      <c r="DN25" s="50">
        <f t="shared" si="79"/>
        <v>0</v>
      </c>
      <c r="DO25" s="50">
        <f t="shared" si="80"/>
        <v>0</v>
      </c>
      <c r="DP25" s="50">
        <f t="shared" si="81"/>
        <v>0</v>
      </c>
      <c r="DQ25" s="50">
        <f t="shared" si="58"/>
        <v>0</v>
      </c>
      <c r="DR25" s="50">
        <f t="shared" si="59"/>
        <v>0</v>
      </c>
      <c r="DS25" s="96">
        <f>Miscelaneous!$D$4*Miscelaneous!$D$2^($CI25-1)</f>
        <v>1000</v>
      </c>
      <c r="DT25" s="333">
        <f t="shared" si="60"/>
        <v>1</v>
      </c>
      <c r="DU25" s="81">
        <v>1</v>
      </c>
      <c r="DV25" s="79">
        <f t="shared" si="61"/>
        <v>0</v>
      </c>
      <c r="DW25" s="79">
        <f t="shared" si="21"/>
        <v>0</v>
      </c>
      <c r="DX25" s="79">
        <f t="shared" si="62"/>
        <v>0</v>
      </c>
      <c r="DY25" s="79">
        <v>1</v>
      </c>
      <c r="DZ25" s="79">
        <f t="shared" si="22"/>
        <v>0</v>
      </c>
      <c r="EA25" s="79">
        <f t="shared" si="63"/>
        <v>0</v>
      </c>
      <c r="EB25" s="79">
        <f t="shared" si="64"/>
        <v>0</v>
      </c>
      <c r="EC25" s="79">
        <f t="shared" si="65"/>
        <v>0</v>
      </c>
      <c r="ED25" s="79">
        <v>1</v>
      </c>
      <c r="EE25" s="79">
        <v>1</v>
      </c>
      <c r="EF25" s="79">
        <f t="shared" si="66"/>
        <v>0</v>
      </c>
      <c r="EG25" s="79">
        <v>1</v>
      </c>
      <c r="EH25" s="79">
        <v>1</v>
      </c>
      <c r="EI25" s="79">
        <v>1</v>
      </c>
      <c r="EJ25" s="79">
        <v>1</v>
      </c>
      <c r="EK25" s="79">
        <v>1</v>
      </c>
      <c r="EL25" s="79">
        <v>1</v>
      </c>
      <c r="EM25" s="143">
        <f t="shared" si="67"/>
        <v>0</v>
      </c>
      <c r="EN25" s="143">
        <f t="shared" si="68"/>
        <v>0</v>
      </c>
      <c r="EO25" s="82">
        <f t="shared" si="69"/>
        <v>0</v>
      </c>
    </row>
    <row r="26" spans="1:145" x14ac:dyDescent="0.25">
      <c r="A26">
        <v>12</v>
      </c>
      <c r="B26" s="172" t="e">
        <f t="shared" si="23"/>
        <v>#N/A</v>
      </c>
      <c r="C26" s="121" t="e">
        <f t="shared" ref="C26:E26" si="95">AJ26-SUM(AB26:AB30)</f>
        <v>#N/A</v>
      </c>
      <c r="D26" s="122" t="e">
        <f t="shared" si="95"/>
        <v>#N/A</v>
      </c>
      <c r="E26" s="122" t="e">
        <f t="shared" si="95"/>
        <v>#N/A</v>
      </c>
      <c r="F26" s="176" t="e">
        <f t="shared" si="0"/>
        <v>#N/A</v>
      </c>
      <c r="G26" s="121">
        <f t="shared" si="25"/>
        <v>208</v>
      </c>
      <c r="H26" s="176" t="e">
        <f t="shared" si="26"/>
        <v>#N/A</v>
      </c>
      <c r="I26" s="48">
        <v>1</v>
      </c>
      <c r="J26" s="39"/>
      <c r="K26" s="350">
        <v>1</v>
      </c>
      <c r="L26" s="34" t="e">
        <f t="shared" si="1"/>
        <v>#N/A</v>
      </c>
      <c r="M26" s="38" t="e">
        <f>(HLOOKUP(J26,'Construction Times'!$B$3:$W$34,L26+2,FALSE)*HLOOKUP("hq modifier",'Construction Times'!$W$3:$W$34,BS26+2,FALSE))*(1-$H$9)</f>
        <v>#N/A</v>
      </c>
      <c r="N26" s="426" t="e">
        <f t="shared" si="27"/>
        <v>#N/A</v>
      </c>
      <c r="O26" s="427"/>
      <c r="P26" s="430" t="e">
        <f t="shared" si="28"/>
        <v>#N/A</v>
      </c>
      <c r="Q26" s="431"/>
      <c r="R26" s="103">
        <f t="shared" si="71"/>
        <v>0</v>
      </c>
      <c r="S26" s="104">
        <f t="shared" si="71"/>
        <v>0</v>
      </c>
      <c r="T26" s="104">
        <f t="shared" si="72"/>
        <v>0</v>
      </c>
      <c r="U26" s="104">
        <f t="shared" si="30"/>
        <v>0</v>
      </c>
      <c r="V26" s="104">
        <f t="shared" si="30"/>
        <v>9.9999999999999995E-8</v>
      </c>
      <c r="W26" s="104">
        <f t="shared" si="30"/>
        <v>0</v>
      </c>
      <c r="X26" s="104">
        <f t="shared" si="30"/>
        <v>0</v>
      </c>
      <c r="Y26" s="104">
        <f t="shared" si="30"/>
        <v>9.9999999999999995E-8</v>
      </c>
      <c r="Z26" s="104">
        <f t="shared" si="30"/>
        <v>9.9999999999999995E-8</v>
      </c>
      <c r="AA26" s="105">
        <f t="shared" si="30"/>
        <v>9.9999999999999995E-8</v>
      </c>
      <c r="AB26" s="101" t="e">
        <f>$DT26*HLOOKUP($J26,'Construction Costs (timber)'!$B$1:$V$32,'Construction Planner'!$L26+2,FALSE)</f>
        <v>#N/A</v>
      </c>
      <c r="AC26" s="14" t="e">
        <f>$DT26*HLOOKUP($J26,'Construction Costs (clay)'!$B$1:$V$32,'Construction Planner'!$L26+2,FALSE)</f>
        <v>#N/A</v>
      </c>
      <c r="AD26" s="14" t="e">
        <f>$DT26*HLOOKUP($J26,'Construction Costs (iron)'!$B$1:$V$32,'Construction Planner'!$L26+2,FALSE)</f>
        <v>#N/A</v>
      </c>
      <c r="AE26" s="34" t="e">
        <f t="shared" si="86"/>
        <v>#N/A</v>
      </c>
      <c r="AF26" s="33" t="e">
        <f t="shared" si="3"/>
        <v>#N/A</v>
      </c>
      <c r="AG26" s="14" t="e">
        <f t="shared" si="4"/>
        <v>#N/A</v>
      </c>
      <c r="AH26" s="14" t="e">
        <f t="shared" si="5"/>
        <v>#N/A</v>
      </c>
      <c r="AI26" s="34" t="e">
        <f t="shared" si="87"/>
        <v>#N/A</v>
      </c>
      <c r="AJ26" s="49" t="e">
        <f t="shared" si="31"/>
        <v>#N/A</v>
      </c>
      <c r="AK26" s="49" t="e">
        <f t="shared" si="32"/>
        <v>#N/A</v>
      </c>
      <c r="AL26" s="49" t="e">
        <f t="shared" si="33"/>
        <v>#N/A</v>
      </c>
      <c r="AM26" s="25">
        <f t="shared" si="6"/>
        <v>30</v>
      </c>
      <c r="AN26" s="25">
        <f t="shared" si="7"/>
        <v>30</v>
      </c>
      <c r="AO26" s="25">
        <f t="shared" si="8"/>
        <v>30</v>
      </c>
      <c r="AP26" s="52" t="e">
        <f t="shared" si="34"/>
        <v>#N/A</v>
      </c>
      <c r="AQ26" s="53" t="e">
        <f t="shared" si="9"/>
        <v>#N/A</v>
      </c>
      <c r="AR26" s="54" t="e">
        <f t="shared" si="9"/>
        <v>#N/A</v>
      </c>
      <c r="AS26" s="316">
        <f t="shared" si="88"/>
        <v>0</v>
      </c>
      <c r="AT26" s="106">
        <f>_xlfn.IFNA($M26/VLOOKUP($BT26,'Unit information'!$A$2:$K$29,2,FALSE)*R26,0)*(1+$E$9)</f>
        <v>0</v>
      </c>
      <c r="AU26" s="107">
        <f>_xlfn.IFNA($M26/VLOOKUP($BT26,'Unit information'!$A$2:$K$29,3,FALSE)*S26,0)*(1+$E$9)</f>
        <v>0</v>
      </c>
      <c r="AV26" s="107">
        <f>_xlfn.IFNA($M26/VLOOKUP($BT26,'Unit information'!$A$2:$K$29,4,FALSE)*T26,0)*(1+$E$9)</f>
        <v>0</v>
      </c>
      <c r="AW26" s="107">
        <f>_xlfn.IFNA($M26/VLOOKUP($BT26,'Unit information'!$A$2:$K$29,5,FALSE)*U26,0)*(1+$E$9)</f>
        <v>0</v>
      </c>
      <c r="AX26" s="107">
        <f>_xlfn.IFNA($M26/VLOOKUP($BU26,'Unit information'!$A$2:$K$29,6,FALSE)*V26,0)*(1+$E$9)</f>
        <v>0</v>
      </c>
      <c r="AY26" s="107">
        <f>_xlfn.IFNA($M26/VLOOKUP($BU26,'Unit information'!$A$2:$K$29,7,FALSE)*W26,0)*(1+$E$9)</f>
        <v>0</v>
      </c>
      <c r="AZ26" s="107">
        <f>_xlfn.IFNA($M26/VLOOKUP($BU26,'Unit information'!$A$2:$K$29,8,FALSE)*X26,0)*(1+$E$9)</f>
        <v>0</v>
      </c>
      <c r="BA26" s="107">
        <f>_xlfn.IFNA($M26/VLOOKUP($BU26,'Unit information'!$A$2:$K$29,9,FALSE)*Y26,0)*(1+$E$9)</f>
        <v>0</v>
      </c>
      <c r="BB26" s="107">
        <f>_xlfn.IFNA($M26/VLOOKUP($BV26,'Unit information'!$A$2:$K$29,10,FALSE)*Z26,0)*(1+$E$9)</f>
        <v>0</v>
      </c>
      <c r="BC26" s="108">
        <f>_xlfn.IFNA($M26/VLOOKUP($BV26,'Unit information'!$A$2:$K$29,11,FALSE)*AA26,0)*(1+$E$9)</f>
        <v>0</v>
      </c>
      <c r="BD26" s="106">
        <f t="shared" si="10"/>
        <v>0</v>
      </c>
      <c r="BE26" s="107">
        <f t="shared" si="11"/>
        <v>0</v>
      </c>
      <c r="BF26" s="108">
        <f t="shared" si="12"/>
        <v>0</v>
      </c>
      <c r="BG26" s="25" t="e">
        <f t="shared" si="13"/>
        <v>#N/A</v>
      </c>
      <c r="BH26" s="25" t="e">
        <f t="shared" si="14"/>
        <v>#N/A</v>
      </c>
      <c r="BI26" s="25" t="e">
        <f t="shared" si="15"/>
        <v>#N/A</v>
      </c>
      <c r="BJ26" s="27" t="e">
        <f t="shared" si="16"/>
        <v>#N/A</v>
      </c>
      <c r="BK26" s="18" t="e">
        <f t="shared" si="17"/>
        <v>#N/A</v>
      </c>
      <c r="BL26" s="18" t="e">
        <f t="shared" si="18"/>
        <v>#N/A</v>
      </c>
      <c r="BM26" s="28" t="e">
        <f t="shared" si="89"/>
        <v>#N/A</v>
      </c>
      <c r="BN26" s="33">
        <f>HLOOKUP("maximum population",Miscelaneous!$C$1:$C$33,CH26+3,FALSE)</f>
        <v>240</v>
      </c>
      <c r="BO26" s="14">
        <f t="shared" si="35"/>
        <v>32</v>
      </c>
      <c r="BP26" s="14">
        <f t="shared" si="36"/>
        <v>0</v>
      </c>
      <c r="BQ26" s="14">
        <f t="shared" si="37"/>
        <v>208</v>
      </c>
      <c r="BR26" s="34" t="e">
        <f>HLOOKUP(J26,Villagers!$B$1:$V$33,L26+3,FALSE)-HLOOKUP(J26,Villagers!$B$1:$V$33,L26+2,FALSE)</f>
        <v>#N/A</v>
      </c>
      <c r="BS26" s="49">
        <f t="shared" si="38"/>
        <v>1</v>
      </c>
      <c r="BT26" s="50">
        <f t="shared" si="39"/>
        <v>0</v>
      </c>
      <c r="BU26" s="50">
        <f t="shared" si="40"/>
        <v>0</v>
      </c>
      <c r="BV26" s="50">
        <f t="shared" si="41"/>
        <v>0</v>
      </c>
      <c r="BW26" s="50">
        <f t="shared" si="42"/>
        <v>0</v>
      </c>
      <c r="BX26" s="50">
        <f t="shared" si="43"/>
        <v>0</v>
      </c>
      <c r="BY26" s="50">
        <f t="shared" si="43"/>
        <v>0</v>
      </c>
      <c r="BZ26" s="50">
        <f t="shared" si="44"/>
        <v>0</v>
      </c>
      <c r="CA26" s="50">
        <f t="shared" si="45"/>
        <v>0</v>
      </c>
      <c r="CB26" s="50">
        <f t="shared" si="46"/>
        <v>1</v>
      </c>
      <c r="CC26" s="50">
        <f t="shared" si="47"/>
        <v>0</v>
      </c>
      <c r="CD26" s="50">
        <f t="shared" si="48"/>
        <v>0</v>
      </c>
      <c r="CE26" s="50">
        <f t="shared" si="49"/>
        <v>1</v>
      </c>
      <c r="CF26" s="50">
        <f t="shared" si="50"/>
        <v>1</v>
      </c>
      <c r="CG26" s="50">
        <f t="shared" si="51"/>
        <v>1</v>
      </c>
      <c r="CH26" s="50">
        <f t="shared" si="52"/>
        <v>1</v>
      </c>
      <c r="CI26" s="50">
        <f t="shared" si="53"/>
        <v>1</v>
      </c>
      <c r="CJ26" s="50">
        <f t="shared" si="54"/>
        <v>1</v>
      </c>
      <c r="CK26" s="50">
        <f t="shared" si="55"/>
        <v>0</v>
      </c>
      <c r="CL26" s="50">
        <f t="shared" si="54"/>
        <v>0</v>
      </c>
      <c r="CM26" s="51">
        <f t="shared" si="56"/>
        <v>0</v>
      </c>
      <c r="CN26" s="33">
        <f>ROUND(IF(BS26=0,0,HLOOKUP(BS$14,Villagers!$B$1:$V$33,BS26+3,FALSE)),)</f>
        <v>5</v>
      </c>
      <c r="CO26" s="14">
        <f>ROUND(IF(BT26=0,0,HLOOKUP(BT$14,Villagers!$B$1:$V$33,BT26+3,FALSE)),)</f>
        <v>0</v>
      </c>
      <c r="CP26" s="14">
        <f>ROUND(IF(BU26=0,0,HLOOKUP(BU$14,Villagers!$B$1:$V$33,BU26+3,FALSE)),)</f>
        <v>0</v>
      </c>
      <c r="CQ26" s="14">
        <f>ROUND(IF(BV26=0,0,HLOOKUP(BV$14,Villagers!$B$1:$V$33,BV26+3,FALSE)),)</f>
        <v>0</v>
      </c>
      <c r="CR26" s="14">
        <f>ROUND(IF(BW26=0,0,HLOOKUP(BW$14,Villagers!$B$1:$V$33,BW26+3,FALSE)),)</f>
        <v>0</v>
      </c>
      <c r="CS26" s="14">
        <f>ROUND(IF(BX26=0,0,HLOOKUP(BX$14,Villagers!$B$1:$V$33,BX26+3,FALSE)),)</f>
        <v>0</v>
      </c>
      <c r="CT26" s="14">
        <f>ROUND(IF(BY26=0,0,HLOOKUP(BY$14,Villagers!$B$1:$V$33,BY26+3,FALSE)),)</f>
        <v>0</v>
      </c>
      <c r="CU26" s="14">
        <f>ROUND(IF(BZ26=0,0,HLOOKUP(BZ$14,Villagers!$B$1:$V$33,BZ26+3,FALSE)),)</f>
        <v>0</v>
      </c>
      <c r="CV26" s="14">
        <f>ROUND(IF(CA26=0,0,HLOOKUP(CA$14,Villagers!$B$1:$V$33,CA26+3,FALSE)),)</f>
        <v>0</v>
      </c>
      <c r="CW26" s="14">
        <f>ROUND(IF(CB26=0,0,HLOOKUP(CB$14,Villagers!$B$1:$V$33,CB26+3,FALSE)),)</f>
        <v>0</v>
      </c>
      <c r="CX26" s="14">
        <f>ROUND(IF(CC26=0,0,HLOOKUP(CC$14,Villagers!$B$1:$V$33,CC26+3,FALSE)),)</f>
        <v>0</v>
      </c>
      <c r="CY26" s="14">
        <f>ROUND(IF(CD26=0,0,HLOOKUP(CD$14,Villagers!$B$1:$V$33,CD26+3,FALSE)),)</f>
        <v>0</v>
      </c>
      <c r="CZ26" s="14">
        <f>ROUND(IF(CE26=0,0,HLOOKUP(CE$14,Villagers!$B$1:$V$33,CE26+3,FALSE)),)</f>
        <v>5</v>
      </c>
      <c r="DA26" s="14">
        <f>ROUND(IF(CF26=0,0,HLOOKUP(CF$14,Villagers!$B$1:$V$33,CF26+3,FALSE)),)</f>
        <v>10</v>
      </c>
      <c r="DB26" s="14">
        <f>ROUND(IF(CG26=0,0,HLOOKUP(CG$14,Villagers!$B$1:$V$33,CG26+3,FALSE)),)</f>
        <v>10</v>
      </c>
      <c r="DC26" s="14">
        <f>ROUND(IF(CH26=0,0,HLOOKUP(CH$14,Villagers!$B$1:$V$33,CH26+3,FALSE)),)</f>
        <v>0</v>
      </c>
      <c r="DD26" s="14">
        <f>ROUND(IF(CI26=0,0,HLOOKUP(CI$14,Villagers!$B$1:$V$33,CI26+3,FALSE)),)</f>
        <v>0</v>
      </c>
      <c r="DE26" s="14">
        <f>ROUND(IF(CJ26=0,0,HLOOKUP(CJ$14,Villagers!$B$1:$V$33,CJ26+3,FALSE)),)</f>
        <v>2</v>
      </c>
      <c r="DF26" s="370">
        <f>ROUND(IF(CK26=0,0,HLOOKUP(CK$14,Villagers!$B$1:$V$33,CK26+3,FALSE)),)</f>
        <v>0</v>
      </c>
      <c r="DG26" s="370">
        <f>ROUND(IF(CL26=0,0,HLOOKUP(CL$14,Villagers!$B$1:$V$33,CL26+3,FALSE)),)</f>
        <v>0</v>
      </c>
      <c r="DH26" s="34">
        <f>ROUND(IF(CM26=0,0,HLOOKUP(CM$14,Villagers!$B$1:$V$33,CM26+3,FALSE)),)</f>
        <v>0</v>
      </c>
      <c r="DI26" s="109">
        <f t="shared" si="74"/>
        <v>0</v>
      </c>
      <c r="DJ26" s="50">
        <f t="shared" si="75"/>
        <v>0</v>
      </c>
      <c r="DK26" s="50">
        <f t="shared" si="76"/>
        <v>0</v>
      </c>
      <c r="DL26" s="50">
        <f t="shared" si="77"/>
        <v>0</v>
      </c>
      <c r="DM26" s="50">
        <f t="shared" si="78"/>
        <v>0</v>
      </c>
      <c r="DN26" s="50">
        <f t="shared" si="79"/>
        <v>0</v>
      </c>
      <c r="DO26" s="50">
        <f t="shared" si="80"/>
        <v>0</v>
      </c>
      <c r="DP26" s="50">
        <f t="shared" si="81"/>
        <v>0</v>
      </c>
      <c r="DQ26" s="50">
        <f t="shared" si="58"/>
        <v>0</v>
      </c>
      <c r="DR26" s="50">
        <f t="shared" si="59"/>
        <v>0</v>
      </c>
      <c r="DS26" s="96">
        <f>Miscelaneous!$D$4*Miscelaneous!$D$2^($CI26-1)</f>
        <v>1000</v>
      </c>
      <c r="DT26" s="333">
        <f t="shared" si="60"/>
        <v>1</v>
      </c>
      <c r="DU26" s="81">
        <v>1</v>
      </c>
      <c r="DV26" s="79">
        <f t="shared" si="61"/>
        <v>0</v>
      </c>
      <c r="DW26" s="79">
        <f t="shared" si="21"/>
        <v>0</v>
      </c>
      <c r="DX26" s="79">
        <f t="shared" si="62"/>
        <v>0</v>
      </c>
      <c r="DY26" s="79">
        <v>1</v>
      </c>
      <c r="DZ26" s="79">
        <f t="shared" si="22"/>
        <v>0</v>
      </c>
      <c r="EA26" s="79">
        <f t="shared" si="63"/>
        <v>0</v>
      </c>
      <c r="EB26" s="79">
        <f t="shared" si="64"/>
        <v>0</v>
      </c>
      <c r="EC26" s="79">
        <f t="shared" si="65"/>
        <v>0</v>
      </c>
      <c r="ED26" s="79">
        <v>1</v>
      </c>
      <c r="EE26" s="79">
        <v>1</v>
      </c>
      <c r="EF26" s="79">
        <f t="shared" si="66"/>
        <v>0</v>
      </c>
      <c r="EG26" s="79">
        <v>1</v>
      </c>
      <c r="EH26" s="79">
        <v>1</v>
      </c>
      <c r="EI26" s="79">
        <v>1</v>
      </c>
      <c r="EJ26" s="79">
        <v>1</v>
      </c>
      <c r="EK26" s="79">
        <v>1</v>
      </c>
      <c r="EL26" s="79">
        <v>1</v>
      </c>
      <c r="EM26" s="143">
        <f t="shared" si="67"/>
        <v>0</v>
      </c>
      <c r="EN26" s="143">
        <f t="shared" si="68"/>
        <v>0</v>
      </c>
      <c r="EO26" s="82">
        <f t="shared" si="69"/>
        <v>0</v>
      </c>
    </row>
    <row r="27" spans="1:145" x14ac:dyDescent="0.25">
      <c r="A27">
        <v>13</v>
      </c>
      <c r="B27" s="172" t="e">
        <f t="shared" si="23"/>
        <v>#N/A</v>
      </c>
      <c r="C27" s="121" t="e">
        <f t="shared" ref="C27:E27" si="96">AJ27-SUM(AB27:AB31)</f>
        <v>#N/A</v>
      </c>
      <c r="D27" s="122" t="e">
        <f t="shared" si="96"/>
        <v>#N/A</v>
      </c>
      <c r="E27" s="122" t="e">
        <f t="shared" si="96"/>
        <v>#N/A</v>
      </c>
      <c r="F27" s="176" t="e">
        <f t="shared" si="0"/>
        <v>#N/A</v>
      </c>
      <c r="G27" s="121">
        <f t="shared" si="25"/>
        <v>208</v>
      </c>
      <c r="H27" s="176" t="e">
        <f t="shared" si="26"/>
        <v>#N/A</v>
      </c>
      <c r="I27" s="48">
        <v>1</v>
      </c>
      <c r="J27" s="39"/>
      <c r="K27" s="350">
        <v>1</v>
      </c>
      <c r="L27" s="34" t="e">
        <f t="shared" si="1"/>
        <v>#N/A</v>
      </c>
      <c r="M27" s="38" t="e">
        <f>(HLOOKUP(J27,'Construction Times'!$B$3:$W$34,L27+2,FALSE)*HLOOKUP("hq modifier",'Construction Times'!$W$3:$W$34,BS27+2,FALSE))*(1-$H$9)</f>
        <v>#N/A</v>
      </c>
      <c r="N27" s="426" t="e">
        <f t="shared" si="27"/>
        <v>#N/A</v>
      </c>
      <c r="O27" s="427"/>
      <c r="P27" s="430" t="e">
        <f t="shared" si="28"/>
        <v>#N/A</v>
      </c>
      <c r="Q27" s="431"/>
      <c r="R27" s="103">
        <f t="shared" si="71"/>
        <v>0</v>
      </c>
      <c r="S27" s="104">
        <f t="shared" si="71"/>
        <v>0</v>
      </c>
      <c r="T27" s="104">
        <f t="shared" si="72"/>
        <v>0</v>
      </c>
      <c r="U27" s="104">
        <f t="shared" si="30"/>
        <v>0</v>
      </c>
      <c r="V27" s="104">
        <f t="shared" si="30"/>
        <v>9.9999999999999995E-8</v>
      </c>
      <c r="W27" s="104">
        <f t="shared" si="30"/>
        <v>0</v>
      </c>
      <c r="X27" s="104">
        <f t="shared" si="30"/>
        <v>0</v>
      </c>
      <c r="Y27" s="104">
        <f t="shared" si="30"/>
        <v>9.9999999999999995E-8</v>
      </c>
      <c r="Z27" s="104">
        <f t="shared" si="30"/>
        <v>9.9999999999999995E-8</v>
      </c>
      <c r="AA27" s="105">
        <f t="shared" si="30"/>
        <v>9.9999999999999995E-8</v>
      </c>
      <c r="AB27" s="101" t="e">
        <f>$DT27*HLOOKUP($J27,'Construction Costs (timber)'!$B$1:$V$32,'Construction Planner'!$L27+2,FALSE)</f>
        <v>#N/A</v>
      </c>
      <c r="AC27" s="14" t="e">
        <f>$DT27*HLOOKUP($J27,'Construction Costs (clay)'!$B$1:$V$32,'Construction Planner'!$L27+2,FALSE)</f>
        <v>#N/A</v>
      </c>
      <c r="AD27" s="14" t="e">
        <f>$DT27*HLOOKUP($J27,'Construction Costs (iron)'!$B$1:$V$32,'Construction Planner'!$L27+2,FALSE)</f>
        <v>#N/A</v>
      </c>
      <c r="AE27" s="34" t="e">
        <f t="shared" si="86"/>
        <v>#N/A</v>
      </c>
      <c r="AF27" s="33" t="e">
        <f t="shared" si="3"/>
        <v>#N/A</v>
      </c>
      <c r="AG27" s="14" t="e">
        <f t="shared" si="4"/>
        <v>#N/A</v>
      </c>
      <c r="AH27" s="14" t="e">
        <f t="shared" si="5"/>
        <v>#N/A</v>
      </c>
      <c r="AI27" s="34" t="e">
        <f t="shared" si="87"/>
        <v>#N/A</v>
      </c>
      <c r="AJ27" s="49" t="e">
        <f t="shared" si="31"/>
        <v>#N/A</v>
      </c>
      <c r="AK27" s="49" t="e">
        <f t="shared" si="32"/>
        <v>#N/A</v>
      </c>
      <c r="AL27" s="49" t="e">
        <f t="shared" si="33"/>
        <v>#N/A</v>
      </c>
      <c r="AM27" s="25">
        <f t="shared" si="6"/>
        <v>30</v>
      </c>
      <c r="AN27" s="25">
        <f t="shared" si="7"/>
        <v>30</v>
      </c>
      <c r="AO27" s="25">
        <f t="shared" si="8"/>
        <v>30</v>
      </c>
      <c r="AP27" s="52" t="e">
        <f t="shared" si="34"/>
        <v>#N/A</v>
      </c>
      <c r="AQ27" s="53" t="e">
        <f t="shared" si="9"/>
        <v>#N/A</v>
      </c>
      <c r="AR27" s="54" t="e">
        <f t="shared" si="9"/>
        <v>#N/A</v>
      </c>
      <c r="AS27" s="316">
        <f t="shared" si="88"/>
        <v>0</v>
      </c>
      <c r="AT27" s="106">
        <f>_xlfn.IFNA($M27/VLOOKUP($BT27,'Unit information'!$A$2:$K$29,2,FALSE)*R27,0)*(1+$E$9)</f>
        <v>0</v>
      </c>
      <c r="AU27" s="107">
        <f>_xlfn.IFNA($M27/VLOOKUP($BT27,'Unit information'!$A$2:$K$29,3,FALSE)*S27,0)*(1+$E$9)</f>
        <v>0</v>
      </c>
      <c r="AV27" s="107">
        <f>_xlfn.IFNA($M27/VLOOKUP($BT27,'Unit information'!$A$2:$K$29,4,FALSE)*T27,0)*(1+$E$9)</f>
        <v>0</v>
      </c>
      <c r="AW27" s="107">
        <f>_xlfn.IFNA($M27/VLOOKUP($BT27,'Unit information'!$A$2:$K$29,5,FALSE)*U27,0)*(1+$E$9)</f>
        <v>0</v>
      </c>
      <c r="AX27" s="107">
        <f>_xlfn.IFNA($M27/VLOOKUP($BU27,'Unit information'!$A$2:$K$29,6,FALSE)*V27,0)*(1+$E$9)</f>
        <v>0</v>
      </c>
      <c r="AY27" s="107">
        <f>_xlfn.IFNA($M27/VLOOKUP($BU27,'Unit information'!$A$2:$K$29,7,FALSE)*W27,0)*(1+$E$9)</f>
        <v>0</v>
      </c>
      <c r="AZ27" s="107">
        <f>_xlfn.IFNA($M27/VLOOKUP($BU27,'Unit information'!$A$2:$K$29,8,FALSE)*X27,0)*(1+$E$9)</f>
        <v>0</v>
      </c>
      <c r="BA27" s="107">
        <f>_xlfn.IFNA($M27/VLOOKUP($BU27,'Unit information'!$A$2:$K$29,9,FALSE)*Y27,0)*(1+$E$9)</f>
        <v>0</v>
      </c>
      <c r="BB27" s="107">
        <f>_xlfn.IFNA($M27/VLOOKUP($BV27,'Unit information'!$A$2:$K$29,10,FALSE)*Z27,0)*(1+$E$9)</f>
        <v>0</v>
      </c>
      <c r="BC27" s="108">
        <f>_xlfn.IFNA($M27/VLOOKUP($BV27,'Unit information'!$A$2:$K$29,11,FALSE)*AA27,0)*(1+$E$9)</f>
        <v>0</v>
      </c>
      <c r="BD27" s="106">
        <f t="shared" si="10"/>
        <v>0</v>
      </c>
      <c r="BE27" s="107">
        <f t="shared" si="11"/>
        <v>0</v>
      </c>
      <c r="BF27" s="108">
        <f t="shared" si="12"/>
        <v>0</v>
      </c>
      <c r="BG27" s="25" t="e">
        <f t="shared" si="13"/>
        <v>#N/A</v>
      </c>
      <c r="BH27" s="25" t="e">
        <f t="shared" si="14"/>
        <v>#N/A</v>
      </c>
      <c r="BI27" s="25" t="e">
        <f t="shared" si="15"/>
        <v>#N/A</v>
      </c>
      <c r="BJ27" s="27" t="e">
        <f t="shared" si="16"/>
        <v>#N/A</v>
      </c>
      <c r="BK27" s="18" t="e">
        <f t="shared" si="17"/>
        <v>#N/A</v>
      </c>
      <c r="BL27" s="18" t="e">
        <f t="shared" si="18"/>
        <v>#N/A</v>
      </c>
      <c r="BM27" s="28" t="e">
        <f t="shared" si="89"/>
        <v>#N/A</v>
      </c>
      <c r="BN27" s="33">
        <f>HLOOKUP("maximum population",Miscelaneous!$C$1:$C$33,CH27+3,FALSE)</f>
        <v>240</v>
      </c>
      <c r="BO27" s="14">
        <f t="shared" si="35"/>
        <v>32</v>
      </c>
      <c r="BP27" s="14">
        <f t="shared" si="36"/>
        <v>0</v>
      </c>
      <c r="BQ27" s="14">
        <f t="shared" si="37"/>
        <v>208</v>
      </c>
      <c r="BR27" s="34" t="e">
        <f>HLOOKUP(J27,Villagers!$B$1:$V$33,L27+3,FALSE)-HLOOKUP(J27,Villagers!$B$1:$V$33,L27+2,FALSE)</f>
        <v>#N/A</v>
      </c>
      <c r="BS27" s="49">
        <f t="shared" si="38"/>
        <v>1</v>
      </c>
      <c r="BT27" s="50">
        <f t="shared" si="39"/>
        <v>0</v>
      </c>
      <c r="BU27" s="50">
        <f t="shared" si="40"/>
        <v>0</v>
      </c>
      <c r="BV27" s="50">
        <f t="shared" si="41"/>
        <v>0</v>
      </c>
      <c r="BW27" s="50">
        <f t="shared" si="42"/>
        <v>0</v>
      </c>
      <c r="BX27" s="50">
        <f t="shared" si="43"/>
        <v>0</v>
      </c>
      <c r="BY27" s="50">
        <f t="shared" si="43"/>
        <v>0</v>
      </c>
      <c r="BZ27" s="50">
        <f t="shared" si="44"/>
        <v>0</v>
      </c>
      <c r="CA27" s="50">
        <f t="shared" si="45"/>
        <v>0</v>
      </c>
      <c r="CB27" s="50">
        <f t="shared" si="46"/>
        <v>1</v>
      </c>
      <c r="CC27" s="50">
        <f t="shared" si="47"/>
        <v>0</v>
      </c>
      <c r="CD27" s="50">
        <f t="shared" si="48"/>
        <v>0</v>
      </c>
      <c r="CE27" s="50">
        <f t="shared" si="49"/>
        <v>1</v>
      </c>
      <c r="CF27" s="50">
        <f t="shared" si="50"/>
        <v>1</v>
      </c>
      <c r="CG27" s="50">
        <f t="shared" si="51"/>
        <v>1</v>
      </c>
      <c r="CH27" s="50">
        <f t="shared" si="52"/>
        <v>1</v>
      </c>
      <c r="CI27" s="50">
        <f t="shared" si="53"/>
        <v>1</v>
      </c>
      <c r="CJ27" s="50">
        <f t="shared" si="54"/>
        <v>1</v>
      </c>
      <c r="CK27" s="50">
        <f t="shared" si="55"/>
        <v>0</v>
      </c>
      <c r="CL27" s="50">
        <f t="shared" si="54"/>
        <v>0</v>
      </c>
      <c r="CM27" s="51">
        <f t="shared" si="56"/>
        <v>0</v>
      </c>
      <c r="CN27" s="33">
        <f>ROUND(IF(BS27=0,0,HLOOKUP(BS$14,Villagers!$B$1:$V$33,BS27+3,FALSE)),)</f>
        <v>5</v>
      </c>
      <c r="CO27" s="14">
        <f>ROUND(IF(BT27=0,0,HLOOKUP(BT$14,Villagers!$B$1:$V$33,BT27+3,FALSE)),)</f>
        <v>0</v>
      </c>
      <c r="CP27" s="14">
        <f>ROUND(IF(BU27=0,0,HLOOKUP(BU$14,Villagers!$B$1:$V$33,BU27+3,FALSE)),)</f>
        <v>0</v>
      </c>
      <c r="CQ27" s="14">
        <f>ROUND(IF(BV27=0,0,HLOOKUP(BV$14,Villagers!$B$1:$V$33,BV27+3,FALSE)),)</f>
        <v>0</v>
      </c>
      <c r="CR27" s="14">
        <f>ROUND(IF(BW27=0,0,HLOOKUP(BW$14,Villagers!$B$1:$V$33,BW27+3,FALSE)),)</f>
        <v>0</v>
      </c>
      <c r="CS27" s="14">
        <f>ROUND(IF(BX27=0,0,HLOOKUP(BX$14,Villagers!$B$1:$V$33,BX27+3,FALSE)),)</f>
        <v>0</v>
      </c>
      <c r="CT27" s="14">
        <f>ROUND(IF(BY27=0,0,HLOOKUP(BY$14,Villagers!$B$1:$V$33,BY27+3,FALSE)),)</f>
        <v>0</v>
      </c>
      <c r="CU27" s="14">
        <f>ROUND(IF(BZ27=0,0,HLOOKUP(BZ$14,Villagers!$B$1:$V$33,BZ27+3,FALSE)),)</f>
        <v>0</v>
      </c>
      <c r="CV27" s="14">
        <f>ROUND(IF(CA27=0,0,HLOOKUP(CA$14,Villagers!$B$1:$V$33,CA27+3,FALSE)),)</f>
        <v>0</v>
      </c>
      <c r="CW27" s="14">
        <f>ROUND(IF(CB27=0,0,HLOOKUP(CB$14,Villagers!$B$1:$V$33,CB27+3,FALSE)),)</f>
        <v>0</v>
      </c>
      <c r="CX27" s="14">
        <f>ROUND(IF(CC27=0,0,HLOOKUP(CC$14,Villagers!$B$1:$V$33,CC27+3,FALSE)),)</f>
        <v>0</v>
      </c>
      <c r="CY27" s="14">
        <f>ROUND(IF(CD27=0,0,HLOOKUP(CD$14,Villagers!$B$1:$V$33,CD27+3,FALSE)),)</f>
        <v>0</v>
      </c>
      <c r="CZ27" s="14">
        <f>ROUND(IF(CE27=0,0,HLOOKUP(CE$14,Villagers!$B$1:$V$33,CE27+3,FALSE)),)</f>
        <v>5</v>
      </c>
      <c r="DA27" s="14">
        <f>ROUND(IF(CF27=0,0,HLOOKUP(CF$14,Villagers!$B$1:$V$33,CF27+3,FALSE)),)</f>
        <v>10</v>
      </c>
      <c r="DB27" s="14">
        <f>ROUND(IF(CG27=0,0,HLOOKUP(CG$14,Villagers!$B$1:$V$33,CG27+3,FALSE)),)</f>
        <v>10</v>
      </c>
      <c r="DC27" s="14">
        <f>ROUND(IF(CH27=0,0,HLOOKUP(CH$14,Villagers!$B$1:$V$33,CH27+3,FALSE)),)</f>
        <v>0</v>
      </c>
      <c r="DD27" s="14">
        <f>ROUND(IF(CI27=0,0,HLOOKUP(CI$14,Villagers!$B$1:$V$33,CI27+3,FALSE)),)</f>
        <v>0</v>
      </c>
      <c r="DE27" s="14">
        <f>ROUND(IF(CJ27=0,0,HLOOKUP(CJ$14,Villagers!$B$1:$V$33,CJ27+3,FALSE)),)</f>
        <v>2</v>
      </c>
      <c r="DF27" s="370">
        <f>ROUND(IF(CK27=0,0,HLOOKUP(CK$14,Villagers!$B$1:$V$33,CK27+3,FALSE)),)</f>
        <v>0</v>
      </c>
      <c r="DG27" s="370">
        <f>ROUND(IF(CL27=0,0,HLOOKUP(CL$14,Villagers!$B$1:$V$33,CL27+3,FALSE)),)</f>
        <v>0</v>
      </c>
      <c r="DH27" s="34">
        <f>ROUND(IF(CM27=0,0,HLOOKUP(CM$14,Villagers!$B$1:$V$33,CM27+3,FALSE)),)</f>
        <v>0</v>
      </c>
      <c r="DI27" s="109">
        <f t="shared" si="74"/>
        <v>0</v>
      </c>
      <c r="DJ27" s="50">
        <f t="shared" si="75"/>
        <v>0</v>
      </c>
      <c r="DK27" s="50">
        <f t="shared" si="76"/>
        <v>0</v>
      </c>
      <c r="DL27" s="50">
        <f t="shared" si="77"/>
        <v>0</v>
      </c>
      <c r="DM27" s="50">
        <f t="shared" si="78"/>
        <v>0</v>
      </c>
      <c r="DN27" s="50">
        <f t="shared" si="79"/>
        <v>0</v>
      </c>
      <c r="DO27" s="50">
        <f t="shared" si="80"/>
        <v>0</v>
      </c>
      <c r="DP27" s="50">
        <f t="shared" si="81"/>
        <v>0</v>
      </c>
      <c r="DQ27" s="50">
        <f t="shared" si="58"/>
        <v>0</v>
      </c>
      <c r="DR27" s="50">
        <f t="shared" si="59"/>
        <v>0</v>
      </c>
      <c r="DS27" s="96">
        <f>Miscelaneous!$D$4*Miscelaneous!$D$2^($CI27-1)</f>
        <v>1000</v>
      </c>
      <c r="DT27" s="333">
        <f t="shared" si="60"/>
        <v>1</v>
      </c>
      <c r="DU27" s="81">
        <v>1</v>
      </c>
      <c r="DV27" s="79">
        <f t="shared" si="61"/>
        <v>0</v>
      </c>
      <c r="DW27" s="79">
        <f t="shared" si="21"/>
        <v>0</v>
      </c>
      <c r="DX27" s="79">
        <f t="shared" si="62"/>
        <v>0</v>
      </c>
      <c r="DY27" s="79">
        <v>1</v>
      </c>
      <c r="DZ27" s="79">
        <f t="shared" si="22"/>
        <v>0</v>
      </c>
      <c r="EA27" s="79">
        <f t="shared" si="63"/>
        <v>0</v>
      </c>
      <c r="EB27" s="79">
        <f t="shared" si="64"/>
        <v>0</v>
      </c>
      <c r="EC27" s="79">
        <f t="shared" si="65"/>
        <v>0</v>
      </c>
      <c r="ED27" s="79">
        <v>1</v>
      </c>
      <c r="EE27" s="79">
        <v>1</v>
      </c>
      <c r="EF27" s="79">
        <f t="shared" si="66"/>
        <v>0</v>
      </c>
      <c r="EG27" s="79">
        <v>1</v>
      </c>
      <c r="EH27" s="79">
        <v>1</v>
      </c>
      <c r="EI27" s="79">
        <v>1</v>
      </c>
      <c r="EJ27" s="79">
        <v>1</v>
      </c>
      <c r="EK27" s="79">
        <v>1</v>
      </c>
      <c r="EL27" s="79">
        <v>1</v>
      </c>
      <c r="EM27" s="143">
        <f t="shared" si="67"/>
        <v>0</v>
      </c>
      <c r="EN27" s="143">
        <f t="shared" si="68"/>
        <v>0</v>
      </c>
      <c r="EO27" s="82">
        <f t="shared" si="69"/>
        <v>0</v>
      </c>
    </row>
    <row r="28" spans="1:145" x14ac:dyDescent="0.25">
      <c r="A28">
        <v>14</v>
      </c>
      <c r="B28" s="172" t="e">
        <f t="shared" si="23"/>
        <v>#N/A</v>
      </c>
      <c r="C28" s="121" t="e">
        <f t="shared" ref="C28:E28" si="97">AJ28-SUM(AB28:AB32)</f>
        <v>#N/A</v>
      </c>
      <c r="D28" s="122" t="e">
        <f t="shared" si="97"/>
        <v>#N/A</v>
      </c>
      <c r="E28" s="122" t="e">
        <f t="shared" si="97"/>
        <v>#N/A</v>
      </c>
      <c r="F28" s="176" t="e">
        <f t="shared" si="0"/>
        <v>#N/A</v>
      </c>
      <c r="G28" s="121">
        <f t="shared" si="25"/>
        <v>208</v>
      </c>
      <c r="H28" s="176" t="e">
        <f t="shared" si="26"/>
        <v>#N/A</v>
      </c>
      <c r="I28" s="48">
        <v>1</v>
      </c>
      <c r="J28" s="39"/>
      <c r="K28" s="350">
        <v>1</v>
      </c>
      <c r="L28" s="34" t="e">
        <f t="shared" si="1"/>
        <v>#N/A</v>
      </c>
      <c r="M28" s="38" t="e">
        <f>(HLOOKUP(J28,'Construction Times'!$B$3:$W$34,L28+2,FALSE)*HLOOKUP("hq modifier",'Construction Times'!$W$3:$W$34,BS28+2,FALSE))*(1-$H$9)</f>
        <v>#N/A</v>
      </c>
      <c r="N28" s="426" t="e">
        <f t="shared" si="27"/>
        <v>#N/A</v>
      </c>
      <c r="O28" s="427"/>
      <c r="P28" s="430" t="e">
        <f t="shared" si="28"/>
        <v>#N/A</v>
      </c>
      <c r="Q28" s="431"/>
      <c r="R28" s="103">
        <f t="shared" si="71"/>
        <v>0</v>
      </c>
      <c r="S28" s="104">
        <f t="shared" si="71"/>
        <v>0</v>
      </c>
      <c r="T28" s="104">
        <f t="shared" si="72"/>
        <v>0</v>
      </c>
      <c r="U28" s="104">
        <f t="shared" si="30"/>
        <v>0</v>
      </c>
      <c r="V28" s="104">
        <f t="shared" si="30"/>
        <v>9.9999999999999995E-8</v>
      </c>
      <c r="W28" s="104">
        <f t="shared" si="30"/>
        <v>0</v>
      </c>
      <c r="X28" s="104">
        <f t="shared" si="30"/>
        <v>0</v>
      </c>
      <c r="Y28" s="104">
        <f t="shared" si="30"/>
        <v>9.9999999999999995E-8</v>
      </c>
      <c r="Z28" s="104">
        <f t="shared" si="30"/>
        <v>9.9999999999999995E-8</v>
      </c>
      <c r="AA28" s="105">
        <f t="shared" si="30"/>
        <v>9.9999999999999995E-8</v>
      </c>
      <c r="AB28" s="101" t="e">
        <f>$DT28*HLOOKUP($J28,'Construction Costs (timber)'!$B$1:$V$32,'Construction Planner'!$L28+2,FALSE)</f>
        <v>#N/A</v>
      </c>
      <c r="AC28" s="14" t="e">
        <f>$DT28*HLOOKUP($J28,'Construction Costs (clay)'!$B$1:$V$32,'Construction Planner'!$L28+2,FALSE)</f>
        <v>#N/A</v>
      </c>
      <c r="AD28" s="14" t="e">
        <f>$DT28*HLOOKUP($J28,'Construction Costs (iron)'!$B$1:$V$32,'Construction Planner'!$L28+2,FALSE)</f>
        <v>#N/A</v>
      </c>
      <c r="AE28" s="34" t="e">
        <f t="shared" si="86"/>
        <v>#N/A</v>
      </c>
      <c r="AF28" s="33" t="e">
        <f t="shared" si="3"/>
        <v>#N/A</v>
      </c>
      <c r="AG28" s="14" t="e">
        <f t="shared" si="4"/>
        <v>#N/A</v>
      </c>
      <c r="AH28" s="14" t="e">
        <f t="shared" si="5"/>
        <v>#N/A</v>
      </c>
      <c r="AI28" s="34" t="e">
        <f t="shared" si="87"/>
        <v>#N/A</v>
      </c>
      <c r="AJ28" s="49" t="e">
        <f t="shared" si="31"/>
        <v>#N/A</v>
      </c>
      <c r="AK28" s="49" t="e">
        <f t="shared" si="32"/>
        <v>#N/A</v>
      </c>
      <c r="AL28" s="49" t="e">
        <f t="shared" si="33"/>
        <v>#N/A</v>
      </c>
      <c r="AM28" s="25">
        <f t="shared" si="6"/>
        <v>30</v>
      </c>
      <c r="AN28" s="25">
        <f t="shared" si="7"/>
        <v>30</v>
      </c>
      <c r="AO28" s="25">
        <f t="shared" si="8"/>
        <v>30</v>
      </c>
      <c r="AP28" s="52" t="e">
        <f t="shared" si="34"/>
        <v>#N/A</v>
      </c>
      <c r="AQ28" s="53" t="e">
        <f t="shared" si="9"/>
        <v>#N/A</v>
      </c>
      <c r="AR28" s="54" t="e">
        <f t="shared" si="9"/>
        <v>#N/A</v>
      </c>
      <c r="AS28" s="316">
        <f t="shared" si="88"/>
        <v>0</v>
      </c>
      <c r="AT28" s="106">
        <f>_xlfn.IFNA($M28/VLOOKUP($BT28,'Unit information'!$A$2:$K$29,2,FALSE)*R28,0)*(1+$E$9)</f>
        <v>0</v>
      </c>
      <c r="AU28" s="107">
        <f>_xlfn.IFNA($M28/VLOOKUP($BT28,'Unit information'!$A$2:$K$29,3,FALSE)*S28,0)*(1+$E$9)</f>
        <v>0</v>
      </c>
      <c r="AV28" s="107">
        <f>_xlfn.IFNA($M28/VLOOKUP($BT28,'Unit information'!$A$2:$K$29,4,FALSE)*T28,0)*(1+$E$9)</f>
        <v>0</v>
      </c>
      <c r="AW28" s="107">
        <f>_xlfn.IFNA($M28/VLOOKUP($BT28,'Unit information'!$A$2:$K$29,5,FALSE)*U28,0)*(1+$E$9)</f>
        <v>0</v>
      </c>
      <c r="AX28" s="107">
        <f>_xlfn.IFNA($M28/VLOOKUP($BU28,'Unit information'!$A$2:$K$29,6,FALSE)*V28,0)*(1+$E$9)</f>
        <v>0</v>
      </c>
      <c r="AY28" s="107">
        <f>_xlfn.IFNA($M28/VLOOKUP($BU28,'Unit information'!$A$2:$K$29,7,FALSE)*W28,0)*(1+$E$9)</f>
        <v>0</v>
      </c>
      <c r="AZ28" s="107">
        <f>_xlfn.IFNA($M28/VLOOKUP($BU28,'Unit information'!$A$2:$K$29,8,FALSE)*X28,0)*(1+$E$9)</f>
        <v>0</v>
      </c>
      <c r="BA28" s="107">
        <f>_xlfn.IFNA($M28/VLOOKUP($BU28,'Unit information'!$A$2:$K$29,9,FALSE)*Y28,0)*(1+$E$9)</f>
        <v>0</v>
      </c>
      <c r="BB28" s="107">
        <f>_xlfn.IFNA($M28/VLOOKUP($BV28,'Unit information'!$A$2:$K$29,10,FALSE)*Z28,0)*(1+$E$9)</f>
        <v>0</v>
      </c>
      <c r="BC28" s="108">
        <f>_xlfn.IFNA($M28/VLOOKUP($BV28,'Unit information'!$A$2:$K$29,11,FALSE)*AA28,0)*(1+$E$9)</f>
        <v>0</v>
      </c>
      <c r="BD28" s="106">
        <f t="shared" si="10"/>
        <v>0</v>
      </c>
      <c r="BE28" s="107">
        <f t="shared" si="11"/>
        <v>0</v>
      </c>
      <c r="BF28" s="108">
        <f t="shared" si="12"/>
        <v>0</v>
      </c>
      <c r="BG28" s="25" t="e">
        <f t="shared" si="13"/>
        <v>#N/A</v>
      </c>
      <c r="BH28" s="25" t="e">
        <f t="shared" si="14"/>
        <v>#N/A</v>
      </c>
      <c r="BI28" s="25" t="e">
        <f t="shared" si="15"/>
        <v>#N/A</v>
      </c>
      <c r="BJ28" s="27" t="e">
        <f t="shared" si="16"/>
        <v>#N/A</v>
      </c>
      <c r="BK28" s="18" t="e">
        <f t="shared" si="17"/>
        <v>#N/A</v>
      </c>
      <c r="BL28" s="18" t="e">
        <f t="shared" si="18"/>
        <v>#N/A</v>
      </c>
      <c r="BM28" s="28" t="e">
        <f t="shared" si="89"/>
        <v>#N/A</v>
      </c>
      <c r="BN28" s="33">
        <f>HLOOKUP("maximum population",Miscelaneous!$C$1:$C$33,CH28+3,FALSE)</f>
        <v>240</v>
      </c>
      <c r="BO28" s="14">
        <f t="shared" si="35"/>
        <v>32</v>
      </c>
      <c r="BP28" s="14">
        <f t="shared" si="36"/>
        <v>0</v>
      </c>
      <c r="BQ28" s="14">
        <f t="shared" si="37"/>
        <v>208</v>
      </c>
      <c r="BR28" s="34" t="e">
        <f>HLOOKUP(J28,Villagers!$B$1:$V$33,L28+3,FALSE)-HLOOKUP(J28,Villagers!$B$1:$V$33,L28+2,FALSE)</f>
        <v>#N/A</v>
      </c>
      <c r="BS28" s="49">
        <f t="shared" si="38"/>
        <v>1</v>
      </c>
      <c r="BT28" s="50">
        <f t="shared" si="39"/>
        <v>0</v>
      </c>
      <c r="BU28" s="50">
        <f t="shared" si="40"/>
        <v>0</v>
      </c>
      <c r="BV28" s="50">
        <f t="shared" si="41"/>
        <v>0</v>
      </c>
      <c r="BW28" s="50">
        <f t="shared" si="42"/>
        <v>0</v>
      </c>
      <c r="BX28" s="50">
        <f t="shared" si="43"/>
        <v>0</v>
      </c>
      <c r="BY28" s="50">
        <f t="shared" si="43"/>
        <v>0</v>
      </c>
      <c r="BZ28" s="50">
        <f t="shared" si="44"/>
        <v>0</v>
      </c>
      <c r="CA28" s="50">
        <f t="shared" si="45"/>
        <v>0</v>
      </c>
      <c r="CB28" s="50">
        <f t="shared" si="46"/>
        <v>1</v>
      </c>
      <c r="CC28" s="50">
        <f t="shared" si="47"/>
        <v>0</v>
      </c>
      <c r="CD28" s="50">
        <f t="shared" si="48"/>
        <v>0</v>
      </c>
      <c r="CE28" s="50">
        <f t="shared" si="49"/>
        <v>1</v>
      </c>
      <c r="CF28" s="50">
        <f t="shared" si="50"/>
        <v>1</v>
      </c>
      <c r="CG28" s="50">
        <f t="shared" si="51"/>
        <v>1</v>
      </c>
      <c r="CH28" s="50">
        <f t="shared" si="52"/>
        <v>1</v>
      </c>
      <c r="CI28" s="50">
        <f t="shared" si="53"/>
        <v>1</v>
      </c>
      <c r="CJ28" s="50">
        <f t="shared" si="54"/>
        <v>1</v>
      </c>
      <c r="CK28" s="50">
        <f t="shared" si="55"/>
        <v>0</v>
      </c>
      <c r="CL28" s="50">
        <f t="shared" si="54"/>
        <v>0</v>
      </c>
      <c r="CM28" s="51">
        <f t="shared" si="56"/>
        <v>0</v>
      </c>
      <c r="CN28" s="33">
        <f>ROUND(IF(BS28=0,0,HLOOKUP(BS$14,Villagers!$B$1:$V$33,BS28+3,FALSE)),)</f>
        <v>5</v>
      </c>
      <c r="CO28" s="14">
        <f>ROUND(IF(BT28=0,0,HLOOKUP(BT$14,Villagers!$B$1:$V$33,BT28+3,FALSE)),)</f>
        <v>0</v>
      </c>
      <c r="CP28" s="14">
        <f>ROUND(IF(BU28=0,0,HLOOKUP(BU$14,Villagers!$B$1:$V$33,BU28+3,FALSE)),)</f>
        <v>0</v>
      </c>
      <c r="CQ28" s="14">
        <f>ROUND(IF(BV28=0,0,HLOOKUP(BV$14,Villagers!$B$1:$V$33,BV28+3,FALSE)),)</f>
        <v>0</v>
      </c>
      <c r="CR28" s="14">
        <f>ROUND(IF(BW28=0,0,HLOOKUP(BW$14,Villagers!$B$1:$V$33,BW28+3,FALSE)),)</f>
        <v>0</v>
      </c>
      <c r="CS28" s="14">
        <f>ROUND(IF(BX28=0,0,HLOOKUP(BX$14,Villagers!$B$1:$V$33,BX28+3,FALSE)),)</f>
        <v>0</v>
      </c>
      <c r="CT28" s="14">
        <f>ROUND(IF(BY28=0,0,HLOOKUP(BY$14,Villagers!$B$1:$V$33,BY28+3,FALSE)),)</f>
        <v>0</v>
      </c>
      <c r="CU28" s="14">
        <f>ROUND(IF(BZ28=0,0,HLOOKUP(BZ$14,Villagers!$B$1:$V$33,BZ28+3,FALSE)),)</f>
        <v>0</v>
      </c>
      <c r="CV28" s="14">
        <f>ROUND(IF(CA28=0,0,HLOOKUP(CA$14,Villagers!$B$1:$V$33,CA28+3,FALSE)),)</f>
        <v>0</v>
      </c>
      <c r="CW28" s="14">
        <f>ROUND(IF(CB28=0,0,HLOOKUP(CB$14,Villagers!$B$1:$V$33,CB28+3,FALSE)),)</f>
        <v>0</v>
      </c>
      <c r="CX28" s="14">
        <f>ROUND(IF(CC28=0,0,HLOOKUP(CC$14,Villagers!$B$1:$V$33,CC28+3,FALSE)),)</f>
        <v>0</v>
      </c>
      <c r="CY28" s="14">
        <f>ROUND(IF(CD28=0,0,HLOOKUP(CD$14,Villagers!$B$1:$V$33,CD28+3,FALSE)),)</f>
        <v>0</v>
      </c>
      <c r="CZ28" s="14">
        <f>ROUND(IF(CE28=0,0,HLOOKUP(CE$14,Villagers!$B$1:$V$33,CE28+3,FALSE)),)</f>
        <v>5</v>
      </c>
      <c r="DA28" s="14">
        <f>ROUND(IF(CF28=0,0,HLOOKUP(CF$14,Villagers!$B$1:$V$33,CF28+3,FALSE)),)</f>
        <v>10</v>
      </c>
      <c r="DB28" s="14">
        <f>ROUND(IF(CG28=0,0,HLOOKUP(CG$14,Villagers!$B$1:$V$33,CG28+3,FALSE)),)</f>
        <v>10</v>
      </c>
      <c r="DC28" s="14">
        <f>ROUND(IF(CH28=0,0,HLOOKUP(CH$14,Villagers!$B$1:$V$33,CH28+3,FALSE)),)</f>
        <v>0</v>
      </c>
      <c r="DD28" s="14">
        <f>ROUND(IF(CI28=0,0,HLOOKUP(CI$14,Villagers!$B$1:$V$33,CI28+3,FALSE)),)</f>
        <v>0</v>
      </c>
      <c r="DE28" s="14">
        <f>ROUND(IF(CJ28=0,0,HLOOKUP(CJ$14,Villagers!$B$1:$V$33,CJ28+3,FALSE)),)</f>
        <v>2</v>
      </c>
      <c r="DF28" s="370">
        <f>ROUND(IF(CK28=0,0,HLOOKUP(CK$14,Villagers!$B$1:$V$33,CK28+3,FALSE)),)</f>
        <v>0</v>
      </c>
      <c r="DG28" s="370">
        <f>ROUND(IF(CL28=0,0,HLOOKUP(CL$14,Villagers!$B$1:$V$33,CL28+3,FALSE)),)</f>
        <v>0</v>
      </c>
      <c r="DH28" s="34">
        <f>ROUND(IF(CM28=0,0,HLOOKUP(CM$14,Villagers!$B$1:$V$33,CM28+3,FALSE)),)</f>
        <v>0</v>
      </c>
      <c r="DI28" s="109">
        <f t="shared" si="74"/>
        <v>0</v>
      </c>
      <c r="DJ28" s="50">
        <f t="shared" si="75"/>
        <v>0</v>
      </c>
      <c r="DK28" s="50">
        <f t="shared" si="76"/>
        <v>0</v>
      </c>
      <c r="DL28" s="50">
        <f t="shared" si="77"/>
        <v>0</v>
      </c>
      <c r="DM28" s="50">
        <f t="shared" si="78"/>
        <v>0</v>
      </c>
      <c r="DN28" s="50">
        <f t="shared" si="79"/>
        <v>0</v>
      </c>
      <c r="DO28" s="50">
        <f t="shared" si="80"/>
        <v>0</v>
      </c>
      <c r="DP28" s="50">
        <f t="shared" si="81"/>
        <v>0</v>
      </c>
      <c r="DQ28" s="50">
        <f t="shared" si="58"/>
        <v>0</v>
      </c>
      <c r="DR28" s="50">
        <f t="shared" si="59"/>
        <v>0</v>
      </c>
      <c r="DS28" s="96">
        <f>Miscelaneous!$D$4*Miscelaneous!$D$2^($CI28-1)</f>
        <v>1000</v>
      </c>
      <c r="DT28" s="333">
        <f t="shared" si="60"/>
        <v>1</v>
      </c>
      <c r="DU28" s="81">
        <v>1</v>
      </c>
      <c r="DV28" s="79">
        <f t="shared" si="61"/>
        <v>0</v>
      </c>
      <c r="DW28" s="79">
        <f t="shared" si="21"/>
        <v>0</v>
      </c>
      <c r="DX28" s="79">
        <f t="shared" si="62"/>
        <v>0</v>
      </c>
      <c r="DY28" s="79">
        <v>1</v>
      </c>
      <c r="DZ28" s="79">
        <f t="shared" si="22"/>
        <v>0</v>
      </c>
      <c r="EA28" s="79">
        <f t="shared" si="63"/>
        <v>0</v>
      </c>
      <c r="EB28" s="79">
        <f t="shared" si="64"/>
        <v>0</v>
      </c>
      <c r="EC28" s="79">
        <f t="shared" si="65"/>
        <v>0</v>
      </c>
      <c r="ED28" s="79">
        <v>1</v>
      </c>
      <c r="EE28" s="79">
        <v>1</v>
      </c>
      <c r="EF28" s="79">
        <f t="shared" si="66"/>
        <v>0</v>
      </c>
      <c r="EG28" s="79">
        <v>1</v>
      </c>
      <c r="EH28" s="79">
        <v>1</v>
      </c>
      <c r="EI28" s="79">
        <v>1</v>
      </c>
      <c r="EJ28" s="79">
        <v>1</v>
      </c>
      <c r="EK28" s="79">
        <v>1</v>
      </c>
      <c r="EL28" s="79">
        <v>1</v>
      </c>
      <c r="EM28" s="143">
        <f t="shared" si="67"/>
        <v>0</v>
      </c>
      <c r="EN28" s="143">
        <f t="shared" si="68"/>
        <v>0</v>
      </c>
      <c r="EO28" s="82">
        <f t="shared" si="69"/>
        <v>0</v>
      </c>
    </row>
    <row r="29" spans="1:145" x14ac:dyDescent="0.25">
      <c r="A29">
        <v>15</v>
      </c>
      <c r="B29" s="172" t="e">
        <f t="shared" si="23"/>
        <v>#N/A</v>
      </c>
      <c r="C29" s="121" t="e">
        <f t="shared" ref="C29:E29" si="98">AJ29-SUM(AB29:AB33)</f>
        <v>#N/A</v>
      </c>
      <c r="D29" s="122" t="e">
        <f t="shared" si="98"/>
        <v>#N/A</v>
      </c>
      <c r="E29" s="122" t="e">
        <f t="shared" si="98"/>
        <v>#N/A</v>
      </c>
      <c r="F29" s="176" t="e">
        <f t="shared" si="0"/>
        <v>#N/A</v>
      </c>
      <c r="G29" s="121">
        <f t="shared" si="25"/>
        <v>208</v>
      </c>
      <c r="H29" s="176" t="e">
        <f t="shared" si="26"/>
        <v>#N/A</v>
      </c>
      <c r="I29" s="48">
        <v>1</v>
      </c>
      <c r="J29" s="39"/>
      <c r="K29" s="350">
        <v>1</v>
      </c>
      <c r="L29" s="34" t="e">
        <f t="shared" si="1"/>
        <v>#N/A</v>
      </c>
      <c r="M29" s="38" t="e">
        <f>(HLOOKUP(J29,'Construction Times'!$B$3:$W$34,L29+2,FALSE)*HLOOKUP("hq modifier",'Construction Times'!$W$3:$W$34,BS29+2,FALSE))*(1-$H$9)</f>
        <v>#N/A</v>
      </c>
      <c r="N29" s="426" t="e">
        <f t="shared" si="27"/>
        <v>#N/A</v>
      </c>
      <c r="O29" s="427"/>
      <c r="P29" s="430" t="e">
        <f t="shared" si="28"/>
        <v>#N/A</v>
      </c>
      <c r="Q29" s="431"/>
      <c r="R29" s="103">
        <f t="shared" si="71"/>
        <v>0</v>
      </c>
      <c r="S29" s="104">
        <f t="shared" si="71"/>
        <v>0</v>
      </c>
      <c r="T29" s="104">
        <f t="shared" si="72"/>
        <v>0</v>
      </c>
      <c r="U29" s="104">
        <f t="shared" si="30"/>
        <v>0</v>
      </c>
      <c r="V29" s="104">
        <f t="shared" si="30"/>
        <v>9.9999999999999995E-8</v>
      </c>
      <c r="W29" s="104">
        <f t="shared" si="30"/>
        <v>0</v>
      </c>
      <c r="X29" s="104">
        <f t="shared" si="30"/>
        <v>0</v>
      </c>
      <c r="Y29" s="104">
        <f t="shared" si="30"/>
        <v>9.9999999999999995E-8</v>
      </c>
      <c r="Z29" s="104">
        <f t="shared" si="30"/>
        <v>9.9999999999999995E-8</v>
      </c>
      <c r="AA29" s="105">
        <f t="shared" si="30"/>
        <v>9.9999999999999995E-8</v>
      </c>
      <c r="AB29" s="101" t="e">
        <f>$DT29*HLOOKUP($J29,'Construction Costs (timber)'!$B$1:$V$32,'Construction Planner'!$L29+2,FALSE)</f>
        <v>#N/A</v>
      </c>
      <c r="AC29" s="14" t="e">
        <f>$DT29*HLOOKUP($J29,'Construction Costs (clay)'!$B$1:$V$32,'Construction Planner'!$L29+2,FALSE)</f>
        <v>#N/A</v>
      </c>
      <c r="AD29" s="14" t="e">
        <f>$DT29*HLOOKUP($J29,'Construction Costs (iron)'!$B$1:$V$32,'Construction Planner'!$L29+2,FALSE)</f>
        <v>#N/A</v>
      </c>
      <c r="AE29" s="34" t="e">
        <f t="shared" si="86"/>
        <v>#N/A</v>
      </c>
      <c r="AF29" s="33" t="e">
        <f t="shared" si="3"/>
        <v>#N/A</v>
      </c>
      <c r="AG29" s="14" t="e">
        <f t="shared" si="4"/>
        <v>#N/A</v>
      </c>
      <c r="AH29" s="14" t="e">
        <f t="shared" si="5"/>
        <v>#N/A</v>
      </c>
      <c r="AI29" s="34" t="e">
        <f t="shared" si="87"/>
        <v>#N/A</v>
      </c>
      <c r="AJ29" s="49" t="e">
        <f t="shared" si="31"/>
        <v>#N/A</v>
      </c>
      <c r="AK29" s="49" t="e">
        <f t="shared" si="32"/>
        <v>#N/A</v>
      </c>
      <c r="AL29" s="49" t="e">
        <f t="shared" si="33"/>
        <v>#N/A</v>
      </c>
      <c r="AM29" s="25">
        <f t="shared" si="6"/>
        <v>30</v>
      </c>
      <c r="AN29" s="25">
        <f t="shared" si="7"/>
        <v>30</v>
      </c>
      <c r="AO29" s="25">
        <f t="shared" si="8"/>
        <v>30</v>
      </c>
      <c r="AP29" s="52" t="e">
        <f t="shared" si="34"/>
        <v>#N/A</v>
      </c>
      <c r="AQ29" s="53" t="e">
        <f t="shared" si="9"/>
        <v>#N/A</v>
      </c>
      <c r="AR29" s="54" t="e">
        <f t="shared" si="9"/>
        <v>#N/A</v>
      </c>
      <c r="AS29" s="316">
        <f t="shared" si="88"/>
        <v>0</v>
      </c>
      <c r="AT29" s="106">
        <f>_xlfn.IFNA($M29/VLOOKUP($BT29,'Unit information'!$A$2:$K$29,2,FALSE)*R29,0)*(1+$E$9)</f>
        <v>0</v>
      </c>
      <c r="AU29" s="107">
        <f>_xlfn.IFNA($M29/VLOOKUP($BT29,'Unit information'!$A$2:$K$29,3,FALSE)*S29,0)*(1+$E$9)</f>
        <v>0</v>
      </c>
      <c r="AV29" s="107">
        <f>_xlfn.IFNA($M29/VLOOKUP($BT29,'Unit information'!$A$2:$K$29,4,FALSE)*T29,0)*(1+$E$9)</f>
        <v>0</v>
      </c>
      <c r="AW29" s="107">
        <f>_xlfn.IFNA($M29/VLOOKUP($BT29,'Unit information'!$A$2:$K$29,5,FALSE)*U29,0)*(1+$E$9)</f>
        <v>0</v>
      </c>
      <c r="AX29" s="107">
        <f>_xlfn.IFNA($M29/VLOOKUP($BU29,'Unit information'!$A$2:$K$29,6,FALSE)*V29,0)*(1+$E$9)</f>
        <v>0</v>
      </c>
      <c r="AY29" s="107">
        <f>_xlfn.IFNA($M29/VLOOKUP($BU29,'Unit information'!$A$2:$K$29,7,FALSE)*W29,0)*(1+$E$9)</f>
        <v>0</v>
      </c>
      <c r="AZ29" s="107">
        <f>_xlfn.IFNA($M29/VLOOKUP($BU29,'Unit information'!$A$2:$K$29,8,FALSE)*X29,0)*(1+$E$9)</f>
        <v>0</v>
      </c>
      <c r="BA29" s="107">
        <f>_xlfn.IFNA($M29/VLOOKUP($BU29,'Unit information'!$A$2:$K$29,9,FALSE)*Y29,0)*(1+$E$9)</f>
        <v>0</v>
      </c>
      <c r="BB29" s="107">
        <f>_xlfn.IFNA($M29/VLOOKUP($BV29,'Unit information'!$A$2:$K$29,10,FALSE)*Z29,0)*(1+$E$9)</f>
        <v>0</v>
      </c>
      <c r="BC29" s="108">
        <f>_xlfn.IFNA($M29/VLOOKUP($BV29,'Unit information'!$A$2:$K$29,11,FALSE)*AA29,0)*(1+$E$9)</f>
        <v>0</v>
      </c>
      <c r="BD29" s="106">
        <f t="shared" si="10"/>
        <v>0</v>
      </c>
      <c r="BE29" s="107">
        <f t="shared" si="11"/>
        <v>0</v>
      </c>
      <c r="BF29" s="108">
        <f t="shared" si="12"/>
        <v>0</v>
      </c>
      <c r="BG29" s="25" t="e">
        <f t="shared" si="13"/>
        <v>#N/A</v>
      </c>
      <c r="BH29" s="25" t="e">
        <f t="shared" si="14"/>
        <v>#N/A</v>
      </c>
      <c r="BI29" s="25" t="e">
        <f t="shared" si="15"/>
        <v>#N/A</v>
      </c>
      <c r="BJ29" s="27" t="e">
        <f t="shared" si="16"/>
        <v>#N/A</v>
      </c>
      <c r="BK29" s="18" t="e">
        <f t="shared" si="17"/>
        <v>#N/A</v>
      </c>
      <c r="BL29" s="18" t="e">
        <f t="shared" si="18"/>
        <v>#N/A</v>
      </c>
      <c r="BM29" s="28" t="e">
        <f t="shared" si="89"/>
        <v>#N/A</v>
      </c>
      <c r="BN29" s="33">
        <f>HLOOKUP("maximum population",Miscelaneous!$C$1:$C$33,CH29+3,FALSE)</f>
        <v>240</v>
      </c>
      <c r="BO29" s="14">
        <f t="shared" si="35"/>
        <v>32</v>
      </c>
      <c r="BP29" s="14">
        <f t="shared" si="36"/>
        <v>0</v>
      </c>
      <c r="BQ29" s="14">
        <f t="shared" si="37"/>
        <v>208</v>
      </c>
      <c r="BR29" s="34" t="e">
        <f>HLOOKUP(J29,Villagers!$B$1:$V$33,L29+3,FALSE)-HLOOKUP(J29,Villagers!$B$1:$V$33,L29+2,FALSE)</f>
        <v>#N/A</v>
      </c>
      <c r="BS29" s="49">
        <f t="shared" si="38"/>
        <v>1</v>
      </c>
      <c r="BT29" s="50">
        <f t="shared" si="39"/>
        <v>0</v>
      </c>
      <c r="BU29" s="50">
        <f t="shared" si="40"/>
        <v>0</v>
      </c>
      <c r="BV29" s="50">
        <f t="shared" si="41"/>
        <v>0</v>
      </c>
      <c r="BW29" s="50">
        <f t="shared" si="42"/>
        <v>0</v>
      </c>
      <c r="BX29" s="50">
        <f t="shared" si="43"/>
        <v>0</v>
      </c>
      <c r="BY29" s="50">
        <f t="shared" si="43"/>
        <v>0</v>
      </c>
      <c r="BZ29" s="50">
        <f t="shared" si="44"/>
        <v>0</v>
      </c>
      <c r="CA29" s="50">
        <f t="shared" si="45"/>
        <v>0</v>
      </c>
      <c r="CB29" s="50">
        <f t="shared" si="46"/>
        <v>1</v>
      </c>
      <c r="CC29" s="50">
        <f t="shared" si="47"/>
        <v>0</v>
      </c>
      <c r="CD29" s="50">
        <f t="shared" si="48"/>
        <v>0</v>
      </c>
      <c r="CE29" s="50">
        <f t="shared" si="49"/>
        <v>1</v>
      </c>
      <c r="CF29" s="50">
        <f t="shared" si="50"/>
        <v>1</v>
      </c>
      <c r="CG29" s="50">
        <f t="shared" si="51"/>
        <v>1</v>
      </c>
      <c r="CH29" s="50">
        <f t="shared" si="52"/>
        <v>1</v>
      </c>
      <c r="CI29" s="50">
        <f t="shared" si="53"/>
        <v>1</v>
      </c>
      <c r="CJ29" s="50">
        <f t="shared" si="54"/>
        <v>1</v>
      </c>
      <c r="CK29" s="50">
        <f t="shared" si="55"/>
        <v>0</v>
      </c>
      <c r="CL29" s="50">
        <f t="shared" si="54"/>
        <v>0</v>
      </c>
      <c r="CM29" s="51">
        <f t="shared" si="56"/>
        <v>0</v>
      </c>
      <c r="CN29" s="33">
        <f>ROUND(IF(BS29=0,0,HLOOKUP(BS$14,Villagers!$B$1:$V$33,BS29+3,FALSE)),)</f>
        <v>5</v>
      </c>
      <c r="CO29" s="14">
        <f>ROUND(IF(BT29=0,0,HLOOKUP(BT$14,Villagers!$B$1:$V$33,BT29+3,FALSE)),)</f>
        <v>0</v>
      </c>
      <c r="CP29" s="14">
        <f>ROUND(IF(BU29=0,0,HLOOKUP(BU$14,Villagers!$B$1:$V$33,BU29+3,FALSE)),)</f>
        <v>0</v>
      </c>
      <c r="CQ29" s="14">
        <f>ROUND(IF(BV29=0,0,HLOOKUP(BV$14,Villagers!$B$1:$V$33,BV29+3,FALSE)),)</f>
        <v>0</v>
      </c>
      <c r="CR29" s="14">
        <f>ROUND(IF(BW29=0,0,HLOOKUP(BW$14,Villagers!$B$1:$V$33,BW29+3,FALSE)),)</f>
        <v>0</v>
      </c>
      <c r="CS29" s="14">
        <f>ROUND(IF(BX29=0,0,HLOOKUP(BX$14,Villagers!$B$1:$V$33,BX29+3,FALSE)),)</f>
        <v>0</v>
      </c>
      <c r="CT29" s="14">
        <f>ROUND(IF(BY29=0,0,HLOOKUP(BY$14,Villagers!$B$1:$V$33,BY29+3,FALSE)),)</f>
        <v>0</v>
      </c>
      <c r="CU29" s="14">
        <f>ROUND(IF(BZ29=0,0,HLOOKUP(BZ$14,Villagers!$B$1:$V$33,BZ29+3,FALSE)),)</f>
        <v>0</v>
      </c>
      <c r="CV29" s="14">
        <f>ROUND(IF(CA29=0,0,HLOOKUP(CA$14,Villagers!$B$1:$V$33,CA29+3,FALSE)),)</f>
        <v>0</v>
      </c>
      <c r="CW29" s="14">
        <f>ROUND(IF(CB29=0,0,HLOOKUP(CB$14,Villagers!$B$1:$V$33,CB29+3,FALSE)),)</f>
        <v>0</v>
      </c>
      <c r="CX29" s="14">
        <f>ROUND(IF(CC29=0,0,HLOOKUP(CC$14,Villagers!$B$1:$V$33,CC29+3,FALSE)),)</f>
        <v>0</v>
      </c>
      <c r="CY29" s="14">
        <f>ROUND(IF(CD29=0,0,HLOOKUP(CD$14,Villagers!$B$1:$V$33,CD29+3,FALSE)),)</f>
        <v>0</v>
      </c>
      <c r="CZ29" s="14">
        <f>ROUND(IF(CE29=0,0,HLOOKUP(CE$14,Villagers!$B$1:$V$33,CE29+3,FALSE)),)</f>
        <v>5</v>
      </c>
      <c r="DA29" s="14">
        <f>ROUND(IF(CF29=0,0,HLOOKUP(CF$14,Villagers!$B$1:$V$33,CF29+3,FALSE)),)</f>
        <v>10</v>
      </c>
      <c r="DB29" s="14">
        <f>ROUND(IF(CG29=0,0,HLOOKUP(CG$14,Villagers!$B$1:$V$33,CG29+3,FALSE)),)</f>
        <v>10</v>
      </c>
      <c r="DC29" s="14">
        <f>ROUND(IF(CH29=0,0,HLOOKUP(CH$14,Villagers!$B$1:$V$33,CH29+3,FALSE)),)</f>
        <v>0</v>
      </c>
      <c r="DD29" s="14">
        <f>ROUND(IF(CI29=0,0,HLOOKUP(CI$14,Villagers!$B$1:$V$33,CI29+3,FALSE)),)</f>
        <v>0</v>
      </c>
      <c r="DE29" s="14">
        <f>ROUND(IF(CJ29=0,0,HLOOKUP(CJ$14,Villagers!$B$1:$V$33,CJ29+3,FALSE)),)</f>
        <v>2</v>
      </c>
      <c r="DF29" s="370">
        <f>ROUND(IF(CK29=0,0,HLOOKUP(CK$14,Villagers!$B$1:$V$33,CK29+3,FALSE)),)</f>
        <v>0</v>
      </c>
      <c r="DG29" s="370">
        <f>ROUND(IF(CL29=0,0,HLOOKUP(CL$14,Villagers!$B$1:$V$33,CL29+3,FALSE)),)</f>
        <v>0</v>
      </c>
      <c r="DH29" s="34">
        <f>ROUND(IF(CM29=0,0,HLOOKUP(CM$14,Villagers!$B$1:$V$33,CM29+3,FALSE)),)</f>
        <v>0</v>
      </c>
      <c r="DI29" s="109">
        <f t="shared" si="74"/>
        <v>0</v>
      </c>
      <c r="DJ29" s="50">
        <f t="shared" si="75"/>
        <v>0</v>
      </c>
      <c r="DK29" s="50">
        <f t="shared" si="76"/>
        <v>0</v>
      </c>
      <c r="DL29" s="50">
        <f t="shared" si="77"/>
        <v>0</v>
      </c>
      <c r="DM29" s="50">
        <f t="shared" si="78"/>
        <v>0</v>
      </c>
      <c r="DN29" s="50">
        <f t="shared" si="79"/>
        <v>0</v>
      </c>
      <c r="DO29" s="50">
        <f t="shared" si="80"/>
        <v>0</v>
      </c>
      <c r="DP29" s="50">
        <f t="shared" si="81"/>
        <v>0</v>
      </c>
      <c r="DQ29" s="50">
        <f t="shared" si="58"/>
        <v>0</v>
      </c>
      <c r="DR29" s="50">
        <f t="shared" si="59"/>
        <v>0</v>
      </c>
      <c r="DS29" s="96">
        <f>Miscelaneous!$D$4*Miscelaneous!$D$2^($CI29-1)</f>
        <v>1000</v>
      </c>
      <c r="DT29" s="333">
        <f t="shared" si="60"/>
        <v>1</v>
      </c>
      <c r="DU29" s="81">
        <v>1</v>
      </c>
      <c r="DV29" s="79">
        <f t="shared" si="61"/>
        <v>0</v>
      </c>
      <c r="DW29" s="79">
        <f t="shared" si="21"/>
        <v>0</v>
      </c>
      <c r="DX29" s="79">
        <f t="shared" si="62"/>
        <v>0</v>
      </c>
      <c r="DY29" s="79">
        <v>1</v>
      </c>
      <c r="DZ29" s="79">
        <f t="shared" si="22"/>
        <v>0</v>
      </c>
      <c r="EA29" s="79">
        <f t="shared" si="63"/>
        <v>0</v>
      </c>
      <c r="EB29" s="79">
        <f t="shared" si="64"/>
        <v>0</v>
      </c>
      <c r="EC29" s="79">
        <f t="shared" si="65"/>
        <v>0</v>
      </c>
      <c r="ED29" s="79">
        <v>1</v>
      </c>
      <c r="EE29" s="79">
        <v>1</v>
      </c>
      <c r="EF29" s="79">
        <f t="shared" si="66"/>
        <v>0</v>
      </c>
      <c r="EG29" s="79">
        <v>1</v>
      </c>
      <c r="EH29" s="79">
        <v>1</v>
      </c>
      <c r="EI29" s="79">
        <v>1</v>
      </c>
      <c r="EJ29" s="79">
        <v>1</v>
      </c>
      <c r="EK29" s="79">
        <v>1</v>
      </c>
      <c r="EL29" s="79">
        <v>1</v>
      </c>
      <c r="EM29" s="143">
        <f t="shared" si="67"/>
        <v>0</v>
      </c>
      <c r="EN29" s="143">
        <f t="shared" si="68"/>
        <v>0</v>
      </c>
      <c r="EO29" s="82">
        <f t="shared" si="69"/>
        <v>0</v>
      </c>
    </row>
    <row r="30" spans="1:145" x14ac:dyDescent="0.25">
      <c r="A30">
        <v>16</v>
      </c>
      <c r="B30" s="172" t="e">
        <f t="shared" si="23"/>
        <v>#N/A</v>
      </c>
      <c r="C30" s="121" t="e">
        <f t="shared" ref="C30:E30" si="99">AJ30-SUM(AB30:AB34)</f>
        <v>#N/A</v>
      </c>
      <c r="D30" s="122" t="e">
        <f t="shared" si="99"/>
        <v>#N/A</v>
      </c>
      <c r="E30" s="122" t="e">
        <f t="shared" si="99"/>
        <v>#N/A</v>
      </c>
      <c r="F30" s="176" t="e">
        <f t="shared" si="0"/>
        <v>#N/A</v>
      </c>
      <c r="G30" s="121">
        <f t="shared" si="25"/>
        <v>208</v>
      </c>
      <c r="H30" s="176" t="e">
        <f t="shared" si="26"/>
        <v>#N/A</v>
      </c>
      <c r="I30" s="48">
        <v>1</v>
      </c>
      <c r="J30" s="39"/>
      <c r="K30" s="350">
        <v>1</v>
      </c>
      <c r="L30" s="34" t="e">
        <f t="shared" si="1"/>
        <v>#N/A</v>
      </c>
      <c r="M30" s="38" t="e">
        <f>(HLOOKUP(J30,'Construction Times'!$B$3:$W$34,L30+2,FALSE)*HLOOKUP("hq modifier",'Construction Times'!$W$3:$W$34,BS30+2,FALSE))*(1-$H$9)</f>
        <v>#N/A</v>
      </c>
      <c r="N30" s="426" t="e">
        <f t="shared" si="27"/>
        <v>#N/A</v>
      </c>
      <c r="O30" s="427"/>
      <c r="P30" s="430" t="e">
        <f t="shared" si="28"/>
        <v>#N/A</v>
      </c>
      <c r="Q30" s="431"/>
      <c r="R30" s="103">
        <f t="shared" si="71"/>
        <v>0</v>
      </c>
      <c r="S30" s="104">
        <f t="shared" si="71"/>
        <v>0</v>
      </c>
      <c r="T30" s="104">
        <f t="shared" si="72"/>
        <v>0</v>
      </c>
      <c r="U30" s="104">
        <f t="shared" si="30"/>
        <v>0</v>
      </c>
      <c r="V30" s="104">
        <f t="shared" si="30"/>
        <v>9.9999999999999995E-8</v>
      </c>
      <c r="W30" s="104">
        <f t="shared" si="30"/>
        <v>0</v>
      </c>
      <c r="X30" s="104">
        <f t="shared" si="30"/>
        <v>0</v>
      </c>
      <c r="Y30" s="104">
        <f t="shared" si="30"/>
        <v>9.9999999999999995E-8</v>
      </c>
      <c r="Z30" s="104">
        <f t="shared" si="30"/>
        <v>9.9999999999999995E-8</v>
      </c>
      <c r="AA30" s="105">
        <f t="shared" si="30"/>
        <v>9.9999999999999995E-8</v>
      </c>
      <c r="AB30" s="101" t="e">
        <f>$DT30*HLOOKUP($J30,'Construction Costs (timber)'!$B$1:$V$32,'Construction Planner'!$L30+2,FALSE)</f>
        <v>#N/A</v>
      </c>
      <c r="AC30" s="14" t="e">
        <f>$DT30*HLOOKUP($J30,'Construction Costs (clay)'!$B$1:$V$32,'Construction Planner'!$L30+2,FALSE)</f>
        <v>#N/A</v>
      </c>
      <c r="AD30" s="14" t="e">
        <f>$DT30*HLOOKUP($J30,'Construction Costs (iron)'!$B$1:$V$32,'Construction Planner'!$L30+2,FALSE)</f>
        <v>#N/A</v>
      </c>
      <c r="AE30" s="34" t="e">
        <f t="shared" si="86"/>
        <v>#N/A</v>
      </c>
      <c r="AF30" s="33" t="e">
        <f t="shared" si="3"/>
        <v>#N/A</v>
      </c>
      <c r="AG30" s="14" t="e">
        <f t="shared" si="4"/>
        <v>#N/A</v>
      </c>
      <c r="AH30" s="14" t="e">
        <f t="shared" si="5"/>
        <v>#N/A</v>
      </c>
      <c r="AI30" s="34" t="e">
        <f t="shared" si="87"/>
        <v>#N/A</v>
      </c>
      <c r="AJ30" s="49" t="e">
        <f t="shared" si="31"/>
        <v>#N/A</v>
      </c>
      <c r="AK30" s="49" t="e">
        <f t="shared" si="32"/>
        <v>#N/A</v>
      </c>
      <c r="AL30" s="49" t="e">
        <f t="shared" si="33"/>
        <v>#N/A</v>
      </c>
      <c r="AM30" s="25">
        <f t="shared" si="6"/>
        <v>30</v>
      </c>
      <c r="AN30" s="25">
        <f t="shared" si="7"/>
        <v>30</v>
      </c>
      <c r="AO30" s="25">
        <f t="shared" si="8"/>
        <v>30</v>
      </c>
      <c r="AP30" s="52" t="e">
        <f t="shared" si="34"/>
        <v>#N/A</v>
      </c>
      <c r="AQ30" s="53" t="e">
        <f t="shared" si="9"/>
        <v>#N/A</v>
      </c>
      <c r="AR30" s="54" t="e">
        <f t="shared" si="9"/>
        <v>#N/A</v>
      </c>
      <c r="AS30" s="316">
        <f t="shared" si="88"/>
        <v>0</v>
      </c>
      <c r="AT30" s="106">
        <f>_xlfn.IFNA($M30/VLOOKUP($BT30,'Unit information'!$A$2:$K$29,2,FALSE)*R30,0)*(1+$E$9)</f>
        <v>0</v>
      </c>
      <c r="AU30" s="107">
        <f>_xlfn.IFNA($M30/VLOOKUP($BT30,'Unit information'!$A$2:$K$29,3,FALSE)*S30,0)*(1+$E$9)</f>
        <v>0</v>
      </c>
      <c r="AV30" s="107">
        <f>_xlfn.IFNA($M30/VLOOKUP($BT30,'Unit information'!$A$2:$K$29,4,FALSE)*T30,0)*(1+$E$9)</f>
        <v>0</v>
      </c>
      <c r="AW30" s="107">
        <f>_xlfn.IFNA($M30/VLOOKUP($BT30,'Unit information'!$A$2:$K$29,5,FALSE)*U30,0)*(1+$E$9)</f>
        <v>0</v>
      </c>
      <c r="AX30" s="107">
        <f>_xlfn.IFNA($M30/VLOOKUP($BU30,'Unit information'!$A$2:$K$29,6,FALSE)*V30,0)*(1+$E$9)</f>
        <v>0</v>
      </c>
      <c r="AY30" s="107">
        <f>_xlfn.IFNA($M30/VLOOKUP($BU30,'Unit information'!$A$2:$K$29,7,FALSE)*W30,0)*(1+$E$9)</f>
        <v>0</v>
      </c>
      <c r="AZ30" s="107">
        <f>_xlfn.IFNA($M30/VLOOKUP($BU30,'Unit information'!$A$2:$K$29,8,FALSE)*X30,0)*(1+$E$9)</f>
        <v>0</v>
      </c>
      <c r="BA30" s="107">
        <f>_xlfn.IFNA($M30/VLOOKUP($BU30,'Unit information'!$A$2:$K$29,9,FALSE)*Y30,0)*(1+$E$9)</f>
        <v>0</v>
      </c>
      <c r="BB30" s="107">
        <f>_xlfn.IFNA($M30/VLOOKUP($BV30,'Unit information'!$A$2:$K$29,10,FALSE)*Z30,0)*(1+$E$9)</f>
        <v>0</v>
      </c>
      <c r="BC30" s="108">
        <f>_xlfn.IFNA($M30/VLOOKUP($BV30,'Unit information'!$A$2:$K$29,11,FALSE)*AA30,0)*(1+$E$9)</f>
        <v>0</v>
      </c>
      <c r="BD30" s="106">
        <f t="shared" si="10"/>
        <v>0</v>
      </c>
      <c r="BE30" s="107">
        <f t="shared" si="11"/>
        <v>0</v>
      </c>
      <c r="BF30" s="108">
        <f t="shared" si="12"/>
        <v>0</v>
      </c>
      <c r="BG30" s="25" t="e">
        <f t="shared" si="13"/>
        <v>#N/A</v>
      </c>
      <c r="BH30" s="25" t="e">
        <f t="shared" si="14"/>
        <v>#N/A</v>
      </c>
      <c r="BI30" s="25" t="e">
        <f t="shared" si="15"/>
        <v>#N/A</v>
      </c>
      <c r="BJ30" s="27" t="e">
        <f t="shared" si="16"/>
        <v>#N/A</v>
      </c>
      <c r="BK30" s="18" t="e">
        <f t="shared" si="17"/>
        <v>#N/A</v>
      </c>
      <c r="BL30" s="18" t="e">
        <f t="shared" si="18"/>
        <v>#N/A</v>
      </c>
      <c r="BM30" s="28" t="e">
        <f t="shared" si="89"/>
        <v>#N/A</v>
      </c>
      <c r="BN30" s="33">
        <f>HLOOKUP("maximum population",Miscelaneous!$C$1:$C$33,CH30+3,FALSE)</f>
        <v>240</v>
      </c>
      <c r="BO30" s="14">
        <f t="shared" si="35"/>
        <v>32</v>
      </c>
      <c r="BP30" s="14">
        <f t="shared" si="36"/>
        <v>0</v>
      </c>
      <c r="BQ30" s="14">
        <f t="shared" si="37"/>
        <v>208</v>
      </c>
      <c r="BR30" s="34" t="e">
        <f>HLOOKUP(J30,Villagers!$B$1:$V$33,L30+3,FALSE)-HLOOKUP(J30,Villagers!$B$1:$V$33,L30+2,FALSE)</f>
        <v>#N/A</v>
      </c>
      <c r="BS30" s="49">
        <f t="shared" si="38"/>
        <v>1</v>
      </c>
      <c r="BT30" s="50">
        <f t="shared" si="39"/>
        <v>0</v>
      </c>
      <c r="BU30" s="50">
        <f t="shared" si="40"/>
        <v>0</v>
      </c>
      <c r="BV30" s="50">
        <f t="shared" si="41"/>
        <v>0</v>
      </c>
      <c r="BW30" s="50">
        <f t="shared" si="42"/>
        <v>0</v>
      </c>
      <c r="BX30" s="50">
        <f t="shared" si="43"/>
        <v>0</v>
      </c>
      <c r="BY30" s="50">
        <f t="shared" si="43"/>
        <v>0</v>
      </c>
      <c r="BZ30" s="50">
        <f t="shared" si="44"/>
        <v>0</v>
      </c>
      <c r="CA30" s="50">
        <f t="shared" si="45"/>
        <v>0</v>
      </c>
      <c r="CB30" s="50">
        <f t="shared" si="46"/>
        <v>1</v>
      </c>
      <c r="CC30" s="50">
        <f t="shared" si="47"/>
        <v>0</v>
      </c>
      <c r="CD30" s="50">
        <f t="shared" si="48"/>
        <v>0</v>
      </c>
      <c r="CE30" s="50">
        <f t="shared" si="49"/>
        <v>1</v>
      </c>
      <c r="CF30" s="50">
        <f t="shared" si="50"/>
        <v>1</v>
      </c>
      <c r="CG30" s="50">
        <f t="shared" si="51"/>
        <v>1</v>
      </c>
      <c r="CH30" s="50">
        <f t="shared" si="52"/>
        <v>1</v>
      </c>
      <c r="CI30" s="50">
        <f t="shared" si="53"/>
        <v>1</v>
      </c>
      <c r="CJ30" s="50">
        <f t="shared" si="54"/>
        <v>1</v>
      </c>
      <c r="CK30" s="50">
        <f t="shared" si="55"/>
        <v>0</v>
      </c>
      <c r="CL30" s="50">
        <f t="shared" si="54"/>
        <v>0</v>
      </c>
      <c r="CM30" s="51">
        <f t="shared" si="56"/>
        <v>0</v>
      </c>
      <c r="CN30" s="33">
        <f>ROUND(IF(BS30=0,0,HLOOKUP(BS$14,Villagers!$B$1:$V$33,BS30+3,FALSE)),)</f>
        <v>5</v>
      </c>
      <c r="CO30" s="14">
        <f>ROUND(IF(BT30=0,0,HLOOKUP(BT$14,Villagers!$B$1:$V$33,BT30+3,FALSE)),)</f>
        <v>0</v>
      </c>
      <c r="CP30" s="14">
        <f>ROUND(IF(BU30=0,0,HLOOKUP(BU$14,Villagers!$B$1:$V$33,BU30+3,FALSE)),)</f>
        <v>0</v>
      </c>
      <c r="CQ30" s="14">
        <f>ROUND(IF(BV30=0,0,HLOOKUP(BV$14,Villagers!$B$1:$V$33,BV30+3,FALSE)),)</f>
        <v>0</v>
      </c>
      <c r="CR30" s="14">
        <f>ROUND(IF(BW30=0,0,HLOOKUP(BW$14,Villagers!$B$1:$V$33,BW30+3,FALSE)),)</f>
        <v>0</v>
      </c>
      <c r="CS30" s="14">
        <f>ROUND(IF(BX30=0,0,HLOOKUP(BX$14,Villagers!$B$1:$V$33,BX30+3,FALSE)),)</f>
        <v>0</v>
      </c>
      <c r="CT30" s="14">
        <f>ROUND(IF(BY30=0,0,HLOOKUP(BY$14,Villagers!$B$1:$V$33,BY30+3,FALSE)),)</f>
        <v>0</v>
      </c>
      <c r="CU30" s="14">
        <f>ROUND(IF(BZ30=0,0,HLOOKUP(BZ$14,Villagers!$B$1:$V$33,BZ30+3,FALSE)),)</f>
        <v>0</v>
      </c>
      <c r="CV30" s="14">
        <f>ROUND(IF(CA30=0,0,HLOOKUP(CA$14,Villagers!$B$1:$V$33,CA30+3,FALSE)),)</f>
        <v>0</v>
      </c>
      <c r="CW30" s="14">
        <f>ROUND(IF(CB30=0,0,HLOOKUP(CB$14,Villagers!$B$1:$V$33,CB30+3,FALSE)),)</f>
        <v>0</v>
      </c>
      <c r="CX30" s="14">
        <f>ROUND(IF(CC30=0,0,HLOOKUP(CC$14,Villagers!$B$1:$V$33,CC30+3,FALSE)),)</f>
        <v>0</v>
      </c>
      <c r="CY30" s="14">
        <f>ROUND(IF(CD30=0,0,HLOOKUP(CD$14,Villagers!$B$1:$V$33,CD30+3,FALSE)),)</f>
        <v>0</v>
      </c>
      <c r="CZ30" s="14">
        <f>ROUND(IF(CE30=0,0,HLOOKUP(CE$14,Villagers!$B$1:$V$33,CE30+3,FALSE)),)</f>
        <v>5</v>
      </c>
      <c r="DA30" s="14">
        <f>ROUND(IF(CF30=0,0,HLOOKUP(CF$14,Villagers!$B$1:$V$33,CF30+3,FALSE)),)</f>
        <v>10</v>
      </c>
      <c r="DB30" s="14">
        <f>ROUND(IF(CG30=0,0,HLOOKUP(CG$14,Villagers!$B$1:$V$33,CG30+3,FALSE)),)</f>
        <v>10</v>
      </c>
      <c r="DC30" s="14">
        <f>ROUND(IF(CH30=0,0,HLOOKUP(CH$14,Villagers!$B$1:$V$33,CH30+3,FALSE)),)</f>
        <v>0</v>
      </c>
      <c r="DD30" s="14">
        <f>ROUND(IF(CI30=0,0,HLOOKUP(CI$14,Villagers!$B$1:$V$33,CI30+3,FALSE)),)</f>
        <v>0</v>
      </c>
      <c r="DE30" s="14">
        <f>ROUND(IF(CJ30=0,0,HLOOKUP(CJ$14,Villagers!$B$1:$V$33,CJ30+3,FALSE)),)</f>
        <v>2</v>
      </c>
      <c r="DF30" s="370">
        <f>ROUND(IF(CK30=0,0,HLOOKUP(CK$14,Villagers!$B$1:$V$33,CK30+3,FALSE)),)</f>
        <v>0</v>
      </c>
      <c r="DG30" s="370">
        <f>ROUND(IF(CL30=0,0,HLOOKUP(CL$14,Villagers!$B$1:$V$33,CL30+3,FALSE)),)</f>
        <v>0</v>
      </c>
      <c r="DH30" s="34">
        <f>ROUND(IF(CM30=0,0,HLOOKUP(CM$14,Villagers!$B$1:$V$33,CM30+3,FALSE)),)</f>
        <v>0</v>
      </c>
      <c r="DI30" s="109">
        <f t="shared" si="74"/>
        <v>0</v>
      </c>
      <c r="DJ30" s="50">
        <f t="shared" si="75"/>
        <v>0</v>
      </c>
      <c r="DK30" s="50">
        <f t="shared" si="76"/>
        <v>0</v>
      </c>
      <c r="DL30" s="50">
        <f t="shared" si="77"/>
        <v>0</v>
      </c>
      <c r="DM30" s="50">
        <f t="shared" si="78"/>
        <v>0</v>
      </c>
      <c r="DN30" s="50">
        <f t="shared" si="79"/>
        <v>0</v>
      </c>
      <c r="DO30" s="50">
        <f t="shared" si="80"/>
        <v>0</v>
      </c>
      <c r="DP30" s="50">
        <f t="shared" si="81"/>
        <v>0</v>
      </c>
      <c r="DQ30" s="50">
        <f t="shared" si="58"/>
        <v>0</v>
      </c>
      <c r="DR30" s="50">
        <f t="shared" si="59"/>
        <v>0</v>
      </c>
      <c r="DS30" s="96">
        <f>Miscelaneous!$D$4*Miscelaneous!$D$2^($CI30-1)</f>
        <v>1000</v>
      </c>
      <c r="DT30" s="333">
        <f t="shared" si="60"/>
        <v>1</v>
      </c>
      <c r="DU30" s="81">
        <v>1</v>
      </c>
      <c r="DV30" s="79">
        <f t="shared" si="61"/>
        <v>0</v>
      </c>
      <c r="DW30" s="79">
        <f t="shared" si="21"/>
        <v>0</v>
      </c>
      <c r="DX30" s="79">
        <f t="shared" si="62"/>
        <v>0</v>
      </c>
      <c r="DY30" s="79">
        <v>1</v>
      </c>
      <c r="DZ30" s="79">
        <f t="shared" si="22"/>
        <v>0</v>
      </c>
      <c r="EA30" s="79">
        <f t="shared" si="63"/>
        <v>0</v>
      </c>
      <c r="EB30" s="79">
        <f t="shared" si="64"/>
        <v>0</v>
      </c>
      <c r="EC30" s="79">
        <f t="shared" si="65"/>
        <v>0</v>
      </c>
      <c r="ED30" s="79">
        <v>1</v>
      </c>
      <c r="EE30" s="79">
        <v>1</v>
      </c>
      <c r="EF30" s="79">
        <f t="shared" si="66"/>
        <v>0</v>
      </c>
      <c r="EG30" s="79">
        <v>1</v>
      </c>
      <c r="EH30" s="79">
        <v>1</v>
      </c>
      <c r="EI30" s="79">
        <v>1</v>
      </c>
      <c r="EJ30" s="79">
        <v>1</v>
      </c>
      <c r="EK30" s="79">
        <v>1</v>
      </c>
      <c r="EL30" s="79">
        <v>1</v>
      </c>
      <c r="EM30" s="143">
        <f t="shared" si="67"/>
        <v>0</v>
      </c>
      <c r="EN30" s="143">
        <f t="shared" si="68"/>
        <v>0</v>
      </c>
      <c r="EO30" s="82">
        <f t="shared" si="69"/>
        <v>0</v>
      </c>
    </row>
    <row r="31" spans="1:145" x14ac:dyDescent="0.25">
      <c r="A31">
        <v>17</v>
      </c>
      <c r="B31" s="172" t="e">
        <f t="shared" si="23"/>
        <v>#N/A</v>
      </c>
      <c r="C31" s="121" t="e">
        <f t="shared" ref="C31:E31" si="100">AJ31-SUM(AB31:AB35)</f>
        <v>#N/A</v>
      </c>
      <c r="D31" s="122" t="e">
        <f t="shared" si="100"/>
        <v>#N/A</v>
      </c>
      <c r="E31" s="122" t="e">
        <f t="shared" si="100"/>
        <v>#N/A</v>
      </c>
      <c r="F31" s="176" t="e">
        <f t="shared" si="0"/>
        <v>#N/A</v>
      </c>
      <c r="G31" s="121">
        <f t="shared" si="25"/>
        <v>208</v>
      </c>
      <c r="H31" s="176" t="e">
        <f t="shared" si="26"/>
        <v>#N/A</v>
      </c>
      <c r="I31" s="48">
        <v>1</v>
      </c>
      <c r="J31" s="39"/>
      <c r="K31" s="350">
        <v>1</v>
      </c>
      <c r="L31" s="34" t="e">
        <f t="shared" si="1"/>
        <v>#N/A</v>
      </c>
      <c r="M31" s="38" t="e">
        <f>(HLOOKUP(J31,'Construction Times'!$B$3:$W$34,L31+2,FALSE)*HLOOKUP("hq modifier",'Construction Times'!$W$3:$W$34,BS31+2,FALSE))*(1-$H$9)</f>
        <v>#N/A</v>
      </c>
      <c r="N31" s="426" t="e">
        <f t="shared" si="27"/>
        <v>#N/A</v>
      </c>
      <c r="O31" s="427"/>
      <c r="P31" s="430" t="e">
        <f t="shared" si="28"/>
        <v>#N/A</v>
      </c>
      <c r="Q31" s="431"/>
      <c r="R31" s="103">
        <f t="shared" si="71"/>
        <v>0</v>
      </c>
      <c r="S31" s="104">
        <f t="shared" si="71"/>
        <v>0</v>
      </c>
      <c r="T31" s="104">
        <f t="shared" si="72"/>
        <v>0</v>
      </c>
      <c r="U31" s="104">
        <f t="shared" si="30"/>
        <v>0</v>
      </c>
      <c r="V31" s="104">
        <f t="shared" si="30"/>
        <v>9.9999999999999995E-8</v>
      </c>
      <c r="W31" s="104">
        <f t="shared" si="30"/>
        <v>0</v>
      </c>
      <c r="X31" s="104">
        <f t="shared" si="30"/>
        <v>0</v>
      </c>
      <c r="Y31" s="104">
        <f t="shared" si="30"/>
        <v>9.9999999999999995E-8</v>
      </c>
      <c r="Z31" s="104">
        <f t="shared" si="30"/>
        <v>9.9999999999999995E-8</v>
      </c>
      <c r="AA31" s="105">
        <f t="shared" si="30"/>
        <v>9.9999999999999995E-8</v>
      </c>
      <c r="AB31" s="101" t="e">
        <f>$DT31*HLOOKUP($J31,'Construction Costs (timber)'!$B$1:$V$32,'Construction Planner'!$L31+2,FALSE)</f>
        <v>#N/A</v>
      </c>
      <c r="AC31" s="14" t="e">
        <f>$DT31*HLOOKUP($J31,'Construction Costs (clay)'!$B$1:$V$32,'Construction Planner'!$L31+2,FALSE)</f>
        <v>#N/A</v>
      </c>
      <c r="AD31" s="14" t="e">
        <f>$DT31*HLOOKUP($J31,'Construction Costs (iron)'!$B$1:$V$32,'Construction Planner'!$L31+2,FALSE)</f>
        <v>#N/A</v>
      </c>
      <c r="AE31" s="34" t="e">
        <f t="shared" si="86"/>
        <v>#N/A</v>
      </c>
      <c r="AF31" s="33" t="e">
        <f t="shared" si="3"/>
        <v>#N/A</v>
      </c>
      <c r="AG31" s="14" t="e">
        <f t="shared" si="4"/>
        <v>#N/A</v>
      </c>
      <c r="AH31" s="14" t="e">
        <f t="shared" si="5"/>
        <v>#N/A</v>
      </c>
      <c r="AI31" s="34" t="e">
        <f t="shared" si="87"/>
        <v>#N/A</v>
      </c>
      <c r="AJ31" s="49" t="e">
        <f t="shared" si="31"/>
        <v>#N/A</v>
      </c>
      <c r="AK31" s="49" t="e">
        <f t="shared" si="32"/>
        <v>#N/A</v>
      </c>
      <c r="AL31" s="49" t="e">
        <f t="shared" si="33"/>
        <v>#N/A</v>
      </c>
      <c r="AM31" s="25">
        <f t="shared" si="6"/>
        <v>30</v>
      </c>
      <c r="AN31" s="25">
        <f t="shared" si="7"/>
        <v>30</v>
      </c>
      <c r="AO31" s="25">
        <f t="shared" si="8"/>
        <v>30</v>
      </c>
      <c r="AP31" s="52" t="e">
        <f t="shared" si="34"/>
        <v>#N/A</v>
      </c>
      <c r="AQ31" s="53" t="e">
        <f t="shared" si="34"/>
        <v>#N/A</v>
      </c>
      <c r="AR31" s="54" t="e">
        <f t="shared" si="34"/>
        <v>#N/A</v>
      </c>
      <c r="AS31" s="316">
        <f t="shared" si="88"/>
        <v>0</v>
      </c>
      <c r="AT31" s="106">
        <f>_xlfn.IFNA($M31/VLOOKUP($BT31,'Unit information'!$A$2:$K$29,2,FALSE)*R31,0)*(1+$E$9)</f>
        <v>0</v>
      </c>
      <c r="AU31" s="107">
        <f>_xlfn.IFNA($M31/VLOOKUP($BT31,'Unit information'!$A$2:$K$29,3,FALSE)*S31,0)*(1+$E$9)</f>
        <v>0</v>
      </c>
      <c r="AV31" s="107">
        <f>_xlfn.IFNA($M31/VLOOKUP($BT31,'Unit information'!$A$2:$K$29,4,FALSE)*T31,0)*(1+$E$9)</f>
        <v>0</v>
      </c>
      <c r="AW31" s="107">
        <f>_xlfn.IFNA($M31/VLOOKUP($BT31,'Unit information'!$A$2:$K$29,5,FALSE)*U31,0)*(1+$E$9)</f>
        <v>0</v>
      </c>
      <c r="AX31" s="107">
        <f>_xlfn.IFNA($M31/VLOOKUP($BU31,'Unit information'!$A$2:$K$29,6,FALSE)*V31,0)*(1+$E$9)</f>
        <v>0</v>
      </c>
      <c r="AY31" s="107">
        <f>_xlfn.IFNA($M31/VLOOKUP($BU31,'Unit information'!$A$2:$K$29,7,FALSE)*W31,0)*(1+$E$9)</f>
        <v>0</v>
      </c>
      <c r="AZ31" s="107">
        <f>_xlfn.IFNA($M31/VLOOKUP($BU31,'Unit information'!$A$2:$K$29,8,FALSE)*X31,0)*(1+$E$9)</f>
        <v>0</v>
      </c>
      <c r="BA31" s="107">
        <f>_xlfn.IFNA($M31/VLOOKUP($BU31,'Unit information'!$A$2:$K$29,9,FALSE)*Y31,0)*(1+$E$9)</f>
        <v>0</v>
      </c>
      <c r="BB31" s="107">
        <f>_xlfn.IFNA($M31/VLOOKUP($BV31,'Unit information'!$A$2:$K$29,10,FALSE)*Z31,0)*(1+$E$9)</f>
        <v>0</v>
      </c>
      <c r="BC31" s="108">
        <f>_xlfn.IFNA($M31/VLOOKUP($BV31,'Unit information'!$A$2:$K$29,11,FALSE)*AA31,0)*(1+$E$9)</f>
        <v>0</v>
      </c>
      <c r="BD31" s="106">
        <f t="shared" si="10"/>
        <v>0</v>
      </c>
      <c r="BE31" s="107">
        <f t="shared" si="11"/>
        <v>0</v>
      </c>
      <c r="BF31" s="108">
        <f t="shared" si="12"/>
        <v>0</v>
      </c>
      <c r="BG31" s="25" t="e">
        <f t="shared" si="13"/>
        <v>#N/A</v>
      </c>
      <c r="BH31" s="25" t="e">
        <f t="shared" si="14"/>
        <v>#N/A</v>
      </c>
      <c r="BI31" s="25" t="e">
        <f t="shared" si="15"/>
        <v>#N/A</v>
      </c>
      <c r="BJ31" s="27" t="e">
        <f t="shared" si="16"/>
        <v>#N/A</v>
      </c>
      <c r="BK31" s="18" t="e">
        <f t="shared" si="17"/>
        <v>#N/A</v>
      </c>
      <c r="BL31" s="18" t="e">
        <f t="shared" si="18"/>
        <v>#N/A</v>
      </c>
      <c r="BM31" s="28" t="e">
        <f t="shared" si="89"/>
        <v>#N/A</v>
      </c>
      <c r="BN31" s="33">
        <f>HLOOKUP("maximum population",Miscelaneous!$C$1:$C$33,CH31+3,FALSE)</f>
        <v>240</v>
      </c>
      <c r="BO31" s="14">
        <f t="shared" si="35"/>
        <v>32</v>
      </c>
      <c r="BP31" s="14">
        <f t="shared" si="36"/>
        <v>0</v>
      </c>
      <c r="BQ31" s="14">
        <f t="shared" si="37"/>
        <v>208</v>
      </c>
      <c r="BR31" s="34" t="e">
        <f>HLOOKUP(J31,Villagers!$B$1:$V$33,L31+3,FALSE)-HLOOKUP(J31,Villagers!$B$1:$V$33,L31+2,FALSE)</f>
        <v>#N/A</v>
      </c>
      <c r="BS31" s="49">
        <f t="shared" si="38"/>
        <v>1</v>
      </c>
      <c r="BT31" s="50">
        <f t="shared" si="39"/>
        <v>0</v>
      </c>
      <c r="BU31" s="50">
        <f t="shared" si="40"/>
        <v>0</v>
      </c>
      <c r="BV31" s="50">
        <f t="shared" si="41"/>
        <v>0</v>
      </c>
      <c r="BW31" s="50">
        <f t="shared" si="42"/>
        <v>0</v>
      </c>
      <c r="BX31" s="50">
        <f t="shared" si="43"/>
        <v>0</v>
      </c>
      <c r="BY31" s="50">
        <f t="shared" si="43"/>
        <v>0</v>
      </c>
      <c r="BZ31" s="50">
        <f t="shared" si="44"/>
        <v>0</v>
      </c>
      <c r="CA31" s="50">
        <f t="shared" si="45"/>
        <v>0</v>
      </c>
      <c r="CB31" s="50">
        <f t="shared" si="46"/>
        <v>1</v>
      </c>
      <c r="CC31" s="50">
        <f t="shared" si="47"/>
        <v>0</v>
      </c>
      <c r="CD31" s="50">
        <f t="shared" si="48"/>
        <v>0</v>
      </c>
      <c r="CE31" s="50">
        <f t="shared" si="49"/>
        <v>1</v>
      </c>
      <c r="CF31" s="50">
        <f t="shared" si="50"/>
        <v>1</v>
      </c>
      <c r="CG31" s="50">
        <f t="shared" si="51"/>
        <v>1</v>
      </c>
      <c r="CH31" s="50">
        <f t="shared" si="52"/>
        <v>1</v>
      </c>
      <c r="CI31" s="50">
        <f t="shared" si="53"/>
        <v>1</v>
      </c>
      <c r="CJ31" s="50">
        <f t="shared" si="54"/>
        <v>1</v>
      </c>
      <c r="CK31" s="50">
        <f t="shared" si="55"/>
        <v>0</v>
      </c>
      <c r="CL31" s="50">
        <f t="shared" si="54"/>
        <v>0</v>
      </c>
      <c r="CM31" s="51">
        <f t="shared" si="56"/>
        <v>0</v>
      </c>
      <c r="CN31" s="33">
        <f>ROUND(IF(BS31=0,0,HLOOKUP(BS$14,Villagers!$B$1:$V$33,BS31+3,FALSE)),)</f>
        <v>5</v>
      </c>
      <c r="CO31" s="14">
        <f>ROUND(IF(BT31=0,0,HLOOKUP(BT$14,Villagers!$B$1:$V$33,BT31+3,FALSE)),)</f>
        <v>0</v>
      </c>
      <c r="CP31" s="14">
        <f>ROUND(IF(BU31=0,0,HLOOKUP(BU$14,Villagers!$B$1:$V$33,BU31+3,FALSE)),)</f>
        <v>0</v>
      </c>
      <c r="CQ31" s="14">
        <f>ROUND(IF(BV31=0,0,HLOOKUP(BV$14,Villagers!$B$1:$V$33,BV31+3,FALSE)),)</f>
        <v>0</v>
      </c>
      <c r="CR31" s="14">
        <f>ROUND(IF(BW31=0,0,HLOOKUP(BW$14,Villagers!$B$1:$V$33,BW31+3,FALSE)),)</f>
        <v>0</v>
      </c>
      <c r="CS31" s="14">
        <f>ROUND(IF(BX31=0,0,HLOOKUP(BX$14,Villagers!$B$1:$V$33,BX31+3,FALSE)),)</f>
        <v>0</v>
      </c>
      <c r="CT31" s="14">
        <f>ROUND(IF(BY31=0,0,HLOOKUP(BY$14,Villagers!$B$1:$V$33,BY31+3,FALSE)),)</f>
        <v>0</v>
      </c>
      <c r="CU31" s="14">
        <f>ROUND(IF(BZ31=0,0,HLOOKUP(BZ$14,Villagers!$B$1:$V$33,BZ31+3,FALSE)),)</f>
        <v>0</v>
      </c>
      <c r="CV31" s="14">
        <f>ROUND(IF(CA31=0,0,HLOOKUP(CA$14,Villagers!$B$1:$V$33,CA31+3,FALSE)),)</f>
        <v>0</v>
      </c>
      <c r="CW31" s="14">
        <f>ROUND(IF(CB31=0,0,HLOOKUP(CB$14,Villagers!$B$1:$V$33,CB31+3,FALSE)),)</f>
        <v>0</v>
      </c>
      <c r="CX31" s="14">
        <f>ROUND(IF(CC31=0,0,HLOOKUP(CC$14,Villagers!$B$1:$V$33,CC31+3,FALSE)),)</f>
        <v>0</v>
      </c>
      <c r="CY31" s="14">
        <f>ROUND(IF(CD31=0,0,HLOOKUP(CD$14,Villagers!$B$1:$V$33,CD31+3,FALSE)),)</f>
        <v>0</v>
      </c>
      <c r="CZ31" s="14">
        <f>ROUND(IF(CE31=0,0,HLOOKUP(CE$14,Villagers!$B$1:$V$33,CE31+3,FALSE)),)</f>
        <v>5</v>
      </c>
      <c r="DA31" s="14">
        <f>ROUND(IF(CF31=0,0,HLOOKUP(CF$14,Villagers!$B$1:$V$33,CF31+3,FALSE)),)</f>
        <v>10</v>
      </c>
      <c r="DB31" s="14">
        <f>ROUND(IF(CG31=0,0,HLOOKUP(CG$14,Villagers!$B$1:$V$33,CG31+3,FALSE)),)</f>
        <v>10</v>
      </c>
      <c r="DC31" s="14">
        <f>ROUND(IF(CH31=0,0,HLOOKUP(CH$14,Villagers!$B$1:$V$33,CH31+3,FALSE)),)</f>
        <v>0</v>
      </c>
      <c r="DD31" s="14">
        <f>ROUND(IF(CI31=0,0,HLOOKUP(CI$14,Villagers!$B$1:$V$33,CI31+3,FALSE)),)</f>
        <v>0</v>
      </c>
      <c r="DE31" s="14">
        <f>ROUND(IF(CJ31=0,0,HLOOKUP(CJ$14,Villagers!$B$1:$V$33,CJ31+3,FALSE)),)</f>
        <v>2</v>
      </c>
      <c r="DF31" s="370">
        <f>ROUND(IF(CK31=0,0,HLOOKUP(CK$14,Villagers!$B$1:$V$33,CK31+3,FALSE)),)</f>
        <v>0</v>
      </c>
      <c r="DG31" s="370">
        <f>ROUND(IF(CL31=0,0,HLOOKUP(CL$14,Villagers!$B$1:$V$33,CL31+3,FALSE)),)</f>
        <v>0</v>
      </c>
      <c r="DH31" s="34">
        <f>ROUND(IF(CM31=0,0,HLOOKUP(CM$14,Villagers!$B$1:$V$33,CM31+3,FALSE)),)</f>
        <v>0</v>
      </c>
      <c r="DI31" s="109">
        <f t="shared" si="74"/>
        <v>0</v>
      </c>
      <c r="DJ31" s="50">
        <f t="shared" si="75"/>
        <v>0</v>
      </c>
      <c r="DK31" s="50">
        <f t="shared" si="76"/>
        <v>0</v>
      </c>
      <c r="DL31" s="50">
        <f t="shared" si="77"/>
        <v>0</v>
      </c>
      <c r="DM31" s="50">
        <f t="shared" si="78"/>
        <v>0</v>
      </c>
      <c r="DN31" s="50">
        <f t="shared" si="79"/>
        <v>0</v>
      </c>
      <c r="DO31" s="50">
        <f t="shared" si="80"/>
        <v>0</v>
      </c>
      <c r="DP31" s="50">
        <f t="shared" si="81"/>
        <v>0</v>
      </c>
      <c r="DQ31" s="50">
        <f t="shared" si="58"/>
        <v>0</v>
      </c>
      <c r="DR31" s="50">
        <f t="shared" si="59"/>
        <v>0</v>
      </c>
      <c r="DS31" s="96">
        <f>Miscelaneous!$D$4*Miscelaneous!$D$2^($CI31-1)</f>
        <v>1000</v>
      </c>
      <c r="DT31" s="333">
        <f t="shared" si="60"/>
        <v>1</v>
      </c>
      <c r="DU31" s="81">
        <v>1</v>
      </c>
      <c r="DV31" s="79">
        <f t="shared" si="61"/>
        <v>0</v>
      </c>
      <c r="DW31" s="79">
        <f t="shared" si="21"/>
        <v>0</v>
      </c>
      <c r="DX31" s="79">
        <f t="shared" si="62"/>
        <v>0</v>
      </c>
      <c r="DY31" s="79">
        <v>1</v>
      </c>
      <c r="DZ31" s="79">
        <f t="shared" si="22"/>
        <v>0</v>
      </c>
      <c r="EA31" s="79">
        <f t="shared" si="63"/>
        <v>0</v>
      </c>
      <c r="EB31" s="79">
        <f t="shared" si="64"/>
        <v>0</v>
      </c>
      <c r="EC31" s="79">
        <f t="shared" si="65"/>
        <v>0</v>
      </c>
      <c r="ED31" s="79">
        <v>1</v>
      </c>
      <c r="EE31" s="79">
        <v>1</v>
      </c>
      <c r="EF31" s="79">
        <f t="shared" si="66"/>
        <v>0</v>
      </c>
      <c r="EG31" s="79">
        <v>1</v>
      </c>
      <c r="EH31" s="79">
        <v>1</v>
      </c>
      <c r="EI31" s="79">
        <v>1</v>
      </c>
      <c r="EJ31" s="79">
        <v>1</v>
      </c>
      <c r="EK31" s="79">
        <v>1</v>
      </c>
      <c r="EL31" s="79">
        <v>1</v>
      </c>
      <c r="EM31" s="143">
        <f t="shared" si="67"/>
        <v>0</v>
      </c>
      <c r="EN31" s="143">
        <f t="shared" si="68"/>
        <v>0</v>
      </c>
      <c r="EO31" s="82">
        <f t="shared" si="69"/>
        <v>0</v>
      </c>
    </row>
    <row r="32" spans="1:145" x14ac:dyDescent="0.25">
      <c r="A32">
        <v>18</v>
      </c>
      <c r="B32" s="172" t="e">
        <f t="shared" si="23"/>
        <v>#N/A</v>
      </c>
      <c r="C32" s="121" t="e">
        <f t="shared" ref="C32:E32" si="101">AJ32-SUM(AB32:AB36)</f>
        <v>#N/A</v>
      </c>
      <c r="D32" s="122" t="e">
        <f t="shared" si="101"/>
        <v>#N/A</v>
      </c>
      <c r="E32" s="122" t="e">
        <f t="shared" si="101"/>
        <v>#N/A</v>
      </c>
      <c r="F32" s="176" t="e">
        <f t="shared" si="0"/>
        <v>#N/A</v>
      </c>
      <c r="G32" s="121">
        <f t="shared" si="25"/>
        <v>208</v>
      </c>
      <c r="H32" s="176" t="e">
        <f t="shared" si="26"/>
        <v>#N/A</v>
      </c>
      <c r="I32" s="48">
        <v>1</v>
      </c>
      <c r="J32" s="39"/>
      <c r="K32" s="350">
        <v>1</v>
      </c>
      <c r="L32" s="34" t="e">
        <f t="shared" si="1"/>
        <v>#N/A</v>
      </c>
      <c r="M32" s="38" t="e">
        <f>(HLOOKUP(J32,'Construction Times'!$B$3:$W$34,L32+2,FALSE)*HLOOKUP("hq modifier",'Construction Times'!$W$3:$W$34,BS32+2,FALSE))*(1-$H$9)</f>
        <v>#N/A</v>
      </c>
      <c r="N32" s="426" t="e">
        <f t="shared" si="27"/>
        <v>#N/A</v>
      </c>
      <c r="O32" s="427"/>
      <c r="P32" s="430" t="e">
        <f t="shared" si="28"/>
        <v>#N/A</v>
      </c>
      <c r="Q32" s="431"/>
      <c r="R32" s="103">
        <f t="shared" si="71"/>
        <v>0</v>
      </c>
      <c r="S32" s="104">
        <f t="shared" si="71"/>
        <v>0</v>
      </c>
      <c r="T32" s="104">
        <f t="shared" si="72"/>
        <v>0</v>
      </c>
      <c r="U32" s="104">
        <f t="shared" si="30"/>
        <v>0</v>
      </c>
      <c r="V32" s="104">
        <f t="shared" si="30"/>
        <v>9.9999999999999995E-8</v>
      </c>
      <c r="W32" s="104">
        <f t="shared" si="30"/>
        <v>0</v>
      </c>
      <c r="X32" s="104">
        <f t="shared" si="30"/>
        <v>0</v>
      </c>
      <c r="Y32" s="104">
        <f t="shared" si="30"/>
        <v>9.9999999999999995E-8</v>
      </c>
      <c r="Z32" s="104">
        <f t="shared" si="30"/>
        <v>9.9999999999999995E-8</v>
      </c>
      <c r="AA32" s="105">
        <f t="shared" si="30"/>
        <v>9.9999999999999995E-8</v>
      </c>
      <c r="AB32" s="101" t="e">
        <f>$DT32*HLOOKUP($J32,'Construction Costs (timber)'!$B$1:$V$32,'Construction Planner'!$L32+2,FALSE)</f>
        <v>#N/A</v>
      </c>
      <c r="AC32" s="14" t="e">
        <f>$DT32*HLOOKUP($J32,'Construction Costs (clay)'!$B$1:$V$32,'Construction Planner'!$L32+2,FALSE)</f>
        <v>#N/A</v>
      </c>
      <c r="AD32" s="14" t="e">
        <f>$DT32*HLOOKUP($J32,'Construction Costs (iron)'!$B$1:$V$32,'Construction Planner'!$L32+2,FALSE)</f>
        <v>#N/A</v>
      </c>
      <c r="AE32" s="34" t="e">
        <f t="shared" si="86"/>
        <v>#N/A</v>
      </c>
      <c r="AF32" s="33" t="e">
        <f t="shared" si="3"/>
        <v>#N/A</v>
      </c>
      <c r="AG32" s="14" t="e">
        <f t="shared" si="4"/>
        <v>#N/A</v>
      </c>
      <c r="AH32" s="14" t="e">
        <f t="shared" si="5"/>
        <v>#N/A</v>
      </c>
      <c r="AI32" s="34" t="e">
        <f t="shared" si="87"/>
        <v>#N/A</v>
      </c>
      <c r="AJ32" s="49" t="e">
        <f t="shared" si="31"/>
        <v>#N/A</v>
      </c>
      <c r="AK32" s="49" t="e">
        <f t="shared" si="32"/>
        <v>#N/A</v>
      </c>
      <c r="AL32" s="49" t="e">
        <f t="shared" si="33"/>
        <v>#N/A</v>
      </c>
      <c r="AM32" s="25">
        <f t="shared" si="6"/>
        <v>30</v>
      </c>
      <c r="AN32" s="25">
        <f t="shared" si="7"/>
        <v>30</v>
      </c>
      <c r="AO32" s="25">
        <f t="shared" si="8"/>
        <v>30</v>
      </c>
      <c r="AP32" s="52" t="e">
        <f t="shared" si="34"/>
        <v>#N/A</v>
      </c>
      <c r="AQ32" s="53" t="e">
        <f t="shared" si="34"/>
        <v>#N/A</v>
      </c>
      <c r="AR32" s="54" t="e">
        <f t="shared" si="34"/>
        <v>#N/A</v>
      </c>
      <c r="AS32" s="316">
        <f t="shared" si="88"/>
        <v>0</v>
      </c>
      <c r="AT32" s="106">
        <f>_xlfn.IFNA($M32/VLOOKUP($BT32,'Unit information'!$A$2:$K$29,2,FALSE)*R32,0)*(1+$E$9)</f>
        <v>0</v>
      </c>
      <c r="AU32" s="107">
        <f>_xlfn.IFNA($M32/VLOOKUP($BT32,'Unit information'!$A$2:$K$29,3,FALSE)*S32,0)*(1+$E$9)</f>
        <v>0</v>
      </c>
      <c r="AV32" s="107">
        <f>_xlfn.IFNA($M32/VLOOKUP($BT32,'Unit information'!$A$2:$K$29,4,FALSE)*T32,0)*(1+$E$9)</f>
        <v>0</v>
      </c>
      <c r="AW32" s="107">
        <f>_xlfn.IFNA($M32/VLOOKUP($BT32,'Unit information'!$A$2:$K$29,5,FALSE)*U32,0)*(1+$E$9)</f>
        <v>0</v>
      </c>
      <c r="AX32" s="107">
        <f>_xlfn.IFNA($M32/VLOOKUP($BU32,'Unit information'!$A$2:$K$29,6,FALSE)*V32,0)*(1+$E$9)</f>
        <v>0</v>
      </c>
      <c r="AY32" s="107">
        <f>_xlfn.IFNA($M32/VLOOKUP($BU32,'Unit information'!$A$2:$K$29,7,FALSE)*W32,0)*(1+$E$9)</f>
        <v>0</v>
      </c>
      <c r="AZ32" s="107">
        <f>_xlfn.IFNA($M32/VLOOKUP($BU32,'Unit information'!$A$2:$K$29,8,FALSE)*X32,0)*(1+$E$9)</f>
        <v>0</v>
      </c>
      <c r="BA32" s="107">
        <f>_xlfn.IFNA($M32/VLOOKUP($BU32,'Unit information'!$A$2:$K$29,9,FALSE)*Y32,0)*(1+$E$9)</f>
        <v>0</v>
      </c>
      <c r="BB32" s="107">
        <f>_xlfn.IFNA($M32/VLOOKUP($BV32,'Unit information'!$A$2:$K$29,10,FALSE)*Z32,0)*(1+$E$9)</f>
        <v>0</v>
      </c>
      <c r="BC32" s="108">
        <f>_xlfn.IFNA($M32/VLOOKUP($BV32,'Unit information'!$A$2:$K$29,11,FALSE)*AA32,0)*(1+$E$9)</f>
        <v>0</v>
      </c>
      <c r="BD32" s="106">
        <f t="shared" si="10"/>
        <v>0</v>
      </c>
      <c r="BE32" s="107">
        <f t="shared" si="11"/>
        <v>0</v>
      </c>
      <c r="BF32" s="108">
        <f t="shared" si="12"/>
        <v>0</v>
      </c>
      <c r="BG32" s="25" t="e">
        <f t="shared" si="13"/>
        <v>#N/A</v>
      </c>
      <c r="BH32" s="25" t="e">
        <f t="shared" si="14"/>
        <v>#N/A</v>
      </c>
      <c r="BI32" s="25" t="e">
        <f t="shared" si="15"/>
        <v>#N/A</v>
      </c>
      <c r="BJ32" s="27" t="e">
        <f t="shared" si="16"/>
        <v>#N/A</v>
      </c>
      <c r="BK32" s="18" t="e">
        <f t="shared" si="17"/>
        <v>#N/A</v>
      </c>
      <c r="BL32" s="18" t="e">
        <f t="shared" si="18"/>
        <v>#N/A</v>
      </c>
      <c r="BM32" s="28" t="e">
        <f t="shared" si="89"/>
        <v>#N/A</v>
      </c>
      <c r="BN32" s="33">
        <f>HLOOKUP("maximum population",Miscelaneous!$C$1:$C$33,CH32+3,FALSE)</f>
        <v>240</v>
      </c>
      <c r="BO32" s="14">
        <f t="shared" si="35"/>
        <v>32</v>
      </c>
      <c r="BP32" s="14">
        <f t="shared" si="36"/>
        <v>0</v>
      </c>
      <c r="BQ32" s="14">
        <f t="shared" si="37"/>
        <v>208</v>
      </c>
      <c r="BR32" s="34" t="e">
        <f>HLOOKUP(J32,Villagers!$B$1:$V$33,L32+3,FALSE)-HLOOKUP(J32,Villagers!$B$1:$V$33,L32+2,FALSE)</f>
        <v>#N/A</v>
      </c>
      <c r="BS32" s="49">
        <f t="shared" si="38"/>
        <v>1</v>
      </c>
      <c r="BT32" s="50">
        <f t="shared" si="39"/>
        <v>0</v>
      </c>
      <c r="BU32" s="50">
        <f t="shared" si="40"/>
        <v>0</v>
      </c>
      <c r="BV32" s="50">
        <f t="shared" si="41"/>
        <v>0</v>
      </c>
      <c r="BW32" s="50">
        <f t="shared" si="42"/>
        <v>0</v>
      </c>
      <c r="BX32" s="50">
        <f t="shared" si="43"/>
        <v>0</v>
      </c>
      <c r="BY32" s="50">
        <f t="shared" si="43"/>
        <v>0</v>
      </c>
      <c r="BZ32" s="50">
        <f t="shared" si="44"/>
        <v>0</v>
      </c>
      <c r="CA32" s="50">
        <f t="shared" si="45"/>
        <v>0</v>
      </c>
      <c r="CB32" s="50">
        <f t="shared" si="46"/>
        <v>1</v>
      </c>
      <c r="CC32" s="50">
        <f t="shared" si="47"/>
        <v>0</v>
      </c>
      <c r="CD32" s="50">
        <f t="shared" si="48"/>
        <v>0</v>
      </c>
      <c r="CE32" s="50">
        <f t="shared" si="49"/>
        <v>1</v>
      </c>
      <c r="CF32" s="50">
        <f t="shared" si="50"/>
        <v>1</v>
      </c>
      <c r="CG32" s="50">
        <f t="shared" si="51"/>
        <v>1</v>
      </c>
      <c r="CH32" s="50">
        <f t="shared" si="52"/>
        <v>1</v>
      </c>
      <c r="CI32" s="50">
        <f t="shared" si="53"/>
        <v>1</v>
      </c>
      <c r="CJ32" s="50">
        <f t="shared" si="54"/>
        <v>1</v>
      </c>
      <c r="CK32" s="50">
        <f t="shared" si="55"/>
        <v>0</v>
      </c>
      <c r="CL32" s="50">
        <f t="shared" si="54"/>
        <v>0</v>
      </c>
      <c r="CM32" s="51">
        <f t="shared" si="56"/>
        <v>0</v>
      </c>
      <c r="CN32" s="33">
        <f>ROUND(IF(BS32=0,0,HLOOKUP(BS$14,Villagers!$B$1:$V$33,BS32+3,FALSE)),)</f>
        <v>5</v>
      </c>
      <c r="CO32" s="14">
        <f>ROUND(IF(BT32=0,0,HLOOKUP(BT$14,Villagers!$B$1:$V$33,BT32+3,FALSE)),)</f>
        <v>0</v>
      </c>
      <c r="CP32" s="14">
        <f>ROUND(IF(BU32=0,0,HLOOKUP(BU$14,Villagers!$B$1:$V$33,BU32+3,FALSE)),)</f>
        <v>0</v>
      </c>
      <c r="CQ32" s="14">
        <f>ROUND(IF(BV32=0,0,HLOOKUP(BV$14,Villagers!$B$1:$V$33,BV32+3,FALSE)),)</f>
        <v>0</v>
      </c>
      <c r="CR32" s="14">
        <f>ROUND(IF(BW32=0,0,HLOOKUP(BW$14,Villagers!$B$1:$V$33,BW32+3,FALSE)),)</f>
        <v>0</v>
      </c>
      <c r="CS32" s="14">
        <f>ROUND(IF(BX32=0,0,HLOOKUP(BX$14,Villagers!$B$1:$V$33,BX32+3,FALSE)),)</f>
        <v>0</v>
      </c>
      <c r="CT32" s="14">
        <f>ROUND(IF(BY32=0,0,HLOOKUP(BY$14,Villagers!$B$1:$V$33,BY32+3,FALSE)),)</f>
        <v>0</v>
      </c>
      <c r="CU32" s="14">
        <f>ROUND(IF(BZ32=0,0,HLOOKUP(BZ$14,Villagers!$B$1:$V$33,BZ32+3,FALSE)),)</f>
        <v>0</v>
      </c>
      <c r="CV32" s="14">
        <f>ROUND(IF(CA32=0,0,HLOOKUP(CA$14,Villagers!$B$1:$V$33,CA32+3,FALSE)),)</f>
        <v>0</v>
      </c>
      <c r="CW32" s="14">
        <f>ROUND(IF(CB32=0,0,HLOOKUP(CB$14,Villagers!$B$1:$V$33,CB32+3,FALSE)),)</f>
        <v>0</v>
      </c>
      <c r="CX32" s="14">
        <f>ROUND(IF(CC32=0,0,HLOOKUP(CC$14,Villagers!$B$1:$V$33,CC32+3,FALSE)),)</f>
        <v>0</v>
      </c>
      <c r="CY32" s="14">
        <f>ROUND(IF(CD32=0,0,HLOOKUP(CD$14,Villagers!$B$1:$V$33,CD32+3,FALSE)),)</f>
        <v>0</v>
      </c>
      <c r="CZ32" s="14">
        <f>ROUND(IF(CE32=0,0,HLOOKUP(CE$14,Villagers!$B$1:$V$33,CE32+3,FALSE)),)</f>
        <v>5</v>
      </c>
      <c r="DA32" s="14">
        <f>ROUND(IF(CF32=0,0,HLOOKUP(CF$14,Villagers!$B$1:$V$33,CF32+3,FALSE)),)</f>
        <v>10</v>
      </c>
      <c r="DB32" s="14">
        <f>ROUND(IF(CG32=0,0,HLOOKUP(CG$14,Villagers!$B$1:$V$33,CG32+3,FALSE)),)</f>
        <v>10</v>
      </c>
      <c r="DC32" s="14">
        <f>ROUND(IF(CH32=0,0,HLOOKUP(CH$14,Villagers!$B$1:$V$33,CH32+3,FALSE)),)</f>
        <v>0</v>
      </c>
      <c r="DD32" s="14">
        <f>ROUND(IF(CI32=0,0,HLOOKUP(CI$14,Villagers!$B$1:$V$33,CI32+3,FALSE)),)</f>
        <v>0</v>
      </c>
      <c r="DE32" s="14">
        <f>ROUND(IF(CJ32=0,0,HLOOKUP(CJ$14,Villagers!$B$1:$V$33,CJ32+3,FALSE)),)</f>
        <v>2</v>
      </c>
      <c r="DF32" s="370">
        <f>ROUND(IF(CK32=0,0,HLOOKUP(CK$14,Villagers!$B$1:$V$33,CK32+3,FALSE)),)</f>
        <v>0</v>
      </c>
      <c r="DG32" s="370">
        <f>ROUND(IF(CL32=0,0,HLOOKUP(CL$14,Villagers!$B$1:$V$33,CL32+3,FALSE)),)</f>
        <v>0</v>
      </c>
      <c r="DH32" s="34">
        <f>ROUND(IF(CM32=0,0,HLOOKUP(CM$14,Villagers!$B$1:$V$33,CM32+3,FALSE)),)</f>
        <v>0</v>
      </c>
      <c r="DI32" s="109">
        <f t="shared" si="74"/>
        <v>0</v>
      </c>
      <c r="DJ32" s="50">
        <f t="shared" si="75"/>
        <v>0</v>
      </c>
      <c r="DK32" s="50">
        <f t="shared" si="76"/>
        <v>0</v>
      </c>
      <c r="DL32" s="50">
        <f t="shared" si="77"/>
        <v>0</v>
      </c>
      <c r="DM32" s="50">
        <f t="shared" si="78"/>
        <v>0</v>
      </c>
      <c r="DN32" s="50">
        <f t="shared" si="79"/>
        <v>0</v>
      </c>
      <c r="DO32" s="50">
        <f t="shared" si="80"/>
        <v>0</v>
      </c>
      <c r="DP32" s="50">
        <f t="shared" si="81"/>
        <v>0</v>
      </c>
      <c r="DQ32" s="50">
        <f t="shared" si="58"/>
        <v>0</v>
      </c>
      <c r="DR32" s="50">
        <f t="shared" si="59"/>
        <v>0</v>
      </c>
      <c r="DS32" s="96">
        <f>Miscelaneous!$D$4*Miscelaneous!$D$2^($CI32-1)</f>
        <v>1000</v>
      </c>
      <c r="DT32" s="333">
        <f t="shared" si="60"/>
        <v>1</v>
      </c>
      <c r="DU32" s="81">
        <v>1</v>
      </c>
      <c r="DV32" s="79">
        <f t="shared" si="61"/>
        <v>0</v>
      </c>
      <c r="DW32" s="79">
        <f t="shared" si="21"/>
        <v>0</v>
      </c>
      <c r="DX32" s="79">
        <f t="shared" si="62"/>
        <v>0</v>
      </c>
      <c r="DY32" s="79">
        <v>1</v>
      </c>
      <c r="DZ32" s="79">
        <f t="shared" si="22"/>
        <v>0</v>
      </c>
      <c r="EA32" s="79">
        <f t="shared" si="63"/>
        <v>0</v>
      </c>
      <c r="EB32" s="79">
        <f t="shared" si="64"/>
        <v>0</v>
      </c>
      <c r="EC32" s="79">
        <f t="shared" si="65"/>
        <v>0</v>
      </c>
      <c r="ED32" s="79">
        <v>1</v>
      </c>
      <c r="EE32" s="79">
        <v>1</v>
      </c>
      <c r="EF32" s="79">
        <f t="shared" si="66"/>
        <v>0</v>
      </c>
      <c r="EG32" s="79">
        <v>1</v>
      </c>
      <c r="EH32" s="79">
        <v>1</v>
      </c>
      <c r="EI32" s="79">
        <v>1</v>
      </c>
      <c r="EJ32" s="79">
        <v>1</v>
      </c>
      <c r="EK32" s="79">
        <v>1</v>
      </c>
      <c r="EL32" s="79">
        <v>1</v>
      </c>
      <c r="EM32" s="143">
        <f t="shared" si="67"/>
        <v>0</v>
      </c>
      <c r="EN32" s="143">
        <f t="shared" si="68"/>
        <v>0</v>
      </c>
      <c r="EO32" s="82">
        <f t="shared" si="69"/>
        <v>0</v>
      </c>
    </row>
    <row r="33" spans="1:145" x14ac:dyDescent="0.25">
      <c r="A33">
        <v>19</v>
      </c>
      <c r="B33" s="172" t="e">
        <f t="shared" si="23"/>
        <v>#N/A</v>
      </c>
      <c r="C33" s="121" t="e">
        <f t="shared" ref="C33:E33" si="102">AJ33-SUM(AB33:AB37)</f>
        <v>#N/A</v>
      </c>
      <c r="D33" s="122" t="e">
        <f t="shared" si="102"/>
        <v>#N/A</v>
      </c>
      <c r="E33" s="122" t="e">
        <f t="shared" si="102"/>
        <v>#N/A</v>
      </c>
      <c r="F33" s="176" t="e">
        <f t="shared" si="0"/>
        <v>#N/A</v>
      </c>
      <c r="G33" s="121">
        <f t="shared" si="25"/>
        <v>208</v>
      </c>
      <c r="H33" s="176" t="e">
        <f t="shared" si="26"/>
        <v>#N/A</v>
      </c>
      <c r="I33" s="48">
        <v>1</v>
      </c>
      <c r="J33" s="39"/>
      <c r="K33" s="350">
        <v>1</v>
      </c>
      <c r="L33" s="34" t="e">
        <f t="shared" si="1"/>
        <v>#N/A</v>
      </c>
      <c r="M33" s="38" t="e">
        <f>(HLOOKUP(J33,'Construction Times'!$B$3:$W$34,L33+2,FALSE)*HLOOKUP("hq modifier",'Construction Times'!$W$3:$W$34,BS33+2,FALSE))*(1-$H$9)</f>
        <v>#N/A</v>
      </c>
      <c r="N33" s="426" t="e">
        <f t="shared" si="27"/>
        <v>#N/A</v>
      </c>
      <c r="O33" s="427"/>
      <c r="P33" s="430" t="e">
        <f t="shared" si="28"/>
        <v>#N/A</v>
      </c>
      <c r="Q33" s="431"/>
      <c r="R33" s="103">
        <f t="shared" si="71"/>
        <v>0</v>
      </c>
      <c r="S33" s="104">
        <f t="shared" si="71"/>
        <v>0</v>
      </c>
      <c r="T33" s="104">
        <f t="shared" si="72"/>
        <v>0</v>
      </c>
      <c r="U33" s="104">
        <f t="shared" si="30"/>
        <v>0</v>
      </c>
      <c r="V33" s="104">
        <f t="shared" si="30"/>
        <v>9.9999999999999995E-8</v>
      </c>
      <c r="W33" s="104">
        <f t="shared" si="30"/>
        <v>0</v>
      </c>
      <c r="X33" s="104">
        <f t="shared" si="30"/>
        <v>0</v>
      </c>
      <c r="Y33" s="104">
        <f t="shared" si="30"/>
        <v>9.9999999999999995E-8</v>
      </c>
      <c r="Z33" s="104">
        <f t="shared" si="30"/>
        <v>9.9999999999999995E-8</v>
      </c>
      <c r="AA33" s="105">
        <f t="shared" si="30"/>
        <v>9.9999999999999995E-8</v>
      </c>
      <c r="AB33" s="101" t="e">
        <f>$DT33*HLOOKUP($J33,'Construction Costs (timber)'!$B$1:$V$32,'Construction Planner'!$L33+2,FALSE)</f>
        <v>#N/A</v>
      </c>
      <c r="AC33" s="14" t="e">
        <f>$DT33*HLOOKUP($J33,'Construction Costs (clay)'!$B$1:$V$32,'Construction Planner'!$L33+2,FALSE)</f>
        <v>#N/A</v>
      </c>
      <c r="AD33" s="14" t="e">
        <f>$DT33*HLOOKUP($J33,'Construction Costs (iron)'!$B$1:$V$32,'Construction Planner'!$L33+2,FALSE)</f>
        <v>#N/A</v>
      </c>
      <c r="AE33" s="34" t="e">
        <f t="shared" si="86"/>
        <v>#N/A</v>
      </c>
      <c r="AF33" s="33" t="e">
        <f t="shared" si="3"/>
        <v>#N/A</v>
      </c>
      <c r="AG33" s="14" t="e">
        <f t="shared" si="4"/>
        <v>#N/A</v>
      </c>
      <c r="AH33" s="14" t="e">
        <f t="shared" si="5"/>
        <v>#N/A</v>
      </c>
      <c r="AI33" s="34" t="e">
        <f t="shared" si="87"/>
        <v>#N/A</v>
      </c>
      <c r="AJ33" s="49" t="e">
        <f t="shared" si="31"/>
        <v>#N/A</v>
      </c>
      <c r="AK33" s="49" t="e">
        <f t="shared" si="32"/>
        <v>#N/A</v>
      </c>
      <c r="AL33" s="49" t="e">
        <f t="shared" si="33"/>
        <v>#N/A</v>
      </c>
      <c r="AM33" s="25">
        <f t="shared" si="6"/>
        <v>30</v>
      </c>
      <c r="AN33" s="25">
        <f t="shared" si="7"/>
        <v>30</v>
      </c>
      <c r="AO33" s="25">
        <f t="shared" si="8"/>
        <v>30</v>
      </c>
      <c r="AP33" s="52" t="e">
        <f t="shared" si="34"/>
        <v>#N/A</v>
      </c>
      <c r="AQ33" s="53" t="e">
        <f t="shared" si="34"/>
        <v>#N/A</v>
      </c>
      <c r="AR33" s="54" t="e">
        <f t="shared" si="34"/>
        <v>#N/A</v>
      </c>
      <c r="AS33" s="316">
        <f t="shared" si="88"/>
        <v>0</v>
      </c>
      <c r="AT33" s="106">
        <f>_xlfn.IFNA($M33/VLOOKUP($BT33,'Unit information'!$A$2:$K$29,2,FALSE)*R33,0)*(1+$E$9)</f>
        <v>0</v>
      </c>
      <c r="AU33" s="107">
        <f>_xlfn.IFNA($M33/VLOOKUP($BT33,'Unit information'!$A$2:$K$29,3,FALSE)*S33,0)*(1+$E$9)</f>
        <v>0</v>
      </c>
      <c r="AV33" s="107">
        <f>_xlfn.IFNA($M33/VLOOKUP($BT33,'Unit information'!$A$2:$K$29,4,FALSE)*T33,0)*(1+$E$9)</f>
        <v>0</v>
      </c>
      <c r="AW33" s="107">
        <f>_xlfn.IFNA($M33/VLOOKUP($BT33,'Unit information'!$A$2:$K$29,5,FALSE)*U33,0)*(1+$E$9)</f>
        <v>0</v>
      </c>
      <c r="AX33" s="107">
        <f>_xlfn.IFNA($M33/VLOOKUP($BU33,'Unit information'!$A$2:$K$29,6,FALSE)*V33,0)*(1+$E$9)</f>
        <v>0</v>
      </c>
      <c r="AY33" s="107">
        <f>_xlfn.IFNA($M33/VLOOKUP($BU33,'Unit information'!$A$2:$K$29,7,FALSE)*W33,0)*(1+$E$9)</f>
        <v>0</v>
      </c>
      <c r="AZ33" s="107">
        <f>_xlfn.IFNA($M33/VLOOKUP($BU33,'Unit information'!$A$2:$K$29,8,FALSE)*X33,0)*(1+$E$9)</f>
        <v>0</v>
      </c>
      <c r="BA33" s="107">
        <f>_xlfn.IFNA($M33/VLOOKUP($BU33,'Unit information'!$A$2:$K$29,9,FALSE)*Y33,0)*(1+$E$9)</f>
        <v>0</v>
      </c>
      <c r="BB33" s="107">
        <f>_xlfn.IFNA($M33/VLOOKUP($BV33,'Unit information'!$A$2:$K$29,10,FALSE)*Z33,0)*(1+$E$9)</f>
        <v>0</v>
      </c>
      <c r="BC33" s="108">
        <f>_xlfn.IFNA($M33/VLOOKUP($BV33,'Unit information'!$A$2:$K$29,11,FALSE)*AA33,0)*(1+$E$9)</f>
        <v>0</v>
      </c>
      <c r="BD33" s="106">
        <f t="shared" si="10"/>
        <v>0</v>
      </c>
      <c r="BE33" s="107">
        <f t="shared" si="11"/>
        <v>0</v>
      </c>
      <c r="BF33" s="108">
        <f t="shared" si="12"/>
        <v>0</v>
      </c>
      <c r="BG33" s="25" t="e">
        <f t="shared" si="13"/>
        <v>#N/A</v>
      </c>
      <c r="BH33" s="25" t="e">
        <f t="shared" si="14"/>
        <v>#N/A</v>
      </c>
      <c r="BI33" s="25" t="e">
        <f t="shared" si="15"/>
        <v>#N/A</v>
      </c>
      <c r="BJ33" s="27" t="e">
        <f t="shared" si="16"/>
        <v>#N/A</v>
      </c>
      <c r="BK33" s="18" t="e">
        <f t="shared" si="17"/>
        <v>#N/A</v>
      </c>
      <c r="BL33" s="18" t="e">
        <f t="shared" si="18"/>
        <v>#N/A</v>
      </c>
      <c r="BM33" s="28" t="e">
        <f t="shared" si="89"/>
        <v>#N/A</v>
      </c>
      <c r="BN33" s="33">
        <f>HLOOKUP("maximum population",Miscelaneous!$C$1:$C$33,CH33+3,FALSE)</f>
        <v>240</v>
      </c>
      <c r="BO33" s="14">
        <f t="shared" si="35"/>
        <v>32</v>
      </c>
      <c r="BP33" s="14">
        <f t="shared" si="36"/>
        <v>0</v>
      </c>
      <c r="BQ33" s="14">
        <f t="shared" si="37"/>
        <v>208</v>
      </c>
      <c r="BR33" s="34" t="e">
        <f>HLOOKUP(J33,Villagers!$B$1:$V$33,L33+3,FALSE)-HLOOKUP(J33,Villagers!$B$1:$V$33,L33+2,FALSE)</f>
        <v>#N/A</v>
      </c>
      <c r="BS33" s="49">
        <f t="shared" si="38"/>
        <v>1</v>
      </c>
      <c r="BT33" s="50">
        <f t="shared" si="39"/>
        <v>0</v>
      </c>
      <c r="BU33" s="50">
        <f t="shared" si="40"/>
        <v>0</v>
      </c>
      <c r="BV33" s="50">
        <f t="shared" si="41"/>
        <v>0</v>
      </c>
      <c r="BW33" s="50">
        <f t="shared" si="42"/>
        <v>0</v>
      </c>
      <c r="BX33" s="50">
        <f t="shared" si="43"/>
        <v>0</v>
      </c>
      <c r="BY33" s="50">
        <f t="shared" si="43"/>
        <v>0</v>
      </c>
      <c r="BZ33" s="50">
        <f t="shared" si="44"/>
        <v>0</v>
      </c>
      <c r="CA33" s="50">
        <f t="shared" si="45"/>
        <v>0</v>
      </c>
      <c r="CB33" s="50">
        <f t="shared" si="46"/>
        <v>1</v>
      </c>
      <c r="CC33" s="50">
        <f t="shared" si="47"/>
        <v>0</v>
      </c>
      <c r="CD33" s="50">
        <f t="shared" si="48"/>
        <v>0</v>
      </c>
      <c r="CE33" s="50">
        <f t="shared" si="49"/>
        <v>1</v>
      </c>
      <c r="CF33" s="50">
        <f t="shared" si="50"/>
        <v>1</v>
      </c>
      <c r="CG33" s="50">
        <f t="shared" si="51"/>
        <v>1</v>
      </c>
      <c r="CH33" s="50">
        <f t="shared" si="52"/>
        <v>1</v>
      </c>
      <c r="CI33" s="50">
        <f t="shared" si="53"/>
        <v>1</v>
      </c>
      <c r="CJ33" s="50">
        <f t="shared" si="54"/>
        <v>1</v>
      </c>
      <c r="CK33" s="50">
        <f t="shared" si="55"/>
        <v>0</v>
      </c>
      <c r="CL33" s="50">
        <f t="shared" si="54"/>
        <v>0</v>
      </c>
      <c r="CM33" s="51">
        <f t="shared" si="56"/>
        <v>0</v>
      </c>
      <c r="CN33" s="33">
        <f>ROUND(IF(BS33=0,0,HLOOKUP(BS$14,Villagers!$B$1:$V$33,BS33+3,FALSE)),)</f>
        <v>5</v>
      </c>
      <c r="CO33" s="14">
        <f>ROUND(IF(BT33=0,0,HLOOKUP(BT$14,Villagers!$B$1:$V$33,BT33+3,FALSE)),)</f>
        <v>0</v>
      </c>
      <c r="CP33" s="14">
        <f>ROUND(IF(BU33=0,0,HLOOKUP(BU$14,Villagers!$B$1:$V$33,BU33+3,FALSE)),)</f>
        <v>0</v>
      </c>
      <c r="CQ33" s="14">
        <f>ROUND(IF(BV33=0,0,HLOOKUP(BV$14,Villagers!$B$1:$V$33,BV33+3,FALSE)),)</f>
        <v>0</v>
      </c>
      <c r="CR33" s="14">
        <f>ROUND(IF(BW33=0,0,HLOOKUP(BW$14,Villagers!$B$1:$V$33,BW33+3,FALSE)),)</f>
        <v>0</v>
      </c>
      <c r="CS33" s="14">
        <f>ROUND(IF(BX33=0,0,HLOOKUP(BX$14,Villagers!$B$1:$V$33,BX33+3,FALSE)),)</f>
        <v>0</v>
      </c>
      <c r="CT33" s="14">
        <f>ROUND(IF(BY33=0,0,HLOOKUP(BY$14,Villagers!$B$1:$V$33,BY33+3,FALSE)),)</f>
        <v>0</v>
      </c>
      <c r="CU33" s="14">
        <f>ROUND(IF(BZ33=0,0,HLOOKUP(BZ$14,Villagers!$B$1:$V$33,BZ33+3,FALSE)),)</f>
        <v>0</v>
      </c>
      <c r="CV33" s="14">
        <f>ROUND(IF(CA33=0,0,HLOOKUP(CA$14,Villagers!$B$1:$V$33,CA33+3,FALSE)),)</f>
        <v>0</v>
      </c>
      <c r="CW33" s="14">
        <f>ROUND(IF(CB33=0,0,HLOOKUP(CB$14,Villagers!$B$1:$V$33,CB33+3,FALSE)),)</f>
        <v>0</v>
      </c>
      <c r="CX33" s="14">
        <f>ROUND(IF(CC33=0,0,HLOOKUP(CC$14,Villagers!$B$1:$V$33,CC33+3,FALSE)),)</f>
        <v>0</v>
      </c>
      <c r="CY33" s="14">
        <f>ROUND(IF(CD33=0,0,HLOOKUP(CD$14,Villagers!$B$1:$V$33,CD33+3,FALSE)),)</f>
        <v>0</v>
      </c>
      <c r="CZ33" s="14">
        <f>ROUND(IF(CE33=0,0,HLOOKUP(CE$14,Villagers!$B$1:$V$33,CE33+3,FALSE)),)</f>
        <v>5</v>
      </c>
      <c r="DA33" s="14">
        <f>ROUND(IF(CF33=0,0,HLOOKUP(CF$14,Villagers!$B$1:$V$33,CF33+3,FALSE)),)</f>
        <v>10</v>
      </c>
      <c r="DB33" s="14">
        <f>ROUND(IF(CG33=0,0,HLOOKUP(CG$14,Villagers!$B$1:$V$33,CG33+3,FALSE)),)</f>
        <v>10</v>
      </c>
      <c r="DC33" s="14">
        <f>ROUND(IF(CH33=0,0,HLOOKUP(CH$14,Villagers!$B$1:$V$33,CH33+3,FALSE)),)</f>
        <v>0</v>
      </c>
      <c r="DD33" s="14">
        <f>ROUND(IF(CI33=0,0,HLOOKUP(CI$14,Villagers!$B$1:$V$33,CI33+3,FALSE)),)</f>
        <v>0</v>
      </c>
      <c r="DE33" s="14">
        <f>ROUND(IF(CJ33=0,0,HLOOKUP(CJ$14,Villagers!$B$1:$V$33,CJ33+3,FALSE)),)</f>
        <v>2</v>
      </c>
      <c r="DF33" s="370">
        <f>ROUND(IF(CK33=0,0,HLOOKUP(CK$14,Villagers!$B$1:$V$33,CK33+3,FALSE)),)</f>
        <v>0</v>
      </c>
      <c r="DG33" s="370">
        <f>ROUND(IF(CL33=0,0,HLOOKUP(CL$14,Villagers!$B$1:$V$33,CL33+3,FALSE)),)</f>
        <v>0</v>
      </c>
      <c r="DH33" s="34">
        <f>ROUND(IF(CM33=0,0,HLOOKUP(CM$14,Villagers!$B$1:$V$33,CM33+3,FALSE)),)</f>
        <v>0</v>
      </c>
      <c r="DI33" s="109">
        <f t="shared" si="74"/>
        <v>0</v>
      </c>
      <c r="DJ33" s="50">
        <f t="shared" si="75"/>
        <v>0</v>
      </c>
      <c r="DK33" s="50">
        <f t="shared" si="76"/>
        <v>0</v>
      </c>
      <c r="DL33" s="50">
        <f t="shared" si="77"/>
        <v>0</v>
      </c>
      <c r="DM33" s="50">
        <f t="shared" si="78"/>
        <v>0</v>
      </c>
      <c r="DN33" s="50">
        <f t="shared" si="79"/>
        <v>0</v>
      </c>
      <c r="DO33" s="50">
        <f t="shared" si="80"/>
        <v>0</v>
      </c>
      <c r="DP33" s="50">
        <f t="shared" si="81"/>
        <v>0</v>
      </c>
      <c r="DQ33" s="50">
        <f t="shared" si="58"/>
        <v>0</v>
      </c>
      <c r="DR33" s="50">
        <f t="shared" si="59"/>
        <v>0</v>
      </c>
      <c r="DS33" s="96">
        <f>Miscelaneous!$D$4*Miscelaneous!$D$2^($CI33-1)</f>
        <v>1000</v>
      </c>
      <c r="DT33" s="333">
        <f t="shared" si="60"/>
        <v>1</v>
      </c>
      <c r="DU33" s="81">
        <v>1</v>
      </c>
      <c r="DV33" s="79">
        <f t="shared" si="61"/>
        <v>0</v>
      </c>
      <c r="DW33" s="79">
        <f t="shared" si="21"/>
        <v>0</v>
      </c>
      <c r="DX33" s="79">
        <f t="shared" si="62"/>
        <v>0</v>
      </c>
      <c r="DY33" s="79">
        <v>1</v>
      </c>
      <c r="DZ33" s="79">
        <f t="shared" si="22"/>
        <v>0</v>
      </c>
      <c r="EA33" s="79">
        <f t="shared" si="63"/>
        <v>0</v>
      </c>
      <c r="EB33" s="79">
        <f t="shared" si="64"/>
        <v>0</v>
      </c>
      <c r="EC33" s="79">
        <f t="shared" si="65"/>
        <v>0</v>
      </c>
      <c r="ED33" s="79">
        <v>1</v>
      </c>
      <c r="EE33" s="79">
        <v>1</v>
      </c>
      <c r="EF33" s="79">
        <f t="shared" si="66"/>
        <v>0</v>
      </c>
      <c r="EG33" s="79">
        <v>1</v>
      </c>
      <c r="EH33" s="79">
        <v>1</v>
      </c>
      <c r="EI33" s="79">
        <v>1</v>
      </c>
      <c r="EJ33" s="79">
        <v>1</v>
      </c>
      <c r="EK33" s="79">
        <v>1</v>
      </c>
      <c r="EL33" s="79">
        <v>1</v>
      </c>
      <c r="EM33" s="143">
        <f t="shared" si="67"/>
        <v>0</v>
      </c>
      <c r="EN33" s="143">
        <f t="shared" si="68"/>
        <v>0</v>
      </c>
      <c r="EO33" s="82">
        <f t="shared" si="69"/>
        <v>0</v>
      </c>
    </row>
    <row r="34" spans="1:145" x14ac:dyDescent="0.25">
      <c r="A34">
        <v>20</v>
      </c>
      <c r="B34" s="172" t="e">
        <f t="shared" si="23"/>
        <v>#N/A</v>
      </c>
      <c r="C34" s="121" t="e">
        <f t="shared" ref="C34:E34" si="103">AJ34-SUM(AB34:AB38)</f>
        <v>#N/A</v>
      </c>
      <c r="D34" s="122" t="e">
        <f t="shared" si="103"/>
        <v>#N/A</v>
      </c>
      <c r="E34" s="122" t="e">
        <f t="shared" si="103"/>
        <v>#N/A</v>
      </c>
      <c r="F34" s="176" t="e">
        <f t="shared" si="0"/>
        <v>#N/A</v>
      </c>
      <c r="G34" s="121">
        <f t="shared" si="25"/>
        <v>208</v>
      </c>
      <c r="H34" s="176" t="e">
        <f t="shared" si="26"/>
        <v>#N/A</v>
      </c>
      <c r="I34" s="48">
        <v>1</v>
      </c>
      <c r="J34" s="39"/>
      <c r="K34" s="350">
        <v>1</v>
      </c>
      <c r="L34" s="34" t="e">
        <f t="shared" si="1"/>
        <v>#N/A</v>
      </c>
      <c r="M34" s="38" t="e">
        <f>(HLOOKUP(J34,'Construction Times'!$B$3:$W$34,L34+2,FALSE)*HLOOKUP("hq modifier",'Construction Times'!$W$3:$W$34,BS34+2,FALSE))*(1-$H$9)</f>
        <v>#N/A</v>
      </c>
      <c r="N34" s="426" t="e">
        <f t="shared" si="27"/>
        <v>#N/A</v>
      </c>
      <c r="O34" s="427"/>
      <c r="P34" s="430" t="e">
        <f t="shared" si="28"/>
        <v>#N/A</v>
      </c>
      <c r="Q34" s="431"/>
      <c r="R34" s="103">
        <f t="shared" si="71"/>
        <v>0</v>
      </c>
      <c r="S34" s="104">
        <f t="shared" si="71"/>
        <v>0</v>
      </c>
      <c r="T34" s="104">
        <f t="shared" si="72"/>
        <v>0</v>
      </c>
      <c r="U34" s="104">
        <f t="shared" si="30"/>
        <v>0</v>
      </c>
      <c r="V34" s="104">
        <f t="shared" si="30"/>
        <v>9.9999999999999995E-8</v>
      </c>
      <c r="W34" s="104">
        <f t="shared" si="30"/>
        <v>0</v>
      </c>
      <c r="X34" s="104">
        <f t="shared" si="30"/>
        <v>0</v>
      </c>
      <c r="Y34" s="104">
        <f t="shared" si="30"/>
        <v>9.9999999999999995E-8</v>
      </c>
      <c r="Z34" s="104">
        <f t="shared" si="30"/>
        <v>9.9999999999999995E-8</v>
      </c>
      <c r="AA34" s="105">
        <f t="shared" si="30"/>
        <v>9.9999999999999995E-8</v>
      </c>
      <c r="AB34" s="101" t="e">
        <f>$DT34*HLOOKUP($J34,'Construction Costs (timber)'!$B$1:$V$32,'Construction Planner'!$L34+2,FALSE)</f>
        <v>#N/A</v>
      </c>
      <c r="AC34" s="14" t="e">
        <f>$DT34*HLOOKUP($J34,'Construction Costs (clay)'!$B$1:$V$32,'Construction Planner'!$L34+2,FALSE)</f>
        <v>#N/A</v>
      </c>
      <c r="AD34" s="14" t="e">
        <f>$DT34*HLOOKUP($J34,'Construction Costs (iron)'!$B$1:$V$32,'Construction Planner'!$L34+2,FALSE)</f>
        <v>#N/A</v>
      </c>
      <c r="AE34" s="34" t="e">
        <f t="shared" si="86"/>
        <v>#N/A</v>
      </c>
      <c r="AF34" s="33" t="e">
        <f t="shared" si="3"/>
        <v>#N/A</v>
      </c>
      <c r="AG34" s="14" t="e">
        <f t="shared" si="4"/>
        <v>#N/A</v>
      </c>
      <c r="AH34" s="14" t="e">
        <f t="shared" si="5"/>
        <v>#N/A</v>
      </c>
      <c r="AI34" s="34" t="e">
        <f t="shared" si="87"/>
        <v>#N/A</v>
      </c>
      <c r="AJ34" s="49" t="e">
        <f t="shared" si="31"/>
        <v>#N/A</v>
      </c>
      <c r="AK34" s="49" t="e">
        <f t="shared" si="32"/>
        <v>#N/A</v>
      </c>
      <c r="AL34" s="49" t="e">
        <f t="shared" si="33"/>
        <v>#N/A</v>
      </c>
      <c r="AM34" s="25">
        <f t="shared" si="6"/>
        <v>30</v>
      </c>
      <c r="AN34" s="25">
        <f t="shared" si="7"/>
        <v>30</v>
      </c>
      <c r="AO34" s="25">
        <f t="shared" si="8"/>
        <v>30</v>
      </c>
      <c r="AP34" s="52" t="e">
        <f t="shared" si="34"/>
        <v>#N/A</v>
      </c>
      <c r="AQ34" s="53" t="e">
        <f t="shared" si="34"/>
        <v>#N/A</v>
      </c>
      <c r="AR34" s="54" t="e">
        <f t="shared" si="34"/>
        <v>#N/A</v>
      </c>
      <c r="AS34" s="316">
        <f t="shared" si="88"/>
        <v>0</v>
      </c>
      <c r="AT34" s="106">
        <f>_xlfn.IFNA($M34/VLOOKUP($BT34,'Unit information'!$A$2:$K$29,2,FALSE)*R34,0)*(1+$E$9)</f>
        <v>0</v>
      </c>
      <c r="AU34" s="107">
        <f>_xlfn.IFNA($M34/VLOOKUP($BT34,'Unit information'!$A$2:$K$29,3,FALSE)*S34,0)*(1+$E$9)</f>
        <v>0</v>
      </c>
      <c r="AV34" s="107">
        <f>_xlfn.IFNA($M34/VLOOKUP($BT34,'Unit information'!$A$2:$K$29,4,FALSE)*T34,0)*(1+$E$9)</f>
        <v>0</v>
      </c>
      <c r="AW34" s="107">
        <f>_xlfn.IFNA($M34/VLOOKUP($BT34,'Unit information'!$A$2:$K$29,5,FALSE)*U34,0)*(1+$E$9)</f>
        <v>0</v>
      </c>
      <c r="AX34" s="107">
        <f>_xlfn.IFNA($M34/VLOOKUP($BU34,'Unit information'!$A$2:$K$29,6,FALSE)*V34,0)*(1+$E$9)</f>
        <v>0</v>
      </c>
      <c r="AY34" s="107">
        <f>_xlfn.IFNA($M34/VLOOKUP($BU34,'Unit information'!$A$2:$K$29,7,FALSE)*W34,0)*(1+$E$9)</f>
        <v>0</v>
      </c>
      <c r="AZ34" s="107">
        <f>_xlfn.IFNA($M34/VLOOKUP($BU34,'Unit information'!$A$2:$K$29,8,FALSE)*X34,0)*(1+$E$9)</f>
        <v>0</v>
      </c>
      <c r="BA34" s="107">
        <f>_xlfn.IFNA($M34/VLOOKUP($BU34,'Unit information'!$A$2:$K$29,9,FALSE)*Y34,0)*(1+$E$9)</f>
        <v>0</v>
      </c>
      <c r="BB34" s="107">
        <f>_xlfn.IFNA($M34/VLOOKUP($BV34,'Unit information'!$A$2:$K$29,10,FALSE)*Z34,0)*(1+$E$9)</f>
        <v>0</v>
      </c>
      <c r="BC34" s="108">
        <f>_xlfn.IFNA($M34/VLOOKUP($BV34,'Unit information'!$A$2:$K$29,11,FALSE)*AA34,0)*(1+$E$9)</f>
        <v>0</v>
      </c>
      <c r="BD34" s="106">
        <f t="shared" si="10"/>
        <v>0</v>
      </c>
      <c r="BE34" s="107">
        <f t="shared" si="11"/>
        <v>0</v>
      </c>
      <c r="BF34" s="108">
        <f t="shared" si="12"/>
        <v>0</v>
      </c>
      <c r="BG34" s="25" t="e">
        <f t="shared" si="13"/>
        <v>#N/A</v>
      </c>
      <c r="BH34" s="25" t="e">
        <f t="shared" si="14"/>
        <v>#N/A</v>
      </c>
      <c r="BI34" s="25" t="e">
        <f t="shared" si="15"/>
        <v>#N/A</v>
      </c>
      <c r="BJ34" s="27" t="e">
        <f t="shared" si="16"/>
        <v>#N/A</v>
      </c>
      <c r="BK34" s="18" t="e">
        <f t="shared" si="17"/>
        <v>#N/A</v>
      </c>
      <c r="BL34" s="18" t="e">
        <f t="shared" si="18"/>
        <v>#N/A</v>
      </c>
      <c r="BM34" s="28" t="e">
        <f t="shared" si="89"/>
        <v>#N/A</v>
      </c>
      <c r="BN34" s="33">
        <f>HLOOKUP("maximum population",Miscelaneous!$C$1:$C$33,CH34+3,FALSE)</f>
        <v>240</v>
      </c>
      <c r="BO34" s="14">
        <f t="shared" si="35"/>
        <v>32</v>
      </c>
      <c r="BP34" s="14">
        <f t="shared" si="36"/>
        <v>0</v>
      </c>
      <c r="BQ34" s="14">
        <f t="shared" si="37"/>
        <v>208</v>
      </c>
      <c r="BR34" s="34" t="e">
        <f>HLOOKUP(J34,Villagers!$B$1:$V$33,L34+3,FALSE)-HLOOKUP(J34,Villagers!$B$1:$V$33,L34+2,FALSE)</f>
        <v>#N/A</v>
      </c>
      <c r="BS34" s="49">
        <f t="shared" si="38"/>
        <v>1</v>
      </c>
      <c r="BT34" s="50">
        <f t="shared" si="39"/>
        <v>0</v>
      </c>
      <c r="BU34" s="50">
        <f t="shared" si="40"/>
        <v>0</v>
      </c>
      <c r="BV34" s="50">
        <f t="shared" si="41"/>
        <v>0</v>
      </c>
      <c r="BW34" s="50">
        <f t="shared" si="42"/>
        <v>0</v>
      </c>
      <c r="BX34" s="50">
        <f t="shared" si="43"/>
        <v>0</v>
      </c>
      <c r="BY34" s="50">
        <f t="shared" si="43"/>
        <v>0</v>
      </c>
      <c r="BZ34" s="50">
        <f t="shared" si="44"/>
        <v>0</v>
      </c>
      <c r="CA34" s="50">
        <f t="shared" si="45"/>
        <v>0</v>
      </c>
      <c r="CB34" s="50">
        <f t="shared" si="46"/>
        <v>1</v>
      </c>
      <c r="CC34" s="50">
        <f t="shared" si="47"/>
        <v>0</v>
      </c>
      <c r="CD34" s="50">
        <f t="shared" si="48"/>
        <v>0</v>
      </c>
      <c r="CE34" s="50">
        <f t="shared" si="49"/>
        <v>1</v>
      </c>
      <c r="CF34" s="50">
        <f t="shared" si="50"/>
        <v>1</v>
      </c>
      <c r="CG34" s="50">
        <f t="shared" si="51"/>
        <v>1</v>
      </c>
      <c r="CH34" s="50">
        <f t="shared" si="52"/>
        <v>1</v>
      </c>
      <c r="CI34" s="50">
        <f t="shared" si="53"/>
        <v>1</v>
      </c>
      <c r="CJ34" s="50">
        <f t="shared" si="54"/>
        <v>1</v>
      </c>
      <c r="CK34" s="50">
        <f t="shared" si="55"/>
        <v>0</v>
      </c>
      <c r="CL34" s="50">
        <f t="shared" si="54"/>
        <v>0</v>
      </c>
      <c r="CM34" s="51">
        <f t="shared" si="56"/>
        <v>0</v>
      </c>
      <c r="CN34" s="33">
        <f>ROUND(IF(BS34=0,0,HLOOKUP(BS$14,Villagers!$B$1:$V$33,BS34+3,FALSE)),)</f>
        <v>5</v>
      </c>
      <c r="CO34" s="14">
        <f>ROUND(IF(BT34=0,0,HLOOKUP(BT$14,Villagers!$B$1:$V$33,BT34+3,FALSE)),)</f>
        <v>0</v>
      </c>
      <c r="CP34" s="14">
        <f>ROUND(IF(BU34=0,0,HLOOKUP(BU$14,Villagers!$B$1:$V$33,BU34+3,FALSE)),)</f>
        <v>0</v>
      </c>
      <c r="CQ34" s="14">
        <f>ROUND(IF(BV34=0,0,HLOOKUP(BV$14,Villagers!$B$1:$V$33,BV34+3,FALSE)),)</f>
        <v>0</v>
      </c>
      <c r="CR34" s="14">
        <f>ROUND(IF(BW34=0,0,HLOOKUP(BW$14,Villagers!$B$1:$V$33,BW34+3,FALSE)),)</f>
        <v>0</v>
      </c>
      <c r="CS34" s="14">
        <f>ROUND(IF(BX34=0,0,HLOOKUP(BX$14,Villagers!$B$1:$V$33,BX34+3,FALSE)),)</f>
        <v>0</v>
      </c>
      <c r="CT34" s="14">
        <f>ROUND(IF(BY34=0,0,HLOOKUP(BY$14,Villagers!$B$1:$V$33,BY34+3,FALSE)),)</f>
        <v>0</v>
      </c>
      <c r="CU34" s="14">
        <f>ROUND(IF(BZ34=0,0,HLOOKUP(BZ$14,Villagers!$B$1:$V$33,BZ34+3,FALSE)),)</f>
        <v>0</v>
      </c>
      <c r="CV34" s="14">
        <f>ROUND(IF(CA34=0,0,HLOOKUP(CA$14,Villagers!$B$1:$V$33,CA34+3,FALSE)),)</f>
        <v>0</v>
      </c>
      <c r="CW34" s="14">
        <f>ROUND(IF(CB34=0,0,HLOOKUP(CB$14,Villagers!$B$1:$V$33,CB34+3,FALSE)),)</f>
        <v>0</v>
      </c>
      <c r="CX34" s="14">
        <f>ROUND(IF(CC34=0,0,HLOOKUP(CC$14,Villagers!$B$1:$V$33,CC34+3,FALSE)),)</f>
        <v>0</v>
      </c>
      <c r="CY34" s="14">
        <f>ROUND(IF(CD34=0,0,HLOOKUP(CD$14,Villagers!$B$1:$V$33,CD34+3,FALSE)),)</f>
        <v>0</v>
      </c>
      <c r="CZ34" s="14">
        <f>ROUND(IF(CE34=0,0,HLOOKUP(CE$14,Villagers!$B$1:$V$33,CE34+3,FALSE)),)</f>
        <v>5</v>
      </c>
      <c r="DA34" s="14">
        <f>ROUND(IF(CF34=0,0,HLOOKUP(CF$14,Villagers!$B$1:$V$33,CF34+3,FALSE)),)</f>
        <v>10</v>
      </c>
      <c r="DB34" s="14">
        <f>ROUND(IF(CG34=0,0,HLOOKUP(CG$14,Villagers!$B$1:$V$33,CG34+3,FALSE)),)</f>
        <v>10</v>
      </c>
      <c r="DC34" s="14">
        <f>ROUND(IF(CH34=0,0,HLOOKUP(CH$14,Villagers!$B$1:$V$33,CH34+3,FALSE)),)</f>
        <v>0</v>
      </c>
      <c r="DD34" s="14">
        <f>ROUND(IF(CI34=0,0,HLOOKUP(CI$14,Villagers!$B$1:$V$33,CI34+3,FALSE)),)</f>
        <v>0</v>
      </c>
      <c r="DE34" s="14">
        <f>ROUND(IF(CJ34=0,0,HLOOKUP(CJ$14,Villagers!$B$1:$V$33,CJ34+3,FALSE)),)</f>
        <v>2</v>
      </c>
      <c r="DF34" s="370">
        <f>ROUND(IF(CK34=0,0,HLOOKUP(CK$14,Villagers!$B$1:$V$33,CK34+3,FALSE)),)</f>
        <v>0</v>
      </c>
      <c r="DG34" s="370">
        <f>ROUND(IF(CL34=0,0,HLOOKUP(CL$14,Villagers!$B$1:$V$33,CL34+3,FALSE)),)</f>
        <v>0</v>
      </c>
      <c r="DH34" s="34">
        <f>ROUND(IF(CM34=0,0,HLOOKUP(CM$14,Villagers!$B$1:$V$33,CM34+3,FALSE)),)</f>
        <v>0</v>
      </c>
      <c r="DI34" s="109">
        <f t="shared" si="74"/>
        <v>0</v>
      </c>
      <c r="DJ34" s="50">
        <f t="shared" si="75"/>
        <v>0</v>
      </c>
      <c r="DK34" s="50">
        <f t="shared" si="76"/>
        <v>0</v>
      </c>
      <c r="DL34" s="50">
        <f t="shared" si="77"/>
        <v>0</v>
      </c>
      <c r="DM34" s="50">
        <f t="shared" si="78"/>
        <v>0</v>
      </c>
      <c r="DN34" s="50">
        <f t="shared" si="79"/>
        <v>0</v>
      </c>
      <c r="DO34" s="50">
        <f t="shared" si="80"/>
        <v>0</v>
      </c>
      <c r="DP34" s="50">
        <f t="shared" si="81"/>
        <v>0</v>
      </c>
      <c r="DQ34" s="50">
        <f t="shared" si="58"/>
        <v>0</v>
      </c>
      <c r="DR34" s="50">
        <f t="shared" si="59"/>
        <v>0</v>
      </c>
      <c r="DS34" s="96">
        <f>Miscelaneous!$D$4*Miscelaneous!$D$2^($CI34-1)</f>
        <v>1000</v>
      </c>
      <c r="DT34" s="333">
        <f t="shared" si="60"/>
        <v>1</v>
      </c>
      <c r="DU34" s="81">
        <v>1</v>
      </c>
      <c r="DV34" s="79">
        <f t="shared" si="61"/>
        <v>0</v>
      </c>
      <c r="DW34" s="79">
        <f t="shared" si="21"/>
        <v>0</v>
      </c>
      <c r="DX34" s="79">
        <f t="shared" si="62"/>
        <v>0</v>
      </c>
      <c r="DY34" s="79">
        <v>1</v>
      </c>
      <c r="DZ34" s="79">
        <f t="shared" si="22"/>
        <v>0</v>
      </c>
      <c r="EA34" s="79">
        <f t="shared" si="63"/>
        <v>0</v>
      </c>
      <c r="EB34" s="79">
        <f t="shared" si="64"/>
        <v>0</v>
      </c>
      <c r="EC34" s="79">
        <f t="shared" si="65"/>
        <v>0</v>
      </c>
      <c r="ED34" s="79">
        <v>1</v>
      </c>
      <c r="EE34" s="79">
        <v>1</v>
      </c>
      <c r="EF34" s="79">
        <f t="shared" si="66"/>
        <v>0</v>
      </c>
      <c r="EG34" s="79">
        <v>1</v>
      </c>
      <c r="EH34" s="79">
        <v>1</v>
      </c>
      <c r="EI34" s="79">
        <v>1</v>
      </c>
      <c r="EJ34" s="79">
        <v>1</v>
      </c>
      <c r="EK34" s="79">
        <v>1</v>
      </c>
      <c r="EL34" s="79">
        <v>1</v>
      </c>
      <c r="EM34" s="143">
        <f t="shared" si="67"/>
        <v>0</v>
      </c>
      <c r="EN34" s="143">
        <f t="shared" si="68"/>
        <v>0</v>
      </c>
      <c r="EO34" s="82">
        <f t="shared" si="69"/>
        <v>0</v>
      </c>
    </row>
    <row r="35" spans="1:145" x14ac:dyDescent="0.25">
      <c r="A35">
        <v>21</v>
      </c>
      <c r="B35" s="172" t="e">
        <f t="shared" si="23"/>
        <v>#N/A</v>
      </c>
      <c r="C35" s="121" t="e">
        <f t="shared" ref="C35:E35" si="104">AJ35-SUM(AB35:AB39)</f>
        <v>#N/A</v>
      </c>
      <c r="D35" s="122" t="e">
        <f t="shared" si="104"/>
        <v>#N/A</v>
      </c>
      <c r="E35" s="122" t="e">
        <f t="shared" si="104"/>
        <v>#N/A</v>
      </c>
      <c r="F35" s="176" t="e">
        <f t="shared" si="0"/>
        <v>#N/A</v>
      </c>
      <c r="G35" s="121">
        <f t="shared" si="25"/>
        <v>208</v>
      </c>
      <c r="H35" s="176" t="e">
        <f t="shared" si="26"/>
        <v>#N/A</v>
      </c>
      <c r="I35" s="48">
        <v>1</v>
      </c>
      <c r="J35" s="39"/>
      <c r="K35" s="350">
        <v>1</v>
      </c>
      <c r="L35" s="34" t="e">
        <f t="shared" si="1"/>
        <v>#N/A</v>
      </c>
      <c r="M35" s="38" t="e">
        <f>(HLOOKUP(J35,'Construction Times'!$B$3:$W$34,L35+2,FALSE)*HLOOKUP("hq modifier",'Construction Times'!$W$3:$W$34,BS35+2,FALSE))*(1-$H$9)</f>
        <v>#N/A</v>
      </c>
      <c r="N35" s="426" t="e">
        <f t="shared" si="27"/>
        <v>#N/A</v>
      </c>
      <c r="O35" s="427"/>
      <c r="P35" s="430" t="e">
        <f t="shared" si="28"/>
        <v>#N/A</v>
      </c>
      <c r="Q35" s="431"/>
      <c r="R35" s="103">
        <f t="shared" si="71"/>
        <v>0</v>
      </c>
      <c r="S35" s="104">
        <f t="shared" si="71"/>
        <v>0</v>
      </c>
      <c r="T35" s="104">
        <f t="shared" si="72"/>
        <v>0</v>
      </c>
      <c r="U35" s="104">
        <f t="shared" si="30"/>
        <v>0</v>
      </c>
      <c r="V35" s="104">
        <f t="shared" si="30"/>
        <v>9.9999999999999995E-8</v>
      </c>
      <c r="W35" s="104">
        <f t="shared" si="30"/>
        <v>0</v>
      </c>
      <c r="X35" s="104">
        <f t="shared" si="30"/>
        <v>0</v>
      </c>
      <c r="Y35" s="104">
        <f t="shared" si="30"/>
        <v>9.9999999999999995E-8</v>
      </c>
      <c r="Z35" s="104">
        <f t="shared" si="30"/>
        <v>9.9999999999999995E-8</v>
      </c>
      <c r="AA35" s="105">
        <f t="shared" si="30"/>
        <v>9.9999999999999995E-8</v>
      </c>
      <c r="AB35" s="101" t="e">
        <f>$DT35*HLOOKUP($J35,'Construction Costs (timber)'!$B$1:$V$32,'Construction Planner'!$L35+2,FALSE)</f>
        <v>#N/A</v>
      </c>
      <c r="AC35" s="14" t="e">
        <f>$DT35*HLOOKUP($J35,'Construction Costs (clay)'!$B$1:$V$32,'Construction Planner'!$L35+2,FALSE)</f>
        <v>#N/A</v>
      </c>
      <c r="AD35" s="14" t="e">
        <f>$DT35*HLOOKUP($J35,'Construction Costs (iron)'!$B$1:$V$32,'Construction Planner'!$L35+2,FALSE)</f>
        <v>#N/A</v>
      </c>
      <c r="AE35" s="34" t="e">
        <f t="shared" si="86"/>
        <v>#N/A</v>
      </c>
      <c r="AF35" s="33" t="e">
        <f t="shared" si="3"/>
        <v>#N/A</v>
      </c>
      <c r="AG35" s="14" t="e">
        <f t="shared" si="4"/>
        <v>#N/A</v>
      </c>
      <c r="AH35" s="14" t="e">
        <f t="shared" si="5"/>
        <v>#N/A</v>
      </c>
      <c r="AI35" s="34" t="e">
        <f t="shared" si="87"/>
        <v>#N/A</v>
      </c>
      <c r="AJ35" s="49" t="e">
        <f t="shared" si="31"/>
        <v>#N/A</v>
      </c>
      <c r="AK35" s="49" t="e">
        <f t="shared" si="32"/>
        <v>#N/A</v>
      </c>
      <c r="AL35" s="49" t="e">
        <f t="shared" si="33"/>
        <v>#N/A</v>
      </c>
      <c r="AM35" s="25">
        <f t="shared" si="6"/>
        <v>30</v>
      </c>
      <c r="AN35" s="25">
        <f t="shared" si="7"/>
        <v>30</v>
      </c>
      <c r="AO35" s="25">
        <f t="shared" si="8"/>
        <v>30</v>
      </c>
      <c r="AP35" s="52" t="e">
        <f t="shared" si="34"/>
        <v>#N/A</v>
      </c>
      <c r="AQ35" s="53" t="e">
        <f t="shared" si="34"/>
        <v>#N/A</v>
      </c>
      <c r="AR35" s="54" t="e">
        <f t="shared" si="34"/>
        <v>#N/A</v>
      </c>
      <c r="AS35" s="316">
        <f t="shared" si="88"/>
        <v>0</v>
      </c>
      <c r="AT35" s="106">
        <f>_xlfn.IFNA($M35/VLOOKUP($BT35,'Unit information'!$A$2:$K$29,2,FALSE)*R35,0)*(1+$E$9)</f>
        <v>0</v>
      </c>
      <c r="AU35" s="107">
        <f>_xlfn.IFNA($M35/VLOOKUP($BT35,'Unit information'!$A$2:$K$29,3,FALSE)*S35,0)*(1+$E$9)</f>
        <v>0</v>
      </c>
      <c r="AV35" s="107">
        <f>_xlfn.IFNA($M35/VLOOKUP($BT35,'Unit information'!$A$2:$K$29,4,FALSE)*T35,0)*(1+$E$9)</f>
        <v>0</v>
      </c>
      <c r="AW35" s="107">
        <f>_xlfn.IFNA($M35/VLOOKUP($BT35,'Unit information'!$A$2:$K$29,5,FALSE)*U35,0)*(1+$E$9)</f>
        <v>0</v>
      </c>
      <c r="AX35" s="107">
        <f>_xlfn.IFNA($M35/VLOOKUP($BU35,'Unit information'!$A$2:$K$29,6,FALSE)*V35,0)*(1+$E$9)</f>
        <v>0</v>
      </c>
      <c r="AY35" s="107">
        <f>_xlfn.IFNA($M35/VLOOKUP($BU35,'Unit information'!$A$2:$K$29,7,FALSE)*W35,0)*(1+$E$9)</f>
        <v>0</v>
      </c>
      <c r="AZ35" s="107">
        <f>_xlfn.IFNA($M35/VLOOKUP($BU35,'Unit information'!$A$2:$K$29,8,FALSE)*X35,0)*(1+$E$9)</f>
        <v>0</v>
      </c>
      <c r="BA35" s="107">
        <f>_xlfn.IFNA($M35/VLOOKUP($BU35,'Unit information'!$A$2:$K$29,9,FALSE)*Y35,0)*(1+$E$9)</f>
        <v>0</v>
      </c>
      <c r="BB35" s="107">
        <f>_xlfn.IFNA($M35/VLOOKUP($BV35,'Unit information'!$A$2:$K$29,10,FALSE)*Z35,0)*(1+$E$9)</f>
        <v>0</v>
      </c>
      <c r="BC35" s="108">
        <f>_xlfn.IFNA($M35/VLOOKUP($BV35,'Unit information'!$A$2:$K$29,11,FALSE)*AA35,0)*(1+$E$9)</f>
        <v>0</v>
      </c>
      <c r="BD35" s="106">
        <f t="shared" si="10"/>
        <v>0</v>
      </c>
      <c r="BE35" s="107">
        <f t="shared" si="11"/>
        <v>0</v>
      </c>
      <c r="BF35" s="108">
        <f t="shared" si="12"/>
        <v>0</v>
      </c>
      <c r="BG35" s="25" t="e">
        <f t="shared" si="13"/>
        <v>#N/A</v>
      </c>
      <c r="BH35" s="25" t="e">
        <f t="shared" si="14"/>
        <v>#N/A</v>
      </c>
      <c r="BI35" s="25" t="e">
        <f t="shared" si="15"/>
        <v>#N/A</v>
      </c>
      <c r="BJ35" s="27" t="e">
        <f t="shared" si="16"/>
        <v>#N/A</v>
      </c>
      <c r="BK35" s="18" t="e">
        <f t="shared" si="17"/>
        <v>#N/A</v>
      </c>
      <c r="BL35" s="18" t="e">
        <f t="shared" si="18"/>
        <v>#N/A</v>
      </c>
      <c r="BM35" s="28" t="e">
        <f t="shared" si="89"/>
        <v>#N/A</v>
      </c>
      <c r="BN35" s="33">
        <f>HLOOKUP("maximum population",Miscelaneous!$C$1:$C$33,CH35+3,FALSE)</f>
        <v>240</v>
      </c>
      <c r="BO35" s="14">
        <f t="shared" si="35"/>
        <v>32</v>
      </c>
      <c r="BP35" s="14">
        <f t="shared" si="36"/>
        <v>0</v>
      </c>
      <c r="BQ35" s="14">
        <f t="shared" si="37"/>
        <v>208</v>
      </c>
      <c r="BR35" s="34" t="e">
        <f>HLOOKUP(J35,Villagers!$B$1:$V$33,L35+3,FALSE)-HLOOKUP(J35,Villagers!$B$1:$V$33,L35+2,FALSE)</f>
        <v>#N/A</v>
      </c>
      <c r="BS35" s="49">
        <f t="shared" si="38"/>
        <v>1</v>
      </c>
      <c r="BT35" s="50">
        <f t="shared" si="39"/>
        <v>0</v>
      </c>
      <c r="BU35" s="50">
        <f t="shared" si="40"/>
        <v>0</v>
      </c>
      <c r="BV35" s="50">
        <f t="shared" si="41"/>
        <v>0</v>
      </c>
      <c r="BW35" s="50">
        <f t="shared" si="42"/>
        <v>0</v>
      </c>
      <c r="BX35" s="50">
        <f t="shared" si="43"/>
        <v>0</v>
      </c>
      <c r="BY35" s="50">
        <f t="shared" si="43"/>
        <v>0</v>
      </c>
      <c r="BZ35" s="50">
        <f t="shared" si="44"/>
        <v>0</v>
      </c>
      <c r="CA35" s="50">
        <f t="shared" si="45"/>
        <v>0</v>
      </c>
      <c r="CB35" s="50">
        <f t="shared" si="46"/>
        <v>1</v>
      </c>
      <c r="CC35" s="50">
        <f t="shared" si="47"/>
        <v>0</v>
      </c>
      <c r="CD35" s="50">
        <f t="shared" si="48"/>
        <v>0</v>
      </c>
      <c r="CE35" s="50">
        <f t="shared" si="49"/>
        <v>1</v>
      </c>
      <c r="CF35" s="50">
        <f t="shared" si="50"/>
        <v>1</v>
      </c>
      <c r="CG35" s="50">
        <f t="shared" si="51"/>
        <v>1</v>
      </c>
      <c r="CH35" s="50">
        <f t="shared" si="52"/>
        <v>1</v>
      </c>
      <c r="CI35" s="50">
        <f t="shared" si="53"/>
        <v>1</v>
      </c>
      <c r="CJ35" s="50">
        <f t="shared" si="54"/>
        <v>1</v>
      </c>
      <c r="CK35" s="50">
        <f t="shared" si="55"/>
        <v>0</v>
      </c>
      <c r="CL35" s="50">
        <f t="shared" si="54"/>
        <v>0</v>
      </c>
      <c r="CM35" s="51">
        <f t="shared" si="56"/>
        <v>0</v>
      </c>
      <c r="CN35" s="33">
        <f>ROUND(IF(BS35=0,0,HLOOKUP(BS$14,Villagers!$B$1:$V$33,BS35+3,FALSE)),)</f>
        <v>5</v>
      </c>
      <c r="CO35" s="14">
        <f>ROUND(IF(BT35=0,0,HLOOKUP(BT$14,Villagers!$B$1:$V$33,BT35+3,FALSE)),)</f>
        <v>0</v>
      </c>
      <c r="CP35" s="14">
        <f>ROUND(IF(BU35=0,0,HLOOKUP(BU$14,Villagers!$B$1:$V$33,BU35+3,FALSE)),)</f>
        <v>0</v>
      </c>
      <c r="CQ35" s="14">
        <f>ROUND(IF(BV35=0,0,HLOOKUP(BV$14,Villagers!$B$1:$V$33,BV35+3,FALSE)),)</f>
        <v>0</v>
      </c>
      <c r="CR35" s="14">
        <f>ROUND(IF(BW35=0,0,HLOOKUP(BW$14,Villagers!$B$1:$V$33,BW35+3,FALSE)),)</f>
        <v>0</v>
      </c>
      <c r="CS35" s="14">
        <f>ROUND(IF(BX35=0,0,HLOOKUP(BX$14,Villagers!$B$1:$V$33,BX35+3,FALSE)),)</f>
        <v>0</v>
      </c>
      <c r="CT35" s="14">
        <f>ROUND(IF(BY35=0,0,HLOOKUP(BY$14,Villagers!$B$1:$V$33,BY35+3,FALSE)),)</f>
        <v>0</v>
      </c>
      <c r="CU35" s="14">
        <f>ROUND(IF(BZ35=0,0,HLOOKUP(BZ$14,Villagers!$B$1:$V$33,BZ35+3,FALSE)),)</f>
        <v>0</v>
      </c>
      <c r="CV35" s="14">
        <f>ROUND(IF(CA35=0,0,HLOOKUP(CA$14,Villagers!$B$1:$V$33,CA35+3,FALSE)),)</f>
        <v>0</v>
      </c>
      <c r="CW35" s="14">
        <f>ROUND(IF(CB35=0,0,HLOOKUP(CB$14,Villagers!$B$1:$V$33,CB35+3,FALSE)),)</f>
        <v>0</v>
      </c>
      <c r="CX35" s="14">
        <f>ROUND(IF(CC35=0,0,HLOOKUP(CC$14,Villagers!$B$1:$V$33,CC35+3,FALSE)),)</f>
        <v>0</v>
      </c>
      <c r="CY35" s="14">
        <f>ROUND(IF(CD35=0,0,HLOOKUP(CD$14,Villagers!$B$1:$V$33,CD35+3,FALSE)),)</f>
        <v>0</v>
      </c>
      <c r="CZ35" s="14">
        <f>ROUND(IF(CE35=0,0,HLOOKUP(CE$14,Villagers!$B$1:$V$33,CE35+3,FALSE)),)</f>
        <v>5</v>
      </c>
      <c r="DA35" s="14">
        <f>ROUND(IF(CF35=0,0,HLOOKUP(CF$14,Villagers!$B$1:$V$33,CF35+3,FALSE)),)</f>
        <v>10</v>
      </c>
      <c r="DB35" s="14">
        <f>ROUND(IF(CG35=0,0,HLOOKUP(CG$14,Villagers!$B$1:$V$33,CG35+3,FALSE)),)</f>
        <v>10</v>
      </c>
      <c r="DC35" s="14">
        <f>ROUND(IF(CH35=0,0,HLOOKUP(CH$14,Villagers!$B$1:$V$33,CH35+3,FALSE)),)</f>
        <v>0</v>
      </c>
      <c r="DD35" s="14">
        <f>ROUND(IF(CI35=0,0,HLOOKUP(CI$14,Villagers!$B$1:$V$33,CI35+3,FALSE)),)</f>
        <v>0</v>
      </c>
      <c r="DE35" s="14">
        <f>ROUND(IF(CJ35=0,0,HLOOKUP(CJ$14,Villagers!$B$1:$V$33,CJ35+3,FALSE)),)</f>
        <v>2</v>
      </c>
      <c r="DF35" s="370">
        <f>ROUND(IF(CK35=0,0,HLOOKUP(CK$14,Villagers!$B$1:$V$33,CK35+3,FALSE)),)</f>
        <v>0</v>
      </c>
      <c r="DG35" s="370">
        <f>ROUND(IF(CL35=0,0,HLOOKUP(CL$14,Villagers!$B$1:$V$33,CL35+3,FALSE)),)</f>
        <v>0</v>
      </c>
      <c r="DH35" s="34">
        <f>ROUND(IF(CM35=0,0,HLOOKUP(CM$14,Villagers!$B$1:$V$33,CM35+3,FALSE)),)</f>
        <v>0</v>
      </c>
      <c r="DI35" s="109">
        <f t="shared" si="74"/>
        <v>0</v>
      </c>
      <c r="DJ35" s="50">
        <f t="shared" si="75"/>
        <v>0</v>
      </c>
      <c r="DK35" s="50">
        <f t="shared" si="76"/>
        <v>0</v>
      </c>
      <c r="DL35" s="50">
        <f t="shared" si="77"/>
        <v>0</v>
      </c>
      <c r="DM35" s="50">
        <f t="shared" si="78"/>
        <v>0</v>
      </c>
      <c r="DN35" s="50">
        <f t="shared" si="79"/>
        <v>0</v>
      </c>
      <c r="DO35" s="50">
        <f t="shared" si="80"/>
        <v>0</v>
      </c>
      <c r="DP35" s="50">
        <f t="shared" si="81"/>
        <v>0</v>
      </c>
      <c r="DQ35" s="50">
        <f t="shared" si="58"/>
        <v>0</v>
      </c>
      <c r="DR35" s="50">
        <f t="shared" si="59"/>
        <v>0</v>
      </c>
      <c r="DS35" s="96">
        <f>Miscelaneous!$D$4*Miscelaneous!$D$2^($CI35-1)</f>
        <v>1000</v>
      </c>
      <c r="DT35" s="333">
        <f t="shared" si="60"/>
        <v>1</v>
      </c>
      <c r="DU35" s="81">
        <v>1</v>
      </c>
      <c r="DV35" s="79">
        <f t="shared" si="61"/>
        <v>0</v>
      </c>
      <c r="DW35" s="79">
        <f t="shared" si="21"/>
        <v>0</v>
      </c>
      <c r="DX35" s="79">
        <f t="shared" si="62"/>
        <v>0</v>
      </c>
      <c r="DY35" s="79">
        <v>1</v>
      </c>
      <c r="DZ35" s="79">
        <f t="shared" si="22"/>
        <v>0</v>
      </c>
      <c r="EA35" s="79">
        <f t="shared" si="63"/>
        <v>0</v>
      </c>
      <c r="EB35" s="79">
        <f t="shared" si="64"/>
        <v>0</v>
      </c>
      <c r="EC35" s="79">
        <f t="shared" si="65"/>
        <v>0</v>
      </c>
      <c r="ED35" s="79">
        <v>1</v>
      </c>
      <c r="EE35" s="79">
        <v>1</v>
      </c>
      <c r="EF35" s="79">
        <f t="shared" si="66"/>
        <v>0</v>
      </c>
      <c r="EG35" s="79">
        <v>1</v>
      </c>
      <c r="EH35" s="79">
        <v>1</v>
      </c>
      <c r="EI35" s="79">
        <v>1</v>
      </c>
      <c r="EJ35" s="79">
        <v>1</v>
      </c>
      <c r="EK35" s="79">
        <v>1</v>
      </c>
      <c r="EL35" s="79">
        <v>1</v>
      </c>
      <c r="EM35" s="143">
        <f t="shared" si="67"/>
        <v>0</v>
      </c>
      <c r="EN35" s="143">
        <f t="shared" si="68"/>
        <v>0</v>
      </c>
      <c r="EO35" s="82">
        <f t="shared" si="69"/>
        <v>0</v>
      </c>
    </row>
    <row r="36" spans="1:145" x14ac:dyDescent="0.25">
      <c r="A36">
        <v>22</v>
      </c>
      <c r="B36" s="172" t="e">
        <f t="shared" si="23"/>
        <v>#N/A</v>
      </c>
      <c r="C36" s="121" t="e">
        <f t="shared" ref="C36:E36" si="105">AJ36-SUM(AB36:AB40)</f>
        <v>#N/A</v>
      </c>
      <c r="D36" s="122" t="e">
        <f t="shared" si="105"/>
        <v>#N/A</v>
      </c>
      <c r="E36" s="122" t="e">
        <f t="shared" si="105"/>
        <v>#N/A</v>
      </c>
      <c r="F36" s="176" t="e">
        <f t="shared" si="0"/>
        <v>#N/A</v>
      </c>
      <c r="G36" s="121">
        <f t="shared" si="25"/>
        <v>208</v>
      </c>
      <c r="H36" s="176" t="e">
        <f t="shared" si="26"/>
        <v>#N/A</v>
      </c>
      <c r="I36" s="48">
        <v>1</v>
      </c>
      <c r="J36" s="39"/>
      <c r="K36" s="350">
        <v>1</v>
      </c>
      <c r="L36" s="34" t="e">
        <f t="shared" si="1"/>
        <v>#N/A</v>
      </c>
      <c r="M36" s="38" t="e">
        <f>(HLOOKUP(J36,'Construction Times'!$B$3:$W$34,L36+2,FALSE)*HLOOKUP("hq modifier",'Construction Times'!$W$3:$W$34,BS36+2,FALSE))*(1-$H$9)</f>
        <v>#N/A</v>
      </c>
      <c r="N36" s="426" t="e">
        <f t="shared" si="27"/>
        <v>#N/A</v>
      </c>
      <c r="O36" s="427"/>
      <c r="P36" s="430" t="e">
        <f t="shared" si="28"/>
        <v>#N/A</v>
      </c>
      <c r="Q36" s="431"/>
      <c r="R36" s="103">
        <f t="shared" si="71"/>
        <v>0</v>
      </c>
      <c r="S36" s="104">
        <f t="shared" si="71"/>
        <v>0</v>
      </c>
      <c r="T36" s="104">
        <f t="shared" si="72"/>
        <v>0</v>
      </c>
      <c r="U36" s="104">
        <f t="shared" si="30"/>
        <v>0</v>
      </c>
      <c r="V36" s="104">
        <f t="shared" si="30"/>
        <v>9.9999999999999995E-8</v>
      </c>
      <c r="W36" s="104">
        <f t="shared" si="30"/>
        <v>0</v>
      </c>
      <c r="X36" s="104">
        <f t="shared" si="30"/>
        <v>0</v>
      </c>
      <c r="Y36" s="104">
        <f t="shared" si="30"/>
        <v>9.9999999999999995E-8</v>
      </c>
      <c r="Z36" s="104">
        <f t="shared" si="30"/>
        <v>9.9999999999999995E-8</v>
      </c>
      <c r="AA36" s="105">
        <f t="shared" si="30"/>
        <v>9.9999999999999995E-8</v>
      </c>
      <c r="AB36" s="101" t="e">
        <f>$DT36*HLOOKUP($J36,'Construction Costs (timber)'!$B$1:$V$32,'Construction Planner'!$L36+2,FALSE)</f>
        <v>#N/A</v>
      </c>
      <c r="AC36" s="14" t="e">
        <f>$DT36*HLOOKUP($J36,'Construction Costs (clay)'!$B$1:$V$32,'Construction Planner'!$L36+2,FALSE)</f>
        <v>#N/A</v>
      </c>
      <c r="AD36" s="14" t="e">
        <f>$DT36*HLOOKUP($J36,'Construction Costs (iron)'!$B$1:$V$32,'Construction Planner'!$L36+2,FALSE)</f>
        <v>#N/A</v>
      </c>
      <c r="AE36" s="34" t="e">
        <f t="shared" si="86"/>
        <v>#N/A</v>
      </c>
      <c r="AF36" s="33" t="e">
        <f t="shared" si="3"/>
        <v>#N/A</v>
      </c>
      <c r="AG36" s="14" t="e">
        <f t="shared" si="4"/>
        <v>#N/A</v>
      </c>
      <c r="AH36" s="14" t="e">
        <f t="shared" si="5"/>
        <v>#N/A</v>
      </c>
      <c r="AI36" s="34" t="e">
        <f t="shared" si="87"/>
        <v>#N/A</v>
      </c>
      <c r="AJ36" s="49" t="e">
        <f t="shared" si="31"/>
        <v>#N/A</v>
      </c>
      <c r="AK36" s="49" t="e">
        <f t="shared" si="32"/>
        <v>#N/A</v>
      </c>
      <c r="AL36" s="49" t="e">
        <f t="shared" si="33"/>
        <v>#N/A</v>
      </c>
      <c r="AM36" s="25">
        <f t="shared" si="6"/>
        <v>30</v>
      </c>
      <c r="AN36" s="25">
        <f t="shared" si="7"/>
        <v>30</v>
      </c>
      <c r="AO36" s="25">
        <f t="shared" si="8"/>
        <v>30</v>
      </c>
      <c r="AP36" s="52" t="e">
        <f t="shared" si="34"/>
        <v>#N/A</v>
      </c>
      <c r="AQ36" s="53" t="e">
        <f t="shared" si="34"/>
        <v>#N/A</v>
      </c>
      <c r="AR36" s="54" t="e">
        <f t="shared" si="34"/>
        <v>#N/A</v>
      </c>
      <c r="AS36" s="316">
        <f t="shared" si="88"/>
        <v>0</v>
      </c>
      <c r="AT36" s="106">
        <f>_xlfn.IFNA($M36/VLOOKUP($BT36,'Unit information'!$A$2:$K$29,2,FALSE)*R36,0)*(1+$E$9)</f>
        <v>0</v>
      </c>
      <c r="AU36" s="107">
        <f>_xlfn.IFNA($M36/VLOOKUP($BT36,'Unit information'!$A$2:$K$29,3,FALSE)*S36,0)*(1+$E$9)</f>
        <v>0</v>
      </c>
      <c r="AV36" s="107">
        <f>_xlfn.IFNA($M36/VLOOKUP($BT36,'Unit information'!$A$2:$K$29,4,FALSE)*T36,0)*(1+$E$9)</f>
        <v>0</v>
      </c>
      <c r="AW36" s="107">
        <f>_xlfn.IFNA($M36/VLOOKUP($BT36,'Unit information'!$A$2:$K$29,5,FALSE)*U36,0)*(1+$E$9)</f>
        <v>0</v>
      </c>
      <c r="AX36" s="107">
        <f>_xlfn.IFNA($M36/VLOOKUP($BU36,'Unit information'!$A$2:$K$29,6,FALSE)*V36,0)*(1+$E$9)</f>
        <v>0</v>
      </c>
      <c r="AY36" s="107">
        <f>_xlfn.IFNA($M36/VLOOKUP($BU36,'Unit information'!$A$2:$K$29,7,FALSE)*W36,0)*(1+$E$9)</f>
        <v>0</v>
      </c>
      <c r="AZ36" s="107">
        <f>_xlfn.IFNA($M36/VLOOKUP($BU36,'Unit information'!$A$2:$K$29,8,FALSE)*X36,0)*(1+$E$9)</f>
        <v>0</v>
      </c>
      <c r="BA36" s="107">
        <f>_xlfn.IFNA($M36/VLOOKUP($BU36,'Unit information'!$A$2:$K$29,9,FALSE)*Y36,0)*(1+$E$9)</f>
        <v>0</v>
      </c>
      <c r="BB36" s="107">
        <f>_xlfn.IFNA($M36/VLOOKUP($BV36,'Unit information'!$A$2:$K$29,10,FALSE)*Z36,0)*(1+$E$9)</f>
        <v>0</v>
      </c>
      <c r="BC36" s="108">
        <f>_xlfn.IFNA($M36/VLOOKUP($BV36,'Unit information'!$A$2:$K$29,11,FALSE)*AA36,0)*(1+$E$9)</f>
        <v>0</v>
      </c>
      <c r="BD36" s="106">
        <f t="shared" si="10"/>
        <v>0</v>
      </c>
      <c r="BE36" s="107">
        <f t="shared" si="11"/>
        <v>0</v>
      </c>
      <c r="BF36" s="108">
        <f t="shared" si="12"/>
        <v>0</v>
      </c>
      <c r="BG36" s="25" t="e">
        <f t="shared" si="13"/>
        <v>#N/A</v>
      </c>
      <c r="BH36" s="25" t="e">
        <f t="shared" si="14"/>
        <v>#N/A</v>
      </c>
      <c r="BI36" s="25" t="e">
        <f t="shared" si="15"/>
        <v>#N/A</v>
      </c>
      <c r="BJ36" s="27" t="e">
        <f t="shared" si="16"/>
        <v>#N/A</v>
      </c>
      <c r="BK36" s="18" t="e">
        <f t="shared" si="17"/>
        <v>#N/A</v>
      </c>
      <c r="BL36" s="18" t="e">
        <f t="shared" si="18"/>
        <v>#N/A</v>
      </c>
      <c r="BM36" s="28" t="e">
        <f t="shared" si="89"/>
        <v>#N/A</v>
      </c>
      <c r="BN36" s="33">
        <f>HLOOKUP("maximum population",Miscelaneous!$C$1:$C$33,CH36+3,FALSE)</f>
        <v>240</v>
      </c>
      <c r="BO36" s="14">
        <f t="shared" si="35"/>
        <v>32</v>
      </c>
      <c r="BP36" s="14">
        <f t="shared" si="36"/>
        <v>0</v>
      </c>
      <c r="BQ36" s="14">
        <f t="shared" si="37"/>
        <v>208</v>
      </c>
      <c r="BR36" s="34" t="e">
        <f>HLOOKUP(J36,Villagers!$B$1:$V$33,L36+3,FALSE)-HLOOKUP(J36,Villagers!$B$1:$V$33,L36+2,FALSE)</f>
        <v>#N/A</v>
      </c>
      <c r="BS36" s="49">
        <f t="shared" si="38"/>
        <v>1</v>
      </c>
      <c r="BT36" s="50">
        <f t="shared" si="39"/>
        <v>0</v>
      </c>
      <c r="BU36" s="50">
        <f t="shared" si="40"/>
        <v>0</v>
      </c>
      <c r="BV36" s="50">
        <f t="shared" si="41"/>
        <v>0</v>
      </c>
      <c r="BW36" s="50">
        <f t="shared" si="42"/>
        <v>0</v>
      </c>
      <c r="BX36" s="50">
        <f t="shared" si="43"/>
        <v>0</v>
      </c>
      <c r="BY36" s="50">
        <f t="shared" si="43"/>
        <v>0</v>
      </c>
      <c r="BZ36" s="50">
        <f t="shared" si="44"/>
        <v>0</v>
      </c>
      <c r="CA36" s="50">
        <f t="shared" si="45"/>
        <v>0</v>
      </c>
      <c r="CB36" s="50">
        <f t="shared" si="46"/>
        <v>1</v>
      </c>
      <c r="CC36" s="50">
        <f t="shared" si="47"/>
        <v>0</v>
      </c>
      <c r="CD36" s="50">
        <f t="shared" si="48"/>
        <v>0</v>
      </c>
      <c r="CE36" s="50">
        <f t="shared" si="49"/>
        <v>1</v>
      </c>
      <c r="CF36" s="50">
        <f t="shared" si="50"/>
        <v>1</v>
      </c>
      <c r="CG36" s="50">
        <f t="shared" si="51"/>
        <v>1</v>
      </c>
      <c r="CH36" s="50">
        <f t="shared" si="52"/>
        <v>1</v>
      </c>
      <c r="CI36" s="50">
        <f t="shared" si="53"/>
        <v>1</v>
      </c>
      <c r="CJ36" s="50">
        <f t="shared" si="54"/>
        <v>1</v>
      </c>
      <c r="CK36" s="50">
        <f t="shared" si="55"/>
        <v>0</v>
      </c>
      <c r="CL36" s="50">
        <f t="shared" si="54"/>
        <v>0</v>
      </c>
      <c r="CM36" s="51">
        <f t="shared" si="56"/>
        <v>0</v>
      </c>
      <c r="CN36" s="33">
        <f>ROUND(IF(BS36=0,0,HLOOKUP(BS$14,Villagers!$B$1:$V$33,BS36+3,FALSE)),)</f>
        <v>5</v>
      </c>
      <c r="CO36" s="14">
        <f>ROUND(IF(BT36=0,0,HLOOKUP(BT$14,Villagers!$B$1:$V$33,BT36+3,FALSE)),)</f>
        <v>0</v>
      </c>
      <c r="CP36" s="14">
        <f>ROUND(IF(BU36=0,0,HLOOKUP(BU$14,Villagers!$B$1:$V$33,BU36+3,FALSE)),)</f>
        <v>0</v>
      </c>
      <c r="CQ36" s="14">
        <f>ROUND(IF(BV36=0,0,HLOOKUP(BV$14,Villagers!$B$1:$V$33,BV36+3,FALSE)),)</f>
        <v>0</v>
      </c>
      <c r="CR36" s="14">
        <f>ROUND(IF(BW36=0,0,HLOOKUP(BW$14,Villagers!$B$1:$V$33,BW36+3,FALSE)),)</f>
        <v>0</v>
      </c>
      <c r="CS36" s="14">
        <f>ROUND(IF(BX36=0,0,HLOOKUP(BX$14,Villagers!$B$1:$V$33,BX36+3,FALSE)),)</f>
        <v>0</v>
      </c>
      <c r="CT36" s="14">
        <f>ROUND(IF(BY36=0,0,HLOOKUP(BY$14,Villagers!$B$1:$V$33,BY36+3,FALSE)),)</f>
        <v>0</v>
      </c>
      <c r="CU36" s="14">
        <f>ROUND(IF(BZ36=0,0,HLOOKUP(BZ$14,Villagers!$B$1:$V$33,BZ36+3,FALSE)),)</f>
        <v>0</v>
      </c>
      <c r="CV36" s="14">
        <f>ROUND(IF(CA36=0,0,HLOOKUP(CA$14,Villagers!$B$1:$V$33,CA36+3,FALSE)),)</f>
        <v>0</v>
      </c>
      <c r="CW36" s="14">
        <f>ROUND(IF(CB36=0,0,HLOOKUP(CB$14,Villagers!$B$1:$V$33,CB36+3,FALSE)),)</f>
        <v>0</v>
      </c>
      <c r="CX36" s="14">
        <f>ROUND(IF(CC36=0,0,HLOOKUP(CC$14,Villagers!$B$1:$V$33,CC36+3,FALSE)),)</f>
        <v>0</v>
      </c>
      <c r="CY36" s="14">
        <f>ROUND(IF(CD36=0,0,HLOOKUP(CD$14,Villagers!$B$1:$V$33,CD36+3,FALSE)),)</f>
        <v>0</v>
      </c>
      <c r="CZ36" s="14">
        <f>ROUND(IF(CE36=0,0,HLOOKUP(CE$14,Villagers!$B$1:$V$33,CE36+3,FALSE)),)</f>
        <v>5</v>
      </c>
      <c r="DA36" s="14">
        <f>ROUND(IF(CF36=0,0,HLOOKUP(CF$14,Villagers!$B$1:$V$33,CF36+3,FALSE)),)</f>
        <v>10</v>
      </c>
      <c r="DB36" s="14">
        <f>ROUND(IF(CG36=0,0,HLOOKUP(CG$14,Villagers!$B$1:$V$33,CG36+3,FALSE)),)</f>
        <v>10</v>
      </c>
      <c r="DC36" s="14">
        <f>ROUND(IF(CH36=0,0,HLOOKUP(CH$14,Villagers!$B$1:$V$33,CH36+3,FALSE)),)</f>
        <v>0</v>
      </c>
      <c r="DD36" s="14">
        <f>ROUND(IF(CI36=0,0,HLOOKUP(CI$14,Villagers!$B$1:$V$33,CI36+3,FALSE)),)</f>
        <v>0</v>
      </c>
      <c r="DE36" s="14">
        <f>ROUND(IF(CJ36=0,0,HLOOKUP(CJ$14,Villagers!$B$1:$V$33,CJ36+3,FALSE)),)</f>
        <v>2</v>
      </c>
      <c r="DF36" s="370">
        <f>ROUND(IF(CK36=0,0,HLOOKUP(CK$14,Villagers!$B$1:$V$33,CK36+3,FALSE)),)</f>
        <v>0</v>
      </c>
      <c r="DG36" s="370">
        <f>ROUND(IF(CL36=0,0,HLOOKUP(CL$14,Villagers!$B$1:$V$33,CL36+3,FALSE)),)</f>
        <v>0</v>
      </c>
      <c r="DH36" s="34">
        <f>ROUND(IF(CM36=0,0,HLOOKUP(CM$14,Villagers!$B$1:$V$33,CM36+3,FALSE)),)</f>
        <v>0</v>
      </c>
      <c r="DI36" s="109">
        <f t="shared" si="74"/>
        <v>0</v>
      </c>
      <c r="DJ36" s="50">
        <f t="shared" si="75"/>
        <v>0</v>
      </c>
      <c r="DK36" s="50">
        <f t="shared" si="76"/>
        <v>0</v>
      </c>
      <c r="DL36" s="50">
        <f t="shared" si="77"/>
        <v>0</v>
      </c>
      <c r="DM36" s="50">
        <f t="shared" si="78"/>
        <v>0</v>
      </c>
      <c r="DN36" s="50">
        <f t="shared" si="79"/>
        <v>0</v>
      </c>
      <c r="DO36" s="50">
        <f t="shared" si="80"/>
        <v>0</v>
      </c>
      <c r="DP36" s="50">
        <f t="shared" si="81"/>
        <v>0</v>
      </c>
      <c r="DQ36" s="50">
        <f t="shared" si="58"/>
        <v>0</v>
      </c>
      <c r="DR36" s="50">
        <f t="shared" si="59"/>
        <v>0</v>
      </c>
      <c r="DS36" s="96">
        <f>Miscelaneous!$D$4*Miscelaneous!$D$2^($CI36-1)</f>
        <v>1000</v>
      </c>
      <c r="DT36" s="333">
        <f t="shared" si="60"/>
        <v>1</v>
      </c>
      <c r="DU36" s="81">
        <v>1</v>
      </c>
      <c r="DV36" s="79">
        <f t="shared" si="61"/>
        <v>0</v>
      </c>
      <c r="DW36" s="79">
        <f t="shared" si="21"/>
        <v>0</v>
      </c>
      <c r="DX36" s="79">
        <f t="shared" si="62"/>
        <v>0</v>
      </c>
      <c r="DY36" s="79">
        <v>1</v>
      </c>
      <c r="DZ36" s="79">
        <f t="shared" si="22"/>
        <v>0</v>
      </c>
      <c r="EA36" s="79">
        <f t="shared" si="63"/>
        <v>0</v>
      </c>
      <c r="EB36" s="79">
        <f t="shared" si="64"/>
        <v>0</v>
      </c>
      <c r="EC36" s="79">
        <f t="shared" si="65"/>
        <v>0</v>
      </c>
      <c r="ED36" s="79">
        <v>1</v>
      </c>
      <c r="EE36" s="79">
        <v>1</v>
      </c>
      <c r="EF36" s="79">
        <f t="shared" si="66"/>
        <v>0</v>
      </c>
      <c r="EG36" s="79">
        <v>1</v>
      </c>
      <c r="EH36" s="79">
        <v>1</v>
      </c>
      <c r="EI36" s="79">
        <v>1</v>
      </c>
      <c r="EJ36" s="79">
        <v>1</v>
      </c>
      <c r="EK36" s="79">
        <v>1</v>
      </c>
      <c r="EL36" s="79">
        <v>1</v>
      </c>
      <c r="EM36" s="143">
        <f t="shared" si="67"/>
        <v>0</v>
      </c>
      <c r="EN36" s="143">
        <f t="shared" si="68"/>
        <v>0</v>
      </c>
      <c r="EO36" s="82">
        <f t="shared" si="69"/>
        <v>0</v>
      </c>
    </row>
    <row r="37" spans="1:145" x14ac:dyDescent="0.25">
      <c r="A37">
        <v>23</v>
      </c>
      <c r="B37" s="172" t="e">
        <f t="shared" si="23"/>
        <v>#N/A</v>
      </c>
      <c r="C37" s="121" t="e">
        <f t="shared" ref="C37:E37" si="106">AJ37-SUM(AB37:AB41)</f>
        <v>#N/A</v>
      </c>
      <c r="D37" s="122" t="e">
        <f t="shared" si="106"/>
        <v>#N/A</v>
      </c>
      <c r="E37" s="122" t="e">
        <f t="shared" si="106"/>
        <v>#N/A</v>
      </c>
      <c r="F37" s="176" t="e">
        <f t="shared" si="0"/>
        <v>#N/A</v>
      </c>
      <c r="G37" s="121">
        <f t="shared" si="25"/>
        <v>208</v>
      </c>
      <c r="H37" s="176" t="e">
        <f t="shared" si="26"/>
        <v>#N/A</v>
      </c>
      <c r="I37" s="48">
        <v>1</v>
      </c>
      <c r="J37" s="39"/>
      <c r="K37" s="350">
        <v>1</v>
      </c>
      <c r="L37" s="34" t="e">
        <f t="shared" si="1"/>
        <v>#N/A</v>
      </c>
      <c r="M37" s="38" t="e">
        <f>(HLOOKUP(J37,'Construction Times'!$B$3:$W$34,L37+2,FALSE)*HLOOKUP("hq modifier",'Construction Times'!$W$3:$W$34,BS37+2,FALSE))*(1-$H$9)</f>
        <v>#N/A</v>
      </c>
      <c r="N37" s="426" t="e">
        <f t="shared" si="27"/>
        <v>#N/A</v>
      </c>
      <c r="O37" s="427"/>
      <c r="P37" s="430" t="e">
        <f t="shared" si="28"/>
        <v>#N/A</v>
      </c>
      <c r="Q37" s="431"/>
      <c r="R37" s="103">
        <f t="shared" si="71"/>
        <v>0</v>
      </c>
      <c r="S37" s="104">
        <f t="shared" si="71"/>
        <v>0</v>
      </c>
      <c r="T37" s="104">
        <f t="shared" si="72"/>
        <v>0</v>
      </c>
      <c r="U37" s="104">
        <f t="shared" si="30"/>
        <v>0</v>
      </c>
      <c r="V37" s="104">
        <f t="shared" si="30"/>
        <v>9.9999999999999995E-8</v>
      </c>
      <c r="W37" s="104">
        <f t="shared" si="30"/>
        <v>0</v>
      </c>
      <c r="X37" s="104">
        <f t="shared" si="30"/>
        <v>0</v>
      </c>
      <c r="Y37" s="104">
        <f t="shared" si="30"/>
        <v>9.9999999999999995E-8</v>
      </c>
      <c r="Z37" s="104">
        <f t="shared" si="30"/>
        <v>9.9999999999999995E-8</v>
      </c>
      <c r="AA37" s="105">
        <f t="shared" si="30"/>
        <v>9.9999999999999995E-8</v>
      </c>
      <c r="AB37" s="101" t="e">
        <f>$DT37*HLOOKUP($J37,'Construction Costs (timber)'!$B$1:$V$32,'Construction Planner'!$L37+2,FALSE)</f>
        <v>#N/A</v>
      </c>
      <c r="AC37" s="14" t="e">
        <f>$DT37*HLOOKUP($J37,'Construction Costs (clay)'!$B$1:$V$32,'Construction Planner'!$L37+2,FALSE)</f>
        <v>#N/A</v>
      </c>
      <c r="AD37" s="14" t="e">
        <f>$DT37*HLOOKUP($J37,'Construction Costs (iron)'!$B$1:$V$32,'Construction Planner'!$L37+2,FALSE)</f>
        <v>#N/A</v>
      </c>
      <c r="AE37" s="34" t="e">
        <f t="shared" si="86"/>
        <v>#N/A</v>
      </c>
      <c r="AF37" s="33" t="e">
        <f t="shared" si="3"/>
        <v>#N/A</v>
      </c>
      <c r="AG37" s="14" t="e">
        <f t="shared" si="4"/>
        <v>#N/A</v>
      </c>
      <c r="AH37" s="14" t="e">
        <f t="shared" si="5"/>
        <v>#N/A</v>
      </c>
      <c r="AI37" s="34" t="e">
        <f t="shared" si="87"/>
        <v>#N/A</v>
      </c>
      <c r="AJ37" s="49" t="e">
        <f t="shared" si="31"/>
        <v>#N/A</v>
      </c>
      <c r="AK37" s="49" t="e">
        <f t="shared" si="32"/>
        <v>#N/A</v>
      </c>
      <c r="AL37" s="49" t="e">
        <f t="shared" si="33"/>
        <v>#N/A</v>
      </c>
      <c r="AM37" s="25">
        <f t="shared" si="6"/>
        <v>30</v>
      </c>
      <c r="AN37" s="25">
        <f t="shared" si="7"/>
        <v>30</v>
      </c>
      <c r="AO37" s="25">
        <f t="shared" si="8"/>
        <v>30</v>
      </c>
      <c r="AP37" s="52" t="e">
        <f t="shared" si="34"/>
        <v>#N/A</v>
      </c>
      <c r="AQ37" s="53" t="e">
        <f t="shared" si="34"/>
        <v>#N/A</v>
      </c>
      <c r="AR37" s="54" t="e">
        <f t="shared" si="34"/>
        <v>#N/A</v>
      </c>
      <c r="AS37" s="316">
        <f t="shared" si="88"/>
        <v>0</v>
      </c>
      <c r="AT37" s="106">
        <f>_xlfn.IFNA($M37/VLOOKUP($BT37,'Unit information'!$A$2:$K$29,2,FALSE)*R37,0)*(1+$E$9)</f>
        <v>0</v>
      </c>
      <c r="AU37" s="107">
        <f>_xlfn.IFNA($M37/VLOOKUP($BT37,'Unit information'!$A$2:$K$29,3,FALSE)*S37,0)*(1+$E$9)</f>
        <v>0</v>
      </c>
      <c r="AV37" s="107">
        <f>_xlfn.IFNA($M37/VLOOKUP($BT37,'Unit information'!$A$2:$K$29,4,FALSE)*T37,0)*(1+$E$9)</f>
        <v>0</v>
      </c>
      <c r="AW37" s="107">
        <f>_xlfn.IFNA($M37/VLOOKUP($BT37,'Unit information'!$A$2:$K$29,5,FALSE)*U37,0)*(1+$E$9)</f>
        <v>0</v>
      </c>
      <c r="AX37" s="107">
        <f>_xlfn.IFNA($M37/VLOOKUP($BU37,'Unit information'!$A$2:$K$29,6,FALSE)*V37,0)*(1+$E$9)</f>
        <v>0</v>
      </c>
      <c r="AY37" s="107">
        <f>_xlfn.IFNA($M37/VLOOKUP($BU37,'Unit information'!$A$2:$K$29,7,FALSE)*W37,0)*(1+$E$9)</f>
        <v>0</v>
      </c>
      <c r="AZ37" s="107">
        <f>_xlfn.IFNA($M37/VLOOKUP($BU37,'Unit information'!$A$2:$K$29,8,FALSE)*X37,0)*(1+$E$9)</f>
        <v>0</v>
      </c>
      <c r="BA37" s="107">
        <f>_xlfn.IFNA($M37/VLOOKUP($BU37,'Unit information'!$A$2:$K$29,9,FALSE)*Y37,0)*(1+$E$9)</f>
        <v>0</v>
      </c>
      <c r="BB37" s="107">
        <f>_xlfn.IFNA($M37/VLOOKUP($BV37,'Unit information'!$A$2:$K$29,10,FALSE)*Z37,0)*(1+$E$9)</f>
        <v>0</v>
      </c>
      <c r="BC37" s="108">
        <f>_xlfn.IFNA($M37/VLOOKUP($BV37,'Unit information'!$A$2:$K$29,11,FALSE)*AA37,0)*(1+$E$9)</f>
        <v>0</v>
      </c>
      <c r="BD37" s="106">
        <f t="shared" si="10"/>
        <v>0</v>
      </c>
      <c r="BE37" s="107">
        <f t="shared" si="11"/>
        <v>0</v>
      </c>
      <c r="BF37" s="108">
        <f t="shared" si="12"/>
        <v>0</v>
      </c>
      <c r="BG37" s="25" t="e">
        <f t="shared" si="13"/>
        <v>#N/A</v>
      </c>
      <c r="BH37" s="25" t="e">
        <f t="shared" si="14"/>
        <v>#N/A</v>
      </c>
      <c r="BI37" s="25" t="e">
        <f t="shared" si="15"/>
        <v>#N/A</v>
      </c>
      <c r="BJ37" s="27" t="e">
        <f t="shared" si="16"/>
        <v>#N/A</v>
      </c>
      <c r="BK37" s="18" t="e">
        <f t="shared" si="17"/>
        <v>#N/A</v>
      </c>
      <c r="BL37" s="18" t="e">
        <f t="shared" si="18"/>
        <v>#N/A</v>
      </c>
      <c r="BM37" s="28" t="e">
        <f t="shared" si="89"/>
        <v>#N/A</v>
      </c>
      <c r="BN37" s="33">
        <f>HLOOKUP("maximum population",Miscelaneous!$C$1:$C$33,CH37+3,FALSE)</f>
        <v>240</v>
      </c>
      <c r="BO37" s="14">
        <f t="shared" si="35"/>
        <v>32</v>
      </c>
      <c r="BP37" s="14">
        <f t="shared" si="36"/>
        <v>0</v>
      </c>
      <c r="BQ37" s="14">
        <f t="shared" si="37"/>
        <v>208</v>
      </c>
      <c r="BR37" s="34" t="e">
        <f>HLOOKUP(J37,Villagers!$B$1:$V$33,L37+3,FALSE)-HLOOKUP(J37,Villagers!$B$1:$V$33,L37+2,FALSE)</f>
        <v>#N/A</v>
      </c>
      <c r="BS37" s="49">
        <f t="shared" si="38"/>
        <v>1</v>
      </c>
      <c r="BT37" s="50">
        <f t="shared" si="39"/>
        <v>0</v>
      </c>
      <c r="BU37" s="50">
        <f t="shared" si="40"/>
        <v>0</v>
      </c>
      <c r="BV37" s="50">
        <f t="shared" si="41"/>
        <v>0</v>
      </c>
      <c r="BW37" s="50">
        <f t="shared" si="42"/>
        <v>0</v>
      </c>
      <c r="BX37" s="50">
        <f t="shared" si="43"/>
        <v>0</v>
      </c>
      <c r="BY37" s="50">
        <f t="shared" si="43"/>
        <v>0</v>
      </c>
      <c r="BZ37" s="50">
        <f t="shared" si="44"/>
        <v>0</v>
      </c>
      <c r="CA37" s="50">
        <f t="shared" si="45"/>
        <v>0</v>
      </c>
      <c r="CB37" s="50">
        <f t="shared" si="46"/>
        <v>1</v>
      </c>
      <c r="CC37" s="50">
        <f t="shared" si="47"/>
        <v>0</v>
      </c>
      <c r="CD37" s="50">
        <f t="shared" si="48"/>
        <v>0</v>
      </c>
      <c r="CE37" s="50">
        <f t="shared" si="49"/>
        <v>1</v>
      </c>
      <c r="CF37" s="50">
        <f t="shared" si="50"/>
        <v>1</v>
      </c>
      <c r="CG37" s="50">
        <f t="shared" si="51"/>
        <v>1</v>
      </c>
      <c r="CH37" s="50">
        <f t="shared" si="52"/>
        <v>1</v>
      </c>
      <c r="CI37" s="50">
        <f t="shared" si="53"/>
        <v>1</v>
      </c>
      <c r="CJ37" s="50">
        <f t="shared" si="54"/>
        <v>1</v>
      </c>
      <c r="CK37" s="50">
        <f t="shared" si="55"/>
        <v>0</v>
      </c>
      <c r="CL37" s="50">
        <f t="shared" si="54"/>
        <v>0</v>
      </c>
      <c r="CM37" s="51">
        <f t="shared" si="56"/>
        <v>0</v>
      </c>
      <c r="CN37" s="33">
        <f>ROUND(IF(BS37=0,0,HLOOKUP(BS$14,Villagers!$B$1:$V$33,BS37+3,FALSE)),)</f>
        <v>5</v>
      </c>
      <c r="CO37" s="14">
        <f>ROUND(IF(BT37=0,0,HLOOKUP(BT$14,Villagers!$B$1:$V$33,BT37+3,FALSE)),)</f>
        <v>0</v>
      </c>
      <c r="CP37" s="14">
        <f>ROUND(IF(BU37=0,0,HLOOKUP(BU$14,Villagers!$B$1:$V$33,BU37+3,FALSE)),)</f>
        <v>0</v>
      </c>
      <c r="CQ37" s="14">
        <f>ROUND(IF(BV37=0,0,HLOOKUP(BV$14,Villagers!$B$1:$V$33,BV37+3,FALSE)),)</f>
        <v>0</v>
      </c>
      <c r="CR37" s="14">
        <f>ROUND(IF(BW37=0,0,HLOOKUP(BW$14,Villagers!$B$1:$V$33,BW37+3,FALSE)),)</f>
        <v>0</v>
      </c>
      <c r="CS37" s="14">
        <f>ROUND(IF(BX37=0,0,HLOOKUP(BX$14,Villagers!$B$1:$V$33,BX37+3,FALSE)),)</f>
        <v>0</v>
      </c>
      <c r="CT37" s="14">
        <f>ROUND(IF(BY37=0,0,HLOOKUP(BY$14,Villagers!$B$1:$V$33,BY37+3,FALSE)),)</f>
        <v>0</v>
      </c>
      <c r="CU37" s="14">
        <f>ROUND(IF(BZ37=0,0,HLOOKUP(BZ$14,Villagers!$B$1:$V$33,BZ37+3,FALSE)),)</f>
        <v>0</v>
      </c>
      <c r="CV37" s="14">
        <f>ROUND(IF(CA37=0,0,HLOOKUP(CA$14,Villagers!$B$1:$V$33,CA37+3,FALSE)),)</f>
        <v>0</v>
      </c>
      <c r="CW37" s="14">
        <f>ROUND(IF(CB37=0,0,HLOOKUP(CB$14,Villagers!$B$1:$V$33,CB37+3,FALSE)),)</f>
        <v>0</v>
      </c>
      <c r="CX37" s="14">
        <f>ROUND(IF(CC37=0,0,HLOOKUP(CC$14,Villagers!$B$1:$V$33,CC37+3,FALSE)),)</f>
        <v>0</v>
      </c>
      <c r="CY37" s="14">
        <f>ROUND(IF(CD37=0,0,HLOOKUP(CD$14,Villagers!$B$1:$V$33,CD37+3,FALSE)),)</f>
        <v>0</v>
      </c>
      <c r="CZ37" s="14">
        <f>ROUND(IF(CE37=0,0,HLOOKUP(CE$14,Villagers!$B$1:$V$33,CE37+3,FALSE)),)</f>
        <v>5</v>
      </c>
      <c r="DA37" s="14">
        <f>ROUND(IF(CF37=0,0,HLOOKUP(CF$14,Villagers!$B$1:$V$33,CF37+3,FALSE)),)</f>
        <v>10</v>
      </c>
      <c r="DB37" s="14">
        <f>ROUND(IF(CG37=0,0,HLOOKUP(CG$14,Villagers!$B$1:$V$33,CG37+3,FALSE)),)</f>
        <v>10</v>
      </c>
      <c r="DC37" s="14">
        <f>ROUND(IF(CH37=0,0,HLOOKUP(CH$14,Villagers!$B$1:$V$33,CH37+3,FALSE)),)</f>
        <v>0</v>
      </c>
      <c r="DD37" s="14">
        <f>ROUND(IF(CI37=0,0,HLOOKUP(CI$14,Villagers!$B$1:$V$33,CI37+3,FALSE)),)</f>
        <v>0</v>
      </c>
      <c r="DE37" s="14">
        <f>ROUND(IF(CJ37=0,0,HLOOKUP(CJ$14,Villagers!$B$1:$V$33,CJ37+3,FALSE)),)</f>
        <v>2</v>
      </c>
      <c r="DF37" s="370">
        <f>ROUND(IF(CK37=0,0,HLOOKUP(CK$14,Villagers!$B$1:$V$33,CK37+3,FALSE)),)</f>
        <v>0</v>
      </c>
      <c r="DG37" s="370">
        <f>ROUND(IF(CL37=0,0,HLOOKUP(CL$14,Villagers!$B$1:$V$33,CL37+3,FALSE)),)</f>
        <v>0</v>
      </c>
      <c r="DH37" s="34">
        <f>ROUND(IF(CM37=0,0,HLOOKUP(CM$14,Villagers!$B$1:$V$33,CM37+3,FALSE)),)</f>
        <v>0</v>
      </c>
      <c r="DI37" s="109">
        <f t="shared" si="74"/>
        <v>0</v>
      </c>
      <c r="DJ37" s="50">
        <f t="shared" si="75"/>
        <v>0</v>
      </c>
      <c r="DK37" s="50">
        <f t="shared" si="76"/>
        <v>0</v>
      </c>
      <c r="DL37" s="50">
        <f t="shared" si="77"/>
        <v>0</v>
      </c>
      <c r="DM37" s="50">
        <f t="shared" si="78"/>
        <v>0</v>
      </c>
      <c r="DN37" s="50">
        <f t="shared" si="79"/>
        <v>0</v>
      </c>
      <c r="DO37" s="50">
        <f t="shared" si="80"/>
        <v>0</v>
      </c>
      <c r="DP37" s="50">
        <f t="shared" si="81"/>
        <v>0</v>
      </c>
      <c r="DQ37" s="50">
        <f t="shared" si="58"/>
        <v>0</v>
      </c>
      <c r="DR37" s="50">
        <f t="shared" si="59"/>
        <v>0</v>
      </c>
      <c r="DS37" s="96">
        <f>Miscelaneous!$D$4*Miscelaneous!$D$2^($CI37-1)</f>
        <v>1000</v>
      </c>
      <c r="DT37" s="333">
        <f t="shared" si="60"/>
        <v>1</v>
      </c>
      <c r="DU37" s="81">
        <v>1</v>
      </c>
      <c r="DV37" s="79">
        <f t="shared" si="61"/>
        <v>0</v>
      </c>
      <c r="DW37" s="79">
        <f t="shared" si="21"/>
        <v>0</v>
      </c>
      <c r="DX37" s="79">
        <f t="shared" si="62"/>
        <v>0</v>
      </c>
      <c r="DY37" s="79">
        <v>1</v>
      </c>
      <c r="DZ37" s="79">
        <f t="shared" si="22"/>
        <v>0</v>
      </c>
      <c r="EA37" s="79">
        <f t="shared" si="63"/>
        <v>0</v>
      </c>
      <c r="EB37" s="79">
        <f t="shared" si="64"/>
        <v>0</v>
      </c>
      <c r="EC37" s="79">
        <f t="shared" si="65"/>
        <v>0</v>
      </c>
      <c r="ED37" s="79">
        <v>1</v>
      </c>
      <c r="EE37" s="79">
        <v>1</v>
      </c>
      <c r="EF37" s="79">
        <f t="shared" si="66"/>
        <v>0</v>
      </c>
      <c r="EG37" s="79">
        <v>1</v>
      </c>
      <c r="EH37" s="79">
        <v>1</v>
      </c>
      <c r="EI37" s="79">
        <v>1</v>
      </c>
      <c r="EJ37" s="79">
        <v>1</v>
      </c>
      <c r="EK37" s="79">
        <v>1</v>
      </c>
      <c r="EL37" s="79">
        <v>1</v>
      </c>
      <c r="EM37" s="143">
        <f t="shared" si="67"/>
        <v>0</v>
      </c>
      <c r="EN37" s="143">
        <f t="shared" si="68"/>
        <v>0</v>
      </c>
      <c r="EO37" s="82">
        <f t="shared" si="69"/>
        <v>0</v>
      </c>
    </row>
    <row r="38" spans="1:145" x14ac:dyDescent="0.25">
      <c r="A38">
        <v>24</v>
      </c>
      <c r="B38" s="172" t="e">
        <f t="shared" si="23"/>
        <v>#N/A</v>
      </c>
      <c r="C38" s="121" t="e">
        <f t="shared" ref="C38:E38" si="107">AJ38-SUM(AB38:AB42)</f>
        <v>#N/A</v>
      </c>
      <c r="D38" s="122" t="e">
        <f t="shared" si="107"/>
        <v>#N/A</v>
      </c>
      <c r="E38" s="122" t="e">
        <f t="shared" si="107"/>
        <v>#N/A</v>
      </c>
      <c r="F38" s="176" t="e">
        <f t="shared" si="0"/>
        <v>#N/A</v>
      </c>
      <c r="G38" s="121">
        <f t="shared" si="25"/>
        <v>208</v>
      </c>
      <c r="H38" s="176" t="e">
        <f t="shared" si="26"/>
        <v>#N/A</v>
      </c>
      <c r="I38" s="48">
        <v>1</v>
      </c>
      <c r="J38" s="39"/>
      <c r="K38" s="350">
        <v>1</v>
      </c>
      <c r="L38" s="34" t="e">
        <f t="shared" si="1"/>
        <v>#N/A</v>
      </c>
      <c r="M38" s="38" t="e">
        <f>(HLOOKUP(J38,'Construction Times'!$B$3:$W$34,L38+2,FALSE)*HLOOKUP("hq modifier",'Construction Times'!$W$3:$W$34,BS38+2,FALSE))*(1-$H$9)</f>
        <v>#N/A</v>
      </c>
      <c r="N38" s="426" t="e">
        <f t="shared" si="27"/>
        <v>#N/A</v>
      </c>
      <c r="O38" s="427"/>
      <c r="P38" s="430" t="e">
        <f t="shared" si="28"/>
        <v>#N/A</v>
      </c>
      <c r="Q38" s="431"/>
      <c r="R38" s="103">
        <f t="shared" si="71"/>
        <v>0</v>
      </c>
      <c r="S38" s="104">
        <f t="shared" si="71"/>
        <v>0</v>
      </c>
      <c r="T38" s="104">
        <f t="shared" si="72"/>
        <v>0</v>
      </c>
      <c r="U38" s="104">
        <f t="shared" si="30"/>
        <v>0</v>
      </c>
      <c r="V38" s="104">
        <f t="shared" si="30"/>
        <v>9.9999999999999995E-8</v>
      </c>
      <c r="W38" s="104">
        <f t="shared" si="30"/>
        <v>0</v>
      </c>
      <c r="X38" s="104">
        <f t="shared" si="30"/>
        <v>0</v>
      </c>
      <c r="Y38" s="104">
        <f t="shared" si="30"/>
        <v>9.9999999999999995E-8</v>
      </c>
      <c r="Z38" s="104">
        <f t="shared" si="30"/>
        <v>9.9999999999999995E-8</v>
      </c>
      <c r="AA38" s="105">
        <f t="shared" si="30"/>
        <v>9.9999999999999995E-8</v>
      </c>
      <c r="AB38" s="101" t="e">
        <f>$DT38*HLOOKUP($J38,'Construction Costs (timber)'!$B$1:$V$32,'Construction Planner'!$L38+2,FALSE)</f>
        <v>#N/A</v>
      </c>
      <c r="AC38" s="14" t="e">
        <f>$DT38*HLOOKUP($J38,'Construction Costs (clay)'!$B$1:$V$32,'Construction Planner'!$L38+2,FALSE)</f>
        <v>#N/A</v>
      </c>
      <c r="AD38" s="14" t="e">
        <f>$DT38*HLOOKUP($J38,'Construction Costs (iron)'!$B$1:$V$32,'Construction Planner'!$L38+2,FALSE)</f>
        <v>#N/A</v>
      </c>
      <c r="AE38" s="34" t="e">
        <f t="shared" si="86"/>
        <v>#N/A</v>
      </c>
      <c r="AF38" s="33" t="e">
        <f t="shared" si="3"/>
        <v>#N/A</v>
      </c>
      <c r="AG38" s="14" t="e">
        <f t="shared" si="4"/>
        <v>#N/A</v>
      </c>
      <c r="AH38" s="14" t="e">
        <f t="shared" si="5"/>
        <v>#N/A</v>
      </c>
      <c r="AI38" s="34" t="e">
        <f t="shared" si="87"/>
        <v>#N/A</v>
      </c>
      <c r="AJ38" s="49" t="e">
        <f t="shared" si="31"/>
        <v>#N/A</v>
      </c>
      <c r="AK38" s="49" t="e">
        <f t="shared" si="32"/>
        <v>#N/A</v>
      </c>
      <c r="AL38" s="49" t="e">
        <f t="shared" si="33"/>
        <v>#N/A</v>
      </c>
      <c r="AM38" s="25">
        <f t="shared" si="6"/>
        <v>30</v>
      </c>
      <c r="AN38" s="25">
        <f t="shared" si="7"/>
        <v>30</v>
      </c>
      <c r="AO38" s="25">
        <f t="shared" si="8"/>
        <v>30</v>
      </c>
      <c r="AP38" s="52" t="e">
        <f t="shared" si="34"/>
        <v>#N/A</v>
      </c>
      <c r="AQ38" s="53" t="e">
        <f t="shared" si="34"/>
        <v>#N/A</v>
      </c>
      <c r="AR38" s="54" t="e">
        <f t="shared" si="34"/>
        <v>#N/A</v>
      </c>
      <c r="AS38" s="316">
        <f t="shared" si="88"/>
        <v>0</v>
      </c>
      <c r="AT38" s="106">
        <f>_xlfn.IFNA($M38/VLOOKUP($BT38,'Unit information'!$A$2:$K$29,2,FALSE)*R38,0)*(1+$E$9)</f>
        <v>0</v>
      </c>
      <c r="AU38" s="107">
        <f>_xlfn.IFNA($M38/VLOOKUP($BT38,'Unit information'!$A$2:$K$29,3,FALSE)*S38,0)*(1+$E$9)</f>
        <v>0</v>
      </c>
      <c r="AV38" s="107">
        <f>_xlfn.IFNA($M38/VLOOKUP($BT38,'Unit information'!$A$2:$K$29,4,FALSE)*T38,0)*(1+$E$9)</f>
        <v>0</v>
      </c>
      <c r="AW38" s="107">
        <f>_xlfn.IFNA($M38/VLOOKUP($BT38,'Unit information'!$A$2:$K$29,5,FALSE)*U38,0)*(1+$E$9)</f>
        <v>0</v>
      </c>
      <c r="AX38" s="107">
        <f>_xlfn.IFNA($M38/VLOOKUP($BU38,'Unit information'!$A$2:$K$29,6,FALSE)*V38,0)*(1+$E$9)</f>
        <v>0</v>
      </c>
      <c r="AY38" s="107">
        <f>_xlfn.IFNA($M38/VLOOKUP($BU38,'Unit information'!$A$2:$K$29,7,FALSE)*W38,0)*(1+$E$9)</f>
        <v>0</v>
      </c>
      <c r="AZ38" s="107">
        <f>_xlfn.IFNA($M38/VLOOKUP($BU38,'Unit information'!$A$2:$K$29,8,FALSE)*X38,0)*(1+$E$9)</f>
        <v>0</v>
      </c>
      <c r="BA38" s="107">
        <f>_xlfn.IFNA($M38/VLOOKUP($BU38,'Unit information'!$A$2:$K$29,9,FALSE)*Y38,0)*(1+$E$9)</f>
        <v>0</v>
      </c>
      <c r="BB38" s="107">
        <f>_xlfn.IFNA($M38/VLOOKUP($BV38,'Unit information'!$A$2:$K$29,10,FALSE)*Z38,0)*(1+$E$9)</f>
        <v>0</v>
      </c>
      <c r="BC38" s="108">
        <f>_xlfn.IFNA($M38/VLOOKUP($BV38,'Unit information'!$A$2:$K$29,11,FALSE)*AA38,0)*(1+$E$9)</f>
        <v>0</v>
      </c>
      <c r="BD38" s="106">
        <f t="shared" si="10"/>
        <v>0</v>
      </c>
      <c r="BE38" s="107">
        <f t="shared" si="11"/>
        <v>0</v>
      </c>
      <c r="BF38" s="108">
        <f t="shared" si="12"/>
        <v>0</v>
      </c>
      <c r="BG38" s="25" t="e">
        <f t="shared" si="13"/>
        <v>#N/A</v>
      </c>
      <c r="BH38" s="25" t="e">
        <f t="shared" si="14"/>
        <v>#N/A</v>
      </c>
      <c r="BI38" s="25" t="e">
        <f t="shared" si="15"/>
        <v>#N/A</v>
      </c>
      <c r="BJ38" s="27" t="e">
        <f t="shared" si="16"/>
        <v>#N/A</v>
      </c>
      <c r="BK38" s="18" t="e">
        <f t="shared" si="17"/>
        <v>#N/A</v>
      </c>
      <c r="BL38" s="18" t="e">
        <f t="shared" si="18"/>
        <v>#N/A</v>
      </c>
      <c r="BM38" s="28" t="e">
        <f t="shared" si="89"/>
        <v>#N/A</v>
      </c>
      <c r="BN38" s="33">
        <f>HLOOKUP("maximum population",Miscelaneous!$C$1:$C$33,CH38+3,FALSE)</f>
        <v>240</v>
      </c>
      <c r="BO38" s="14">
        <f t="shared" si="35"/>
        <v>32</v>
      </c>
      <c r="BP38" s="14">
        <f t="shared" si="36"/>
        <v>0</v>
      </c>
      <c r="BQ38" s="14">
        <f t="shared" si="37"/>
        <v>208</v>
      </c>
      <c r="BR38" s="34" t="e">
        <f>HLOOKUP(J38,Villagers!$B$1:$V$33,L38+3,FALSE)-HLOOKUP(J38,Villagers!$B$1:$V$33,L38+2,FALSE)</f>
        <v>#N/A</v>
      </c>
      <c r="BS38" s="49">
        <f t="shared" si="38"/>
        <v>1</v>
      </c>
      <c r="BT38" s="50">
        <f t="shared" si="39"/>
        <v>0</v>
      </c>
      <c r="BU38" s="50">
        <f t="shared" si="40"/>
        <v>0</v>
      </c>
      <c r="BV38" s="50">
        <f t="shared" si="41"/>
        <v>0</v>
      </c>
      <c r="BW38" s="50">
        <f t="shared" si="42"/>
        <v>0</v>
      </c>
      <c r="BX38" s="50">
        <f t="shared" si="43"/>
        <v>0</v>
      </c>
      <c r="BY38" s="50">
        <f t="shared" si="43"/>
        <v>0</v>
      </c>
      <c r="BZ38" s="50">
        <f t="shared" si="44"/>
        <v>0</v>
      </c>
      <c r="CA38" s="50">
        <f t="shared" si="45"/>
        <v>0</v>
      </c>
      <c r="CB38" s="50">
        <f t="shared" si="46"/>
        <v>1</v>
      </c>
      <c r="CC38" s="50">
        <f t="shared" si="47"/>
        <v>0</v>
      </c>
      <c r="CD38" s="50">
        <f t="shared" si="48"/>
        <v>0</v>
      </c>
      <c r="CE38" s="50">
        <f t="shared" si="49"/>
        <v>1</v>
      </c>
      <c r="CF38" s="50">
        <f t="shared" si="50"/>
        <v>1</v>
      </c>
      <c r="CG38" s="50">
        <f t="shared" si="51"/>
        <v>1</v>
      </c>
      <c r="CH38" s="50">
        <f t="shared" si="52"/>
        <v>1</v>
      </c>
      <c r="CI38" s="50">
        <f t="shared" si="53"/>
        <v>1</v>
      </c>
      <c r="CJ38" s="50">
        <f t="shared" si="54"/>
        <v>1</v>
      </c>
      <c r="CK38" s="50">
        <f t="shared" si="55"/>
        <v>0</v>
      </c>
      <c r="CL38" s="50">
        <f t="shared" si="54"/>
        <v>0</v>
      </c>
      <c r="CM38" s="51">
        <f t="shared" si="56"/>
        <v>0</v>
      </c>
      <c r="CN38" s="33">
        <f>ROUND(IF(BS38=0,0,HLOOKUP(BS$14,Villagers!$B$1:$V$33,BS38+3,FALSE)),)</f>
        <v>5</v>
      </c>
      <c r="CO38" s="14">
        <f>ROUND(IF(BT38=0,0,HLOOKUP(BT$14,Villagers!$B$1:$V$33,BT38+3,FALSE)),)</f>
        <v>0</v>
      </c>
      <c r="CP38" s="14">
        <f>ROUND(IF(BU38=0,0,HLOOKUP(BU$14,Villagers!$B$1:$V$33,BU38+3,FALSE)),)</f>
        <v>0</v>
      </c>
      <c r="CQ38" s="14">
        <f>ROUND(IF(BV38=0,0,HLOOKUP(BV$14,Villagers!$B$1:$V$33,BV38+3,FALSE)),)</f>
        <v>0</v>
      </c>
      <c r="CR38" s="14">
        <f>ROUND(IF(BW38=0,0,HLOOKUP(BW$14,Villagers!$B$1:$V$33,BW38+3,FALSE)),)</f>
        <v>0</v>
      </c>
      <c r="CS38" s="14">
        <f>ROUND(IF(BX38=0,0,HLOOKUP(BX$14,Villagers!$B$1:$V$33,BX38+3,FALSE)),)</f>
        <v>0</v>
      </c>
      <c r="CT38" s="14">
        <f>ROUND(IF(BY38=0,0,HLOOKUP(BY$14,Villagers!$B$1:$V$33,BY38+3,FALSE)),)</f>
        <v>0</v>
      </c>
      <c r="CU38" s="14">
        <f>ROUND(IF(BZ38=0,0,HLOOKUP(BZ$14,Villagers!$B$1:$V$33,BZ38+3,FALSE)),)</f>
        <v>0</v>
      </c>
      <c r="CV38" s="14">
        <f>ROUND(IF(CA38=0,0,HLOOKUP(CA$14,Villagers!$B$1:$V$33,CA38+3,FALSE)),)</f>
        <v>0</v>
      </c>
      <c r="CW38" s="14">
        <f>ROUND(IF(CB38=0,0,HLOOKUP(CB$14,Villagers!$B$1:$V$33,CB38+3,FALSE)),)</f>
        <v>0</v>
      </c>
      <c r="CX38" s="14">
        <f>ROUND(IF(CC38=0,0,HLOOKUP(CC$14,Villagers!$B$1:$V$33,CC38+3,FALSE)),)</f>
        <v>0</v>
      </c>
      <c r="CY38" s="14">
        <f>ROUND(IF(CD38=0,0,HLOOKUP(CD$14,Villagers!$B$1:$V$33,CD38+3,FALSE)),)</f>
        <v>0</v>
      </c>
      <c r="CZ38" s="14">
        <f>ROUND(IF(CE38=0,0,HLOOKUP(CE$14,Villagers!$B$1:$V$33,CE38+3,FALSE)),)</f>
        <v>5</v>
      </c>
      <c r="DA38" s="14">
        <f>ROUND(IF(CF38=0,0,HLOOKUP(CF$14,Villagers!$B$1:$V$33,CF38+3,FALSE)),)</f>
        <v>10</v>
      </c>
      <c r="DB38" s="14">
        <f>ROUND(IF(CG38=0,0,HLOOKUP(CG$14,Villagers!$B$1:$V$33,CG38+3,FALSE)),)</f>
        <v>10</v>
      </c>
      <c r="DC38" s="14">
        <f>ROUND(IF(CH38=0,0,HLOOKUP(CH$14,Villagers!$B$1:$V$33,CH38+3,FALSE)),)</f>
        <v>0</v>
      </c>
      <c r="DD38" s="14">
        <f>ROUND(IF(CI38=0,0,HLOOKUP(CI$14,Villagers!$B$1:$V$33,CI38+3,FALSE)),)</f>
        <v>0</v>
      </c>
      <c r="DE38" s="14">
        <f>ROUND(IF(CJ38=0,0,HLOOKUP(CJ$14,Villagers!$B$1:$V$33,CJ38+3,FALSE)),)</f>
        <v>2</v>
      </c>
      <c r="DF38" s="370">
        <f>ROUND(IF(CK38=0,0,HLOOKUP(CK$14,Villagers!$B$1:$V$33,CK38+3,FALSE)),)</f>
        <v>0</v>
      </c>
      <c r="DG38" s="370">
        <f>ROUND(IF(CL38=0,0,HLOOKUP(CL$14,Villagers!$B$1:$V$33,CL38+3,FALSE)),)</f>
        <v>0</v>
      </c>
      <c r="DH38" s="34">
        <f>ROUND(IF(CM38=0,0,HLOOKUP(CM$14,Villagers!$B$1:$V$33,CM38+3,FALSE)),)</f>
        <v>0</v>
      </c>
      <c r="DI38" s="109">
        <f t="shared" si="74"/>
        <v>0</v>
      </c>
      <c r="DJ38" s="50">
        <f t="shared" si="75"/>
        <v>0</v>
      </c>
      <c r="DK38" s="50">
        <f t="shared" si="76"/>
        <v>0</v>
      </c>
      <c r="DL38" s="50">
        <f t="shared" si="77"/>
        <v>0</v>
      </c>
      <c r="DM38" s="50">
        <f t="shared" si="78"/>
        <v>0</v>
      </c>
      <c r="DN38" s="50">
        <f t="shared" si="79"/>
        <v>0</v>
      </c>
      <c r="DO38" s="50">
        <f t="shared" si="80"/>
        <v>0</v>
      </c>
      <c r="DP38" s="50">
        <f t="shared" si="81"/>
        <v>0</v>
      </c>
      <c r="DQ38" s="50">
        <f t="shared" si="58"/>
        <v>0</v>
      </c>
      <c r="DR38" s="50">
        <f t="shared" si="59"/>
        <v>0</v>
      </c>
      <c r="DS38" s="96">
        <f>Miscelaneous!$D$4*Miscelaneous!$D$2^($CI38-1)</f>
        <v>1000</v>
      </c>
      <c r="DT38" s="333">
        <f t="shared" si="60"/>
        <v>1</v>
      </c>
      <c r="DU38" s="81">
        <v>1</v>
      </c>
      <c r="DV38" s="79">
        <f t="shared" si="61"/>
        <v>0</v>
      </c>
      <c r="DW38" s="79">
        <f t="shared" si="21"/>
        <v>0</v>
      </c>
      <c r="DX38" s="79">
        <f t="shared" si="62"/>
        <v>0</v>
      </c>
      <c r="DY38" s="79">
        <v>1</v>
      </c>
      <c r="DZ38" s="79">
        <f t="shared" si="22"/>
        <v>0</v>
      </c>
      <c r="EA38" s="79">
        <f t="shared" si="63"/>
        <v>0</v>
      </c>
      <c r="EB38" s="79">
        <f t="shared" si="64"/>
        <v>0</v>
      </c>
      <c r="EC38" s="79">
        <f t="shared" si="65"/>
        <v>0</v>
      </c>
      <c r="ED38" s="79">
        <v>1</v>
      </c>
      <c r="EE38" s="79">
        <v>1</v>
      </c>
      <c r="EF38" s="79">
        <f t="shared" si="66"/>
        <v>0</v>
      </c>
      <c r="EG38" s="79">
        <v>1</v>
      </c>
      <c r="EH38" s="79">
        <v>1</v>
      </c>
      <c r="EI38" s="79">
        <v>1</v>
      </c>
      <c r="EJ38" s="79">
        <v>1</v>
      </c>
      <c r="EK38" s="79">
        <v>1</v>
      </c>
      <c r="EL38" s="79">
        <v>1</v>
      </c>
      <c r="EM38" s="143">
        <f t="shared" si="67"/>
        <v>0</v>
      </c>
      <c r="EN38" s="143">
        <f t="shared" si="68"/>
        <v>0</v>
      </c>
      <c r="EO38" s="82">
        <f t="shared" si="69"/>
        <v>0</v>
      </c>
    </row>
    <row r="39" spans="1:145" x14ac:dyDescent="0.25">
      <c r="A39">
        <v>25</v>
      </c>
      <c r="B39" s="172" t="e">
        <f t="shared" si="23"/>
        <v>#N/A</v>
      </c>
      <c r="C39" s="121" t="e">
        <f t="shared" ref="C39:E39" si="108">AJ39-SUM(AB39:AB43)</f>
        <v>#N/A</v>
      </c>
      <c r="D39" s="122" t="e">
        <f t="shared" si="108"/>
        <v>#N/A</v>
      </c>
      <c r="E39" s="122" t="e">
        <f t="shared" si="108"/>
        <v>#N/A</v>
      </c>
      <c r="F39" s="176" t="e">
        <f t="shared" si="0"/>
        <v>#N/A</v>
      </c>
      <c r="G39" s="121">
        <f t="shared" si="25"/>
        <v>208</v>
      </c>
      <c r="H39" s="176" t="e">
        <f t="shared" si="26"/>
        <v>#N/A</v>
      </c>
      <c r="I39" s="48">
        <v>1</v>
      </c>
      <c r="J39" s="39"/>
      <c r="K39" s="350">
        <v>1</v>
      </c>
      <c r="L39" s="34" t="e">
        <f t="shared" si="1"/>
        <v>#N/A</v>
      </c>
      <c r="M39" s="38" t="e">
        <f>(HLOOKUP(J39,'Construction Times'!$B$3:$W$34,L39+2,FALSE)*HLOOKUP("hq modifier",'Construction Times'!$W$3:$W$34,BS39+2,FALSE))*(1-$H$9)</f>
        <v>#N/A</v>
      </c>
      <c r="N39" s="426" t="e">
        <f t="shared" si="27"/>
        <v>#N/A</v>
      </c>
      <c r="O39" s="427"/>
      <c r="P39" s="430" t="e">
        <f t="shared" si="28"/>
        <v>#N/A</v>
      </c>
      <c r="Q39" s="431"/>
      <c r="R39" s="103">
        <f t="shared" si="71"/>
        <v>0</v>
      </c>
      <c r="S39" s="104">
        <f t="shared" si="71"/>
        <v>0</v>
      </c>
      <c r="T39" s="104">
        <f t="shared" si="72"/>
        <v>0</v>
      </c>
      <c r="U39" s="104">
        <f t="shared" si="30"/>
        <v>0</v>
      </c>
      <c r="V39" s="104">
        <f t="shared" si="30"/>
        <v>9.9999999999999995E-8</v>
      </c>
      <c r="W39" s="104">
        <f t="shared" si="30"/>
        <v>0</v>
      </c>
      <c r="X39" s="104">
        <f t="shared" si="30"/>
        <v>0</v>
      </c>
      <c r="Y39" s="104">
        <f t="shared" si="30"/>
        <v>9.9999999999999995E-8</v>
      </c>
      <c r="Z39" s="104">
        <f t="shared" si="30"/>
        <v>9.9999999999999995E-8</v>
      </c>
      <c r="AA39" s="105">
        <f t="shared" si="30"/>
        <v>9.9999999999999995E-8</v>
      </c>
      <c r="AB39" s="101" t="e">
        <f>$DT39*HLOOKUP($J39,'Construction Costs (timber)'!$B$1:$V$32,'Construction Planner'!$L39+2,FALSE)</f>
        <v>#N/A</v>
      </c>
      <c r="AC39" s="14" t="e">
        <f>$DT39*HLOOKUP($J39,'Construction Costs (clay)'!$B$1:$V$32,'Construction Planner'!$L39+2,FALSE)</f>
        <v>#N/A</v>
      </c>
      <c r="AD39" s="14" t="e">
        <f>$DT39*HLOOKUP($J39,'Construction Costs (iron)'!$B$1:$V$32,'Construction Planner'!$L39+2,FALSE)</f>
        <v>#N/A</v>
      </c>
      <c r="AE39" s="34" t="e">
        <f t="shared" si="86"/>
        <v>#N/A</v>
      </c>
      <c r="AF39" s="33" t="e">
        <f t="shared" si="3"/>
        <v>#N/A</v>
      </c>
      <c r="AG39" s="14" t="e">
        <f t="shared" si="4"/>
        <v>#N/A</v>
      </c>
      <c r="AH39" s="14" t="e">
        <f t="shared" si="5"/>
        <v>#N/A</v>
      </c>
      <c r="AI39" s="34" t="e">
        <f t="shared" si="87"/>
        <v>#N/A</v>
      </c>
      <c r="AJ39" s="49" t="e">
        <f t="shared" si="31"/>
        <v>#N/A</v>
      </c>
      <c r="AK39" s="49" t="e">
        <f t="shared" si="32"/>
        <v>#N/A</v>
      </c>
      <c r="AL39" s="49" t="e">
        <f t="shared" si="33"/>
        <v>#N/A</v>
      </c>
      <c r="AM39" s="25">
        <f t="shared" si="6"/>
        <v>30</v>
      </c>
      <c r="AN39" s="25">
        <f t="shared" si="7"/>
        <v>30</v>
      </c>
      <c r="AO39" s="25">
        <f t="shared" si="8"/>
        <v>30</v>
      </c>
      <c r="AP39" s="52" t="e">
        <f t="shared" si="34"/>
        <v>#N/A</v>
      </c>
      <c r="AQ39" s="53" t="e">
        <f t="shared" si="34"/>
        <v>#N/A</v>
      </c>
      <c r="AR39" s="54" t="e">
        <f t="shared" si="34"/>
        <v>#N/A</v>
      </c>
      <c r="AS39" s="316">
        <f t="shared" si="88"/>
        <v>0</v>
      </c>
      <c r="AT39" s="106">
        <f>_xlfn.IFNA($M39/VLOOKUP($BT39,'Unit information'!$A$2:$K$29,2,FALSE)*R39,0)*(1+$E$9)</f>
        <v>0</v>
      </c>
      <c r="AU39" s="107">
        <f>_xlfn.IFNA($M39/VLOOKUP($BT39,'Unit information'!$A$2:$K$29,3,FALSE)*S39,0)*(1+$E$9)</f>
        <v>0</v>
      </c>
      <c r="AV39" s="107">
        <f>_xlfn.IFNA($M39/VLOOKUP($BT39,'Unit information'!$A$2:$K$29,4,FALSE)*T39,0)*(1+$E$9)</f>
        <v>0</v>
      </c>
      <c r="AW39" s="107">
        <f>_xlfn.IFNA($M39/VLOOKUP($BT39,'Unit information'!$A$2:$K$29,5,FALSE)*U39,0)*(1+$E$9)</f>
        <v>0</v>
      </c>
      <c r="AX39" s="107">
        <f>_xlfn.IFNA($M39/VLOOKUP($BU39,'Unit information'!$A$2:$K$29,6,FALSE)*V39,0)*(1+$E$9)</f>
        <v>0</v>
      </c>
      <c r="AY39" s="107">
        <f>_xlfn.IFNA($M39/VLOOKUP($BU39,'Unit information'!$A$2:$K$29,7,FALSE)*W39,0)*(1+$E$9)</f>
        <v>0</v>
      </c>
      <c r="AZ39" s="107">
        <f>_xlfn.IFNA($M39/VLOOKUP($BU39,'Unit information'!$A$2:$K$29,8,FALSE)*X39,0)*(1+$E$9)</f>
        <v>0</v>
      </c>
      <c r="BA39" s="107">
        <f>_xlfn.IFNA($M39/VLOOKUP($BU39,'Unit information'!$A$2:$K$29,9,FALSE)*Y39,0)*(1+$E$9)</f>
        <v>0</v>
      </c>
      <c r="BB39" s="107">
        <f>_xlfn.IFNA($M39/VLOOKUP($BV39,'Unit information'!$A$2:$K$29,10,FALSE)*Z39,0)*(1+$E$9)</f>
        <v>0</v>
      </c>
      <c r="BC39" s="108">
        <f>_xlfn.IFNA($M39/VLOOKUP($BV39,'Unit information'!$A$2:$K$29,11,FALSE)*AA39,0)*(1+$E$9)</f>
        <v>0</v>
      </c>
      <c r="BD39" s="106">
        <f t="shared" si="10"/>
        <v>0</v>
      </c>
      <c r="BE39" s="107">
        <f t="shared" si="11"/>
        <v>0</v>
      </c>
      <c r="BF39" s="108">
        <f t="shared" si="12"/>
        <v>0</v>
      </c>
      <c r="BG39" s="25" t="e">
        <f t="shared" si="13"/>
        <v>#N/A</v>
      </c>
      <c r="BH39" s="25" t="e">
        <f t="shared" si="14"/>
        <v>#N/A</v>
      </c>
      <c r="BI39" s="25" t="e">
        <f t="shared" si="15"/>
        <v>#N/A</v>
      </c>
      <c r="BJ39" s="27" t="e">
        <f t="shared" si="16"/>
        <v>#N/A</v>
      </c>
      <c r="BK39" s="18" t="e">
        <f t="shared" si="17"/>
        <v>#N/A</v>
      </c>
      <c r="BL39" s="18" t="e">
        <f t="shared" si="18"/>
        <v>#N/A</v>
      </c>
      <c r="BM39" s="28" t="e">
        <f t="shared" si="89"/>
        <v>#N/A</v>
      </c>
      <c r="BN39" s="33">
        <f>HLOOKUP("maximum population",Miscelaneous!$C$1:$C$33,CH39+3,FALSE)</f>
        <v>240</v>
      </c>
      <c r="BO39" s="14">
        <f t="shared" si="35"/>
        <v>32</v>
      </c>
      <c r="BP39" s="14">
        <f t="shared" si="36"/>
        <v>0</v>
      </c>
      <c r="BQ39" s="14">
        <f t="shared" si="37"/>
        <v>208</v>
      </c>
      <c r="BR39" s="34" t="e">
        <f>HLOOKUP(J39,Villagers!$B$1:$V$33,L39+3,FALSE)-HLOOKUP(J39,Villagers!$B$1:$V$33,L39+2,FALSE)</f>
        <v>#N/A</v>
      </c>
      <c r="BS39" s="49">
        <f t="shared" si="38"/>
        <v>1</v>
      </c>
      <c r="BT39" s="50">
        <f t="shared" si="39"/>
        <v>0</v>
      </c>
      <c r="BU39" s="50">
        <f t="shared" si="40"/>
        <v>0</v>
      </c>
      <c r="BV39" s="50">
        <f t="shared" si="41"/>
        <v>0</v>
      </c>
      <c r="BW39" s="50">
        <f t="shared" si="42"/>
        <v>0</v>
      </c>
      <c r="BX39" s="50">
        <f t="shared" si="43"/>
        <v>0</v>
      </c>
      <c r="BY39" s="50">
        <f t="shared" si="43"/>
        <v>0</v>
      </c>
      <c r="BZ39" s="50">
        <f t="shared" si="44"/>
        <v>0</v>
      </c>
      <c r="CA39" s="50">
        <f t="shared" si="45"/>
        <v>0</v>
      </c>
      <c r="CB39" s="50">
        <f t="shared" si="46"/>
        <v>1</v>
      </c>
      <c r="CC39" s="50">
        <f t="shared" si="47"/>
        <v>0</v>
      </c>
      <c r="CD39" s="50">
        <f t="shared" si="48"/>
        <v>0</v>
      </c>
      <c r="CE39" s="50">
        <f t="shared" si="49"/>
        <v>1</v>
      </c>
      <c r="CF39" s="50">
        <f t="shared" si="50"/>
        <v>1</v>
      </c>
      <c r="CG39" s="50">
        <f t="shared" si="51"/>
        <v>1</v>
      </c>
      <c r="CH39" s="50">
        <f t="shared" si="52"/>
        <v>1</v>
      </c>
      <c r="CI39" s="50">
        <f t="shared" si="53"/>
        <v>1</v>
      </c>
      <c r="CJ39" s="50">
        <f t="shared" si="54"/>
        <v>1</v>
      </c>
      <c r="CK39" s="50">
        <f t="shared" si="55"/>
        <v>0</v>
      </c>
      <c r="CL39" s="50">
        <f t="shared" si="54"/>
        <v>0</v>
      </c>
      <c r="CM39" s="51">
        <f t="shared" si="56"/>
        <v>0</v>
      </c>
      <c r="CN39" s="33">
        <f>ROUND(IF(BS39=0,0,HLOOKUP(BS$14,Villagers!$B$1:$V$33,BS39+3,FALSE)),)</f>
        <v>5</v>
      </c>
      <c r="CO39" s="14">
        <f>ROUND(IF(BT39=0,0,HLOOKUP(BT$14,Villagers!$B$1:$V$33,BT39+3,FALSE)),)</f>
        <v>0</v>
      </c>
      <c r="CP39" s="14">
        <f>ROUND(IF(BU39=0,0,HLOOKUP(BU$14,Villagers!$B$1:$V$33,BU39+3,FALSE)),)</f>
        <v>0</v>
      </c>
      <c r="CQ39" s="14">
        <f>ROUND(IF(BV39=0,0,HLOOKUP(BV$14,Villagers!$B$1:$V$33,BV39+3,FALSE)),)</f>
        <v>0</v>
      </c>
      <c r="CR39" s="14">
        <f>ROUND(IF(BW39=0,0,HLOOKUP(BW$14,Villagers!$B$1:$V$33,BW39+3,FALSE)),)</f>
        <v>0</v>
      </c>
      <c r="CS39" s="14">
        <f>ROUND(IF(BX39=0,0,HLOOKUP(BX$14,Villagers!$B$1:$V$33,BX39+3,FALSE)),)</f>
        <v>0</v>
      </c>
      <c r="CT39" s="14">
        <f>ROUND(IF(BY39=0,0,HLOOKUP(BY$14,Villagers!$B$1:$V$33,BY39+3,FALSE)),)</f>
        <v>0</v>
      </c>
      <c r="CU39" s="14">
        <f>ROUND(IF(BZ39=0,0,HLOOKUP(BZ$14,Villagers!$B$1:$V$33,BZ39+3,FALSE)),)</f>
        <v>0</v>
      </c>
      <c r="CV39" s="14">
        <f>ROUND(IF(CA39=0,0,HLOOKUP(CA$14,Villagers!$B$1:$V$33,CA39+3,FALSE)),)</f>
        <v>0</v>
      </c>
      <c r="CW39" s="14">
        <f>ROUND(IF(CB39=0,0,HLOOKUP(CB$14,Villagers!$B$1:$V$33,CB39+3,FALSE)),)</f>
        <v>0</v>
      </c>
      <c r="CX39" s="14">
        <f>ROUND(IF(CC39=0,0,HLOOKUP(CC$14,Villagers!$B$1:$V$33,CC39+3,FALSE)),)</f>
        <v>0</v>
      </c>
      <c r="CY39" s="14">
        <f>ROUND(IF(CD39=0,0,HLOOKUP(CD$14,Villagers!$B$1:$V$33,CD39+3,FALSE)),)</f>
        <v>0</v>
      </c>
      <c r="CZ39" s="14">
        <f>ROUND(IF(CE39=0,0,HLOOKUP(CE$14,Villagers!$B$1:$V$33,CE39+3,FALSE)),)</f>
        <v>5</v>
      </c>
      <c r="DA39" s="14">
        <f>ROUND(IF(CF39=0,0,HLOOKUP(CF$14,Villagers!$B$1:$V$33,CF39+3,FALSE)),)</f>
        <v>10</v>
      </c>
      <c r="DB39" s="14">
        <f>ROUND(IF(CG39=0,0,HLOOKUP(CG$14,Villagers!$B$1:$V$33,CG39+3,FALSE)),)</f>
        <v>10</v>
      </c>
      <c r="DC39" s="14">
        <f>ROUND(IF(CH39=0,0,HLOOKUP(CH$14,Villagers!$B$1:$V$33,CH39+3,FALSE)),)</f>
        <v>0</v>
      </c>
      <c r="DD39" s="14">
        <f>ROUND(IF(CI39=0,0,HLOOKUP(CI$14,Villagers!$B$1:$V$33,CI39+3,FALSE)),)</f>
        <v>0</v>
      </c>
      <c r="DE39" s="14">
        <f>ROUND(IF(CJ39=0,0,HLOOKUP(CJ$14,Villagers!$B$1:$V$33,CJ39+3,FALSE)),)</f>
        <v>2</v>
      </c>
      <c r="DF39" s="370">
        <f>ROUND(IF(CK39=0,0,HLOOKUP(CK$14,Villagers!$B$1:$V$33,CK39+3,FALSE)),)</f>
        <v>0</v>
      </c>
      <c r="DG39" s="370">
        <f>ROUND(IF(CL39=0,0,HLOOKUP(CL$14,Villagers!$B$1:$V$33,CL39+3,FALSE)),)</f>
        <v>0</v>
      </c>
      <c r="DH39" s="34">
        <f>ROUND(IF(CM39=0,0,HLOOKUP(CM$14,Villagers!$B$1:$V$33,CM39+3,FALSE)),)</f>
        <v>0</v>
      </c>
      <c r="DI39" s="109">
        <f t="shared" si="74"/>
        <v>0</v>
      </c>
      <c r="DJ39" s="50">
        <f t="shared" si="75"/>
        <v>0</v>
      </c>
      <c r="DK39" s="50">
        <f t="shared" si="76"/>
        <v>0</v>
      </c>
      <c r="DL39" s="50">
        <f t="shared" si="77"/>
        <v>0</v>
      </c>
      <c r="DM39" s="50">
        <f t="shared" si="78"/>
        <v>0</v>
      </c>
      <c r="DN39" s="50">
        <f t="shared" si="79"/>
        <v>0</v>
      </c>
      <c r="DO39" s="50">
        <f t="shared" si="80"/>
        <v>0</v>
      </c>
      <c r="DP39" s="50">
        <f t="shared" si="81"/>
        <v>0</v>
      </c>
      <c r="DQ39" s="50">
        <f t="shared" si="58"/>
        <v>0</v>
      </c>
      <c r="DR39" s="50">
        <f t="shared" si="59"/>
        <v>0</v>
      </c>
      <c r="DS39" s="96">
        <f>Miscelaneous!$D$4*Miscelaneous!$D$2^($CI39-1)</f>
        <v>1000</v>
      </c>
      <c r="DT39" s="333">
        <f t="shared" si="60"/>
        <v>1</v>
      </c>
      <c r="DU39" s="81">
        <v>1</v>
      </c>
      <c r="DV39" s="79">
        <f t="shared" si="61"/>
        <v>0</v>
      </c>
      <c r="DW39" s="79">
        <f t="shared" si="21"/>
        <v>0</v>
      </c>
      <c r="DX39" s="79">
        <f t="shared" si="62"/>
        <v>0</v>
      </c>
      <c r="DY39" s="79">
        <v>1</v>
      </c>
      <c r="DZ39" s="79">
        <f t="shared" si="22"/>
        <v>0</v>
      </c>
      <c r="EA39" s="79">
        <f t="shared" si="63"/>
        <v>0</v>
      </c>
      <c r="EB39" s="79">
        <f t="shared" si="64"/>
        <v>0</v>
      </c>
      <c r="EC39" s="79">
        <f t="shared" si="65"/>
        <v>0</v>
      </c>
      <c r="ED39" s="79">
        <v>1</v>
      </c>
      <c r="EE39" s="79">
        <v>1</v>
      </c>
      <c r="EF39" s="79">
        <f t="shared" si="66"/>
        <v>0</v>
      </c>
      <c r="EG39" s="79">
        <v>1</v>
      </c>
      <c r="EH39" s="79">
        <v>1</v>
      </c>
      <c r="EI39" s="79">
        <v>1</v>
      </c>
      <c r="EJ39" s="79">
        <v>1</v>
      </c>
      <c r="EK39" s="79">
        <v>1</v>
      </c>
      <c r="EL39" s="79">
        <v>1</v>
      </c>
      <c r="EM39" s="143">
        <f t="shared" si="67"/>
        <v>0</v>
      </c>
      <c r="EN39" s="143">
        <f t="shared" si="68"/>
        <v>0</v>
      </c>
      <c r="EO39" s="82">
        <f t="shared" si="69"/>
        <v>0</v>
      </c>
    </row>
    <row r="40" spans="1:145" x14ac:dyDescent="0.25">
      <c r="A40">
        <v>26</v>
      </c>
      <c r="B40" s="172" t="e">
        <f t="shared" si="23"/>
        <v>#N/A</v>
      </c>
      <c r="C40" s="121" t="e">
        <f t="shared" ref="C40:E40" si="109">AJ40-SUM(AB40:AB44)</f>
        <v>#N/A</v>
      </c>
      <c r="D40" s="122" t="e">
        <f t="shared" si="109"/>
        <v>#N/A</v>
      </c>
      <c r="E40" s="122" t="e">
        <f t="shared" si="109"/>
        <v>#N/A</v>
      </c>
      <c r="F40" s="176" t="e">
        <f t="shared" si="0"/>
        <v>#N/A</v>
      </c>
      <c r="G40" s="121">
        <f t="shared" si="25"/>
        <v>208</v>
      </c>
      <c r="H40" s="176" t="e">
        <f t="shared" si="26"/>
        <v>#N/A</v>
      </c>
      <c r="I40" s="48">
        <v>1</v>
      </c>
      <c r="J40" s="39"/>
      <c r="K40" s="350">
        <v>1</v>
      </c>
      <c r="L40" s="34" t="e">
        <f t="shared" si="1"/>
        <v>#N/A</v>
      </c>
      <c r="M40" s="38" t="e">
        <f>(HLOOKUP(J40,'Construction Times'!$B$3:$W$34,L40+2,FALSE)*HLOOKUP("hq modifier",'Construction Times'!$W$3:$W$34,BS40+2,FALSE))*(1-$H$9)</f>
        <v>#N/A</v>
      </c>
      <c r="N40" s="426" t="e">
        <f t="shared" si="27"/>
        <v>#N/A</v>
      </c>
      <c r="O40" s="427"/>
      <c r="P40" s="430" t="e">
        <f t="shared" si="28"/>
        <v>#N/A</v>
      </c>
      <c r="Q40" s="431"/>
      <c r="R40" s="103">
        <f t="shared" si="71"/>
        <v>0</v>
      </c>
      <c r="S40" s="104">
        <f t="shared" si="71"/>
        <v>0</v>
      </c>
      <c r="T40" s="104">
        <f t="shared" si="72"/>
        <v>0</v>
      </c>
      <c r="U40" s="104">
        <f t="shared" si="30"/>
        <v>0</v>
      </c>
      <c r="V40" s="104">
        <f t="shared" si="30"/>
        <v>9.9999999999999995E-8</v>
      </c>
      <c r="W40" s="104">
        <f t="shared" si="30"/>
        <v>0</v>
      </c>
      <c r="X40" s="104">
        <f t="shared" si="30"/>
        <v>0</v>
      </c>
      <c r="Y40" s="104">
        <f t="shared" si="30"/>
        <v>9.9999999999999995E-8</v>
      </c>
      <c r="Z40" s="104">
        <f t="shared" si="30"/>
        <v>9.9999999999999995E-8</v>
      </c>
      <c r="AA40" s="105">
        <f t="shared" si="30"/>
        <v>9.9999999999999995E-8</v>
      </c>
      <c r="AB40" s="101" t="e">
        <f>$DT40*HLOOKUP($J40,'Construction Costs (timber)'!$B$1:$V$32,'Construction Planner'!$L40+2,FALSE)</f>
        <v>#N/A</v>
      </c>
      <c r="AC40" s="14" t="e">
        <f>$DT40*HLOOKUP($J40,'Construction Costs (clay)'!$B$1:$V$32,'Construction Planner'!$L40+2,FALSE)</f>
        <v>#N/A</v>
      </c>
      <c r="AD40" s="14" t="e">
        <f>$DT40*HLOOKUP($J40,'Construction Costs (iron)'!$B$1:$V$32,'Construction Planner'!$L40+2,FALSE)</f>
        <v>#N/A</v>
      </c>
      <c r="AE40" s="34" t="e">
        <f t="shared" si="86"/>
        <v>#N/A</v>
      </c>
      <c r="AF40" s="33" t="e">
        <f t="shared" si="3"/>
        <v>#N/A</v>
      </c>
      <c r="AG40" s="14" t="e">
        <f t="shared" si="4"/>
        <v>#N/A</v>
      </c>
      <c r="AH40" s="14" t="e">
        <f t="shared" si="5"/>
        <v>#N/A</v>
      </c>
      <c r="AI40" s="34" t="e">
        <f t="shared" si="87"/>
        <v>#N/A</v>
      </c>
      <c r="AJ40" s="49" t="e">
        <f t="shared" si="31"/>
        <v>#N/A</v>
      </c>
      <c r="AK40" s="49" t="e">
        <f t="shared" si="32"/>
        <v>#N/A</v>
      </c>
      <c r="AL40" s="49" t="e">
        <f t="shared" si="33"/>
        <v>#N/A</v>
      </c>
      <c r="AM40" s="25">
        <f t="shared" si="6"/>
        <v>30</v>
      </c>
      <c r="AN40" s="25">
        <f t="shared" si="7"/>
        <v>30</v>
      </c>
      <c r="AO40" s="25">
        <f t="shared" si="8"/>
        <v>30</v>
      </c>
      <c r="AP40" s="52" t="e">
        <f t="shared" si="34"/>
        <v>#N/A</v>
      </c>
      <c r="AQ40" s="53" t="e">
        <f t="shared" si="34"/>
        <v>#N/A</v>
      </c>
      <c r="AR40" s="54" t="e">
        <f t="shared" si="34"/>
        <v>#N/A</v>
      </c>
      <c r="AS40" s="316">
        <f t="shared" si="88"/>
        <v>0</v>
      </c>
      <c r="AT40" s="106">
        <f>_xlfn.IFNA($M40/VLOOKUP($BT40,'Unit information'!$A$2:$K$29,2,FALSE)*R40,0)*(1+$E$9)</f>
        <v>0</v>
      </c>
      <c r="AU40" s="107">
        <f>_xlfn.IFNA($M40/VLOOKUP($BT40,'Unit information'!$A$2:$K$29,3,FALSE)*S40,0)*(1+$E$9)</f>
        <v>0</v>
      </c>
      <c r="AV40" s="107">
        <f>_xlfn.IFNA($M40/VLOOKUP($BT40,'Unit information'!$A$2:$K$29,4,FALSE)*T40,0)*(1+$E$9)</f>
        <v>0</v>
      </c>
      <c r="AW40" s="107">
        <f>_xlfn.IFNA($M40/VLOOKUP($BT40,'Unit information'!$A$2:$K$29,5,FALSE)*U40,0)*(1+$E$9)</f>
        <v>0</v>
      </c>
      <c r="AX40" s="107">
        <f>_xlfn.IFNA($M40/VLOOKUP($BU40,'Unit information'!$A$2:$K$29,6,FALSE)*V40,0)*(1+$E$9)</f>
        <v>0</v>
      </c>
      <c r="AY40" s="107">
        <f>_xlfn.IFNA($M40/VLOOKUP($BU40,'Unit information'!$A$2:$K$29,7,FALSE)*W40,0)*(1+$E$9)</f>
        <v>0</v>
      </c>
      <c r="AZ40" s="107">
        <f>_xlfn.IFNA($M40/VLOOKUP($BU40,'Unit information'!$A$2:$K$29,8,FALSE)*X40,0)*(1+$E$9)</f>
        <v>0</v>
      </c>
      <c r="BA40" s="107">
        <f>_xlfn.IFNA($M40/VLOOKUP($BU40,'Unit information'!$A$2:$K$29,9,FALSE)*Y40,0)*(1+$E$9)</f>
        <v>0</v>
      </c>
      <c r="BB40" s="107">
        <f>_xlfn.IFNA($M40/VLOOKUP($BV40,'Unit information'!$A$2:$K$29,10,FALSE)*Z40,0)*(1+$E$9)</f>
        <v>0</v>
      </c>
      <c r="BC40" s="108">
        <f>_xlfn.IFNA($M40/VLOOKUP($BV40,'Unit information'!$A$2:$K$29,11,FALSE)*AA40,0)*(1+$E$9)</f>
        <v>0</v>
      </c>
      <c r="BD40" s="106">
        <f t="shared" si="10"/>
        <v>0</v>
      </c>
      <c r="BE40" s="107">
        <f t="shared" si="11"/>
        <v>0</v>
      </c>
      <c r="BF40" s="108">
        <f t="shared" si="12"/>
        <v>0</v>
      </c>
      <c r="BG40" s="25" t="e">
        <f t="shared" si="13"/>
        <v>#N/A</v>
      </c>
      <c r="BH40" s="25" t="e">
        <f t="shared" si="14"/>
        <v>#N/A</v>
      </c>
      <c r="BI40" s="25" t="e">
        <f t="shared" si="15"/>
        <v>#N/A</v>
      </c>
      <c r="BJ40" s="27" t="e">
        <f t="shared" si="16"/>
        <v>#N/A</v>
      </c>
      <c r="BK40" s="18" t="e">
        <f t="shared" si="17"/>
        <v>#N/A</v>
      </c>
      <c r="BL40" s="18" t="e">
        <f t="shared" si="18"/>
        <v>#N/A</v>
      </c>
      <c r="BM40" s="28" t="e">
        <f t="shared" si="89"/>
        <v>#N/A</v>
      </c>
      <c r="BN40" s="33">
        <f>HLOOKUP("maximum population",Miscelaneous!$C$1:$C$33,CH40+3,FALSE)</f>
        <v>240</v>
      </c>
      <c r="BO40" s="14">
        <f t="shared" si="35"/>
        <v>32</v>
      </c>
      <c r="BP40" s="14">
        <f t="shared" si="36"/>
        <v>0</v>
      </c>
      <c r="BQ40" s="14">
        <f t="shared" si="37"/>
        <v>208</v>
      </c>
      <c r="BR40" s="34" t="e">
        <f>HLOOKUP(J40,Villagers!$B$1:$V$33,L40+3,FALSE)-HLOOKUP(J40,Villagers!$B$1:$V$33,L40+2,FALSE)</f>
        <v>#N/A</v>
      </c>
      <c r="BS40" s="49">
        <f t="shared" si="38"/>
        <v>1</v>
      </c>
      <c r="BT40" s="50">
        <f t="shared" si="39"/>
        <v>0</v>
      </c>
      <c r="BU40" s="50">
        <f t="shared" si="40"/>
        <v>0</v>
      </c>
      <c r="BV40" s="50">
        <f t="shared" si="41"/>
        <v>0</v>
      </c>
      <c r="BW40" s="50">
        <f t="shared" si="42"/>
        <v>0</v>
      </c>
      <c r="BX40" s="50">
        <f t="shared" si="43"/>
        <v>0</v>
      </c>
      <c r="BY40" s="50">
        <f t="shared" si="43"/>
        <v>0</v>
      </c>
      <c r="BZ40" s="50">
        <f t="shared" si="44"/>
        <v>0</v>
      </c>
      <c r="CA40" s="50">
        <f t="shared" si="45"/>
        <v>0</v>
      </c>
      <c r="CB40" s="50">
        <f t="shared" si="46"/>
        <v>1</v>
      </c>
      <c r="CC40" s="50">
        <f t="shared" si="47"/>
        <v>0</v>
      </c>
      <c r="CD40" s="50">
        <f t="shared" si="48"/>
        <v>0</v>
      </c>
      <c r="CE40" s="50">
        <f t="shared" si="49"/>
        <v>1</v>
      </c>
      <c r="CF40" s="50">
        <f t="shared" si="50"/>
        <v>1</v>
      </c>
      <c r="CG40" s="50">
        <f t="shared" si="51"/>
        <v>1</v>
      </c>
      <c r="CH40" s="50">
        <f t="shared" si="52"/>
        <v>1</v>
      </c>
      <c r="CI40" s="50">
        <f t="shared" si="53"/>
        <v>1</v>
      </c>
      <c r="CJ40" s="50">
        <f t="shared" si="54"/>
        <v>1</v>
      </c>
      <c r="CK40" s="50">
        <f t="shared" si="55"/>
        <v>0</v>
      </c>
      <c r="CL40" s="50">
        <f t="shared" si="54"/>
        <v>0</v>
      </c>
      <c r="CM40" s="51">
        <f t="shared" si="56"/>
        <v>0</v>
      </c>
      <c r="CN40" s="33">
        <f>ROUND(IF(BS40=0,0,HLOOKUP(BS$14,Villagers!$B$1:$V$33,BS40+3,FALSE)),)</f>
        <v>5</v>
      </c>
      <c r="CO40" s="14">
        <f>ROUND(IF(BT40=0,0,HLOOKUP(BT$14,Villagers!$B$1:$V$33,BT40+3,FALSE)),)</f>
        <v>0</v>
      </c>
      <c r="CP40" s="14">
        <f>ROUND(IF(BU40=0,0,HLOOKUP(BU$14,Villagers!$B$1:$V$33,BU40+3,FALSE)),)</f>
        <v>0</v>
      </c>
      <c r="CQ40" s="14">
        <f>ROUND(IF(BV40=0,0,HLOOKUP(BV$14,Villagers!$B$1:$V$33,BV40+3,FALSE)),)</f>
        <v>0</v>
      </c>
      <c r="CR40" s="14">
        <f>ROUND(IF(BW40=0,0,HLOOKUP(BW$14,Villagers!$B$1:$V$33,BW40+3,FALSE)),)</f>
        <v>0</v>
      </c>
      <c r="CS40" s="14">
        <f>ROUND(IF(BX40=0,0,HLOOKUP(BX$14,Villagers!$B$1:$V$33,BX40+3,FALSE)),)</f>
        <v>0</v>
      </c>
      <c r="CT40" s="14">
        <f>ROUND(IF(BY40=0,0,HLOOKUP(BY$14,Villagers!$B$1:$V$33,BY40+3,FALSE)),)</f>
        <v>0</v>
      </c>
      <c r="CU40" s="14">
        <f>ROUND(IF(BZ40=0,0,HLOOKUP(BZ$14,Villagers!$B$1:$V$33,BZ40+3,FALSE)),)</f>
        <v>0</v>
      </c>
      <c r="CV40" s="14">
        <f>ROUND(IF(CA40=0,0,HLOOKUP(CA$14,Villagers!$B$1:$V$33,CA40+3,FALSE)),)</f>
        <v>0</v>
      </c>
      <c r="CW40" s="14">
        <f>ROUND(IF(CB40=0,0,HLOOKUP(CB$14,Villagers!$B$1:$V$33,CB40+3,FALSE)),)</f>
        <v>0</v>
      </c>
      <c r="CX40" s="14">
        <f>ROUND(IF(CC40=0,0,HLOOKUP(CC$14,Villagers!$B$1:$V$33,CC40+3,FALSE)),)</f>
        <v>0</v>
      </c>
      <c r="CY40" s="14">
        <f>ROUND(IF(CD40=0,0,HLOOKUP(CD$14,Villagers!$B$1:$V$33,CD40+3,FALSE)),)</f>
        <v>0</v>
      </c>
      <c r="CZ40" s="14">
        <f>ROUND(IF(CE40=0,0,HLOOKUP(CE$14,Villagers!$B$1:$V$33,CE40+3,FALSE)),)</f>
        <v>5</v>
      </c>
      <c r="DA40" s="14">
        <f>ROUND(IF(CF40=0,0,HLOOKUP(CF$14,Villagers!$B$1:$V$33,CF40+3,FALSE)),)</f>
        <v>10</v>
      </c>
      <c r="DB40" s="14">
        <f>ROUND(IF(CG40=0,0,HLOOKUP(CG$14,Villagers!$B$1:$V$33,CG40+3,FALSE)),)</f>
        <v>10</v>
      </c>
      <c r="DC40" s="14">
        <f>ROUND(IF(CH40=0,0,HLOOKUP(CH$14,Villagers!$B$1:$V$33,CH40+3,FALSE)),)</f>
        <v>0</v>
      </c>
      <c r="DD40" s="14">
        <f>ROUND(IF(CI40=0,0,HLOOKUP(CI$14,Villagers!$B$1:$V$33,CI40+3,FALSE)),)</f>
        <v>0</v>
      </c>
      <c r="DE40" s="14">
        <f>ROUND(IF(CJ40=0,0,HLOOKUP(CJ$14,Villagers!$B$1:$V$33,CJ40+3,FALSE)),)</f>
        <v>2</v>
      </c>
      <c r="DF40" s="370">
        <f>ROUND(IF(CK40=0,0,HLOOKUP(CK$14,Villagers!$B$1:$V$33,CK40+3,FALSE)),)</f>
        <v>0</v>
      </c>
      <c r="DG40" s="370">
        <f>ROUND(IF(CL40=0,0,HLOOKUP(CL$14,Villagers!$B$1:$V$33,CL40+3,FALSE)),)</f>
        <v>0</v>
      </c>
      <c r="DH40" s="34">
        <f>ROUND(IF(CM40=0,0,HLOOKUP(CM$14,Villagers!$B$1:$V$33,CM40+3,FALSE)),)</f>
        <v>0</v>
      </c>
      <c r="DI40" s="109">
        <f t="shared" si="74"/>
        <v>0</v>
      </c>
      <c r="DJ40" s="50">
        <f t="shared" si="75"/>
        <v>0</v>
      </c>
      <c r="DK40" s="50">
        <f t="shared" si="76"/>
        <v>0</v>
      </c>
      <c r="DL40" s="50">
        <f t="shared" si="77"/>
        <v>0</v>
      </c>
      <c r="DM40" s="50">
        <f t="shared" si="78"/>
        <v>0</v>
      </c>
      <c r="DN40" s="50">
        <f t="shared" si="79"/>
        <v>0</v>
      </c>
      <c r="DO40" s="50">
        <f t="shared" si="80"/>
        <v>0</v>
      </c>
      <c r="DP40" s="50">
        <f t="shared" si="81"/>
        <v>0</v>
      </c>
      <c r="DQ40" s="50">
        <f t="shared" si="58"/>
        <v>0</v>
      </c>
      <c r="DR40" s="50">
        <f t="shared" si="59"/>
        <v>0</v>
      </c>
      <c r="DS40" s="96">
        <f>Miscelaneous!$D$4*Miscelaneous!$D$2^($CI40-1)</f>
        <v>1000</v>
      </c>
      <c r="DT40" s="333">
        <f t="shared" si="60"/>
        <v>1</v>
      </c>
      <c r="DU40" s="81">
        <v>1</v>
      </c>
      <c r="DV40" s="79">
        <f t="shared" si="61"/>
        <v>0</v>
      </c>
      <c r="DW40" s="79">
        <f t="shared" si="21"/>
        <v>0</v>
      </c>
      <c r="DX40" s="79">
        <f t="shared" si="62"/>
        <v>0</v>
      </c>
      <c r="DY40" s="79">
        <v>1</v>
      </c>
      <c r="DZ40" s="79">
        <f t="shared" si="22"/>
        <v>0</v>
      </c>
      <c r="EA40" s="79">
        <f t="shared" si="63"/>
        <v>0</v>
      </c>
      <c r="EB40" s="79">
        <f t="shared" si="64"/>
        <v>0</v>
      </c>
      <c r="EC40" s="79">
        <f t="shared" si="65"/>
        <v>0</v>
      </c>
      <c r="ED40" s="79">
        <v>1</v>
      </c>
      <c r="EE40" s="79">
        <v>1</v>
      </c>
      <c r="EF40" s="79">
        <f t="shared" si="66"/>
        <v>0</v>
      </c>
      <c r="EG40" s="79">
        <v>1</v>
      </c>
      <c r="EH40" s="79">
        <v>1</v>
      </c>
      <c r="EI40" s="79">
        <v>1</v>
      </c>
      <c r="EJ40" s="79">
        <v>1</v>
      </c>
      <c r="EK40" s="79">
        <v>1</v>
      </c>
      <c r="EL40" s="79">
        <v>1</v>
      </c>
      <c r="EM40" s="143">
        <f t="shared" si="67"/>
        <v>0</v>
      </c>
      <c r="EN40" s="143">
        <f t="shared" si="68"/>
        <v>0</v>
      </c>
      <c r="EO40" s="82">
        <f t="shared" si="69"/>
        <v>0</v>
      </c>
    </row>
    <row r="41" spans="1:145" x14ac:dyDescent="0.25">
      <c r="A41">
        <v>27</v>
      </c>
      <c r="B41" s="172" t="e">
        <f t="shared" si="23"/>
        <v>#N/A</v>
      </c>
      <c r="C41" s="121" t="e">
        <f t="shared" ref="C41:E41" si="110">AJ41-SUM(AB41:AB45)</f>
        <v>#N/A</v>
      </c>
      <c r="D41" s="122" t="e">
        <f t="shared" si="110"/>
        <v>#N/A</v>
      </c>
      <c r="E41" s="122" t="e">
        <f t="shared" si="110"/>
        <v>#N/A</v>
      </c>
      <c r="F41" s="176" t="e">
        <f t="shared" si="0"/>
        <v>#N/A</v>
      </c>
      <c r="G41" s="121">
        <f t="shared" si="25"/>
        <v>208</v>
      </c>
      <c r="H41" s="176" t="e">
        <f t="shared" si="26"/>
        <v>#N/A</v>
      </c>
      <c r="I41" s="48">
        <v>1</v>
      </c>
      <c r="J41" s="39"/>
      <c r="K41" s="350">
        <v>1</v>
      </c>
      <c r="L41" s="34" t="e">
        <f t="shared" si="1"/>
        <v>#N/A</v>
      </c>
      <c r="M41" s="38" t="e">
        <f>(HLOOKUP(J41,'Construction Times'!$B$3:$W$34,L41+2,FALSE)*HLOOKUP("hq modifier",'Construction Times'!$W$3:$W$34,BS41+2,FALSE))*(1-$H$9)</f>
        <v>#N/A</v>
      </c>
      <c r="N41" s="426" t="e">
        <f t="shared" si="27"/>
        <v>#N/A</v>
      </c>
      <c r="O41" s="427"/>
      <c r="P41" s="430" t="e">
        <f t="shared" si="28"/>
        <v>#N/A</v>
      </c>
      <c r="Q41" s="431"/>
      <c r="R41" s="103">
        <f t="shared" si="71"/>
        <v>0</v>
      </c>
      <c r="S41" s="104">
        <f t="shared" si="71"/>
        <v>0</v>
      </c>
      <c r="T41" s="104">
        <f t="shared" si="72"/>
        <v>0</v>
      </c>
      <c r="U41" s="104">
        <f t="shared" si="30"/>
        <v>0</v>
      </c>
      <c r="V41" s="104">
        <f t="shared" si="30"/>
        <v>9.9999999999999995E-8</v>
      </c>
      <c r="W41" s="104">
        <f t="shared" si="30"/>
        <v>0</v>
      </c>
      <c r="X41" s="104">
        <f t="shared" si="30"/>
        <v>0</v>
      </c>
      <c r="Y41" s="104">
        <f t="shared" si="30"/>
        <v>9.9999999999999995E-8</v>
      </c>
      <c r="Z41" s="104">
        <f t="shared" si="30"/>
        <v>9.9999999999999995E-8</v>
      </c>
      <c r="AA41" s="105">
        <f t="shared" si="30"/>
        <v>9.9999999999999995E-8</v>
      </c>
      <c r="AB41" s="101" t="e">
        <f>$DT41*HLOOKUP($J41,'Construction Costs (timber)'!$B$1:$V$32,'Construction Planner'!$L41+2,FALSE)</f>
        <v>#N/A</v>
      </c>
      <c r="AC41" s="14" t="e">
        <f>$DT41*HLOOKUP($J41,'Construction Costs (clay)'!$B$1:$V$32,'Construction Planner'!$L41+2,FALSE)</f>
        <v>#N/A</v>
      </c>
      <c r="AD41" s="14" t="e">
        <f>$DT41*HLOOKUP($J41,'Construction Costs (iron)'!$B$1:$V$32,'Construction Planner'!$L41+2,FALSE)</f>
        <v>#N/A</v>
      </c>
      <c r="AE41" s="34" t="e">
        <f t="shared" si="86"/>
        <v>#N/A</v>
      </c>
      <c r="AF41" s="33" t="e">
        <f t="shared" si="3"/>
        <v>#N/A</v>
      </c>
      <c r="AG41" s="14" t="e">
        <f t="shared" si="4"/>
        <v>#N/A</v>
      </c>
      <c r="AH41" s="14" t="e">
        <f t="shared" si="5"/>
        <v>#N/A</v>
      </c>
      <c r="AI41" s="34" t="e">
        <f t="shared" si="87"/>
        <v>#N/A</v>
      </c>
      <c r="AJ41" s="49" t="e">
        <f t="shared" si="31"/>
        <v>#N/A</v>
      </c>
      <c r="AK41" s="49" t="e">
        <f t="shared" si="32"/>
        <v>#N/A</v>
      </c>
      <c r="AL41" s="49" t="e">
        <f t="shared" si="33"/>
        <v>#N/A</v>
      </c>
      <c r="AM41" s="25">
        <f t="shared" si="6"/>
        <v>30</v>
      </c>
      <c r="AN41" s="25">
        <f t="shared" si="7"/>
        <v>30</v>
      </c>
      <c r="AO41" s="25">
        <f t="shared" si="8"/>
        <v>30</v>
      </c>
      <c r="AP41" s="52" t="e">
        <f t="shared" si="34"/>
        <v>#N/A</v>
      </c>
      <c r="AQ41" s="53" t="e">
        <f t="shared" si="34"/>
        <v>#N/A</v>
      </c>
      <c r="AR41" s="54" t="e">
        <f t="shared" si="34"/>
        <v>#N/A</v>
      </c>
      <c r="AS41" s="316">
        <f t="shared" si="88"/>
        <v>0</v>
      </c>
      <c r="AT41" s="106">
        <f>_xlfn.IFNA($M41/VLOOKUP($BT41,'Unit information'!$A$2:$K$29,2,FALSE)*R41,0)*(1+$E$9)</f>
        <v>0</v>
      </c>
      <c r="AU41" s="107">
        <f>_xlfn.IFNA($M41/VLOOKUP($BT41,'Unit information'!$A$2:$K$29,3,FALSE)*S41,0)*(1+$E$9)</f>
        <v>0</v>
      </c>
      <c r="AV41" s="107">
        <f>_xlfn.IFNA($M41/VLOOKUP($BT41,'Unit information'!$A$2:$K$29,4,FALSE)*T41,0)*(1+$E$9)</f>
        <v>0</v>
      </c>
      <c r="AW41" s="107">
        <f>_xlfn.IFNA($M41/VLOOKUP($BT41,'Unit information'!$A$2:$K$29,5,FALSE)*U41,0)*(1+$E$9)</f>
        <v>0</v>
      </c>
      <c r="AX41" s="107">
        <f>_xlfn.IFNA($M41/VLOOKUP($BU41,'Unit information'!$A$2:$K$29,6,FALSE)*V41,0)*(1+$E$9)</f>
        <v>0</v>
      </c>
      <c r="AY41" s="107">
        <f>_xlfn.IFNA($M41/VLOOKUP($BU41,'Unit information'!$A$2:$K$29,7,FALSE)*W41,0)*(1+$E$9)</f>
        <v>0</v>
      </c>
      <c r="AZ41" s="107">
        <f>_xlfn.IFNA($M41/VLOOKUP($BU41,'Unit information'!$A$2:$K$29,8,FALSE)*X41,0)*(1+$E$9)</f>
        <v>0</v>
      </c>
      <c r="BA41" s="107">
        <f>_xlfn.IFNA($M41/VLOOKUP($BU41,'Unit information'!$A$2:$K$29,9,FALSE)*Y41,0)*(1+$E$9)</f>
        <v>0</v>
      </c>
      <c r="BB41" s="107">
        <f>_xlfn.IFNA($M41/VLOOKUP($BV41,'Unit information'!$A$2:$K$29,10,FALSE)*Z41,0)*(1+$E$9)</f>
        <v>0</v>
      </c>
      <c r="BC41" s="108">
        <f>_xlfn.IFNA($M41/VLOOKUP($BV41,'Unit information'!$A$2:$K$29,11,FALSE)*AA41,0)*(1+$E$9)</f>
        <v>0</v>
      </c>
      <c r="BD41" s="106">
        <f t="shared" si="10"/>
        <v>0</v>
      </c>
      <c r="BE41" s="107">
        <f t="shared" si="11"/>
        <v>0</v>
      </c>
      <c r="BF41" s="108">
        <f t="shared" si="12"/>
        <v>0</v>
      </c>
      <c r="BG41" s="25" t="e">
        <f t="shared" si="13"/>
        <v>#N/A</v>
      </c>
      <c r="BH41" s="25" t="e">
        <f t="shared" si="14"/>
        <v>#N/A</v>
      </c>
      <c r="BI41" s="25" t="e">
        <f t="shared" si="15"/>
        <v>#N/A</v>
      </c>
      <c r="BJ41" s="27" t="e">
        <f t="shared" si="16"/>
        <v>#N/A</v>
      </c>
      <c r="BK41" s="18" t="e">
        <f t="shared" si="17"/>
        <v>#N/A</v>
      </c>
      <c r="BL41" s="18" t="e">
        <f t="shared" si="18"/>
        <v>#N/A</v>
      </c>
      <c r="BM41" s="28" t="e">
        <f t="shared" si="89"/>
        <v>#N/A</v>
      </c>
      <c r="BN41" s="33">
        <f>HLOOKUP("maximum population",Miscelaneous!$C$1:$C$33,CH41+3,FALSE)</f>
        <v>240</v>
      </c>
      <c r="BO41" s="14">
        <f t="shared" si="35"/>
        <v>32</v>
      </c>
      <c r="BP41" s="14">
        <f t="shared" si="36"/>
        <v>0</v>
      </c>
      <c r="BQ41" s="14">
        <f t="shared" si="37"/>
        <v>208</v>
      </c>
      <c r="BR41" s="34" t="e">
        <f>HLOOKUP(J41,Villagers!$B$1:$V$33,L41+3,FALSE)-HLOOKUP(J41,Villagers!$B$1:$V$33,L41+2,FALSE)</f>
        <v>#N/A</v>
      </c>
      <c r="BS41" s="49">
        <f t="shared" si="38"/>
        <v>1</v>
      </c>
      <c r="BT41" s="50">
        <f t="shared" si="39"/>
        <v>0</v>
      </c>
      <c r="BU41" s="50">
        <f t="shared" si="40"/>
        <v>0</v>
      </c>
      <c r="BV41" s="50">
        <f t="shared" si="41"/>
        <v>0</v>
      </c>
      <c r="BW41" s="50">
        <f t="shared" si="42"/>
        <v>0</v>
      </c>
      <c r="BX41" s="50">
        <f t="shared" si="43"/>
        <v>0</v>
      </c>
      <c r="BY41" s="50">
        <f t="shared" si="43"/>
        <v>0</v>
      </c>
      <c r="BZ41" s="50">
        <f t="shared" si="44"/>
        <v>0</v>
      </c>
      <c r="CA41" s="50">
        <f t="shared" si="45"/>
        <v>0</v>
      </c>
      <c r="CB41" s="50">
        <f t="shared" si="46"/>
        <v>1</v>
      </c>
      <c r="CC41" s="50">
        <f t="shared" si="47"/>
        <v>0</v>
      </c>
      <c r="CD41" s="50">
        <f t="shared" si="48"/>
        <v>0</v>
      </c>
      <c r="CE41" s="50">
        <f t="shared" si="49"/>
        <v>1</v>
      </c>
      <c r="CF41" s="50">
        <f t="shared" si="50"/>
        <v>1</v>
      </c>
      <c r="CG41" s="50">
        <f t="shared" si="51"/>
        <v>1</v>
      </c>
      <c r="CH41" s="50">
        <f t="shared" si="52"/>
        <v>1</v>
      </c>
      <c r="CI41" s="50">
        <f t="shared" si="53"/>
        <v>1</v>
      </c>
      <c r="CJ41" s="50">
        <f t="shared" si="54"/>
        <v>1</v>
      </c>
      <c r="CK41" s="50">
        <f t="shared" si="55"/>
        <v>0</v>
      </c>
      <c r="CL41" s="50">
        <f t="shared" si="54"/>
        <v>0</v>
      </c>
      <c r="CM41" s="51">
        <f t="shared" si="56"/>
        <v>0</v>
      </c>
      <c r="CN41" s="33">
        <f>ROUND(IF(BS41=0,0,HLOOKUP(BS$14,Villagers!$B$1:$V$33,BS41+3,FALSE)),)</f>
        <v>5</v>
      </c>
      <c r="CO41" s="14">
        <f>ROUND(IF(BT41=0,0,HLOOKUP(BT$14,Villagers!$B$1:$V$33,BT41+3,FALSE)),)</f>
        <v>0</v>
      </c>
      <c r="CP41" s="14">
        <f>ROUND(IF(BU41=0,0,HLOOKUP(BU$14,Villagers!$B$1:$V$33,BU41+3,FALSE)),)</f>
        <v>0</v>
      </c>
      <c r="CQ41" s="14">
        <f>ROUND(IF(BV41=0,0,HLOOKUP(BV$14,Villagers!$B$1:$V$33,BV41+3,FALSE)),)</f>
        <v>0</v>
      </c>
      <c r="CR41" s="14">
        <f>ROUND(IF(BW41=0,0,HLOOKUP(BW$14,Villagers!$B$1:$V$33,BW41+3,FALSE)),)</f>
        <v>0</v>
      </c>
      <c r="CS41" s="14">
        <f>ROUND(IF(BX41=0,0,HLOOKUP(BX$14,Villagers!$B$1:$V$33,BX41+3,FALSE)),)</f>
        <v>0</v>
      </c>
      <c r="CT41" s="14">
        <f>ROUND(IF(BY41=0,0,HLOOKUP(BY$14,Villagers!$B$1:$V$33,BY41+3,FALSE)),)</f>
        <v>0</v>
      </c>
      <c r="CU41" s="14">
        <f>ROUND(IF(BZ41=0,0,HLOOKUP(BZ$14,Villagers!$B$1:$V$33,BZ41+3,FALSE)),)</f>
        <v>0</v>
      </c>
      <c r="CV41" s="14">
        <f>ROUND(IF(CA41=0,0,HLOOKUP(CA$14,Villagers!$B$1:$V$33,CA41+3,FALSE)),)</f>
        <v>0</v>
      </c>
      <c r="CW41" s="14">
        <f>ROUND(IF(CB41=0,0,HLOOKUP(CB$14,Villagers!$B$1:$V$33,CB41+3,FALSE)),)</f>
        <v>0</v>
      </c>
      <c r="CX41" s="14">
        <f>ROUND(IF(CC41=0,0,HLOOKUP(CC$14,Villagers!$B$1:$V$33,CC41+3,FALSE)),)</f>
        <v>0</v>
      </c>
      <c r="CY41" s="14">
        <f>ROUND(IF(CD41=0,0,HLOOKUP(CD$14,Villagers!$B$1:$V$33,CD41+3,FALSE)),)</f>
        <v>0</v>
      </c>
      <c r="CZ41" s="14">
        <f>ROUND(IF(CE41=0,0,HLOOKUP(CE$14,Villagers!$B$1:$V$33,CE41+3,FALSE)),)</f>
        <v>5</v>
      </c>
      <c r="DA41" s="14">
        <f>ROUND(IF(CF41=0,0,HLOOKUP(CF$14,Villagers!$B$1:$V$33,CF41+3,FALSE)),)</f>
        <v>10</v>
      </c>
      <c r="DB41" s="14">
        <f>ROUND(IF(CG41=0,0,HLOOKUP(CG$14,Villagers!$B$1:$V$33,CG41+3,FALSE)),)</f>
        <v>10</v>
      </c>
      <c r="DC41" s="14">
        <f>ROUND(IF(CH41=0,0,HLOOKUP(CH$14,Villagers!$B$1:$V$33,CH41+3,FALSE)),)</f>
        <v>0</v>
      </c>
      <c r="DD41" s="14">
        <f>ROUND(IF(CI41=0,0,HLOOKUP(CI$14,Villagers!$B$1:$V$33,CI41+3,FALSE)),)</f>
        <v>0</v>
      </c>
      <c r="DE41" s="14">
        <f>ROUND(IF(CJ41=0,0,HLOOKUP(CJ$14,Villagers!$B$1:$V$33,CJ41+3,FALSE)),)</f>
        <v>2</v>
      </c>
      <c r="DF41" s="370">
        <f>ROUND(IF(CK41=0,0,HLOOKUP(CK$14,Villagers!$B$1:$V$33,CK41+3,FALSE)),)</f>
        <v>0</v>
      </c>
      <c r="DG41" s="370">
        <f>ROUND(IF(CL41=0,0,HLOOKUP(CL$14,Villagers!$B$1:$V$33,CL41+3,FALSE)),)</f>
        <v>0</v>
      </c>
      <c r="DH41" s="34">
        <f>ROUND(IF(CM41=0,0,HLOOKUP(CM$14,Villagers!$B$1:$V$33,CM41+3,FALSE)),)</f>
        <v>0</v>
      </c>
      <c r="DI41" s="109">
        <f t="shared" si="74"/>
        <v>0</v>
      </c>
      <c r="DJ41" s="50">
        <f t="shared" si="75"/>
        <v>0</v>
      </c>
      <c r="DK41" s="50">
        <f t="shared" si="76"/>
        <v>0</v>
      </c>
      <c r="DL41" s="50">
        <f t="shared" si="77"/>
        <v>0</v>
      </c>
      <c r="DM41" s="50">
        <f t="shared" si="78"/>
        <v>0</v>
      </c>
      <c r="DN41" s="50">
        <f t="shared" si="79"/>
        <v>0</v>
      </c>
      <c r="DO41" s="50">
        <f t="shared" si="80"/>
        <v>0</v>
      </c>
      <c r="DP41" s="50">
        <f t="shared" si="81"/>
        <v>0</v>
      </c>
      <c r="DQ41" s="50">
        <f t="shared" si="58"/>
        <v>0</v>
      </c>
      <c r="DR41" s="50">
        <f t="shared" si="59"/>
        <v>0</v>
      </c>
      <c r="DS41" s="96">
        <f>Miscelaneous!$D$4*Miscelaneous!$D$2^($CI41-1)</f>
        <v>1000</v>
      </c>
      <c r="DT41" s="333">
        <f t="shared" si="60"/>
        <v>1</v>
      </c>
      <c r="DU41" s="81">
        <v>1</v>
      </c>
      <c r="DV41" s="79">
        <f t="shared" si="61"/>
        <v>0</v>
      </c>
      <c r="DW41" s="79">
        <f t="shared" si="21"/>
        <v>0</v>
      </c>
      <c r="DX41" s="79">
        <f t="shared" si="62"/>
        <v>0</v>
      </c>
      <c r="DY41" s="79">
        <v>1</v>
      </c>
      <c r="DZ41" s="79">
        <f t="shared" si="22"/>
        <v>0</v>
      </c>
      <c r="EA41" s="79">
        <f t="shared" si="63"/>
        <v>0</v>
      </c>
      <c r="EB41" s="79">
        <f t="shared" si="64"/>
        <v>0</v>
      </c>
      <c r="EC41" s="79">
        <f t="shared" si="65"/>
        <v>0</v>
      </c>
      <c r="ED41" s="79">
        <v>1</v>
      </c>
      <c r="EE41" s="79">
        <v>1</v>
      </c>
      <c r="EF41" s="79">
        <f t="shared" si="66"/>
        <v>0</v>
      </c>
      <c r="EG41" s="79">
        <v>1</v>
      </c>
      <c r="EH41" s="79">
        <v>1</v>
      </c>
      <c r="EI41" s="79">
        <v>1</v>
      </c>
      <c r="EJ41" s="79">
        <v>1</v>
      </c>
      <c r="EK41" s="79">
        <v>1</v>
      </c>
      <c r="EL41" s="79">
        <v>1</v>
      </c>
      <c r="EM41" s="143">
        <f t="shared" si="67"/>
        <v>0</v>
      </c>
      <c r="EN41" s="143">
        <f t="shared" si="68"/>
        <v>0</v>
      </c>
      <c r="EO41" s="82">
        <f t="shared" si="69"/>
        <v>0</v>
      </c>
    </row>
    <row r="42" spans="1:145" x14ac:dyDescent="0.25">
      <c r="A42">
        <v>28</v>
      </c>
      <c r="B42" s="172" t="e">
        <f t="shared" si="23"/>
        <v>#N/A</v>
      </c>
      <c r="C42" s="121" t="e">
        <f t="shared" ref="C42:E42" si="111">AJ42-SUM(AB42:AB46)</f>
        <v>#N/A</v>
      </c>
      <c r="D42" s="122" t="e">
        <f t="shared" si="111"/>
        <v>#N/A</v>
      </c>
      <c r="E42" s="122" t="e">
        <f t="shared" si="111"/>
        <v>#N/A</v>
      </c>
      <c r="F42" s="176" t="e">
        <f t="shared" si="0"/>
        <v>#N/A</v>
      </c>
      <c r="G42" s="121">
        <f t="shared" si="25"/>
        <v>208</v>
      </c>
      <c r="H42" s="176" t="e">
        <f t="shared" si="26"/>
        <v>#N/A</v>
      </c>
      <c r="I42" s="48">
        <v>1</v>
      </c>
      <c r="J42" s="39"/>
      <c r="K42" s="350">
        <v>1</v>
      </c>
      <c r="L42" s="34" t="e">
        <f t="shared" si="1"/>
        <v>#N/A</v>
      </c>
      <c r="M42" s="38" t="e">
        <f>(HLOOKUP(J42,'Construction Times'!$B$3:$W$34,L42+2,FALSE)*HLOOKUP("hq modifier",'Construction Times'!$W$3:$W$34,BS42+2,FALSE))*(1-$H$9)</f>
        <v>#N/A</v>
      </c>
      <c r="N42" s="426" t="e">
        <f t="shared" si="27"/>
        <v>#N/A</v>
      </c>
      <c r="O42" s="427"/>
      <c r="P42" s="430" t="e">
        <f t="shared" si="28"/>
        <v>#N/A</v>
      </c>
      <c r="Q42" s="431"/>
      <c r="R42" s="103">
        <f t="shared" si="71"/>
        <v>0</v>
      </c>
      <c r="S42" s="104">
        <f t="shared" si="71"/>
        <v>0</v>
      </c>
      <c r="T42" s="104">
        <f t="shared" si="72"/>
        <v>0</v>
      </c>
      <c r="U42" s="104">
        <f t="shared" si="30"/>
        <v>0</v>
      </c>
      <c r="V42" s="104">
        <f t="shared" si="30"/>
        <v>9.9999999999999995E-8</v>
      </c>
      <c r="W42" s="104">
        <f t="shared" si="30"/>
        <v>0</v>
      </c>
      <c r="X42" s="104">
        <f t="shared" si="30"/>
        <v>0</v>
      </c>
      <c r="Y42" s="104">
        <f t="shared" si="30"/>
        <v>9.9999999999999995E-8</v>
      </c>
      <c r="Z42" s="104">
        <f t="shared" si="30"/>
        <v>9.9999999999999995E-8</v>
      </c>
      <c r="AA42" s="105">
        <f t="shared" si="30"/>
        <v>9.9999999999999995E-8</v>
      </c>
      <c r="AB42" s="101" t="e">
        <f>$DT42*HLOOKUP($J42,'Construction Costs (timber)'!$B$1:$V$32,'Construction Planner'!$L42+2,FALSE)</f>
        <v>#N/A</v>
      </c>
      <c r="AC42" s="14" t="e">
        <f>$DT42*HLOOKUP($J42,'Construction Costs (clay)'!$B$1:$V$32,'Construction Planner'!$L42+2,FALSE)</f>
        <v>#N/A</v>
      </c>
      <c r="AD42" s="14" t="e">
        <f>$DT42*HLOOKUP($J42,'Construction Costs (iron)'!$B$1:$V$32,'Construction Planner'!$L42+2,FALSE)</f>
        <v>#N/A</v>
      </c>
      <c r="AE42" s="34" t="e">
        <f t="shared" si="86"/>
        <v>#N/A</v>
      </c>
      <c r="AF42" s="33" t="e">
        <f t="shared" si="3"/>
        <v>#N/A</v>
      </c>
      <c r="AG42" s="14" t="e">
        <f t="shared" si="4"/>
        <v>#N/A</v>
      </c>
      <c r="AH42" s="14" t="e">
        <f t="shared" si="5"/>
        <v>#N/A</v>
      </c>
      <c r="AI42" s="34" t="e">
        <f t="shared" si="87"/>
        <v>#N/A</v>
      </c>
      <c r="AJ42" s="49" t="e">
        <f t="shared" si="31"/>
        <v>#N/A</v>
      </c>
      <c r="AK42" s="49" t="e">
        <f t="shared" si="32"/>
        <v>#N/A</v>
      </c>
      <c r="AL42" s="49" t="e">
        <f t="shared" si="33"/>
        <v>#N/A</v>
      </c>
      <c r="AM42" s="25">
        <f t="shared" si="6"/>
        <v>30</v>
      </c>
      <c r="AN42" s="25">
        <f t="shared" si="7"/>
        <v>30</v>
      </c>
      <c r="AO42" s="25">
        <f t="shared" si="8"/>
        <v>30</v>
      </c>
      <c r="AP42" s="52" t="e">
        <f t="shared" si="34"/>
        <v>#N/A</v>
      </c>
      <c r="AQ42" s="53" t="e">
        <f t="shared" si="34"/>
        <v>#N/A</v>
      </c>
      <c r="AR42" s="54" t="e">
        <f t="shared" si="34"/>
        <v>#N/A</v>
      </c>
      <c r="AS42" s="316">
        <f t="shared" si="88"/>
        <v>0</v>
      </c>
      <c r="AT42" s="106">
        <f>_xlfn.IFNA($M42/VLOOKUP($BT42,'Unit information'!$A$2:$K$29,2,FALSE)*R42,0)*(1+$E$9)</f>
        <v>0</v>
      </c>
      <c r="AU42" s="107">
        <f>_xlfn.IFNA($M42/VLOOKUP($BT42,'Unit information'!$A$2:$K$29,3,FALSE)*S42,0)*(1+$E$9)</f>
        <v>0</v>
      </c>
      <c r="AV42" s="107">
        <f>_xlfn.IFNA($M42/VLOOKUP($BT42,'Unit information'!$A$2:$K$29,4,FALSE)*T42,0)*(1+$E$9)</f>
        <v>0</v>
      </c>
      <c r="AW42" s="107">
        <f>_xlfn.IFNA($M42/VLOOKUP($BT42,'Unit information'!$A$2:$K$29,5,FALSE)*U42,0)*(1+$E$9)</f>
        <v>0</v>
      </c>
      <c r="AX42" s="107">
        <f>_xlfn.IFNA($M42/VLOOKUP($BU42,'Unit information'!$A$2:$K$29,6,FALSE)*V42,0)*(1+$E$9)</f>
        <v>0</v>
      </c>
      <c r="AY42" s="107">
        <f>_xlfn.IFNA($M42/VLOOKUP($BU42,'Unit information'!$A$2:$K$29,7,FALSE)*W42,0)*(1+$E$9)</f>
        <v>0</v>
      </c>
      <c r="AZ42" s="107">
        <f>_xlfn.IFNA($M42/VLOOKUP($BU42,'Unit information'!$A$2:$K$29,8,FALSE)*X42,0)*(1+$E$9)</f>
        <v>0</v>
      </c>
      <c r="BA42" s="107">
        <f>_xlfn.IFNA($M42/VLOOKUP($BU42,'Unit information'!$A$2:$K$29,9,FALSE)*Y42,0)*(1+$E$9)</f>
        <v>0</v>
      </c>
      <c r="BB42" s="107">
        <f>_xlfn.IFNA($M42/VLOOKUP($BV42,'Unit information'!$A$2:$K$29,10,FALSE)*Z42,0)*(1+$E$9)</f>
        <v>0</v>
      </c>
      <c r="BC42" s="108">
        <f>_xlfn.IFNA($M42/VLOOKUP($BV42,'Unit information'!$A$2:$K$29,11,FALSE)*AA42,0)*(1+$E$9)</f>
        <v>0</v>
      </c>
      <c r="BD42" s="106">
        <f t="shared" si="10"/>
        <v>0</v>
      </c>
      <c r="BE42" s="107">
        <f t="shared" si="11"/>
        <v>0</v>
      </c>
      <c r="BF42" s="108">
        <f t="shared" si="12"/>
        <v>0</v>
      </c>
      <c r="BG42" s="25" t="e">
        <f t="shared" si="13"/>
        <v>#N/A</v>
      </c>
      <c r="BH42" s="25" t="e">
        <f t="shared" si="14"/>
        <v>#N/A</v>
      </c>
      <c r="BI42" s="25" t="e">
        <f t="shared" si="15"/>
        <v>#N/A</v>
      </c>
      <c r="BJ42" s="27" t="e">
        <f t="shared" si="16"/>
        <v>#N/A</v>
      </c>
      <c r="BK42" s="18" t="e">
        <f t="shared" si="17"/>
        <v>#N/A</v>
      </c>
      <c r="BL42" s="18" t="e">
        <f t="shared" si="18"/>
        <v>#N/A</v>
      </c>
      <c r="BM42" s="28" t="e">
        <f t="shared" si="89"/>
        <v>#N/A</v>
      </c>
      <c r="BN42" s="33">
        <f>HLOOKUP("maximum population",Miscelaneous!$C$1:$C$33,CH42+3,FALSE)</f>
        <v>240</v>
      </c>
      <c r="BO42" s="14">
        <f t="shared" si="35"/>
        <v>32</v>
      </c>
      <c r="BP42" s="14">
        <f t="shared" si="36"/>
        <v>0</v>
      </c>
      <c r="BQ42" s="14">
        <f t="shared" si="37"/>
        <v>208</v>
      </c>
      <c r="BR42" s="34" t="e">
        <f>HLOOKUP(J42,Villagers!$B$1:$V$33,L42+3,FALSE)-HLOOKUP(J42,Villagers!$B$1:$V$33,L42+2,FALSE)</f>
        <v>#N/A</v>
      </c>
      <c r="BS42" s="49">
        <f t="shared" si="38"/>
        <v>1</v>
      </c>
      <c r="BT42" s="50">
        <f t="shared" si="39"/>
        <v>0</v>
      </c>
      <c r="BU42" s="50">
        <f t="shared" si="40"/>
        <v>0</v>
      </c>
      <c r="BV42" s="50">
        <f t="shared" si="41"/>
        <v>0</v>
      </c>
      <c r="BW42" s="50">
        <f t="shared" si="42"/>
        <v>0</v>
      </c>
      <c r="BX42" s="50">
        <f t="shared" si="43"/>
        <v>0</v>
      </c>
      <c r="BY42" s="50">
        <f t="shared" si="43"/>
        <v>0</v>
      </c>
      <c r="BZ42" s="50">
        <f t="shared" si="44"/>
        <v>0</v>
      </c>
      <c r="CA42" s="50">
        <f t="shared" si="45"/>
        <v>0</v>
      </c>
      <c r="CB42" s="50">
        <f t="shared" si="46"/>
        <v>1</v>
      </c>
      <c r="CC42" s="50">
        <f t="shared" si="47"/>
        <v>0</v>
      </c>
      <c r="CD42" s="50">
        <f t="shared" si="48"/>
        <v>0</v>
      </c>
      <c r="CE42" s="50">
        <f t="shared" si="49"/>
        <v>1</v>
      </c>
      <c r="CF42" s="50">
        <f t="shared" si="50"/>
        <v>1</v>
      </c>
      <c r="CG42" s="50">
        <f t="shared" si="51"/>
        <v>1</v>
      </c>
      <c r="CH42" s="50">
        <f t="shared" si="52"/>
        <v>1</v>
      </c>
      <c r="CI42" s="50">
        <f t="shared" si="53"/>
        <v>1</v>
      </c>
      <c r="CJ42" s="50">
        <f t="shared" si="54"/>
        <v>1</v>
      </c>
      <c r="CK42" s="50">
        <f t="shared" si="55"/>
        <v>0</v>
      </c>
      <c r="CL42" s="50">
        <f t="shared" si="54"/>
        <v>0</v>
      </c>
      <c r="CM42" s="51">
        <f t="shared" si="56"/>
        <v>0</v>
      </c>
      <c r="CN42" s="33">
        <f>ROUND(IF(BS42=0,0,HLOOKUP(BS$14,Villagers!$B$1:$V$33,BS42+3,FALSE)),)</f>
        <v>5</v>
      </c>
      <c r="CO42" s="14">
        <f>ROUND(IF(BT42=0,0,HLOOKUP(BT$14,Villagers!$B$1:$V$33,BT42+3,FALSE)),)</f>
        <v>0</v>
      </c>
      <c r="CP42" s="14">
        <f>ROUND(IF(BU42=0,0,HLOOKUP(BU$14,Villagers!$B$1:$V$33,BU42+3,FALSE)),)</f>
        <v>0</v>
      </c>
      <c r="CQ42" s="14">
        <f>ROUND(IF(BV42=0,0,HLOOKUP(BV$14,Villagers!$B$1:$V$33,BV42+3,FALSE)),)</f>
        <v>0</v>
      </c>
      <c r="CR42" s="14">
        <f>ROUND(IF(BW42=0,0,HLOOKUP(BW$14,Villagers!$B$1:$V$33,BW42+3,FALSE)),)</f>
        <v>0</v>
      </c>
      <c r="CS42" s="14">
        <f>ROUND(IF(BX42=0,0,HLOOKUP(BX$14,Villagers!$B$1:$V$33,BX42+3,FALSE)),)</f>
        <v>0</v>
      </c>
      <c r="CT42" s="14">
        <f>ROUND(IF(BY42=0,0,HLOOKUP(BY$14,Villagers!$B$1:$V$33,BY42+3,FALSE)),)</f>
        <v>0</v>
      </c>
      <c r="CU42" s="14">
        <f>ROUND(IF(BZ42=0,0,HLOOKUP(BZ$14,Villagers!$B$1:$V$33,BZ42+3,FALSE)),)</f>
        <v>0</v>
      </c>
      <c r="CV42" s="14">
        <f>ROUND(IF(CA42=0,0,HLOOKUP(CA$14,Villagers!$B$1:$V$33,CA42+3,FALSE)),)</f>
        <v>0</v>
      </c>
      <c r="CW42" s="14">
        <f>ROUND(IF(CB42=0,0,HLOOKUP(CB$14,Villagers!$B$1:$V$33,CB42+3,FALSE)),)</f>
        <v>0</v>
      </c>
      <c r="CX42" s="14">
        <f>ROUND(IF(CC42=0,0,HLOOKUP(CC$14,Villagers!$B$1:$V$33,CC42+3,FALSE)),)</f>
        <v>0</v>
      </c>
      <c r="CY42" s="14">
        <f>ROUND(IF(CD42=0,0,HLOOKUP(CD$14,Villagers!$B$1:$V$33,CD42+3,FALSE)),)</f>
        <v>0</v>
      </c>
      <c r="CZ42" s="14">
        <f>ROUND(IF(CE42=0,0,HLOOKUP(CE$14,Villagers!$B$1:$V$33,CE42+3,FALSE)),)</f>
        <v>5</v>
      </c>
      <c r="DA42" s="14">
        <f>ROUND(IF(CF42=0,0,HLOOKUP(CF$14,Villagers!$B$1:$V$33,CF42+3,FALSE)),)</f>
        <v>10</v>
      </c>
      <c r="DB42" s="14">
        <f>ROUND(IF(CG42=0,0,HLOOKUP(CG$14,Villagers!$B$1:$V$33,CG42+3,FALSE)),)</f>
        <v>10</v>
      </c>
      <c r="DC42" s="14">
        <f>ROUND(IF(CH42=0,0,HLOOKUP(CH$14,Villagers!$B$1:$V$33,CH42+3,FALSE)),)</f>
        <v>0</v>
      </c>
      <c r="DD42" s="14">
        <f>ROUND(IF(CI42=0,0,HLOOKUP(CI$14,Villagers!$B$1:$V$33,CI42+3,FALSE)),)</f>
        <v>0</v>
      </c>
      <c r="DE42" s="14">
        <f>ROUND(IF(CJ42=0,0,HLOOKUP(CJ$14,Villagers!$B$1:$V$33,CJ42+3,FALSE)),)</f>
        <v>2</v>
      </c>
      <c r="DF42" s="370">
        <f>ROUND(IF(CK42=0,0,HLOOKUP(CK$14,Villagers!$B$1:$V$33,CK42+3,FALSE)),)</f>
        <v>0</v>
      </c>
      <c r="DG42" s="370">
        <f>ROUND(IF(CL42=0,0,HLOOKUP(CL$14,Villagers!$B$1:$V$33,CL42+3,FALSE)),)</f>
        <v>0</v>
      </c>
      <c r="DH42" s="34">
        <f>ROUND(IF(CM42=0,0,HLOOKUP(CM$14,Villagers!$B$1:$V$33,CM42+3,FALSE)),)</f>
        <v>0</v>
      </c>
      <c r="DI42" s="109">
        <f t="shared" si="74"/>
        <v>0</v>
      </c>
      <c r="DJ42" s="50">
        <f t="shared" si="75"/>
        <v>0</v>
      </c>
      <c r="DK42" s="50">
        <f t="shared" si="76"/>
        <v>0</v>
      </c>
      <c r="DL42" s="50">
        <f t="shared" si="77"/>
        <v>0</v>
      </c>
      <c r="DM42" s="50">
        <f t="shared" si="78"/>
        <v>0</v>
      </c>
      <c r="DN42" s="50">
        <f t="shared" si="79"/>
        <v>0</v>
      </c>
      <c r="DO42" s="50">
        <f t="shared" si="80"/>
        <v>0</v>
      </c>
      <c r="DP42" s="50">
        <f t="shared" si="81"/>
        <v>0</v>
      </c>
      <c r="DQ42" s="50">
        <f t="shared" si="58"/>
        <v>0</v>
      </c>
      <c r="DR42" s="50">
        <f t="shared" si="59"/>
        <v>0</v>
      </c>
      <c r="DS42" s="96">
        <f>Miscelaneous!$D$4*Miscelaneous!$D$2^($CI42-1)</f>
        <v>1000</v>
      </c>
      <c r="DT42" s="333">
        <f t="shared" si="60"/>
        <v>1</v>
      </c>
      <c r="DU42" s="81">
        <v>1</v>
      </c>
      <c r="DV42" s="79">
        <f t="shared" si="61"/>
        <v>0</v>
      </c>
      <c r="DW42" s="79">
        <f t="shared" si="21"/>
        <v>0</v>
      </c>
      <c r="DX42" s="79">
        <f t="shared" si="62"/>
        <v>0</v>
      </c>
      <c r="DY42" s="79">
        <v>1</v>
      </c>
      <c r="DZ42" s="79">
        <f t="shared" si="22"/>
        <v>0</v>
      </c>
      <c r="EA42" s="79">
        <f t="shared" si="63"/>
        <v>0</v>
      </c>
      <c r="EB42" s="79">
        <f t="shared" si="64"/>
        <v>0</v>
      </c>
      <c r="EC42" s="79">
        <f t="shared" si="65"/>
        <v>0</v>
      </c>
      <c r="ED42" s="79">
        <v>1</v>
      </c>
      <c r="EE42" s="79">
        <v>1</v>
      </c>
      <c r="EF42" s="79">
        <f t="shared" si="66"/>
        <v>0</v>
      </c>
      <c r="EG42" s="79">
        <v>1</v>
      </c>
      <c r="EH42" s="79">
        <v>1</v>
      </c>
      <c r="EI42" s="79">
        <v>1</v>
      </c>
      <c r="EJ42" s="79">
        <v>1</v>
      </c>
      <c r="EK42" s="79">
        <v>1</v>
      </c>
      <c r="EL42" s="79">
        <v>1</v>
      </c>
      <c r="EM42" s="143">
        <f t="shared" si="67"/>
        <v>0</v>
      </c>
      <c r="EN42" s="143">
        <f t="shared" si="68"/>
        <v>0</v>
      </c>
      <c r="EO42" s="82">
        <f t="shared" si="69"/>
        <v>0</v>
      </c>
    </row>
    <row r="43" spans="1:145" x14ac:dyDescent="0.25">
      <c r="A43">
        <v>29</v>
      </c>
      <c r="B43" s="172" t="e">
        <f t="shared" si="23"/>
        <v>#N/A</v>
      </c>
      <c r="C43" s="121" t="e">
        <f t="shared" ref="C43:E43" si="112">AJ43-SUM(AB43:AB47)</f>
        <v>#N/A</v>
      </c>
      <c r="D43" s="122" t="e">
        <f t="shared" si="112"/>
        <v>#N/A</v>
      </c>
      <c r="E43" s="122" t="e">
        <f t="shared" si="112"/>
        <v>#N/A</v>
      </c>
      <c r="F43" s="176" t="e">
        <f t="shared" si="0"/>
        <v>#N/A</v>
      </c>
      <c r="G43" s="121">
        <f t="shared" si="25"/>
        <v>208</v>
      </c>
      <c r="H43" s="176" t="e">
        <f t="shared" si="26"/>
        <v>#N/A</v>
      </c>
      <c r="I43" s="48">
        <v>1</v>
      </c>
      <c r="J43" s="39"/>
      <c r="K43" s="350">
        <v>1</v>
      </c>
      <c r="L43" s="34" t="e">
        <f t="shared" si="1"/>
        <v>#N/A</v>
      </c>
      <c r="M43" s="38" t="e">
        <f>(HLOOKUP(J43,'Construction Times'!$B$3:$W$34,L43+2,FALSE)*HLOOKUP("hq modifier",'Construction Times'!$W$3:$W$34,BS43+2,FALSE))*(1-$H$9)</f>
        <v>#N/A</v>
      </c>
      <c r="N43" s="426" t="e">
        <f t="shared" si="27"/>
        <v>#N/A</v>
      </c>
      <c r="O43" s="427"/>
      <c r="P43" s="430" t="e">
        <f t="shared" si="28"/>
        <v>#N/A</v>
      </c>
      <c r="Q43" s="431"/>
      <c r="R43" s="103">
        <f t="shared" si="71"/>
        <v>0</v>
      </c>
      <c r="S43" s="104">
        <f t="shared" si="71"/>
        <v>0</v>
      </c>
      <c r="T43" s="104">
        <f t="shared" si="72"/>
        <v>0</v>
      </c>
      <c r="U43" s="104">
        <f t="shared" si="30"/>
        <v>0</v>
      </c>
      <c r="V43" s="104">
        <f t="shared" si="30"/>
        <v>9.9999999999999995E-8</v>
      </c>
      <c r="W43" s="104">
        <f t="shared" si="30"/>
        <v>0</v>
      </c>
      <c r="X43" s="104">
        <f t="shared" si="30"/>
        <v>0</v>
      </c>
      <c r="Y43" s="104">
        <f t="shared" si="30"/>
        <v>9.9999999999999995E-8</v>
      </c>
      <c r="Z43" s="104">
        <f t="shared" si="30"/>
        <v>9.9999999999999995E-8</v>
      </c>
      <c r="AA43" s="105">
        <f t="shared" si="30"/>
        <v>9.9999999999999995E-8</v>
      </c>
      <c r="AB43" s="101" t="e">
        <f>$DT43*HLOOKUP($J43,'Construction Costs (timber)'!$B$1:$V$32,'Construction Planner'!$L43+2,FALSE)</f>
        <v>#N/A</v>
      </c>
      <c r="AC43" s="14" t="e">
        <f>$DT43*HLOOKUP($J43,'Construction Costs (clay)'!$B$1:$V$32,'Construction Planner'!$L43+2,FALSE)</f>
        <v>#N/A</v>
      </c>
      <c r="AD43" s="14" t="e">
        <f>$DT43*HLOOKUP($J43,'Construction Costs (iron)'!$B$1:$V$32,'Construction Planner'!$L43+2,FALSE)</f>
        <v>#N/A</v>
      </c>
      <c r="AE43" s="34" t="e">
        <f t="shared" si="86"/>
        <v>#N/A</v>
      </c>
      <c r="AF43" s="33" t="e">
        <f t="shared" si="3"/>
        <v>#N/A</v>
      </c>
      <c r="AG43" s="14" t="e">
        <f t="shared" si="4"/>
        <v>#N/A</v>
      </c>
      <c r="AH43" s="14" t="e">
        <f t="shared" si="5"/>
        <v>#N/A</v>
      </c>
      <c r="AI43" s="34" t="e">
        <f t="shared" si="87"/>
        <v>#N/A</v>
      </c>
      <c r="AJ43" s="49" t="e">
        <f t="shared" si="31"/>
        <v>#N/A</v>
      </c>
      <c r="AK43" s="49" t="e">
        <f t="shared" si="32"/>
        <v>#N/A</v>
      </c>
      <c r="AL43" s="49" t="e">
        <f t="shared" si="33"/>
        <v>#N/A</v>
      </c>
      <c r="AM43" s="25">
        <f t="shared" si="6"/>
        <v>30</v>
      </c>
      <c r="AN43" s="25">
        <f t="shared" si="7"/>
        <v>30</v>
      </c>
      <c r="AO43" s="25">
        <f t="shared" si="8"/>
        <v>30</v>
      </c>
      <c r="AP43" s="52" t="e">
        <f t="shared" si="34"/>
        <v>#N/A</v>
      </c>
      <c r="AQ43" s="53" t="e">
        <f t="shared" si="34"/>
        <v>#N/A</v>
      </c>
      <c r="AR43" s="54" t="e">
        <f t="shared" si="34"/>
        <v>#N/A</v>
      </c>
      <c r="AS43" s="316">
        <f t="shared" si="88"/>
        <v>0</v>
      </c>
      <c r="AT43" s="106">
        <f>_xlfn.IFNA($M43/VLOOKUP($BT43,'Unit information'!$A$2:$K$29,2,FALSE)*R43,0)*(1+$E$9)</f>
        <v>0</v>
      </c>
      <c r="AU43" s="107">
        <f>_xlfn.IFNA($M43/VLOOKUP($BT43,'Unit information'!$A$2:$K$29,3,FALSE)*S43,0)*(1+$E$9)</f>
        <v>0</v>
      </c>
      <c r="AV43" s="107">
        <f>_xlfn.IFNA($M43/VLOOKUP($BT43,'Unit information'!$A$2:$K$29,4,FALSE)*T43,0)*(1+$E$9)</f>
        <v>0</v>
      </c>
      <c r="AW43" s="107">
        <f>_xlfn.IFNA($M43/VLOOKUP($BT43,'Unit information'!$A$2:$K$29,5,FALSE)*U43,0)*(1+$E$9)</f>
        <v>0</v>
      </c>
      <c r="AX43" s="107">
        <f>_xlfn.IFNA($M43/VLOOKUP($BU43,'Unit information'!$A$2:$K$29,6,FALSE)*V43,0)*(1+$E$9)</f>
        <v>0</v>
      </c>
      <c r="AY43" s="107">
        <f>_xlfn.IFNA($M43/VLOOKUP($BU43,'Unit information'!$A$2:$K$29,7,FALSE)*W43,0)*(1+$E$9)</f>
        <v>0</v>
      </c>
      <c r="AZ43" s="107">
        <f>_xlfn.IFNA($M43/VLOOKUP($BU43,'Unit information'!$A$2:$K$29,8,FALSE)*X43,0)*(1+$E$9)</f>
        <v>0</v>
      </c>
      <c r="BA43" s="107">
        <f>_xlfn.IFNA($M43/VLOOKUP($BU43,'Unit information'!$A$2:$K$29,9,FALSE)*Y43,0)*(1+$E$9)</f>
        <v>0</v>
      </c>
      <c r="BB43" s="107">
        <f>_xlfn.IFNA($M43/VLOOKUP($BV43,'Unit information'!$A$2:$K$29,10,FALSE)*Z43,0)*(1+$E$9)</f>
        <v>0</v>
      </c>
      <c r="BC43" s="108">
        <f>_xlfn.IFNA($M43/VLOOKUP($BV43,'Unit information'!$A$2:$K$29,11,FALSE)*AA43,0)*(1+$E$9)</f>
        <v>0</v>
      </c>
      <c r="BD43" s="106">
        <f t="shared" si="10"/>
        <v>0</v>
      </c>
      <c r="BE43" s="107">
        <f t="shared" si="11"/>
        <v>0</v>
      </c>
      <c r="BF43" s="108">
        <f t="shared" si="12"/>
        <v>0</v>
      </c>
      <c r="BG43" s="25" t="e">
        <f t="shared" si="13"/>
        <v>#N/A</v>
      </c>
      <c r="BH43" s="25" t="e">
        <f t="shared" si="14"/>
        <v>#N/A</v>
      </c>
      <c r="BI43" s="25" t="e">
        <f t="shared" si="15"/>
        <v>#N/A</v>
      </c>
      <c r="BJ43" s="27" t="e">
        <f t="shared" si="16"/>
        <v>#N/A</v>
      </c>
      <c r="BK43" s="18" t="e">
        <f t="shared" si="17"/>
        <v>#N/A</v>
      </c>
      <c r="BL43" s="18" t="e">
        <f t="shared" si="18"/>
        <v>#N/A</v>
      </c>
      <c r="BM43" s="28" t="e">
        <f t="shared" si="89"/>
        <v>#N/A</v>
      </c>
      <c r="BN43" s="33">
        <f>HLOOKUP("maximum population",Miscelaneous!$C$1:$C$33,CH43+3,FALSE)</f>
        <v>240</v>
      </c>
      <c r="BO43" s="14">
        <f t="shared" si="35"/>
        <v>32</v>
      </c>
      <c r="BP43" s="14">
        <f t="shared" si="36"/>
        <v>0</v>
      </c>
      <c r="BQ43" s="14">
        <f t="shared" si="37"/>
        <v>208</v>
      </c>
      <c r="BR43" s="34" t="e">
        <f>HLOOKUP(J43,Villagers!$B$1:$V$33,L43+3,FALSE)-HLOOKUP(J43,Villagers!$B$1:$V$33,L43+2,FALSE)</f>
        <v>#N/A</v>
      </c>
      <c r="BS43" s="49">
        <f t="shared" si="38"/>
        <v>1</v>
      </c>
      <c r="BT43" s="50">
        <f t="shared" si="39"/>
        <v>0</v>
      </c>
      <c r="BU43" s="50">
        <f t="shared" si="40"/>
        <v>0</v>
      </c>
      <c r="BV43" s="50">
        <f t="shared" si="41"/>
        <v>0</v>
      </c>
      <c r="BW43" s="50">
        <f t="shared" si="42"/>
        <v>0</v>
      </c>
      <c r="BX43" s="50">
        <f t="shared" si="43"/>
        <v>0</v>
      </c>
      <c r="BY43" s="50">
        <f t="shared" si="43"/>
        <v>0</v>
      </c>
      <c r="BZ43" s="50">
        <f t="shared" si="44"/>
        <v>0</v>
      </c>
      <c r="CA43" s="50">
        <f t="shared" si="45"/>
        <v>0</v>
      </c>
      <c r="CB43" s="50">
        <f t="shared" si="46"/>
        <v>1</v>
      </c>
      <c r="CC43" s="50">
        <f t="shared" si="47"/>
        <v>0</v>
      </c>
      <c r="CD43" s="50">
        <f t="shared" si="48"/>
        <v>0</v>
      </c>
      <c r="CE43" s="50">
        <f t="shared" si="49"/>
        <v>1</v>
      </c>
      <c r="CF43" s="50">
        <f t="shared" si="50"/>
        <v>1</v>
      </c>
      <c r="CG43" s="50">
        <f t="shared" si="51"/>
        <v>1</v>
      </c>
      <c r="CH43" s="50">
        <f t="shared" si="52"/>
        <v>1</v>
      </c>
      <c r="CI43" s="50">
        <f t="shared" si="53"/>
        <v>1</v>
      </c>
      <c r="CJ43" s="50">
        <f t="shared" si="54"/>
        <v>1</v>
      </c>
      <c r="CK43" s="50">
        <f t="shared" si="55"/>
        <v>0</v>
      </c>
      <c r="CL43" s="50">
        <f t="shared" si="54"/>
        <v>0</v>
      </c>
      <c r="CM43" s="51">
        <f t="shared" si="56"/>
        <v>0</v>
      </c>
      <c r="CN43" s="33">
        <f>ROUND(IF(BS43=0,0,HLOOKUP(BS$14,Villagers!$B$1:$V$33,BS43+3,FALSE)),)</f>
        <v>5</v>
      </c>
      <c r="CO43" s="14">
        <f>ROUND(IF(BT43=0,0,HLOOKUP(BT$14,Villagers!$B$1:$V$33,BT43+3,FALSE)),)</f>
        <v>0</v>
      </c>
      <c r="CP43" s="14">
        <f>ROUND(IF(BU43=0,0,HLOOKUP(BU$14,Villagers!$B$1:$V$33,BU43+3,FALSE)),)</f>
        <v>0</v>
      </c>
      <c r="CQ43" s="14">
        <f>ROUND(IF(BV43=0,0,HLOOKUP(BV$14,Villagers!$B$1:$V$33,BV43+3,FALSE)),)</f>
        <v>0</v>
      </c>
      <c r="CR43" s="14">
        <f>ROUND(IF(BW43=0,0,HLOOKUP(BW$14,Villagers!$B$1:$V$33,BW43+3,FALSE)),)</f>
        <v>0</v>
      </c>
      <c r="CS43" s="14">
        <f>ROUND(IF(BX43=0,0,HLOOKUP(BX$14,Villagers!$B$1:$V$33,BX43+3,FALSE)),)</f>
        <v>0</v>
      </c>
      <c r="CT43" s="14">
        <f>ROUND(IF(BY43=0,0,HLOOKUP(BY$14,Villagers!$B$1:$V$33,BY43+3,FALSE)),)</f>
        <v>0</v>
      </c>
      <c r="CU43" s="14">
        <f>ROUND(IF(BZ43=0,0,HLOOKUP(BZ$14,Villagers!$B$1:$V$33,BZ43+3,FALSE)),)</f>
        <v>0</v>
      </c>
      <c r="CV43" s="14">
        <f>ROUND(IF(CA43=0,0,HLOOKUP(CA$14,Villagers!$B$1:$V$33,CA43+3,FALSE)),)</f>
        <v>0</v>
      </c>
      <c r="CW43" s="14">
        <f>ROUND(IF(CB43=0,0,HLOOKUP(CB$14,Villagers!$B$1:$V$33,CB43+3,FALSE)),)</f>
        <v>0</v>
      </c>
      <c r="CX43" s="14">
        <f>ROUND(IF(CC43=0,0,HLOOKUP(CC$14,Villagers!$B$1:$V$33,CC43+3,FALSE)),)</f>
        <v>0</v>
      </c>
      <c r="CY43" s="14">
        <f>ROUND(IF(CD43=0,0,HLOOKUP(CD$14,Villagers!$B$1:$V$33,CD43+3,FALSE)),)</f>
        <v>0</v>
      </c>
      <c r="CZ43" s="14">
        <f>ROUND(IF(CE43=0,0,HLOOKUP(CE$14,Villagers!$B$1:$V$33,CE43+3,FALSE)),)</f>
        <v>5</v>
      </c>
      <c r="DA43" s="14">
        <f>ROUND(IF(CF43=0,0,HLOOKUP(CF$14,Villagers!$B$1:$V$33,CF43+3,FALSE)),)</f>
        <v>10</v>
      </c>
      <c r="DB43" s="14">
        <f>ROUND(IF(CG43=0,0,HLOOKUP(CG$14,Villagers!$B$1:$V$33,CG43+3,FALSE)),)</f>
        <v>10</v>
      </c>
      <c r="DC43" s="14">
        <f>ROUND(IF(CH43=0,0,HLOOKUP(CH$14,Villagers!$B$1:$V$33,CH43+3,FALSE)),)</f>
        <v>0</v>
      </c>
      <c r="DD43" s="14">
        <f>ROUND(IF(CI43=0,0,HLOOKUP(CI$14,Villagers!$B$1:$V$33,CI43+3,FALSE)),)</f>
        <v>0</v>
      </c>
      <c r="DE43" s="14">
        <f>ROUND(IF(CJ43=0,0,HLOOKUP(CJ$14,Villagers!$B$1:$V$33,CJ43+3,FALSE)),)</f>
        <v>2</v>
      </c>
      <c r="DF43" s="370">
        <f>ROUND(IF(CK43=0,0,HLOOKUP(CK$14,Villagers!$B$1:$V$33,CK43+3,FALSE)),)</f>
        <v>0</v>
      </c>
      <c r="DG43" s="370">
        <f>ROUND(IF(CL43=0,0,HLOOKUP(CL$14,Villagers!$B$1:$V$33,CL43+3,FALSE)),)</f>
        <v>0</v>
      </c>
      <c r="DH43" s="34">
        <f>ROUND(IF(CM43=0,0,HLOOKUP(CM$14,Villagers!$B$1:$V$33,CM43+3,FALSE)),)</f>
        <v>0</v>
      </c>
      <c r="DI43" s="109">
        <f t="shared" si="74"/>
        <v>0</v>
      </c>
      <c r="DJ43" s="50">
        <f t="shared" si="75"/>
        <v>0</v>
      </c>
      <c r="DK43" s="50">
        <f t="shared" si="76"/>
        <v>0</v>
      </c>
      <c r="DL43" s="50">
        <f t="shared" si="77"/>
        <v>0</v>
      </c>
      <c r="DM43" s="50">
        <f t="shared" si="78"/>
        <v>0</v>
      </c>
      <c r="DN43" s="50">
        <f t="shared" si="79"/>
        <v>0</v>
      </c>
      <c r="DO43" s="50">
        <f t="shared" si="80"/>
        <v>0</v>
      </c>
      <c r="DP43" s="50">
        <f t="shared" si="81"/>
        <v>0</v>
      </c>
      <c r="DQ43" s="50">
        <f t="shared" si="58"/>
        <v>0</v>
      </c>
      <c r="DR43" s="50">
        <f t="shared" si="59"/>
        <v>0</v>
      </c>
      <c r="DS43" s="96">
        <f>Miscelaneous!$D$4*Miscelaneous!$D$2^($CI43-1)</f>
        <v>1000</v>
      </c>
      <c r="DT43" s="333">
        <f t="shared" si="60"/>
        <v>1</v>
      </c>
      <c r="DU43" s="81">
        <v>1</v>
      </c>
      <c r="DV43" s="79">
        <f t="shared" si="61"/>
        <v>0</v>
      </c>
      <c r="DW43" s="79">
        <f t="shared" si="21"/>
        <v>0</v>
      </c>
      <c r="DX43" s="79">
        <f t="shared" si="62"/>
        <v>0</v>
      </c>
      <c r="DY43" s="79">
        <v>1</v>
      </c>
      <c r="DZ43" s="79">
        <f t="shared" si="22"/>
        <v>0</v>
      </c>
      <c r="EA43" s="79">
        <f t="shared" si="63"/>
        <v>0</v>
      </c>
      <c r="EB43" s="79">
        <f t="shared" si="64"/>
        <v>0</v>
      </c>
      <c r="EC43" s="79">
        <f t="shared" si="65"/>
        <v>0</v>
      </c>
      <c r="ED43" s="79">
        <v>1</v>
      </c>
      <c r="EE43" s="79">
        <v>1</v>
      </c>
      <c r="EF43" s="79">
        <f t="shared" si="66"/>
        <v>0</v>
      </c>
      <c r="EG43" s="79">
        <v>1</v>
      </c>
      <c r="EH43" s="79">
        <v>1</v>
      </c>
      <c r="EI43" s="79">
        <v>1</v>
      </c>
      <c r="EJ43" s="79">
        <v>1</v>
      </c>
      <c r="EK43" s="79">
        <v>1</v>
      </c>
      <c r="EL43" s="79">
        <v>1</v>
      </c>
      <c r="EM43" s="143">
        <f t="shared" si="67"/>
        <v>0</v>
      </c>
      <c r="EN43" s="143">
        <f t="shared" si="68"/>
        <v>0</v>
      </c>
      <c r="EO43" s="82">
        <f t="shared" si="69"/>
        <v>0</v>
      </c>
    </row>
    <row r="44" spans="1:145" x14ac:dyDescent="0.25">
      <c r="A44">
        <v>30</v>
      </c>
      <c r="B44" s="172" t="e">
        <f t="shared" si="23"/>
        <v>#N/A</v>
      </c>
      <c r="C44" s="121" t="e">
        <f t="shared" ref="C44:E44" si="113">AJ44-SUM(AB44:AB48)</f>
        <v>#N/A</v>
      </c>
      <c r="D44" s="122" t="e">
        <f t="shared" si="113"/>
        <v>#N/A</v>
      </c>
      <c r="E44" s="122" t="e">
        <f t="shared" si="113"/>
        <v>#N/A</v>
      </c>
      <c r="F44" s="176" t="e">
        <f t="shared" si="0"/>
        <v>#N/A</v>
      </c>
      <c r="G44" s="121">
        <f t="shared" si="25"/>
        <v>208</v>
      </c>
      <c r="H44" s="176" t="e">
        <f t="shared" si="26"/>
        <v>#N/A</v>
      </c>
      <c r="I44" s="48">
        <v>1</v>
      </c>
      <c r="J44" s="39"/>
      <c r="K44" s="350">
        <v>1</v>
      </c>
      <c r="L44" s="34" t="e">
        <f t="shared" si="1"/>
        <v>#N/A</v>
      </c>
      <c r="M44" s="38" t="e">
        <f>(HLOOKUP(J44,'Construction Times'!$B$3:$W$34,L44+2,FALSE)*HLOOKUP("hq modifier",'Construction Times'!$W$3:$W$34,BS44+2,FALSE))*(1-$H$9)</f>
        <v>#N/A</v>
      </c>
      <c r="N44" s="426" t="e">
        <f t="shared" si="27"/>
        <v>#N/A</v>
      </c>
      <c r="O44" s="427"/>
      <c r="P44" s="430" t="e">
        <f t="shared" si="28"/>
        <v>#N/A</v>
      </c>
      <c r="Q44" s="431"/>
      <c r="R44" s="103">
        <f t="shared" si="71"/>
        <v>0</v>
      </c>
      <c r="S44" s="104">
        <f t="shared" si="71"/>
        <v>0</v>
      </c>
      <c r="T44" s="104">
        <f t="shared" si="72"/>
        <v>0</v>
      </c>
      <c r="U44" s="104">
        <f t="shared" si="30"/>
        <v>0</v>
      </c>
      <c r="V44" s="104">
        <f t="shared" si="30"/>
        <v>9.9999999999999995E-8</v>
      </c>
      <c r="W44" s="104">
        <f t="shared" ref="W44:AA44" si="114">W43</f>
        <v>0</v>
      </c>
      <c r="X44" s="104">
        <f t="shared" si="114"/>
        <v>0</v>
      </c>
      <c r="Y44" s="104">
        <f t="shared" si="114"/>
        <v>9.9999999999999995E-8</v>
      </c>
      <c r="Z44" s="104">
        <f t="shared" si="114"/>
        <v>9.9999999999999995E-8</v>
      </c>
      <c r="AA44" s="105">
        <f t="shared" si="114"/>
        <v>9.9999999999999995E-8</v>
      </c>
      <c r="AB44" s="101" t="e">
        <f>$DT44*HLOOKUP($J44,'Construction Costs (timber)'!$B$1:$V$32,'Construction Planner'!$L44+2,FALSE)</f>
        <v>#N/A</v>
      </c>
      <c r="AC44" s="14" t="e">
        <f>$DT44*HLOOKUP($J44,'Construction Costs (clay)'!$B$1:$V$32,'Construction Planner'!$L44+2,FALSE)</f>
        <v>#N/A</v>
      </c>
      <c r="AD44" s="14" t="e">
        <f>$DT44*HLOOKUP($J44,'Construction Costs (iron)'!$B$1:$V$32,'Construction Planner'!$L44+2,FALSE)</f>
        <v>#N/A</v>
      </c>
      <c r="AE44" s="34" t="e">
        <f t="shared" si="86"/>
        <v>#N/A</v>
      </c>
      <c r="AF44" s="33" t="e">
        <f t="shared" si="3"/>
        <v>#N/A</v>
      </c>
      <c r="AG44" s="14" t="e">
        <f t="shared" si="4"/>
        <v>#N/A</v>
      </c>
      <c r="AH44" s="14" t="e">
        <f t="shared" si="5"/>
        <v>#N/A</v>
      </c>
      <c r="AI44" s="34" t="e">
        <f t="shared" si="87"/>
        <v>#N/A</v>
      </c>
      <c r="AJ44" s="49" t="e">
        <f t="shared" si="31"/>
        <v>#N/A</v>
      </c>
      <c r="AK44" s="49" t="e">
        <f t="shared" si="32"/>
        <v>#N/A</v>
      </c>
      <c r="AL44" s="49" t="e">
        <f t="shared" si="33"/>
        <v>#N/A</v>
      </c>
      <c r="AM44" s="25">
        <f t="shared" si="6"/>
        <v>30</v>
      </c>
      <c r="AN44" s="25">
        <f t="shared" si="7"/>
        <v>30</v>
      </c>
      <c r="AO44" s="25">
        <f t="shared" si="8"/>
        <v>30</v>
      </c>
      <c r="AP44" s="52" t="e">
        <f t="shared" si="34"/>
        <v>#N/A</v>
      </c>
      <c r="AQ44" s="53" t="e">
        <f t="shared" si="34"/>
        <v>#N/A</v>
      </c>
      <c r="AR44" s="54" t="e">
        <f t="shared" si="34"/>
        <v>#N/A</v>
      </c>
      <c r="AS44" s="316">
        <f t="shared" si="88"/>
        <v>0</v>
      </c>
      <c r="AT44" s="106">
        <f>_xlfn.IFNA($M44/VLOOKUP($BT44,'Unit information'!$A$2:$K$29,2,FALSE)*R44,0)*(1+$E$9)</f>
        <v>0</v>
      </c>
      <c r="AU44" s="107">
        <f>_xlfn.IFNA($M44/VLOOKUP($BT44,'Unit information'!$A$2:$K$29,3,FALSE)*S44,0)*(1+$E$9)</f>
        <v>0</v>
      </c>
      <c r="AV44" s="107">
        <f>_xlfn.IFNA($M44/VLOOKUP($BT44,'Unit information'!$A$2:$K$29,4,FALSE)*T44,0)*(1+$E$9)</f>
        <v>0</v>
      </c>
      <c r="AW44" s="107">
        <f>_xlfn.IFNA($M44/VLOOKUP($BT44,'Unit information'!$A$2:$K$29,5,FALSE)*U44,0)*(1+$E$9)</f>
        <v>0</v>
      </c>
      <c r="AX44" s="107">
        <f>_xlfn.IFNA($M44/VLOOKUP($BU44,'Unit information'!$A$2:$K$29,6,FALSE)*V44,0)*(1+$E$9)</f>
        <v>0</v>
      </c>
      <c r="AY44" s="107">
        <f>_xlfn.IFNA($M44/VLOOKUP($BU44,'Unit information'!$A$2:$K$29,7,FALSE)*W44,0)*(1+$E$9)</f>
        <v>0</v>
      </c>
      <c r="AZ44" s="107">
        <f>_xlfn.IFNA($M44/VLOOKUP($BU44,'Unit information'!$A$2:$K$29,8,FALSE)*X44,0)*(1+$E$9)</f>
        <v>0</v>
      </c>
      <c r="BA44" s="107">
        <f>_xlfn.IFNA($M44/VLOOKUP($BU44,'Unit information'!$A$2:$K$29,9,FALSE)*Y44,0)*(1+$E$9)</f>
        <v>0</v>
      </c>
      <c r="BB44" s="107">
        <f>_xlfn.IFNA($M44/VLOOKUP($BV44,'Unit information'!$A$2:$K$29,10,FALSE)*Z44,0)*(1+$E$9)</f>
        <v>0</v>
      </c>
      <c r="BC44" s="108">
        <f>_xlfn.IFNA($M44/VLOOKUP($BV44,'Unit information'!$A$2:$K$29,11,FALSE)*AA44,0)*(1+$E$9)</f>
        <v>0</v>
      </c>
      <c r="BD44" s="106">
        <f t="shared" si="10"/>
        <v>0</v>
      </c>
      <c r="BE44" s="107">
        <f t="shared" si="11"/>
        <v>0</v>
      </c>
      <c r="BF44" s="108">
        <f t="shared" si="12"/>
        <v>0</v>
      </c>
      <c r="BG44" s="25" t="e">
        <f t="shared" si="13"/>
        <v>#N/A</v>
      </c>
      <c r="BH44" s="25" t="e">
        <f t="shared" si="14"/>
        <v>#N/A</v>
      </c>
      <c r="BI44" s="25" t="e">
        <f t="shared" si="15"/>
        <v>#N/A</v>
      </c>
      <c r="BJ44" s="27" t="e">
        <f t="shared" si="16"/>
        <v>#N/A</v>
      </c>
      <c r="BK44" s="18" t="e">
        <f t="shared" si="17"/>
        <v>#N/A</v>
      </c>
      <c r="BL44" s="18" t="e">
        <f t="shared" si="18"/>
        <v>#N/A</v>
      </c>
      <c r="BM44" s="28" t="e">
        <f t="shared" si="89"/>
        <v>#N/A</v>
      </c>
      <c r="BN44" s="33">
        <f>HLOOKUP("maximum population",Miscelaneous!$C$1:$C$33,CH44+3,FALSE)</f>
        <v>240</v>
      </c>
      <c r="BO44" s="14">
        <f t="shared" si="35"/>
        <v>32</v>
      </c>
      <c r="BP44" s="14">
        <f t="shared" si="36"/>
        <v>0</v>
      </c>
      <c r="BQ44" s="14">
        <f t="shared" si="37"/>
        <v>208</v>
      </c>
      <c r="BR44" s="34" t="e">
        <f>HLOOKUP(J44,Villagers!$B$1:$V$33,L44+3,FALSE)-HLOOKUP(J44,Villagers!$B$1:$V$33,L44+2,FALSE)</f>
        <v>#N/A</v>
      </c>
      <c r="BS44" s="49">
        <f t="shared" si="38"/>
        <v>1</v>
      </c>
      <c r="BT44" s="50">
        <f t="shared" si="39"/>
        <v>0</v>
      </c>
      <c r="BU44" s="50">
        <f t="shared" si="40"/>
        <v>0</v>
      </c>
      <c r="BV44" s="50">
        <f t="shared" si="41"/>
        <v>0</v>
      </c>
      <c r="BW44" s="50">
        <f t="shared" si="42"/>
        <v>0</v>
      </c>
      <c r="BX44" s="50">
        <f t="shared" si="43"/>
        <v>0</v>
      </c>
      <c r="BY44" s="50">
        <f t="shared" si="43"/>
        <v>0</v>
      </c>
      <c r="BZ44" s="50">
        <f t="shared" si="44"/>
        <v>0</v>
      </c>
      <c r="CA44" s="50">
        <f t="shared" si="45"/>
        <v>0</v>
      </c>
      <c r="CB44" s="50">
        <f t="shared" si="46"/>
        <v>1</v>
      </c>
      <c r="CC44" s="50">
        <f t="shared" si="47"/>
        <v>0</v>
      </c>
      <c r="CD44" s="50">
        <f t="shared" si="48"/>
        <v>0</v>
      </c>
      <c r="CE44" s="50">
        <f t="shared" si="49"/>
        <v>1</v>
      </c>
      <c r="CF44" s="50">
        <f t="shared" si="50"/>
        <v>1</v>
      </c>
      <c r="CG44" s="50">
        <f t="shared" si="51"/>
        <v>1</v>
      </c>
      <c r="CH44" s="50">
        <f t="shared" si="52"/>
        <v>1</v>
      </c>
      <c r="CI44" s="50">
        <f t="shared" si="53"/>
        <v>1</v>
      </c>
      <c r="CJ44" s="50">
        <f t="shared" si="54"/>
        <v>1</v>
      </c>
      <c r="CK44" s="50">
        <f t="shared" si="55"/>
        <v>0</v>
      </c>
      <c r="CL44" s="50">
        <f t="shared" si="54"/>
        <v>0</v>
      </c>
      <c r="CM44" s="51">
        <f t="shared" si="56"/>
        <v>0</v>
      </c>
      <c r="CN44" s="33">
        <f>ROUND(IF(BS44=0,0,HLOOKUP(BS$14,Villagers!$B$1:$V$33,BS44+3,FALSE)),)</f>
        <v>5</v>
      </c>
      <c r="CO44" s="14">
        <f>ROUND(IF(BT44=0,0,HLOOKUP(BT$14,Villagers!$B$1:$V$33,BT44+3,FALSE)),)</f>
        <v>0</v>
      </c>
      <c r="CP44" s="14">
        <f>ROUND(IF(BU44=0,0,HLOOKUP(BU$14,Villagers!$B$1:$V$33,BU44+3,FALSE)),)</f>
        <v>0</v>
      </c>
      <c r="CQ44" s="14">
        <f>ROUND(IF(BV44=0,0,HLOOKUP(BV$14,Villagers!$B$1:$V$33,BV44+3,FALSE)),)</f>
        <v>0</v>
      </c>
      <c r="CR44" s="14">
        <f>ROUND(IF(BW44=0,0,HLOOKUP(BW$14,Villagers!$B$1:$V$33,BW44+3,FALSE)),)</f>
        <v>0</v>
      </c>
      <c r="CS44" s="14">
        <f>ROUND(IF(BX44=0,0,HLOOKUP(BX$14,Villagers!$B$1:$V$33,BX44+3,FALSE)),)</f>
        <v>0</v>
      </c>
      <c r="CT44" s="14">
        <f>ROUND(IF(BY44=0,0,HLOOKUP(BY$14,Villagers!$B$1:$V$33,BY44+3,FALSE)),)</f>
        <v>0</v>
      </c>
      <c r="CU44" s="14">
        <f>ROUND(IF(BZ44=0,0,HLOOKUP(BZ$14,Villagers!$B$1:$V$33,BZ44+3,FALSE)),)</f>
        <v>0</v>
      </c>
      <c r="CV44" s="14">
        <f>ROUND(IF(CA44=0,0,HLOOKUP(CA$14,Villagers!$B$1:$V$33,CA44+3,FALSE)),)</f>
        <v>0</v>
      </c>
      <c r="CW44" s="14">
        <f>ROUND(IF(CB44=0,0,HLOOKUP(CB$14,Villagers!$B$1:$V$33,CB44+3,FALSE)),)</f>
        <v>0</v>
      </c>
      <c r="CX44" s="14">
        <f>ROUND(IF(CC44=0,0,HLOOKUP(CC$14,Villagers!$B$1:$V$33,CC44+3,FALSE)),)</f>
        <v>0</v>
      </c>
      <c r="CY44" s="14">
        <f>ROUND(IF(CD44=0,0,HLOOKUP(CD$14,Villagers!$B$1:$V$33,CD44+3,FALSE)),)</f>
        <v>0</v>
      </c>
      <c r="CZ44" s="14">
        <f>ROUND(IF(CE44=0,0,HLOOKUP(CE$14,Villagers!$B$1:$V$33,CE44+3,FALSE)),)</f>
        <v>5</v>
      </c>
      <c r="DA44" s="14">
        <f>ROUND(IF(CF44=0,0,HLOOKUP(CF$14,Villagers!$B$1:$V$33,CF44+3,FALSE)),)</f>
        <v>10</v>
      </c>
      <c r="DB44" s="14">
        <f>ROUND(IF(CG44=0,0,HLOOKUP(CG$14,Villagers!$B$1:$V$33,CG44+3,FALSE)),)</f>
        <v>10</v>
      </c>
      <c r="DC44" s="14">
        <f>ROUND(IF(CH44=0,0,HLOOKUP(CH$14,Villagers!$B$1:$V$33,CH44+3,FALSE)),)</f>
        <v>0</v>
      </c>
      <c r="DD44" s="14">
        <f>ROUND(IF(CI44=0,0,HLOOKUP(CI$14,Villagers!$B$1:$V$33,CI44+3,FALSE)),)</f>
        <v>0</v>
      </c>
      <c r="DE44" s="14">
        <f>ROUND(IF(CJ44=0,0,HLOOKUP(CJ$14,Villagers!$B$1:$V$33,CJ44+3,FALSE)),)</f>
        <v>2</v>
      </c>
      <c r="DF44" s="370">
        <f>ROUND(IF(CK44=0,0,HLOOKUP(CK$14,Villagers!$B$1:$V$33,CK44+3,FALSE)),)</f>
        <v>0</v>
      </c>
      <c r="DG44" s="370">
        <f>ROUND(IF(CL44=0,0,HLOOKUP(CL$14,Villagers!$B$1:$V$33,CL44+3,FALSE)),)</f>
        <v>0</v>
      </c>
      <c r="DH44" s="34">
        <f>ROUND(IF(CM44=0,0,HLOOKUP(CM$14,Villagers!$B$1:$V$33,CM44+3,FALSE)),)</f>
        <v>0</v>
      </c>
      <c r="DI44" s="109">
        <f t="shared" si="74"/>
        <v>0</v>
      </c>
      <c r="DJ44" s="50">
        <f t="shared" si="75"/>
        <v>0</v>
      </c>
      <c r="DK44" s="50">
        <f t="shared" si="76"/>
        <v>0</v>
      </c>
      <c r="DL44" s="50">
        <f t="shared" si="77"/>
        <v>0</v>
      </c>
      <c r="DM44" s="50">
        <f t="shared" si="78"/>
        <v>0</v>
      </c>
      <c r="DN44" s="50">
        <f t="shared" si="79"/>
        <v>0</v>
      </c>
      <c r="DO44" s="50">
        <f t="shared" si="80"/>
        <v>0</v>
      </c>
      <c r="DP44" s="50">
        <f t="shared" si="81"/>
        <v>0</v>
      </c>
      <c r="DQ44" s="50">
        <f t="shared" si="58"/>
        <v>0</v>
      </c>
      <c r="DR44" s="50">
        <f t="shared" si="59"/>
        <v>0</v>
      </c>
      <c r="DS44" s="96">
        <f>Miscelaneous!$D$4*Miscelaneous!$D$2^($CI44-1)</f>
        <v>1000</v>
      </c>
      <c r="DT44" s="333">
        <f t="shared" si="60"/>
        <v>1</v>
      </c>
      <c r="DU44" s="81">
        <v>1</v>
      </c>
      <c r="DV44" s="79">
        <f t="shared" si="61"/>
        <v>0</v>
      </c>
      <c r="DW44" s="79">
        <f t="shared" si="21"/>
        <v>0</v>
      </c>
      <c r="DX44" s="79">
        <f t="shared" si="62"/>
        <v>0</v>
      </c>
      <c r="DY44" s="79">
        <v>1</v>
      </c>
      <c r="DZ44" s="79">
        <f t="shared" si="22"/>
        <v>0</v>
      </c>
      <c r="EA44" s="79">
        <f t="shared" si="63"/>
        <v>0</v>
      </c>
      <c r="EB44" s="79">
        <f t="shared" si="64"/>
        <v>0</v>
      </c>
      <c r="EC44" s="79">
        <f t="shared" si="65"/>
        <v>0</v>
      </c>
      <c r="ED44" s="79">
        <v>1</v>
      </c>
      <c r="EE44" s="79">
        <v>1</v>
      </c>
      <c r="EF44" s="79">
        <f t="shared" si="66"/>
        <v>0</v>
      </c>
      <c r="EG44" s="79">
        <v>1</v>
      </c>
      <c r="EH44" s="79">
        <v>1</v>
      </c>
      <c r="EI44" s="79">
        <v>1</v>
      </c>
      <c r="EJ44" s="79">
        <v>1</v>
      </c>
      <c r="EK44" s="79">
        <v>1</v>
      </c>
      <c r="EL44" s="79">
        <v>1</v>
      </c>
      <c r="EM44" s="143">
        <f t="shared" si="67"/>
        <v>0</v>
      </c>
      <c r="EN44" s="143">
        <f t="shared" si="68"/>
        <v>0</v>
      </c>
      <c r="EO44" s="82">
        <f t="shared" si="69"/>
        <v>0</v>
      </c>
    </row>
    <row r="45" spans="1:145" x14ac:dyDescent="0.25">
      <c r="A45">
        <v>31</v>
      </c>
      <c r="B45" s="172" t="e">
        <f t="shared" si="23"/>
        <v>#N/A</v>
      </c>
      <c r="C45" s="121" t="e">
        <f t="shared" ref="C45:E45" si="115">AJ45-SUM(AB45:AB49)</f>
        <v>#N/A</v>
      </c>
      <c r="D45" s="122" t="e">
        <f t="shared" si="115"/>
        <v>#N/A</v>
      </c>
      <c r="E45" s="122" t="e">
        <f t="shared" si="115"/>
        <v>#N/A</v>
      </c>
      <c r="F45" s="176" t="e">
        <f t="shared" si="0"/>
        <v>#N/A</v>
      </c>
      <c r="G45" s="121">
        <f t="shared" si="25"/>
        <v>208</v>
      </c>
      <c r="H45" s="176" t="e">
        <f t="shared" si="26"/>
        <v>#N/A</v>
      </c>
      <c r="I45" s="48">
        <v>1</v>
      </c>
      <c r="J45" s="39"/>
      <c r="K45" s="350">
        <v>1</v>
      </c>
      <c r="L45" s="34" t="e">
        <f t="shared" si="1"/>
        <v>#N/A</v>
      </c>
      <c r="M45" s="38" t="e">
        <f>(HLOOKUP(J45,'Construction Times'!$B$3:$W$34,L45+2,FALSE)*HLOOKUP("hq modifier",'Construction Times'!$W$3:$W$34,BS45+2,FALSE))*(1-$H$9)</f>
        <v>#N/A</v>
      </c>
      <c r="N45" s="426" t="e">
        <f t="shared" si="27"/>
        <v>#N/A</v>
      </c>
      <c r="O45" s="427"/>
      <c r="P45" s="430" t="e">
        <f t="shared" si="28"/>
        <v>#N/A</v>
      </c>
      <c r="Q45" s="431"/>
      <c r="R45" s="103">
        <f t="shared" si="71"/>
        <v>0</v>
      </c>
      <c r="S45" s="104">
        <f t="shared" si="71"/>
        <v>0</v>
      </c>
      <c r="T45" s="104">
        <f t="shared" si="72"/>
        <v>0</v>
      </c>
      <c r="U45" s="104">
        <f t="shared" si="72"/>
        <v>0</v>
      </c>
      <c r="V45" s="104">
        <f t="shared" si="72"/>
        <v>9.9999999999999995E-8</v>
      </c>
      <c r="W45" s="104">
        <f t="shared" si="72"/>
        <v>0</v>
      </c>
      <c r="X45" s="104">
        <f t="shared" ref="X45:AA108" si="116">X44</f>
        <v>0</v>
      </c>
      <c r="Y45" s="104">
        <f t="shared" si="116"/>
        <v>9.9999999999999995E-8</v>
      </c>
      <c r="Z45" s="104">
        <f t="shared" si="116"/>
        <v>9.9999999999999995E-8</v>
      </c>
      <c r="AA45" s="105">
        <f t="shared" si="116"/>
        <v>9.9999999999999995E-8</v>
      </c>
      <c r="AB45" s="101" t="e">
        <f>$DT45*HLOOKUP($J45,'Construction Costs (timber)'!$B$1:$V$32,'Construction Planner'!$L45+2,FALSE)</f>
        <v>#N/A</v>
      </c>
      <c r="AC45" s="14" t="e">
        <f>$DT45*HLOOKUP($J45,'Construction Costs (clay)'!$B$1:$V$32,'Construction Planner'!$L45+2,FALSE)</f>
        <v>#N/A</v>
      </c>
      <c r="AD45" s="14" t="e">
        <f>$DT45*HLOOKUP($J45,'Construction Costs (iron)'!$B$1:$V$32,'Construction Planner'!$L45+2,FALSE)</f>
        <v>#N/A</v>
      </c>
      <c r="AE45" s="34" t="e">
        <f t="shared" si="86"/>
        <v>#N/A</v>
      </c>
      <c r="AF45" s="33" t="e">
        <f t="shared" si="3"/>
        <v>#N/A</v>
      </c>
      <c r="AG45" s="14" t="e">
        <f t="shared" si="4"/>
        <v>#N/A</v>
      </c>
      <c r="AH45" s="14" t="e">
        <f t="shared" si="5"/>
        <v>#N/A</v>
      </c>
      <c r="AI45" s="34" t="e">
        <f t="shared" si="87"/>
        <v>#N/A</v>
      </c>
      <c r="AJ45" s="49" t="e">
        <f t="shared" si="31"/>
        <v>#N/A</v>
      </c>
      <c r="AK45" s="49" t="e">
        <f t="shared" si="32"/>
        <v>#N/A</v>
      </c>
      <c r="AL45" s="49" t="e">
        <f t="shared" si="33"/>
        <v>#N/A</v>
      </c>
      <c r="AM45" s="25">
        <f t="shared" si="6"/>
        <v>30</v>
      </c>
      <c r="AN45" s="25">
        <f t="shared" si="7"/>
        <v>30</v>
      </c>
      <c r="AO45" s="25">
        <f t="shared" si="8"/>
        <v>30</v>
      </c>
      <c r="AP45" s="52" t="e">
        <f t="shared" si="34"/>
        <v>#N/A</v>
      </c>
      <c r="AQ45" s="53" t="e">
        <f t="shared" si="34"/>
        <v>#N/A</v>
      </c>
      <c r="AR45" s="54" t="e">
        <f t="shared" si="34"/>
        <v>#N/A</v>
      </c>
      <c r="AS45" s="316">
        <f t="shared" si="88"/>
        <v>0</v>
      </c>
      <c r="AT45" s="106">
        <f>_xlfn.IFNA($M45/VLOOKUP($BT45,'Unit information'!$A$2:$K$29,2,FALSE)*R45,0)*(1+$E$9)</f>
        <v>0</v>
      </c>
      <c r="AU45" s="107">
        <f>_xlfn.IFNA($M45/VLOOKUP($BT45,'Unit information'!$A$2:$K$29,3,FALSE)*S45,0)*(1+$E$9)</f>
        <v>0</v>
      </c>
      <c r="AV45" s="107">
        <f>_xlfn.IFNA($M45/VLOOKUP($BT45,'Unit information'!$A$2:$K$29,4,FALSE)*T45,0)*(1+$E$9)</f>
        <v>0</v>
      </c>
      <c r="AW45" s="107">
        <f>_xlfn.IFNA($M45/VLOOKUP($BT45,'Unit information'!$A$2:$K$29,5,FALSE)*U45,0)*(1+$E$9)</f>
        <v>0</v>
      </c>
      <c r="AX45" s="107">
        <f>_xlfn.IFNA($M45/VLOOKUP($BU45,'Unit information'!$A$2:$K$29,6,FALSE)*V45,0)*(1+$E$9)</f>
        <v>0</v>
      </c>
      <c r="AY45" s="107">
        <f>_xlfn.IFNA($M45/VLOOKUP($BU45,'Unit information'!$A$2:$K$29,7,FALSE)*W45,0)*(1+$E$9)</f>
        <v>0</v>
      </c>
      <c r="AZ45" s="107">
        <f>_xlfn.IFNA($M45/VLOOKUP($BU45,'Unit information'!$A$2:$K$29,8,FALSE)*X45,0)*(1+$E$9)</f>
        <v>0</v>
      </c>
      <c r="BA45" s="107">
        <f>_xlfn.IFNA($M45/VLOOKUP($BU45,'Unit information'!$A$2:$K$29,9,FALSE)*Y45,0)*(1+$E$9)</f>
        <v>0</v>
      </c>
      <c r="BB45" s="107">
        <f>_xlfn.IFNA($M45/VLOOKUP($BV45,'Unit information'!$A$2:$K$29,10,FALSE)*Z45,0)*(1+$E$9)</f>
        <v>0</v>
      </c>
      <c r="BC45" s="108">
        <f>_xlfn.IFNA($M45/VLOOKUP($BV45,'Unit information'!$A$2:$K$29,11,FALSE)*AA45,0)*(1+$E$9)</f>
        <v>0</v>
      </c>
      <c r="BD45" s="106">
        <f t="shared" si="10"/>
        <v>0</v>
      </c>
      <c r="BE45" s="107">
        <f t="shared" si="11"/>
        <v>0</v>
      </c>
      <c r="BF45" s="108">
        <f t="shared" si="12"/>
        <v>0</v>
      </c>
      <c r="BG45" s="25" t="e">
        <f t="shared" si="13"/>
        <v>#N/A</v>
      </c>
      <c r="BH45" s="25" t="e">
        <f t="shared" si="14"/>
        <v>#N/A</v>
      </c>
      <c r="BI45" s="25" t="e">
        <f t="shared" si="15"/>
        <v>#N/A</v>
      </c>
      <c r="BJ45" s="27" t="e">
        <f t="shared" si="16"/>
        <v>#N/A</v>
      </c>
      <c r="BK45" s="18" t="e">
        <f t="shared" si="17"/>
        <v>#N/A</v>
      </c>
      <c r="BL45" s="18" t="e">
        <f t="shared" si="18"/>
        <v>#N/A</v>
      </c>
      <c r="BM45" s="28" t="e">
        <f t="shared" si="89"/>
        <v>#N/A</v>
      </c>
      <c r="BN45" s="33">
        <f>HLOOKUP("maximum population",Miscelaneous!$C$1:$C$33,CH45+3,FALSE)</f>
        <v>240</v>
      </c>
      <c r="BO45" s="14">
        <f t="shared" si="35"/>
        <v>32</v>
      </c>
      <c r="BP45" s="14">
        <f t="shared" si="36"/>
        <v>0</v>
      </c>
      <c r="BQ45" s="14">
        <f t="shared" si="37"/>
        <v>208</v>
      </c>
      <c r="BR45" s="34" t="e">
        <f>HLOOKUP(J45,Villagers!$B$1:$V$33,L45+3,FALSE)-HLOOKUP(J45,Villagers!$B$1:$V$33,L45+2,FALSE)</f>
        <v>#N/A</v>
      </c>
      <c r="BS45" s="49">
        <f t="shared" si="38"/>
        <v>1</v>
      </c>
      <c r="BT45" s="50">
        <f t="shared" si="39"/>
        <v>0</v>
      </c>
      <c r="BU45" s="50">
        <f t="shared" si="40"/>
        <v>0</v>
      </c>
      <c r="BV45" s="50">
        <f t="shared" si="41"/>
        <v>0</v>
      </c>
      <c r="BW45" s="50">
        <f t="shared" si="42"/>
        <v>0</v>
      </c>
      <c r="BX45" s="50">
        <f t="shared" si="43"/>
        <v>0</v>
      </c>
      <c r="BY45" s="50">
        <f t="shared" si="43"/>
        <v>0</v>
      </c>
      <c r="BZ45" s="50">
        <f t="shared" si="44"/>
        <v>0</v>
      </c>
      <c r="CA45" s="50">
        <f t="shared" si="45"/>
        <v>0</v>
      </c>
      <c r="CB45" s="50">
        <f t="shared" si="46"/>
        <v>1</v>
      </c>
      <c r="CC45" s="50">
        <f t="shared" si="47"/>
        <v>0</v>
      </c>
      <c r="CD45" s="50">
        <f t="shared" si="48"/>
        <v>0</v>
      </c>
      <c r="CE45" s="50">
        <f t="shared" si="49"/>
        <v>1</v>
      </c>
      <c r="CF45" s="50">
        <f t="shared" si="50"/>
        <v>1</v>
      </c>
      <c r="CG45" s="50">
        <f t="shared" si="51"/>
        <v>1</v>
      </c>
      <c r="CH45" s="50">
        <f t="shared" si="52"/>
        <v>1</v>
      </c>
      <c r="CI45" s="50">
        <f t="shared" si="53"/>
        <v>1</v>
      </c>
      <c r="CJ45" s="50">
        <f t="shared" si="54"/>
        <v>1</v>
      </c>
      <c r="CK45" s="50">
        <f t="shared" si="55"/>
        <v>0</v>
      </c>
      <c r="CL45" s="50">
        <f t="shared" si="54"/>
        <v>0</v>
      </c>
      <c r="CM45" s="51">
        <f t="shared" si="56"/>
        <v>0</v>
      </c>
      <c r="CN45" s="33">
        <f>ROUND(IF(BS45=0,0,HLOOKUP(BS$14,Villagers!$B$1:$V$33,BS45+3,FALSE)),)</f>
        <v>5</v>
      </c>
      <c r="CO45" s="14">
        <f>ROUND(IF(BT45=0,0,HLOOKUP(BT$14,Villagers!$B$1:$V$33,BT45+3,FALSE)),)</f>
        <v>0</v>
      </c>
      <c r="CP45" s="14">
        <f>ROUND(IF(BU45=0,0,HLOOKUP(BU$14,Villagers!$B$1:$V$33,BU45+3,FALSE)),)</f>
        <v>0</v>
      </c>
      <c r="CQ45" s="14">
        <f>ROUND(IF(BV45=0,0,HLOOKUP(BV$14,Villagers!$B$1:$V$33,BV45+3,FALSE)),)</f>
        <v>0</v>
      </c>
      <c r="CR45" s="14">
        <f>ROUND(IF(BW45=0,0,HLOOKUP(BW$14,Villagers!$B$1:$V$33,BW45+3,FALSE)),)</f>
        <v>0</v>
      </c>
      <c r="CS45" s="14">
        <f>ROUND(IF(BX45=0,0,HLOOKUP(BX$14,Villagers!$B$1:$V$33,BX45+3,FALSE)),)</f>
        <v>0</v>
      </c>
      <c r="CT45" s="14">
        <f>ROUND(IF(BY45=0,0,HLOOKUP(BY$14,Villagers!$B$1:$V$33,BY45+3,FALSE)),)</f>
        <v>0</v>
      </c>
      <c r="CU45" s="14">
        <f>ROUND(IF(BZ45=0,0,HLOOKUP(BZ$14,Villagers!$B$1:$V$33,BZ45+3,FALSE)),)</f>
        <v>0</v>
      </c>
      <c r="CV45" s="14">
        <f>ROUND(IF(CA45=0,0,HLOOKUP(CA$14,Villagers!$B$1:$V$33,CA45+3,FALSE)),)</f>
        <v>0</v>
      </c>
      <c r="CW45" s="14">
        <f>ROUND(IF(CB45=0,0,HLOOKUP(CB$14,Villagers!$B$1:$V$33,CB45+3,FALSE)),)</f>
        <v>0</v>
      </c>
      <c r="CX45" s="14">
        <f>ROUND(IF(CC45=0,0,HLOOKUP(CC$14,Villagers!$B$1:$V$33,CC45+3,FALSE)),)</f>
        <v>0</v>
      </c>
      <c r="CY45" s="14">
        <f>ROUND(IF(CD45=0,0,HLOOKUP(CD$14,Villagers!$B$1:$V$33,CD45+3,FALSE)),)</f>
        <v>0</v>
      </c>
      <c r="CZ45" s="14">
        <f>ROUND(IF(CE45=0,0,HLOOKUP(CE$14,Villagers!$B$1:$V$33,CE45+3,FALSE)),)</f>
        <v>5</v>
      </c>
      <c r="DA45" s="14">
        <f>ROUND(IF(CF45=0,0,HLOOKUP(CF$14,Villagers!$B$1:$V$33,CF45+3,FALSE)),)</f>
        <v>10</v>
      </c>
      <c r="DB45" s="14">
        <f>ROUND(IF(CG45=0,0,HLOOKUP(CG$14,Villagers!$B$1:$V$33,CG45+3,FALSE)),)</f>
        <v>10</v>
      </c>
      <c r="DC45" s="14">
        <f>ROUND(IF(CH45=0,0,HLOOKUP(CH$14,Villagers!$B$1:$V$33,CH45+3,FALSE)),)</f>
        <v>0</v>
      </c>
      <c r="DD45" s="14">
        <f>ROUND(IF(CI45=0,0,HLOOKUP(CI$14,Villagers!$B$1:$V$33,CI45+3,FALSE)),)</f>
        <v>0</v>
      </c>
      <c r="DE45" s="14">
        <f>ROUND(IF(CJ45=0,0,HLOOKUP(CJ$14,Villagers!$B$1:$V$33,CJ45+3,FALSE)),)</f>
        <v>2</v>
      </c>
      <c r="DF45" s="370">
        <f>ROUND(IF(CK45=0,0,HLOOKUP(CK$14,Villagers!$B$1:$V$33,CK45+3,FALSE)),)</f>
        <v>0</v>
      </c>
      <c r="DG45" s="370">
        <f>ROUND(IF(CL45=0,0,HLOOKUP(CL$14,Villagers!$B$1:$V$33,CL45+3,FALSE)),)</f>
        <v>0</v>
      </c>
      <c r="DH45" s="34">
        <f>ROUND(IF(CM45=0,0,HLOOKUP(CM$14,Villagers!$B$1:$V$33,CM45+3,FALSE)),)</f>
        <v>0</v>
      </c>
      <c r="DI45" s="109">
        <f t="shared" si="74"/>
        <v>0</v>
      </c>
      <c r="DJ45" s="50">
        <f t="shared" si="75"/>
        <v>0</v>
      </c>
      <c r="DK45" s="50">
        <f t="shared" si="76"/>
        <v>0</v>
      </c>
      <c r="DL45" s="50">
        <f t="shared" si="77"/>
        <v>0</v>
      </c>
      <c r="DM45" s="50">
        <f t="shared" si="78"/>
        <v>0</v>
      </c>
      <c r="DN45" s="50">
        <f t="shared" si="79"/>
        <v>0</v>
      </c>
      <c r="DO45" s="50">
        <f t="shared" si="80"/>
        <v>0</v>
      </c>
      <c r="DP45" s="50">
        <f t="shared" si="81"/>
        <v>0</v>
      </c>
      <c r="DQ45" s="50">
        <f t="shared" si="58"/>
        <v>0</v>
      </c>
      <c r="DR45" s="50">
        <f t="shared" si="59"/>
        <v>0</v>
      </c>
      <c r="DS45" s="96">
        <f>Miscelaneous!$D$4*Miscelaneous!$D$2^($CI45-1)</f>
        <v>1000</v>
      </c>
      <c r="DT45" s="333">
        <f t="shared" si="60"/>
        <v>1</v>
      </c>
      <c r="DU45" s="81">
        <v>1</v>
      </c>
      <c r="DV45" s="79">
        <f t="shared" si="61"/>
        <v>0</v>
      </c>
      <c r="DW45" s="79">
        <f t="shared" si="21"/>
        <v>0</v>
      </c>
      <c r="DX45" s="79">
        <f t="shared" si="62"/>
        <v>0</v>
      </c>
      <c r="DY45" s="79">
        <v>1</v>
      </c>
      <c r="DZ45" s="79">
        <f t="shared" si="22"/>
        <v>0</v>
      </c>
      <c r="EA45" s="79">
        <f t="shared" si="63"/>
        <v>0</v>
      </c>
      <c r="EB45" s="79">
        <f t="shared" si="64"/>
        <v>0</v>
      </c>
      <c r="EC45" s="79">
        <f t="shared" si="65"/>
        <v>0</v>
      </c>
      <c r="ED45" s="79">
        <v>1</v>
      </c>
      <c r="EE45" s="79">
        <v>1</v>
      </c>
      <c r="EF45" s="79">
        <f t="shared" si="66"/>
        <v>0</v>
      </c>
      <c r="EG45" s="79">
        <v>1</v>
      </c>
      <c r="EH45" s="79">
        <v>1</v>
      </c>
      <c r="EI45" s="79">
        <v>1</v>
      </c>
      <c r="EJ45" s="79">
        <v>1</v>
      </c>
      <c r="EK45" s="79">
        <v>1</v>
      </c>
      <c r="EL45" s="79">
        <v>1</v>
      </c>
      <c r="EM45" s="143">
        <f t="shared" si="67"/>
        <v>0</v>
      </c>
      <c r="EN45" s="143">
        <f t="shared" si="68"/>
        <v>0</v>
      </c>
      <c r="EO45" s="82">
        <f t="shared" si="69"/>
        <v>0</v>
      </c>
    </row>
    <row r="46" spans="1:145" x14ac:dyDescent="0.25">
      <c r="A46">
        <v>32</v>
      </c>
      <c r="B46" s="172" t="e">
        <f t="shared" si="23"/>
        <v>#N/A</v>
      </c>
      <c r="C46" s="121" t="e">
        <f t="shared" ref="C46:E46" si="117">AJ46-SUM(AB46:AB50)</f>
        <v>#N/A</v>
      </c>
      <c r="D46" s="122" t="e">
        <f t="shared" si="117"/>
        <v>#N/A</v>
      </c>
      <c r="E46" s="122" t="e">
        <f t="shared" si="117"/>
        <v>#N/A</v>
      </c>
      <c r="F46" s="176" t="e">
        <f t="shared" si="0"/>
        <v>#N/A</v>
      </c>
      <c r="G46" s="121">
        <f t="shared" si="25"/>
        <v>208</v>
      </c>
      <c r="H46" s="176" t="e">
        <f t="shared" si="26"/>
        <v>#N/A</v>
      </c>
      <c r="I46" s="48">
        <v>1</v>
      </c>
      <c r="J46" s="39"/>
      <c r="K46" s="350">
        <v>1</v>
      </c>
      <c r="L46" s="34" t="e">
        <f t="shared" si="1"/>
        <v>#N/A</v>
      </c>
      <c r="M46" s="38" t="e">
        <f>(HLOOKUP(J46,'Construction Times'!$B$3:$W$34,L46+2,FALSE)*HLOOKUP("hq modifier",'Construction Times'!$W$3:$W$34,BS46+2,FALSE))*(1-$H$9)</f>
        <v>#N/A</v>
      </c>
      <c r="N46" s="426" t="e">
        <f t="shared" si="27"/>
        <v>#N/A</v>
      </c>
      <c r="O46" s="427"/>
      <c r="P46" s="430" t="e">
        <f t="shared" si="28"/>
        <v>#N/A</v>
      </c>
      <c r="Q46" s="431"/>
      <c r="R46" s="103">
        <f t="shared" si="71"/>
        <v>0</v>
      </c>
      <c r="S46" s="104">
        <f t="shared" si="71"/>
        <v>0</v>
      </c>
      <c r="T46" s="104">
        <f t="shared" si="72"/>
        <v>0</v>
      </c>
      <c r="U46" s="104">
        <f t="shared" si="72"/>
        <v>0</v>
      </c>
      <c r="V46" s="104">
        <f t="shared" si="72"/>
        <v>9.9999999999999995E-8</v>
      </c>
      <c r="W46" s="104">
        <f t="shared" si="72"/>
        <v>0</v>
      </c>
      <c r="X46" s="104">
        <f t="shared" si="116"/>
        <v>0</v>
      </c>
      <c r="Y46" s="104">
        <f t="shared" si="116"/>
        <v>9.9999999999999995E-8</v>
      </c>
      <c r="Z46" s="104">
        <f t="shared" si="116"/>
        <v>9.9999999999999995E-8</v>
      </c>
      <c r="AA46" s="105">
        <f t="shared" si="116"/>
        <v>9.9999999999999995E-8</v>
      </c>
      <c r="AB46" s="101" t="e">
        <f>$DT46*HLOOKUP($J46,'Construction Costs (timber)'!$B$1:$V$32,'Construction Planner'!$L46+2,FALSE)</f>
        <v>#N/A</v>
      </c>
      <c r="AC46" s="14" t="e">
        <f>$DT46*HLOOKUP($J46,'Construction Costs (clay)'!$B$1:$V$32,'Construction Planner'!$L46+2,FALSE)</f>
        <v>#N/A</v>
      </c>
      <c r="AD46" s="14" t="e">
        <f>$DT46*HLOOKUP($J46,'Construction Costs (iron)'!$B$1:$V$32,'Construction Planner'!$L46+2,FALSE)</f>
        <v>#N/A</v>
      </c>
      <c r="AE46" s="34" t="e">
        <f t="shared" si="86"/>
        <v>#N/A</v>
      </c>
      <c r="AF46" s="33" t="e">
        <f t="shared" si="3"/>
        <v>#N/A</v>
      </c>
      <c r="AG46" s="14" t="e">
        <f t="shared" si="4"/>
        <v>#N/A</v>
      </c>
      <c r="AH46" s="14" t="e">
        <f t="shared" si="5"/>
        <v>#N/A</v>
      </c>
      <c r="AI46" s="34" t="e">
        <f t="shared" si="87"/>
        <v>#N/A</v>
      </c>
      <c r="AJ46" s="49" t="e">
        <f t="shared" si="31"/>
        <v>#N/A</v>
      </c>
      <c r="AK46" s="49" t="e">
        <f t="shared" si="32"/>
        <v>#N/A</v>
      </c>
      <c r="AL46" s="49" t="e">
        <f t="shared" si="33"/>
        <v>#N/A</v>
      </c>
      <c r="AM46" s="25">
        <f t="shared" si="6"/>
        <v>30</v>
      </c>
      <c r="AN46" s="25">
        <f t="shared" si="7"/>
        <v>30</v>
      </c>
      <c r="AO46" s="25">
        <f t="shared" si="8"/>
        <v>30</v>
      </c>
      <c r="AP46" s="52" t="e">
        <f t="shared" si="34"/>
        <v>#N/A</v>
      </c>
      <c r="AQ46" s="53" t="e">
        <f t="shared" si="34"/>
        <v>#N/A</v>
      </c>
      <c r="AR46" s="54" t="e">
        <f t="shared" si="34"/>
        <v>#N/A</v>
      </c>
      <c r="AS46" s="316">
        <f t="shared" si="88"/>
        <v>0</v>
      </c>
      <c r="AT46" s="106">
        <f>_xlfn.IFNA($M46/VLOOKUP($BT46,'Unit information'!$A$2:$K$29,2,FALSE)*R46,0)*(1+$E$9)</f>
        <v>0</v>
      </c>
      <c r="AU46" s="107">
        <f>_xlfn.IFNA($M46/VLOOKUP($BT46,'Unit information'!$A$2:$K$29,3,FALSE)*S46,0)*(1+$E$9)</f>
        <v>0</v>
      </c>
      <c r="AV46" s="107">
        <f>_xlfn.IFNA($M46/VLOOKUP($BT46,'Unit information'!$A$2:$K$29,4,FALSE)*T46,0)*(1+$E$9)</f>
        <v>0</v>
      </c>
      <c r="AW46" s="107">
        <f>_xlfn.IFNA($M46/VLOOKUP($BT46,'Unit information'!$A$2:$K$29,5,FALSE)*U46,0)*(1+$E$9)</f>
        <v>0</v>
      </c>
      <c r="AX46" s="107">
        <f>_xlfn.IFNA($M46/VLOOKUP($BU46,'Unit information'!$A$2:$K$29,6,FALSE)*V46,0)*(1+$E$9)</f>
        <v>0</v>
      </c>
      <c r="AY46" s="107">
        <f>_xlfn.IFNA($M46/VLOOKUP($BU46,'Unit information'!$A$2:$K$29,7,FALSE)*W46,0)*(1+$E$9)</f>
        <v>0</v>
      </c>
      <c r="AZ46" s="107">
        <f>_xlfn.IFNA($M46/VLOOKUP($BU46,'Unit information'!$A$2:$K$29,8,FALSE)*X46,0)*(1+$E$9)</f>
        <v>0</v>
      </c>
      <c r="BA46" s="107">
        <f>_xlfn.IFNA($M46/VLOOKUP($BU46,'Unit information'!$A$2:$K$29,9,FALSE)*Y46,0)*(1+$E$9)</f>
        <v>0</v>
      </c>
      <c r="BB46" s="107">
        <f>_xlfn.IFNA($M46/VLOOKUP($BV46,'Unit information'!$A$2:$K$29,10,FALSE)*Z46,0)*(1+$E$9)</f>
        <v>0</v>
      </c>
      <c r="BC46" s="108">
        <f>_xlfn.IFNA($M46/VLOOKUP($BV46,'Unit information'!$A$2:$K$29,11,FALSE)*AA46,0)*(1+$E$9)</f>
        <v>0</v>
      </c>
      <c r="BD46" s="106">
        <f t="shared" si="10"/>
        <v>0</v>
      </c>
      <c r="BE46" s="107">
        <f t="shared" si="11"/>
        <v>0</v>
      </c>
      <c r="BF46" s="108">
        <f t="shared" si="12"/>
        <v>0</v>
      </c>
      <c r="BG46" s="25" t="e">
        <f t="shared" si="13"/>
        <v>#N/A</v>
      </c>
      <c r="BH46" s="25" t="e">
        <f t="shared" si="14"/>
        <v>#N/A</v>
      </c>
      <c r="BI46" s="25" t="e">
        <f t="shared" si="15"/>
        <v>#N/A</v>
      </c>
      <c r="BJ46" s="27" t="e">
        <f t="shared" si="16"/>
        <v>#N/A</v>
      </c>
      <c r="BK46" s="18" t="e">
        <f t="shared" si="17"/>
        <v>#N/A</v>
      </c>
      <c r="BL46" s="18" t="e">
        <f t="shared" si="18"/>
        <v>#N/A</v>
      </c>
      <c r="BM46" s="28" t="e">
        <f t="shared" si="89"/>
        <v>#N/A</v>
      </c>
      <c r="BN46" s="33">
        <f>HLOOKUP("maximum population",Miscelaneous!$C$1:$C$33,CH46+3,FALSE)</f>
        <v>240</v>
      </c>
      <c r="BO46" s="14">
        <f t="shared" si="35"/>
        <v>32</v>
      </c>
      <c r="BP46" s="14">
        <f t="shared" si="36"/>
        <v>0</v>
      </c>
      <c r="BQ46" s="14">
        <f t="shared" si="37"/>
        <v>208</v>
      </c>
      <c r="BR46" s="34" t="e">
        <f>HLOOKUP(J46,Villagers!$B$1:$V$33,L46+3,FALSE)-HLOOKUP(J46,Villagers!$B$1:$V$33,L46+2,FALSE)</f>
        <v>#N/A</v>
      </c>
      <c r="BS46" s="49">
        <f t="shared" si="38"/>
        <v>1</v>
      </c>
      <c r="BT46" s="50">
        <f t="shared" si="39"/>
        <v>0</v>
      </c>
      <c r="BU46" s="50">
        <f t="shared" si="40"/>
        <v>0</v>
      </c>
      <c r="BV46" s="50">
        <f t="shared" si="41"/>
        <v>0</v>
      </c>
      <c r="BW46" s="50">
        <f t="shared" si="42"/>
        <v>0</v>
      </c>
      <c r="BX46" s="50">
        <f t="shared" si="43"/>
        <v>0</v>
      </c>
      <c r="BY46" s="50">
        <f t="shared" si="43"/>
        <v>0</v>
      </c>
      <c r="BZ46" s="50">
        <f t="shared" si="44"/>
        <v>0</v>
      </c>
      <c r="CA46" s="50">
        <f t="shared" si="45"/>
        <v>0</v>
      </c>
      <c r="CB46" s="50">
        <f t="shared" si="46"/>
        <v>1</v>
      </c>
      <c r="CC46" s="50">
        <f t="shared" si="47"/>
        <v>0</v>
      </c>
      <c r="CD46" s="50">
        <f t="shared" si="48"/>
        <v>0</v>
      </c>
      <c r="CE46" s="50">
        <f t="shared" si="49"/>
        <v>1</v>
      </c>
      <c r="CF46" s="50">
        <f t="shared" si="50"/>
        <v>1</v>
      </c>
      <c r="CG46" s="50">
        <f t="shared" si="51"/>
        <v>1</v>
      </c>
      <c r="CH46" s="50">
        <f t="shared" si="52"/>
        <v>1</v>
      </c>
      <c r="CI46" s="50">
        <f t="shared" si="53"/>
        <v>1</v>
      </c>
      <c r="CJ46" s="50">
        <f t="shared" si="54"/>
        <v>1</v>
      </c>
      <c r="CK46" s="50">
        <f t="shared" si="55"/>
        <v>0</v>
      </c>
      <c r="CL46" s="50">
        <f t="shared" si="54"/>
        <v>0</v>
      </c>
      <c r="CM46" s="51">
        <f t="shared" si="56"/>
        <v>0</v>
      </c>
      <c r="CN46" s="33">
        <f>ROUND(IF(BS46=0,0,HLOOKUP(BS$14,Villagers!$B$1:$V$33,BS46+3,FALSE)),)</f>
        <v>5</v>
      </c>
      <c r="CO46" s="14">
        <f>ROUND(IF(BT46=0,0,HLOOKUP(BT$14,Villagers!$B$1:$V$33,BT46+3,FALSE)),)</f>
        <v>0</v>
      </c>
      <c r="CP46" s="14">
        <f>ROUND(IF(BU46=0,0,HLOOKUP(BU$14,Villagers!$B$1:$V$33,BU46+3,FALSE)),)</f>
        <v>0</v>
      </c>
      <c r="CQ46" s="14">
        <f>ROUND(IF(BV46=0,0,HLOOKUP(BV$14,Villagers!$B$1:$V$33,BV46+3,FALSE)),)</f>
        <v>0</v>
      </c>
      <c r="CR46" s="14">
        <f>ROUND(IF(BW46=0,0,HLOOKUP(BW$14,Villagers!$B$1:$V$33,BW46+3,FALSE)),)</f>
        <v>0</v>
      </c>
      <c r="CS46" s="14">
        <f>ROUND(IF(BX46=0,0,HLOOKUP(BX$14,Villagers!$B$1:$V$33,BX46+3,FALSE)),)</f>
        <v>0</v>
      </c>
      <c r="CT46" s="14">
        <f>ROUND(IF(BY46=0,0,HLOOKUP(BY$14,Villagers!$B$1:$V$33,BY46+3,FALSE)),)</f>
        <v>0</v>
      </c>
      <c r="CU46" s="14">
        <f>ROUND(IF(BZ46=0,0,HLOOKUP(BZ$14,Villagers!$B$1:$V$33,BZ46+3,FALSE)),)</f>
        <v>0</v>
      </c>
      <c r="CV46" s="14">
        <f>ROUND(IF(CA46=0,0,HLOOKUP(CA$14,Villagers!$B$1:$V$33,CA46+3,FALSE)),)</f>
        <v>0</v>
      </c>
      <c r="CW46" s="14">
        <f>ROUND(IF(CB46=0,0,HLOOKUP(CB$14,Villagers!$B$1:$V$33,CB46+3,FALSE)),)</f>
        <v>0</v>
      </c>
      <c r="CX46" s="14">
        <f>ROUND(IF(CC46=0,0,HLOOKUP(CC$14,Villagers!$B$1:$V$33,CC46+3,FALSE)),)</f>
        <v>0</v>
      </c>
      <c r="CY46" s="14">
        <f>ROUND(IF(CD46=0,0,HLOOKUP(CD$14,Villagers!$B$1:$V$33,CD46+3,FALSE)),)</f>
        <v>0</v>
      </c>
      <c r="CZ46" s="14">
        <f>ROUND(IF(CE46=0,0,HLOOKUP(CE$14,Villagers!$B$1:$V$33,CE46+3,FALSE)),)</f>
        <v>5</v>
      </c>
      <c r="DA46" s="14">
        <f>ROUND(IF(CF46=0,0,HLOOKUP(CF$14,Villagers!$B$1:$V$33,CF46+3,FALSE)),)</f>
        <v>10</v>
      </c>
      <c r="DB46" s="14">
        <f>ROUND(IF(CG46=0,0,HLOOKUP(CG$14,Villagers!$B$1:$V$33,CG46+3,FALSE)),)</f>
        <v>10</v>
      </c>
      <c r="DC46" s="14">
        <f>ROUND(IF(CH46=0,0,HLOOKUP(CH$14,Villagers!$B$1:$V$33,CH46+3,FALSE)),)</f>
        <v>0</v>
      </c>
      <c r="DD46" s="14">
        <f>ROUND(IF(CI46=0,0,HLOOKUP(CI$14,Villagers!$B$1:$V$33,CI46+3,FALSE)),)</f>
        <v>0</v>
      </c>
      <c r="DE46" s="14">
        <f>ROUND(IF(CJ46=0,0,HLOOKUP(CJ$14,Villagers!$B$1:$V$33,CJ46+3,FALSE)),)</f>
        <v>2</v>
      </c>
      <c r="DF46" s="370">
        <f>ROUND(IF(CK46=0,0,HLOOKUP(CK$14,Villagers!$B$1:$V$33,CK46+3,FALSE)),)</f>
        <v>0</v>
      </c>
      <c r="DG46" s="370">
        <f>ROUND(IF(CL46=0,0,HLOOKUP(CL$14,Villagers!$B$1:$V$33,CL46+3,FALSE)),)</f>
        <v>0</v>
      </c>
      <c r="DH46" s="34">
        <f>ROUND(IF(CM46=0,0,HLOOKUP(CM$14,Villagers!$B$1:$V$33,CM46+3,FALSE)),)</f>
        <v>0</v>
      </c>
      <c r="DI46" s="109">
        <f t="shared" si="74"/>
        <v>0</v>
      </c>
      <c r="DJ46" s="50">
        <f t="shared" si="75"/>
        <v>0</v>
      </c>
      <c r="DK46" s="50">
        <f t="shared" si="76"/>
        <v>0</v>
      </c>
      <c r="DL46" s="50">
        <f t="shared" si="77"/>
        <v>0</v>
      </c>
      <c r="DM46" s="50">
        <f t="shared" si="78"/>
        <v>0</v>
      </c>
      <c r="DN46" s="50">
        <f t="shared" si="79"/>
        <v>0</v>
      </c>
      <c r="DO46" s="50">
        <f t="shared" si="80"/>
        <v>0</v>
      </c>
      <c r="DP46" s="50">
        <f t="shared" si="81"/>
        <v>0</v>
      </c>
      <c r="DQ46" s="50">
        <f t="shared" si="58"/>
        <v>0</v>
      </c>
      <c r="DR46" s="50">
        <f t="shared" si="59"/>
        <v>0</v>
      </c>
      <c r="DS46" s="96">
        <f>Miscelaneous!$D$4*Miscelaneous!$D$2^($CI46-1)</f>
        <v>1000</v>
      </c>
      <c r="DT46" s="333">
        <f t="shared" si="60"/>
        <v>1</v>
      </c>
      <c r="DU46" s="81">
        <v>1</v>
      </c>
      <c r="DV46" s="79">
        <f t="shared" si="61"/>
        <v>0</v>
      </c>
      <c r="DW46" s="79">
        <f t="shared" si="21"/>
        <v>0</v>
      </c>
      <c r="DX46" s="79">
        <f t="shared" si="62"/>
        <v>0</v>
      </c>
      <c r="DY46" s="79">
        <v>1</v>
      </c>
      <c r="DZ46" s="79">
        <f t="shared" si="22"/>
        <v>0</v>
      </c>
      <c r="EA46" s="79">
        <f t="shared" si="63"/>
        <v>0</v>
      </c>
      <c r="EB46" s="79">
        <f t="shared" si="64"/>
        <v>0</v>
      </c>
      <c r="EC46" s="79">
        <f t="shared" si="65"/>
        <v>0</v>
      </c>
      <c r="ED46" s="79">
        <v>1</v>
      </c>
      <c r="EE46" s="79">
        <v>1</v>
      </c>
      <c r="EF46" s="79">
        <f t="shared" si="66"/>
        <v>0</v>
      </c>
      <c r="EG46" s="79">
        <v>1</v>
      </c>
      <c r="EH46" s="79">
        <v>1</v>
      </c>
      <c r="EI46" s="79">
        <v>1</v>
      </c>
      <c r="EJ46" s="79">
        <v>1</v>
      </c>
      <c r="EK46" s="79">
        <v>1</v>
      </c>
      <c r="EL46" s="79">
        <v>1</v>
      </c>
      <c r="EM46" s="143">
        <f t="shared" si="67"/>
        <v>0</v>
      </c>
      <c r="EN46" s="143">
        <f t="shared" si="68"/>
        <v>0</v>
      </c>
      <c r="EO46" s="82">
        <f t="shared" si="69"/>
        <v>0</v>
      </c>
    </row>
    <row r="47" spans="1:145" x14ac:dyDescent="0.25">
      <c r="A47">
        <v>33</v>
      </c>
      <c r="B47" s="172" t="e">
        <f t="shared" si="23"/>
        <v>#N/A</v>
      </c>
      <c r="C47" s="121" t="e">
        <f t="shared" ref="C47:E47" si="118">AJ47-SUM(AB47:AB51)</f>
        <v>#N/A</v>
      </c>
      <c r="D47" s="122" t="e">
        <f t="shared" si="118"/>
        <v>#N/A</v>
      </c>
      <c r="E47" s="122" t="e">
        <f t="shared" si="118"/>
        <v>#N/A</v>
      </c>
      <c r="F47" s="176" t="e">
        <f t="shared" si="0"/>
        <v>#N/A</v>
      </c>
      <c r="G47" s="121">
        <f t="shared" si="25"/>
        <v>208</v>
      </c>
      <c r="H47" s="176" t="e">
        <f t="shared" si="26"/>
        <v>#N/A</v>
      </c>
      <c r="I47" s="48">
        <v>1</v>
      </c>
      <c r="J47" s="39"/>
      <c r="K47" s="350">
        <v>1</v>
      </c>
      <c r="L47" s="34" t="e">
        <f t="shared" si="1"/>
        <v>#N/A</v>
      </c>
      <c r="M47" s="38" t="e">
        <f>(HLOOKUP(J47,'Construction Times'!$B$3:$W$34,L47+2,FALSE)*HLOOKUP("hq modifier",'Construction Times'!$W$3:$W$34,BS47+2,FALSE))*(1-$H$9)</f>
        <v>#N/A</v>
      </c>
      <c r="N47" s="426" t="e">
        <f t="shared" si="27"/>
        <v>#N/A</v>
      </c>
      <c r="O47" s="427"/>
      <c r="P47" s="430" t="e">
        <f t="shared" si="28"/>
        <v>#N/A</v>
      </c>
      <c r="Q47" s="431"/>
      <c r="R47" s="103">
        <f t="shared" si="71"/>
        <v>0</v>
      </c>
      <c r="S47" s="104">
        <f t="shared" si="71"/>
        <v>0</v>
      </c>
      <c r="T47" s="104">
        <f t="shared" si="72"/>
        <v>0</v>
      </c>
      <c r="U47" s="104">
        <f t="shared" si="72"/>
        <v>0</v>
      </c>
      <c r="V47" s="104">
        <f t="shared" si="72"/>
        <v>9.9999999999999995E-8</v>
      </c>
      <c r="W47" s="104">
        <f t="shared" si="72"/>
        <v>0</v>
      </c>
      <c r="X47" s="104">
        <f t="shared" si="116"/>
        <v>0</v>
      </c>
      <c r="Y47" s="104">
        <f t="shared" si="116"/>
        <v>9.9999999999999995E-8</v>
      </c>
      <c r="Z47" s="104">
        <f t="shared" si="116"/>
        <v>9.9999999999999995E-8</v>
      </c>
      <c r="AA47" s="105">
        <f t="shared" si="116"/>
        <v>9.9999999999999995E-8</v>
      </c>
      <c r="AB47" s="101" t="e">
        <f>$DT47*HLOOKUP($J47,'Construction Costs (timber)'!$B$1:$V$32,'Construction Planner'!$L47+2,FALSE)</f>
        <v>#N/A</v>
      </c>
      <c r="AC47" s="14" t="e">
        <f>$DT47*HLOOKUP($J47,'Construction Costs (clay)'!$B$1:$V$32,'Construction Planner'!$L47+2,FALSE)</f>
        <v>#N/A</v>
      </c>
      <c r="AD47" s="14" t="e">
        <f>$DT47*HLOOKUP($J47,'Construction Costs (iron)'!$B$1:$V$32,'Construction Planner'!$L47+2,FALSE)</f>
        <v>#N/A</v>
      </c>
      <c r="AE47" s="34" t="e">
        <f t="shared" si="86"/>
        <v>#N/A</v>
      </c>
      <c r="AF47" s="33" t="e">
        <f t="shared" si="3"/>
        <v>#N/A</v>
      </c>
      <c r="AG47" s="14" t="e">
        <f t="shared" si="4"/>
        <v>#N/A</v>
      </c>
      <c r="AH47" s="14" t="e">
        <f t="shared" si="5"/>
        <v>#N/A</v>
      </c>
      <c r="AI47" s="34" t="e">
        <f t="shared" si="87"/>
        <v>#N/A</v>
      </c>
      <c r="AJ47" s="49" t="e">
        <f t="shared" si="31"/>
        <v>#N/A</v>
      </c>
      <c r="AK47" s="49" t="e">
        <f t="shared" si="32"/>
        <v>#N/A</v>
      </c>
      <c r="AL47" s="49" t="e">
        <f t="shared" si="33"/>
        <v>#N/A</v>
      </c>
      <c r="AM47" s="25">
        <f t="shared" si="6"/>
        <v>30</v>
      </c>
      <c r="AN47" s="25">
        <f t="shared" si="7"/>
        <v>30</v>
      </c>
      <c r="AO47" s="25">
        <f t="shared" si="8"/>
        <v>30</v>
      </c>
      <c r="AP47" s="52" t="e">
        <f t="shared" si="34"/>
        <v>#N/A</v>
      </c>
      <c r="AQ47" s="53" t="e">
        <f t="shared" si="34"/>
        <v>#N/A</v>
      </c>
      <c r="AR47" s="54" t="e">
        <f t="shared" si="34"/>
        <v>#N/A</v>
      </c>
      <c r="AS47" s="316">
        <f t="shared" si="88"/>
        <v>0</v>
      </c>
      <c r="AT47" s="106">
        <f>_xlfn.IFNA($M47/VLOOKUP($BT47,'Unit information'!$A$2:$K$29,2,FALSE)*R47,0)*(1+$E$9)</f>
        <v>0</v>
      </c>
      <c r="AU47" s="107">
        <f>_xlfn.IFNA($M47/VLOOKUP($BT47,'Unit information'!$A$2:$K$29,3,FALSE)*S47,0)*(1+$E$9)</f>
        <v>0</v>
      </c>
      <c r="AV47" s="107">
        <f>_xlfn.IFNA($M47/VLOOKUP($BT47,'Unit information'!$A$2:$K$29,4,FALSE)*T47,0)*(1+$E$9)</f>
        <v>0</v>
      </c>
      <c r="AW47" s="107">
        <f>_xlfn.IFNA($M47/VLOOKUP($BT47,'Unit information'!$A$2:$K$29,5,FALSE)*U47,0)*(1+$E$9)</f>
        <v>0</v>
      </c>
      <c r="AX47" s="107">
        <f>_xlfn.IFNA($M47/VLOOKUP($BU47,'Unit information'!$A$2:$K$29,6,FALSE)*V47,0)*(1+$E$9)</f>
        <v>0</v>
      </c>
      <c r="AY47" s="107">
        <f>_xlfn.IFNA($M47/VLOOKUP($BU47,'Unit information'!$A$2:$K$29,7,FALSE)*W47,0)*(1+$E$9)</f>
        <v>0</v>
      </c>
      <c r="AZ47" s="107">
        <f>_xlfn.IFNA($M47/VLOOKUP($BU47,'Unit information'!$A$2:$K$29,8,FALSE)*X47,0)*(1+$E$9)</f>
        <v>0</v>
      </c>
      <c r="BA47" s="107">
        <f>_xlfn.IFNA($M47/VLOOKUP($BU47,'Unit information'!$A$2:$K$29,9,FALSE)*Y47,0)*(1+$E$9)</f>
        <v>0</v>
      </c>
      <c r="BB47" s="107">
        <f>_xlfn.IFNA($M47/VLOOKUP($BV47,'Unit information'!$A$2:$K$29,10,FALSE)*Z47,0)*(1+$E$9)</f>
        <v>0</v>
      </c>
      <c r="BC47" s="108">
        <f>_xlfn.IFNA($M47/VLOOKUP($BV47,'Unit information'!$A$2:$K$29,11,FALSE)*AA47,0)*(1+$E$9)</f>
        <v>0</v>
      </c>
      <c r="BD47" s="106">
        <f t="shared" si="10"/>
        <v>0</v>
      </c>
      <c r="BE47" s="107">
        <f t="shared" si="11"/>
        <v>0</v>
      </c>
      <c r="BF47" s="108">
        <f t="shared" si="12"/>
        <v>0</v>
      </c>
      <c r="BG47" s="25" t="e">
        <f t="shared" si="13"/>
        <v>#N/A</v>
      </c>
      <c r="BH47" s="25" t="e">
        <f t="shared" si="14"/>
        <v>#N/A</v>
      </c>
      <c r="BI47" s="25" t="e">
        <f t="shared" si="15"/>
        <v>#N/A</v>
      </c>
      <c r="BJ47" s="27" t="e">
        <f t="shared" si="16"/>
        <v>#N/A</v>
      </c>
      <c r="BK47" s="18" t="e">
        <f t="shared" si="17"/>
        <v>#N/A</v>
      </c>
      <c r="BL47" s="18" t="e">
        <f t="shared" si="18"/>
        <v>#N/A</v>
      </c>
      <c r="BM47" s="28" t="e">
        <f t="shared" si="89"/>
        <v>#N/A</v>
      </c>
      <c r="BN47" s="33">
        <f>HLOOKUP("maximum population",Miscelaneous!$C$1:$C$33,CH47+3,FALSE)</f>
        <v>240</v>
      </c>
      <c r="BO47" s="14">
        <f t="shared" si="35"/>
        <v>32</v>
      </c>
      <c r="BP47" s="14">
        <f t="shared" si="36"/>
        <v>0</v>
      </c>
      <c r="BQ47" s="14">
        <f t="shared" si="37"/>
        <v>208</v>
      </c>
      <c r="BR47" s="34" t="e">
        <f>HLOOKUP(J47,Villagers!$B$1:$V$33,L47+3,FALSE)-HLOOKUP(J47,Villagers!$B$1:$V$33,L47+2,FALSE)</f>
        <v>#N/A</v>
      </c>
      <c r="BS47" s="49">
        <f t="shared" si="38"/>
        <v>1</v>
      </c>
      <c r="BT47" s="50">
        <f t="shared" si="39"/>
        <v>0</v>
      </c>
      <c r="BU47" s="50">
        <f t="shared" si="40"/>
        <v>0</v>
      </c>
      <c r="BV47" s="50">
        <f t="shared" si="41"/>
        <v>0</v>
      </c>
      <c r="BW47" s="50">
        <f t="shared" si="42"/>
        <v>0</v>
      </c>
      <c r="BX47" s="50">
        <f t="shared" si="43"/>
        <v>0</v>
      </c>
      <c r="BY47" s="50">
        <f t="shared" si="43"/>
        <v>0</v>
      </c>
      <c r="BZ47" s="50">
        <f t="shared" si="44"/>
        <v>0</v>
      </c>
      <c r="CA47" s="50">
        <f t="shared" si="45"/>
        <v>0</v>
      </c>
      <c r="CB47" s="50">
        <f t="shared" si="46"/>
        <v>1</v>
      </c>
      <c r="CC47" s="50">
        <f t="shared" si="47"/>
        <v>0</v>
      </c>
      <c r="CD47" s="50">
        <f t="shared" si="48"/>
        <v>0</v>
      </c>
      <c r="CE47" s="50">
        <f t="shared" si="49"/>
        <v>1</v>
      </c>
      <c r="CF47" s="50">
        <f t="shared" si="50"/>
        <v>1</v>
      </c>
      <c r="CG47" s="50">
        <f t="shared" si="51"/>
        <v>1</v>
      </c>
      <c r="CH47" s="50">
        <f t="shared" si="52"/>
        <v>1</v>
      </c>
      <c r="CI47" s="50">
        <f t="shared" si="53"/>
        <v>1</v>
      </c>
      <c r="CJ47" s="50">
        <f t="shared" si="54"/>
        <v>1</v>
      </c>
      <c r="CK47" s="50">
        <f t="shared" si="55"/>
        <v>0</v>
      </c>
      <c r="CL47" s="50">
        <f t="shared" si="54"/>
        <v>0</v>
      </c>
      <c r="CM47" s="51">
        <f t="shared" si="56"/>
        <v>0</v>
      </c>
      <c r="CN47" s="33">
        <f>ROUND(IF(BS47=0,0,HLOOKUP(BS$14,Villagers!$B$1:$V$33,BS47+3,FALSE)),)</f>
        <v>5</v>
      </c>
      <c r="CO47" s="14">
        <f>ROUND(IF(BT47=0,0,HLOOKUP(BT$14,Villagers!$B$1:$V$33,BT47+3,FALSE)),)</f>
        <v>0</v>
      </c>
      <c r="CP47" s="14">
        <f>ROUND(IF(BU47=0,0,HLOOKUP(BU$14,Villagers!$B$1:$V$33,BU47+3,FALSE)),)</f>
        <v>0</v>
      </c>
      <c r="CQ47" s="14">
        <f>ROUND(IF(BV47=0,0,HLOOKUP(BV$14,Villagers!$B$1:$V$33,BV47+3,FALSE)),)</f>
        <v>0</v>
      </c>
      <c r="CR47" s="14">
        <f>ROUND(IF(BW47=0,0,HLOOKUP(BW$14,Villagers!$B$1:$V$33,BW47+3,FALSE)),)</f>
        <v>0</v>
      </c>
      <c r="CS47" s="14">
        <f>ROUND(IF(BX47=0,0,HLOOKUP(BX$14,Villagers!$B$1:$V$33,BX47+3,FALSE)),)</f>
        <v>0</v>
      </c>
      <c r="CT47" s="14">
        <f>ROUND(IF(BY47=0,0,HLOOKUP(BY$14,Villagers!$B$1:$V$33,BY47+3,FALSE)),)</f>
        <v>0</v>
      </c>
      <c r="CU47" s="14">
        <f>ROUND(IF(BZ47=0,0,HLOOKUP(BZ$14,Villagers!$B$1:$V$33,BZ47+3,FALSE)),)</f>
        <v>0</v>
      </c>
      <c r="CV47" s="14">
        <f>ROUND(IF(CA47=0,0,HLOOKUP(CA$14,Villagers!$B$1:$V$33,CA47+3,FALSE)),)</f>
        <v>0</v>
      </c>
      <c r="CW47" s="14">
        <f>ROUND(IF(CB47=0,0,HLOOKUP(CB$14,Villagers!$B$1:$V$33,CB47+3,FALSE)),)</f>
        <v>0</v>
      </c>
      <c r="CX47" s="14">
        <f>ROUND(IF(CC47=0,0,HLOOKUP(CC$14,Villagers!$B$1:$V$33,CC47+3,FALSE)),)</f>
        <v>0</v>
      </c>
      <c r="CY47" s="14">
        <f>ROUND(IF(CD47=0,0,HLOOKUP(CD$14,Villagers!$B$1:$V$33,CD47+3,FALSE)),)</f>
        <v>0</v>
      </c>
      <c r="CZ47" s="14">
        <f>ROUND(IF(CE47=0,0,HLOOKUP(CE$14,Villagers!$B$1:$V$33,CE47+3,FALSE)),)</f>
        <v>5</v>
      </c>
      <c r="DA47" s="14">
        <f>ROUND(IF(CF47=0,0,HLOOKUP(CF$14,Villagers!$B$1:$V$33,CF47+3,FALSE)),)</f>
        <v>10</v>
      </c>
      <c r="DB47" s="14">
        <f>ROUND(IF(CG47=0,0,HLOOKUP(CG$14,Villagers!$B$1:$V$33,CG47+3,FALSE)),)</f>
        <v>10</v>
      </c>
      <c r="DC47" s="14">
        <f>ROUND(IF(CH47=0,0,HLOOKUP(CH$14,Villagers!$B$1:$V$33,CH47+3,FALSE)),)</f>
        <v>0</v>
      </c>
      <c r="DD47" s="14">
        <f>ROUND(IF(CI47=0,0,HLOOKUP(CI$14,Villagers!$B$1:$V$33,CI47+3,FALSE)),)</f>
        <v>0</v>
      </c>
      <c r="DE47" s="14">
        <f>ROUND(IF(CJ47=0,0,HLOOKUP(CJ$14,Villagers!$B$1:$V$33,CJ47+3,FALSE)),)</f>
        <v>2</v>
      </c>
      <c r="DF47" s="370">
        <f>ROUND(IF(CK47=0,0,HLOOKUP(CK$14,Villagers!$B$1:$V$33,CK47+3,FALSE)),)</f>
        <v>0</v>
      </c>
      <c r="DG47" s="370">
        <f>ROUND(IF(CL47=0,0,HLOOKUP(CL$14,Villagers!$B$1:$V$33,CL47+3,FALSE)),)</f>
        <v>0</v>
      </c>
      <c r="DH47" s="34">
        <f>ROUND(IF(CM47=0,0,HLOOKUP(CM$14,Villagers!$B$1:$V$33,CM47+3,FALSE)),)</f>
        <v>0</v>
      </c>
      <c r="DI47" s="109">
        <f t="shared" si="74"/>
        <v>0</v>
      </c>
      <c r="DJ47" s="50">
        <f t="shared" si="75"/>
        <v>0</v>
      </c>
      <c r="DK47" s="50">
        <f t="shared" si="76"/>
        <v>0</v>
      </c>
      <c r="DL47" s="50">
        <f t="shared" si="77"/>
        <v>0</v>
      </c>
      <c r="DM47" s="50">
        <f t="shared" si="78"/>
        <v>0</v>
      </c>
      <c r="DN47" s="50">
        <f t="shared" si="79"/>
        <v>0</v>
      </c>
      <c r="DO47" s="50">
        <f t="shared" si="80"/>
        <v>0</v>
      </c>
      <c r="DP47" s="50">
        <f t="shared" si="81"/>
        <v>0</v>
      </c>
      <c r="DQ47" s="50">
        <f t="shared" si="58"/>
        <v>0</v>
      </c>
      <c r="DR47" s="50">
        <f t="shared" si="59"/>
        <v>0</v>
      </c>
      <c r="DS47" s="96">
        <f>Miscelaneous!$D$4*Miscelaneous!$D$2^($CI47-1)</f>
        <v>1000</v>
      </c>
      <c r="DT47" s="333">
        <f t="shared" si="60"/>
        <v>1</v>
      </c>
      <c r="DU47" s="81">
        <v>1</v>
      </c>
      <c r="DV47" s="79">
        <f t="shared" si="61"/>
        <v>0</v>
      </c>
      <c r="DW47" s="79">
        <f t="shared" si="21"/>
        <v>0</v>
      </c>
      <c r="DX47" s="79">
        <f t="shared" si="62"/>
        <v>0</v>
      </c>
      <c r="DY47" s="79">
        <v>1</v>
      </c>
      <c r="DZ47" s="79">
        <f t="shared" si="22"/>
        <v>0</v>
      </c>
      <c r="EA47" s="79">
        <f t="shared" si="63"/>
        <v>0</v>
      </c>
      <c r="EB47" s="79">
        <f t="shared" si="64"/>
        <v>0</v>
      </c>
      <c r="EC47" s="79">
        <f t="shared" si="65"/>
        <v>0</v>
      </c>
      <c r="ED47" s="79">
        <v>1</v>
      </c>
      <c r="EE47" s="79">
        <v>1</v>
      </c>
      <c r="EF47" s="79">
        <f t="shared" si="66"/>
        <v>0</v>
      </c>
      <c r="EG47" s="79">
        <v>1</v>
      </c>
      <c r="EH47" s="79">
        <v>1</v>
      </c>
      <c r="EI47" s="79">
        <v>1</v>
      </c>
      <c r="EJ47" s="79">
        <v>1</v>
      </c>
      <c r="EK47" s="79">
        <v>1</v>
      </c>
      <c r="EL47" s="79">
        <v>1</v>
      </c>
      <c r="EM47" s="143">
        <f t="shared" si="67"/>
        <v>0</v>
      </c>
      <c r="EN47" s="143">
        <f t="shared" si="68"/>
        <v>0</v>
      </c>
      <c r="EO47" s="82">
        <f t="shared" si="69"/>
        <v>0</v>
      </c>
    </row>
    <row r="48" spans="1:145" x14ac:dyDescent="0.25">
      <c r="A48">
        <v>34</v>
      </c>
      <c r="B48" s="172" t="e">
        <f t="shared" si="23"/>
        <v>#N/A</v>
      </c>
      <c r="C48" s="121" t="e">
        <f t="shared" ref="C48:E48" si="119">AJ48-SUM(AB48:AB52)</f>
        <v>#N/A</v>
      </c>
      <c r="D48" s="122" t="e">
        <f t="shared" si="119"/>
        <v>#N/A</v>
      </c>
      <c r="E48" s="122" t="e">
        <f t="shared" si="119"/>
        <v>#N/A</v>
      </c>
      <c r="F48" s="176" t="e">
        <f t="shared" si="0"/>
        <v>#N/A</v>
      </c>
      <c r="G48" s="121">
        <f t="shared" si="25"/>
        <v>208</v>
      </c>
      <c r="H48" s="176" t="e">
        <f t="shared" si="26"/>
        <v>#N/A</v>
      </c>
      <c r="I48" s="48">
        <v>1</v>
      </c>
      <c r="J48" s="39"/>
      <c r="K48" s="350">
        <v>1</v>
      </c>
      <c r="L48" s="34" t="e">
        <f t="shared" si="1"/>
        <v>#N/A</v>
      </c>
      <c r="M48" s="38" t="e">
        <f>(HLOOKUP(J48,'Construction Times'!$B$3:$W$34,L48+2,FALSE)*HLOOKUP("hq modifier",'Construction Times'!$W$3:$W$34,BS48+2,FALSE))*(1-$H$9)</f>
        <v>#N/A</v>
      </c>
      <c r="N48" s="426" t="e">
        <f t="shared" si="27"/>
        <v>#N/A</v>
      </c>
      <c r="O48" s="427"/>
      <c r="P48" s="430" t="e">
        <f t="shared" si="28"/>
        <v>#N/A</v>
      </c>
      <c r="Q48" s="431"/>
      <c r="R48" s="103">
        <f t="shared" si="71"/>
        <v>0</v>
      </c>
      <c r="S48" s="104">
        <f t="shared" si="71"/>
        <v>0</v>
      </c>
      <c r="T48" s="104">
        <f t="shared" si="72"/>
        <v>0</v>
      </c>
      <c r="U48" s="104">
        <f t="shared" si="72"/>
        <v>0</v>
      </c>
      <c r="V48" s="104">
        <f t="shared" si="72"/>
        <v>9.9999999999999995E-8</v>
      </c>
      <c r="W48" s="104">
        <f t="shared" si="72"/>
        <v>0</v>
      </c>
      <c r="X48" s="104">
        <f t="shared" si="116"/>
        <v>0</v>
      </c>
      <c r="Y48" s="104">
        <f t="shared" si="116"/>
        <v>9.9999999999999995E-8</v>
      </c>
      <c r="Z48" s="104">
        <f t="shared" si="116"/>
        <v>9.9999999999999995E-8</v>
      </c>
      <c r="AA48" s="105">
        <f t="shared" si="116"/>
        <v>9.9999999999999995E-8</v>
      </c>
      <c r="AB48" s="101" t="e">
        <f>$DT48*HLOOKUP($J48,'Construction Costs (timber)'!$B$1:$V$32,'Construction Planner'!$L48+2,FALSE)</f>
        <v>#N/A</v>
      </c>
      <c r="AC48" s="14" t="e">
        <f>$DT48*HLOOKUP($J48,'Construction Costs (clay)'!$B$1:$V$32,'Construction Planner'!$L48+2,FALSE)</f>
        <v>#N/A</v>
      </c>
      <c r="AD48" s="14" t="e">
        <f>$DT48*HLOOKUP($J48,'Construction Costs (iron)'!$B$1:$V$32,'Construction Planner'!$L48+2,FALSE)</f>
        <v>#N/A</v>
      </c>
      <c r="AE48" s="34" t="e">
        <f t="shared" si="86"/>
        <v>#N/A</v>
      </c>
      <c r="AF48" s="33" t="e">
        <f t="shared" si="3"/>
        <v>#N/A</v>
      </c>
      <c r="AG48" s="14" t="e">
        <f t="shared" si="4"/>
        <v>#N/A</v>
      </c>
      <c r="AH48" s="14" t="e">
        <f t="shared" si="5"/>
        <v>#N/A</v>
      </c>
      <c r="AI48" s="34" t="e">
        <f t="shared" si="87"/>
        <v>#N/A</v>
      </c>
      <c r="AJ48" s="49" t="e">
        <f t="shared" si="31"/>
        <v>#N/A</v>
      </c>
      <c r="AK48" s="49" t="e">
        <f t="shared" si="32"/>
        <v>#N/A</v>
      </c>
      <c r="AL48" s="49" t="e">
        <f t="shared" si="33"/>
        <v>#N/A</v>
      </c>
      <c r="AM48" s="25">
        <f t="shared" si="6"/>
        <v>30</v>
      </c>
      <c r="AN48" s="25">
        <f t="shared" si="7"/>
        <v>30</v>
      </c>
      <c r="AO48" s="25">
        <f t="shared" si="8"/>
        <v>30</v>
      </c>
      <c r="AP48" s="52" t="e">
        <f t="shared" si="34"/>
        <v>#N/A</v>
      </c>
      <c r="AQ48" s="53" t="e">
        <f t="shared" si="34"/>
        <v>#N/A</v>
      </c>
      <c r="AR48" s="54" t="e">
        <f t="shared" si="34"/>
        <v>#N/A</v>
      </c>
      <c r="AS48" s="316">
        <f t="shared" si="88"/>
        <v>0</v>
      </c>
      <c r="AT48" s="106">
        <f>_xlfn.IFNA($M48/VLOOKUP($BT48,'Unit information'!$A$2:$K$29,2,FALSE)*R48,0)*(1+$E$9)</f>
        <v>0</v>
      </c>
      <c r="AU48" s="107">
        <f>_xlfn.IFNA($M48/VLOOKUP($BT48,'Unit information'!$A$2:$K$29,3,FALSE)*S48,0)*(1+$E$9)</f>
        <v>0</v>
      </c>
      <c r="AV48" s="107">
        <f>_xlfn.IFNA($M48/VLOOKUP($BT48,'Unit information'!$A$2:$K$29,4,FALSE)*T48,0)*(1+$E$9)</f>
        <v>0</v>
      </c>
      <c r="AW48" s="107">
        <f>_xlfn.IFNA($M48/VLOOKUP($BT48,'Unit information'!$A$2:$K$29,5,FALSE)*U48,0)*(1+$E$9)</f>
        <v>0</v>
      </c>
      <c r="AX48" s="107">
        <f>_xlfn.IFNA($M48/VLOOKUP($BU48,'Unit information'!$A$2:$K$29,6,FALSE)*V48,0)*(1+$E$9)</f>
        <v>0</v>
      </c>
      <c r="AY48" s="107">
        <f>_xlfn.IFNA($M48/VLOOKUP($BU48,'Unit information'!$A$2:$K$29,7,FALSE)*W48,0)*(1+$E$9)</f>
        <v>0</v>
      </c>
      <c r="AZ48" s="107">
        <f>_xlfn.IFNA($M48/VLOOKUP($BU48,'Unit information'!$A$2:$K$29,8,FALSE)*X48,0)*(1+$E$9)</f>
        <v>0</v>
      </c>
      <c r="BA48" s="107">
        <f>_xlfn.IFNA($M48/VLOOKUP($BU48,'Unit information'!$A$2:$K$29,9,FALSE)*Y48,0)*(1+$E$9)</f>
        <v>0</v>
      </c>
      <c r="BB48" s="107">
        <f>_xlfn.IFNA($M48/VLOOKUP($BV48,'Unit information'!$A$2:$K$29,10,FALSE)*Z48,0)*(1+$E$9)</f>
        <v>0</v>
      </c>
      <c r="BC48" s="108">
        <f>_xlfn.IFNA($M48/VLOOKUP($BV48,'Unit information'!$A$2:$K$29,11,FALSE)*AA48,0)*(1+$E$9)</f>
        <v>0</v>
      </c>
      <c r="BD48" s="106">
        <f t="shared" si="10"/>
        <v>0</v>
      </c>
      <c r="BE48" s="107">
        <f t="shared" si="11"/>
        <v>0</v>
      </c>
      <c r="BF48" s="108">
        <f t="shared" si="12"/>
        <v>0</v>
      </c>
      <c r="BG48" s="25" t="e">
        <f t="shared" si="13"/>
        <v>#N/A</v>
      </c>
      <c r="BH48" s="25" t="e">
        <f t="shared" si="14"/>
        <v>#N/A</v>
      </c>
      <c r="BI48" s="25" t="e">
        <f t="shared" si="15"/>
        <v>#N/A</v>
      </c>
      <c r="BJ48" s="27" t="e">
        <f t="shared" si="16"/>
        <v>#N/A</v>
      </c>
      <c r="BK48" s="18" t="e">
        <f t="shared" si="17"/>
        <v>#N/A</v>
      </c>
      <c r="BL48" s="18" t="e">
        <f t="shared" si="18"/>
        <v>#N/A</v>
      </c>
      <c r="BM48" s="28" t="e">
        <f t="shared" si="89"/>
        <v>#N/A</v>
      </c>
      <c r="BN48" s="33">
        <f>HLOOKUP("maximum population",Miscelaneous!$C$1:$C$33,CH48+3,FALSE)</f>
        <v>240</v>
      </c>
      <c r="BO48" s="14">
        <f t="shared" si="35"/>
        <v>32</v>
      </c>
      <c r="BP48" s="14">
        <f t="shared" si="36"/>
        <v>0</v>
      </c>
      <c r="BQ48" s="14">
        <f t="shared" si="37"/>
        <v>208</v>
      </c>
      <c r="BR48" s="34" t="e">
        <f>HLOOKUP(J48,Villagers!$B$1:$V$33,L48+3,FALSE)-HLOOKUP(J48,Villagers!$B$1:$V$33,L48+2,FALSE)</f>
        <v>#N/A</v>
      </c>
      <c r="BS48" s="49">
        <f t="shared" si="38"/>
        <v>1</v>
      </c>
      <c r="BT48" s="50">
        <f t="shared" si="39"/>
        <v>0</v>
      </c>
      <c r="BU48" s="50">
        <f t="shared" si="40"/>
        <v>0</v>
      </c>
      <c r="BV48" s="50">
        <f t="shared" ref="BV48:BV79" si="120">IF($J47=BV$14,$L47,BV47)</f>
        <v>0</v>
      </c>
      <c r="BW48" s="50">
        <f t="shared" ref="BW48:BW79" si="121">IF($J47=BW$14,$L47,BW47)</f>
        <v>0</v>
      </c>
      <c r="BX48" s="50">
        <f t="shared" ref="BX48:BY79" si="122">IF($J47=BX$14,$L47,BX47)</f>
        <v>0</v>
      </c>
      <c r="BY48" s="50">
        <f t="shared" si="122"/>
        <v>0</v>
      </c>
      <c r="BZ48" s="50">
        <f t="shared" si="44"/>
        <v>0</v>
      </c>
      <c r="CA48" s="50">
        <f t="shared" si="45"/>
        <v>0</v>
      </c>
      <c r="CB48" s="50">
        <f t="shared" si="46"/>
        <v>1</v>
      </c>
      <c r="CC48" s="50">
        <f t="shared" si="47"/>
        <v>0</v>
      </c>
      <c r="CD48" s="50">
        <f t="shared" si="48"/>
        <v>0</v>
      </c>
      <c r="CE48" s="50">
        <f t="shared" si="49"/>
        <v>1</v>
      </c>
      <c r="CF48" s="50">
        <f t="shared" si="50"/>
        <v>1</v>
      </c>
      <c r="CG48" s="50">
        <f t="shared" si="51"/>
        <v>1</v>
      </c>
      <c r="CH48" s="50">
        <f t="shared" si="52"/>
        <v>1</v>
      </c>
      <c r="CI48" s="50">
        <f t="shared" si="53"/>
        <v>1</v>
      </c>
      <c r="CJ48" s="50">
        <f t="shared" si="54"/>
        <v>1</v>
      </c>
      <c r="CK48" s="50">
        <f t="shared" si="55"/>
        <v>0</v>
      </c>
      <c r="CL48" s="50">
        <f t="shared" si="54"/>
        <v>0</v>
      </c>
      <c r="CM48" s="51">
        <f t="shared" si="56"/>
        <v>0</v>
      </c>
      <c r="CN48" s="33">
        <f>ROUND(IF(BS48=0,0,HLOOKUP(BS$14,Villagers!$B$1:$V$33,BS48+3,FALSE)),)</f>
        <v>5</v>
      </c>
      <c r="CO48" s="14">
        <f>ROUND(IF(BT48=0,0,HLOOKUP(BT$14,Villagers!$B$1:$V$33,BT48+3,FALSE)),)</f>
        <v>0</v>
      </c>
      <c r="CP48" s="14">
        <f>ROUND(IF(BU48=0,0,HLOOKUP(BU$14,Villagers!$B$1:$V$33,BU48+3,FALSE)),)</f>
        <v>0</v>
      </c>
      <c r="CQ48" s="14">
        <f>ROUND(IF(BV48=0,0,HLOOKUP(BV$14,Villagers!$B$1:$V$33,BV48+3,FALSE)),)</f>
        <v>0</v>
      </c>
      <c r="CR48" s="14">
        <f>ROUND(IF(BW48=0,0,HLOOKUP(BW$14,Villagers!$B$1:$V$33,BW48+3,FALSE)),)</f>
        <v>0</v>
      </c>
      <c r="CS48" s="14">
        <f>ROUND(IF(BX48=0,0,HLOOKUP(BX$14,Villagers!$B$1:$V$33,BX48+3,FALSE)),)</f>
        <v>0</v>
      </c>
      <c r="CT48" s="14">
        <f>ROUND(IF(BY48=0,0,HLOOKUP(BY$14,Villagers!$B$1:$V$33,BY48+3,FALSE)),)</f>
        <v>0</v>
      </c>
      <c r="CU48" s="14">
        <f>ROUND(IF(BZ48=0,0,HLOOKUP(BZ$14,Villagers!$B$1:$V$33,BZ48+3,FALSE)),)</f>
        <v>0</v>
      </c>
      <c r="CV48" s="14">
        <f>ROUND(IF(CA48=0,0,HLOOKUP(CA$14,Villagers!$B$1:$V$33,CA48+3,FALSE)),)</f>
        <v>0</v>
      </c>
      <c r="CW48" s="14">
        <f>ROUND(IF(CB48=0,0,HLOOKUP(CB$14,Villagers!$B$1:$V$33,CB48+3,FALSE)),)</f>
        <v>0</v>
      </c>
      <c r="CX48" s="14">
        <f>ROUND(IF(CC48=0,0,HLOOKUP(CC$14,Villagers!$B$1:$V$33,CC48+3,FALSE)),)</f>
        <v>0</v>
      </c>
      <c r="CY48" s="14">
        <f>ROUND(IF(CD48=0,0,HLOOKUP(CD$14,Villagers!$B$1:$V$33,CD48+3,FALSE)),)</f>
        <v>0</v>
      </c>
      <c r="CZ48" s="14">
        <f>ROUND(IF(CE48=0,0,HLOOKUP(CE$14,Villagers!$B$1:$V$33,CE48+3,FALSE)),)</f>
        <v>5</v>
      </c>
      <c r="DA48" s="14">
        <f>ROUND(IF(CF48=0,0,HLOOKUP(CF$14,Villagers!$B$1:$V$33,CF48+3,FALSE)),)</f>
        <v>10</v>
      </c>
      <c r="DB48" s="14">
        <f>ROUND(IF(CG48=0,0,HLOOKUP(CG$14,Villagers!$B$1:$V$33,CG48+3,FALSE)),)</f>
        <v>10</v>
      </c>
      <c r="DC48" s="14">
        <f>ROUND(IF(CH48=0,0,HLOOKUP(CH$14,Villagers!$B$1:$V$33,CH48+3,FALSE)),)</f>
        <v>0</v>
      </c>
      <c r="DD48" s="14">
        <f>ROUND(IF(CI48=0,0,HLOOKUP(CI$14,Villagers!$B$1:$V$33,CI48+3,FALSE)),)</f>
        <v>0</v>
      </c>
      <c r="DE48" s="14">
        <f>ROUND(IF(CJ48=0,0,HLOOKUP(CJ$14,Villagers!$B$1:$V$33,CJ48+3,FALSE)),)</f>
        <v>2</v>
      </c>
      <c r="DF48" s="370">
        <f>ROUND(IF(CK48=0,0,HLOOKUP(CK$14,Villagers!$B$1:$V$33,CK48+3,FALSE)),)</f>
        <v>0</v>
      </c>
      <c r="DG48" s="370">
        <f>ROUND(IF(CL48=0,0,HLOOKUP(CL$14,Villagers!$B$1:$V$33,CL48+3,FALSE)),)</f>
        <v>0</v>
      </c>
      <c r="DH48" s="34">
        <f>ROUND(IF(CM48=0,0,HLOOKUP(CM$14,Villagers!$B$1:$V$33,CM48+3,FALSE)),)</f>
        <v>0</v>
      </c>
      <c r="DI48" s="109">
        <f t="shared" si="74"/>
        <v>0</v>
      </c>
      <c r="DJ48" s="50">
        <f t="shared" si="75"/>
        <v>0</v>
      </c>
      <c r="DK48" s="50">
        <f t="shared" si="76"/>
        <v>0</v>
      </c>
      <c r="DL48" s="50">
        <f t="shared" si="77"/>
        <v>0</v>
      </c>
      <c r="DM48" s="50">
        <f t="shared" si="78"/>
        <v>0</v>
      </c>
      <c r="DN48" s="50">
        <f t="shared" si="79"/>
        <v>0</v>
      </c>
      <c r="DO48" s="50">
        <f t="shared" si="80"/>
        <v>0</v>
      </c>
      <c r="DP48" s="50">
        <f t="shared" si="81"/>
        <v>0</v>
      </c>
      <c r="DQ48" s="50">
        <f t="shared" si="58"/>
        <v>0</v>
      </c>
      <c r="DR48" s="50">
        <f t="shared" si="59"/>
        <v>0</v>
      </c>
      <c r="DS48" s="96">
        <f>Miscelaneous!$D$4*Miscelaneous!$D$2^($CI48-1)</f>
        <v>1000</v>
      </c>
      <c r="DT48" s="333">
        <f t="shared" si="60"/>
        <v>1</v>
      </c>
      <c r="DU48" s="81">
        <v>1</v>
      </c>
      <c r="DV48" s="79">
        <f t="shared" si="61"/>
        <v>0</v>
      </c>
      <c r="DW48" s="79">
        <f t="shared" si="21"/>
        <v>0</v>
      </c>
      <c r="DX48" s="79">
        <f t="shared" si="62"/>
        <v>0</v>
      </c>
      <c r="DY48" s="79">
        <v>1</v>
      </c>
      <c r="DZ48" s="79">
        <f t="shared" si="22"/>
        <v>0</v>
      </c>
      <c r="EA48" s="79">
        <f t="shared" si="63"/>
        <v>0</v>
      </c>
      <c r="EB48" s="79">
        <f t="shared" si="64"/>
        <v>0</v>
      </c>
      <c r="EC48" s="79">
        <f t="shared" si="65"/>
        <v>0</v>
      </c>
      <c r="ED48" s="79">
        <v>1</v>
      </c>
      <c r="EE48" s="79">
        <v>1</v>
      </c>
      <c r="EF48" s="79">
        <f t="shared" si="66"/>
        <v>0</v>
      </c>
      <c r="EG48" s="79">
        <v>1</v>
      </c>
      <c r="EH48" s="79">
        <v>1</v>
      </c>
      <c r="EI48" s="79">
        <v>1</v>
      </c>
      <c r="EJ48" s="79">
        <v>1</v>
      </c>
      <c r="EK48" s="79">
        <v>1</v>
      </c>
      <c r="EL48" s="79">
        <v>1</v>
      </c>
      <c r="EM48" s="143">
        <f t="shared" si="67"/>
        <v>0</v>
      </c>
      <c r="EN48" s="143">
        <f t="shared" si="68"/>
        <v>0</v>
      </c>
      <c r="EO48" s="82">
        <f t="shared" si="69"/>
        <v>0</v>
      </c>
    </row>
    <row r="49" spans="1:145" x14ac:dyDescent="0.25">
      <c r="A49">
        <v>35</v>
      </c>
      <c r="B49" s="172" t="e">
        <f t="shared" si="23"/>
        <v>#N/A</v>
      </c>
      <c r="C49" s="121" t="e">
        <f t="shared" ref="C49:E49" si="123">AJ49-SUM(AB49:AB53)</f>
        <v>#N/A</v>
      </c>
      <c r="D49" s="122" t="e">
        <f t="shared" si="123"/>
        <v>#N/A</v>
      </c>
      <c r="E49" s="122" t="e">
        <f t="shared" si="123"/>
        <v>#N/A</v>
      </c>
      <c r="F49" s="176" t="e">
        <f t="shared" si="0"/>
        <v>#N/A</v>
      </c>
      <c r="G49" s="121">
        <f t="shared" si="25"/>
        <v>208</v>
      </c>
      <c r="H49" s="176" t="e">
        <f t="shared" si="26"/>
        <v>#N/A</v>
      </c>
      <c r="I49" s="48">
        <v>1</v>
      </c>
      <c r="J49" s="39"/>
      <c r="K49" s="350">
        <v>1</v>
      </c>
      <c r="L49" s="34" t="e">
        <f t="shared" si="1"/>
        <v>#N/A</v>
      </c>
      <c r="M49" s="38" t="e">
        <f>(HLOOKUP(J49,'Construction Times'!$B$3:$W$34,L49+2,FALSE)*HLOOKUP("hq modifier",'Construction Times'!$W$3:$W$34,BS49+2,FALSE))*(1-$H$9)</f>
        <v>#N/A</v>
      </c>
      <c r="N49" s="426" t="e">
        <f t="shared" si="27"/>
        <v>#N/A</v>
      </c>
      <c r="O49" s="427"/>
      <c r="P49" s="430" t="e">
        <f t="shared" si="28"/>
        <v>#N/A</v>
      </c>
      <c r="Q49" s="431"/>
      <c r="R49" s="103">
        <f t="shared" si="71"/>
        <v>0</v>
      </c>
      <c r="S49" s="104">
        <f t="shared" si="71"/>
        <v>0</v>
      </c>
      <c r="T49" s="104">
        <f t="shared" si="72"/>
        <v>0</v>
      </c>
      <c r="U49" s="104">
        <f t="shared" si="72"/>
        <v>0</v>
      </c>
      <c r="V49" s="104">
        <f t="shared" si="72"/>
        <v>9.9999999999999995E-8</v>
      </c>
      <c r="W49" s="104">
        <f t="shared" si="72"/>
        <v>0</v>
      </c>
      <c r="X49" s="104">
        <f t="shared" si="116"/>
        <v>0</v>
      </c>
      <c r="Y49" s="104">
        <f t="shared" si="116"/>
        <v>9.9999999999999995E-8</v>
      </c>
      <c r="Z49" s="104">
        <f t="shared" si="116"/>
        <v>9.9999999999999995E-8</v>
      </c>
      <c r="AA49" s="105">
        <f t="shared" si="116"/>
        <v>9.9999999999999995E-8</v>
      </c>
      <c r="AB49" s="101" t="e">
        <f>$DT49*HLOOKUP($J49,'Construction Costs (timber)'!$B$1:$V$32,'Construction Planner'!$L49+2,FALSE)</f>
        <v>#N/A</v>
      </c>
      <c r="AC49" s="14" t="e">
        <f>$DT49*HLOOKUP($J49,'Construction Costs (clay)'!$B$1:$V$32,'Construction Planner'!$L49+2,FALSE)</f>
        <v>#N/A</v>
      </c>
      <c r="AD49" s="14" t="e">
        <f>$DT49*HLOOKUP($J49,'Construction Costs (iron)'!$B$1:$V$32,'Construction Planner'!$L49+2,FALSE)</f>
        <v>#N/A</v>
      </c>
      <c r="AE49" s="34" t="e">
        <f t="shared" si="86"/>
        <v>#N/A</v>
      </c>
      <c r="AF49" s="33" t="e">
        <f t="shared" si="3"/>
        <v>#N/A</v>
      </c>
      <c r="AG49" s="14" t="e">
        <f t="shared" si="4"/>
        <v>#N/A</v>
      </c>
      <c r="AH49" s="14" t="e">
        <f t="shared" si="5"/>
        <v>#N/A</v>
      </c>
      <c r="AI49" s="34" t="e">
        <f t="shared" si="87"/>
        <v>#N/A</v>
      </c>
      <c r="AJ49" s="49" t="e">
        <f t="shared" si="31"/>
        <v>#N/A</v>
      </c>
      <c r="AK49" s="49" t="e">
        <f t="shared" si="32"/>
        <v>#N/A</v>
      </c>
      <c r="AL49" s="49" t="e">
        <f t="shared" si="33"/>
        <v>#N/A</v>
      </c>
      <c r="AM49" s="25">
        <f t="shared" si="6"/>
        <v>30</v>
      </c>
      <c r="AN49" s="25">
        <f t="shared" si="7"/>
        <v>30</v>
      </c>
      <c r="AO49" s="25">
        <f t="shared" si="8"/>
        <v>30</v>
      </c>
      <c r="AP49" s="52" t="e">
        <f t="shared" si="34"/>
        <v>#N/A</v>
      </c>
      <c r="AQ49" s="53" t="e">
        <f t="shared" si="34"/>
        <v>#N/A</v>
      </c>
      <c r="AR49" s="54" t="e">
        <f t="shared" si="34"/>
        <v>#N/A</v>
      </c>
      <c r="AS49" s="316">
        <f t="shared" si="88"/>
        <v>0</v>
      </c>
      <c r="AT49" s="106">
        <f>_xlfn.IFNA($M49/VLOOKUP($BT49,'Unit information'!$A$2:$K$29,2,FALSE)*R49,0)*(1+$E$9)</f>
        <v>0</v>
      </c>
      <c r="AU49" s="107">
        <f>_xlfn.IFNA($M49/VLOOKUP($BT49,'Unit information'!$A$2:$K$29,3,FALSE)*S49,0)*(1+$E$9)</f>
        <v>0</v>
      </c>
      <c r="AV49" s="107">
        <f>_xlfn.IFNA($M49/VLOOKUP($BT49,'Unit information'!$A$2:$K$29,4,FALSE)*T49,0)*(1+$E$9)</f>
        <v>0</v>
      </c>
      <c r="AW49" s="107">
        <f>_xlfn.IFNA($M49/VLOOKUP($BT49,'Unit information'!$A$2:$K$29,5,FALSE)*U49,0)*(1+$E$9)</f>
        <v>0</v>
      </c>
      <c r="AX49" s="107">
        <f>_xlfn.IFNA($M49/VLOOKUP($BU49,'Unit information'!$A$2:$K$29,6,FALSE)*V49,0)*(1+$E$9)</f>
        <v>0</v>
      </c>
      <c r="AY49" s="107">
        <f>_xlfn.IFNA($M49/VLOOKUP($BU49,'Unit information'!$A$2:$K$29,7,FALSE)*W49,0)*(1+$E$9)</f>
        <v>0</v>
      </c>
      <c r="AZ49" s="107">
        <f>_xlfn.IFNA($M49/VLOOKUP($BU49,'Unit information'!$A$2:$K$29,8,FALSE)*X49,0)*(1+$E$9)</f>
        <v>0</v>
      </c>
      <c r="BA49" s="107">
        <f>_xlfn.IFNA($M49/VLOOKUP($BU49,'Unit information'!$A$2:$K$29,9,FALSE)*Y49,0)*(1+$E$9)</f>
        <v>0</v>
      </c>
      <c r="BB49" s="107">
        <f>_xlfn.IFNA($M49/VLOOKUP($BV49,'Unit information'!$A$2:$K$29,10,FALSE)*Z49,0)*(1+$E$9)</f>
        <v>0</v>
      </c>
      <c r="BC49" s="108">
        <f>_xlfn.IFNA($M49/VLOOKUP($BV49,'Unit information'!$A$2:$K$29,11,FALSE)*AA49,0)*(1+$E$9)</f>
        <v>0</v>
      </c>
      <c r="BD49" s="106">
        <f t="shared" si="10"/>
        <v>0</v>
      </c>
      <c r="BE49" s="107">
        <f t="shared" si="11"/>
        <v>0</v>
      </c>
      <c r="BF49" s="108">
        <f t="shared" si="12"/>
        <v>0</v>
      </c>
      <c r="BG49" s="25" t="e">
        <f t="shared" si="13"/>
        <v>#N/A</v>
      </c>
      <c r="BH49" s="25" t="e">
        <f t="shared" si="14"/>
        <v>#N/A</v>
      </c>
      <c r="BI49" s="25" t="e">
        <f t="shared" si="15"/>
        <v>#N/A</v>
      </c>
      <c r="BJ49" s="27" t="e">
        <f t="shared" si="16"/>
        <v>#N/A</v>
      </c>
      <c r="BK49" s="18" t="e">
        <f t="shared" si="17"/>
        <v>#N/A</v>
      </c>
      <c r="BL49" s="18" t="e">
        <f t="shared" si="18"/>
        <v>#N/A</v>
      </c>
      <c r="BM49" s="28" t="e">
        <f t="shared" si="89"/>
        <v>#N/A</v>
      </c>
      <c r="BN49" s="33">
        <f>HLOOKUP("maximum population",Miscelaneous!$C$1:$C$33,CH49+3,FALSE)</f>
        <v>240</v>
      </c>
      <c r="BO49" s="14">
        <f t="shared" si="35"/>
        <v>32</v>
      </c>
      <c r="BP49" s="14">
        <f t="shared" si="36"/>
        <v>0</v>
      </c>
      <c r="BQ49" s="14">
        <f t="shared" si="37"/>
        <v>208</v>
      </c>
      <c r="BR49" s="34" t="e">
        <f>HLOOKUP(J49,Villagers!$B$1:$V$33,L49+3,FALSE)-HLOOKUP(J49,Villagers!$B$1:$V$33,L49+2,FALSE)</f>
        <v>#N/A</v>
      </c>
      <c r="BS49" s="49">
        <f t="shared" si="38"/>
        <v>1</v>
      </c>
      <c r="BT49" s="50">
        <f t="shared" si="39"/>
        <v>0</v>
      </c>
      <c r="BU49" s="50">
        <f t="shared" si="40"/>
        <v>0</v>
      </c>
      <c r="BV49" s="50">
        <f t="shared" si="120"/>
        <v>0</v>
      </c>
      <c r="BW49" s="50">
        <f t="shared" si="121"/>
        <v>0</v>
      </c>
      <c r="BX49" s="50">
        <f t="shared" si="122"/>
        <v>0</v>
      </c>
      <c r="BY49" s="50">
        <f t="shared" si="122"/>
        <v>0</v>
      </c>
      <c r="BZ49" s="50">
        <f t="shared" si="44"/>
        <v>0</v>
      </c>
      <c r="CA49" s="50">
        <f t="shared" si="45"/>
        <v>0</v>
      </c>
      <c r="CB49" s="50">
        <f t="shared" si="46"/>
        <v>1</v>
      </c>
      <c r="CC49" s="50">
        <f t="shared" si="47"/>
        <v>0</v>
      </c>
      <c r="CD49" s="50">
        <f t="shared" si="48"/>
        <v>0</v>
      </c>
      <c r="CE49" s="50">
        <f t="shared" si="49"/>
        <v>1</v>
      </c>
      <c r="CF49" s="50">
        <f t="shared" si="50"/>
        <v>1</v>
      </c>
      <c r="CG49" s="50">
        <f t="shared" si="51"/>
        <v>1</v>
      </c>
      <c r="CH49" s="50">
        <f t="shared" si="52"/>
        <v>1</v>
      </c>
      <c r="CI49" s="50">
        <f t="shared" si="53"/>
        <v>1</v>
      </c>
      <c r="CJ49" s="50">
        <f t="shared" si="54"/>
        <v>1</v>
      </c>
      <c r="CK49" s="50">
        <f t="shared" si="55"/>
        <v>0</v>
      </c>
      <c r="CL49" s="50">
        <f t="shared" si="54"/>
        <v>0</v>
      </c>
      <c r="CM49" s="51">
        <f t="shared" si="56"/>
        <v>0</v>
      </c>
      <c r="CN49" s="33">
        <f>ROUND(IF(BS49=0,0,HLOOKUP(BS$14,Villagers!$B$1:$V$33,BS49+3,FALSE)),)</f>
        <v>5</v>
      </c>
      <c r="CO49" s="14">
        <f>ROUND(IF(BT49=0,0,HLOOKUP(BT$14,Villagers!$B$1:$V$33,BT49+3,FALSE)),)</f>
        <v>0</v>
      </c>
      <c r="CP49" s="14">
        <f>ROUND(IF(BU49=0,0,HLOOKUP(BU$14,Villagers!$B$1:$V$33,BU49+3,FALSE)),)</f>
        <v>0</v>
      </c>
      <c r="CQ49" s="14">
        <f>ROUND(IF(BV49=0,0,HLOOKUP(BV$14,Villagers!$B$1:$V$33,BV49+3,FALSE)),)</f>
        <v>0</v>
      </c>
      <c r="CR49" s="14">
        <f>ROUND(IF(BW49=0,0,HLOOKUP(BW$14,Villagers!$B$1:$V$33,BW49+3,FALSE)),)</f>
        <v>0</v>
      </c>
      <c r="CS49" s="14">
        <f>ROUND(IF(BX49=0,0,HLOOKUP(BX$14,Villagers!$B$1:$V$33,BX49+3,FALSE)),)</f>
        <v>0</v>
      </c>
      <c r="CT49" s="14">
        <f>ROUND(IF(BY49=0,0,HLOOKUP(BY$14,Villagers!$B$1:$V$33,BY49+3,FALSE)),)</f>
        <v>0</v>
      </c>
      <c r="CU49" s="14">
        <f>ROUND(IF(BZ49=0,0,HLOOKUP(BZ$14,Villagers!$B$1:$V$33,BZ49+3,FALSE)),)</f>
        <v>0</v>
      </c>
      <c r="CV49" s="14">
        <f>ROUND(IF(CA49=0,0,HLOOKUP(CA$14,Villagers!$B$1:$V$33,CA49+3,FALSE)),)</f>
        <v>0</v>
      </c>
      <c r="CW49" s="14">
        <f>ROUND(IF(CB49=0,0,HLOOKUP(CB$14,Villagers!$B$1:$V$33,CB49+3,FALSE)),)</f>
        <v>0</v>
      </c>
      <c r="CX49" s="14">
        <f>ROUND(IF(CC49=0,0,HLOOKUP(CC$14,Villagers!$B$1:$V$33,CC49+3,FALSE)),)</f>
        <v>0</v>
      </c>
      <c r="CY49" s="14">
        <f>ROUND(IF(CD49=0,0,HLOOKUP(CD$14,Villagers!$B$1:$V$33,CD49+3,FALSE)),)</f>
        <v>0</v>
      </c>
      <c r="CZ49" s="14">
        <f>ROUND(IF(CE49=0,0,HLOOKUP(CE$14,Villagers!$B$1:$V$33,CE49+3,FALSE)),)</f>
        <v>5</v>
      </c>
      <c r="DA49" s="14">
        <f>ROUND(IF(CF49=0,0,HLOOKUP(CF$14,Villagers!$B$1:$V$33,CF49+3,FALSE)),)</f>
        <v>10</v>
      </c>
      <c r="DB49" s="14">
        <f>ROUND(IF(CG49=0,0,HLOOKUP(CG$14,Villagers!$B$1:$V$33,CG49+3,FALSE)),)</f>
        <v>10</v>
      </c>
      <c r="DC49" s="14">
        <f>ROUND(IF(CH49=0,0,HLOOKUP(CH$14,Villagers!$B$1:$V$33,CH49+3,FALSE)),)</f>
        <v>0</v>
      </c>
      <c r="DD49" s="14">
        <f>ROUND(IF(CI49=0,0,HLOOKUP(CI$14,Villagers!$B$1:$V$33,CI49+3,FALSE)),)</f>
        <v>0</v>
      </c>
      <c r="DE49" s="14">
        <f>ROUND(IF(CJ49=0,0,HLOOKUP(CJ$14,Villagers!$B$1:$V$33,CJ49+3,FALSE)),)</f>
        <v>2</v>
      </c>
      <c r="DF49" s="370">
        <f>ROUND(IF(CK49=0,0,HLOOKUP(CK$14,Villagers!$B$1:$V$33,CK49+3,FALSE)),)</f>
        <v>0</v>
      </c>
      <c r="DG49" s="370">
        <f>ROUND(IF(CL49=0,0,HLOOKUP(CL$14,Villagers!$B$1:$V$33,CL49+3,FALSE)),)</f>
        <v>0</v>
      </c>
      <c r="DH49" s="34">
        <f>ROUND(IF(CM49=0,0,HLOOKUP(CM$14,Villagers!$B$1:$V$33,CM49+3,FALSE)),)</f>
        <v>0</v>
      </c>
      <c r="DI49" s="109">
        <f t="shared" si="74"/>
        <v>0</v>
      </c>
      <c r="DJ49" s="50">
        <f t="shared" si="75"/>
        <v>0</v>
      </c>
      <c r="DK49" s="50">
        <f t="shared" si="76"/>
        <v>0</v>
      </c>
      <c r="DL49" s="50">
        <f t="shared" si="77"/>
        <v>0</v>
      </c>
      <c r="DM49" s="50">
        <f t="shared" si="78"/>
        <v>0</v>
      </c>
      <c r="DN49" s="50">
        <f t="shared" si="79"/>
        <v>0</v>
      </c>
      <c r="DO49" s="50">
        <f t="shared" si="80"/>
        <v>0</v>
      </c>
      <c r="DP49" s="50">
        <f t="shared" si="81"/>
        <v>0</v>
      </c>
      <c r="DQ49" s="50">
        <f t="shared" si="58"/>
        <v>0</v>
      </c>
      <c r="DR49" s="50">
        <f t="shared" si="59"/>
        <v>0</v>
      </c>
      <c r="DS49" s="96">
        <f>Miscelaneous!$D$4*Miscelaneous!$D$2^($CI49-1)</f>
        <v>1000</v>
      </c>
      <c r="DT49" s="333">
        <f t="shared" si="60"/>
        <v>1</v>
      </c>
      <c r="DU49" s="81">
        <v>1</v>
      </c>
      <c r="DV49" s="79">
        <f t="shared" si="61"/>
        <v>0</v>
      </c>
      <c r="DW49" s="79">
        <f t="shared" si="21"/>
        <v>0</v>
      </c>
      <c r="DX49" s="79">
        <f t="shared" si="62"/>
        <v>0</v>
      </c>
      <c r="DY49" s="79">
        <v>1</v>
      </c>
      <c r="DZ49" s="79">
        <f t="shared" si="22"/>
        <v>0</v>
      </c>
      <c r="EA49" s="79">
        <f t="shared" si="63"/>
        <v>0</v>
      </c>
      <c r="EB49" s="79">
        <f t="shared" si="64"/>
        <v>0</v>
      </c>
      <c r="EC49" s="79">
        <f t="shared" si="65"/>
        <v>0</v>
      </c>
      <c r="ED49" s="79">
        <v>1</v>
      </c>
      <c r="EE49" s="79">
        <v>1</v>
      </c>
      <c r="EF49" s="79">
        <f t="shared" si="66"/>
        <v>0</v>
      </c>
      <c r="EG49" s="79">
        <v>1</v>
      </c>
      <c r="EH49" s="79">
        <v>1</v>
      </c>
      <c r="EI49" s="79">
        <v>1</v>
      </c>
      <c r="EJ49" s="79">
        <v>1</v>
      </c>
      <c r="EK49" s="79">
        <v>1</v>
      </c>
      <c r="EL49" s="79">
        <v>1</v>
      </c>
      <c r="EM49" s="143">
        <f t="shared" si="67"/>
        <v>0</v>
      </c>
      <c r="EN49" s="143">
        <f t="shared" si="68"/>
        <v>0</v>
      </c>
      <c r="EO49" s="82">
        <f t="shared" si="69"/>
        <v>0</v>
      </c>
    </row>
    <row r="50" spans="1:145" x14ac:dyDescent="0.25">
      <c r="A50">
        <v>36</v>
      </c>
      <c r="B50" s="172" t="e">
        <f t="shared" si="23"/>
        <v>#N/A</v>
      </c>
      <c r="C50" s="121" t="e">
        <f t="shared" ref="C50:E50" si="124">AJ50-SUM(AB50:AB54)</f>
        <v>#N/A</v>
      </c>
      <c r="D50" s="122" t="e">
        <f t="shared" si="124"/>
        <v>#N/A</v>
      </c>
      <c r="E50" s="122" t="e">
        <f t="shared" si="124"/>
        <v>#N/A</v>
      </c>
      <c r="F50" s="176" t="e">
        <f t="shared" si="0"/>
        <v>#N/A</v>
      </c>
      <c r="G50" s="121">
        <f t="shared" si="25"/>
        <v>208</v>
      </c>
      <c r="H50" s="176" t="e">
        <f t="shared" si="26"/>
        <v>#N/A</v>
      </c>
      <c r="I50" s="48">
        <v>1</v>
      </c>
      <c r="J50" s="39"/>
      <c r="K50" s="350">
        <v>1</v>
      </c>
      <c r="L50" s="34" t="e">
        <f t="shared" si="1"/>
        <v>#N/A</v>
      </c>
      <c r="M50" s="38" t="e">
        <f>(HLOOKUP(J50,'Construction Times'!$B$3:$W$34,L50+2,FALSE)*HLOOKUP("hq modifier",'Construction Times'!$W$3:$W$34,BS50+2,FALSE))*(1-$H$9)</f>
        <v>#N/A</v>
      </c>
      <c r="N50" s="426" t="e">
        <f t="shared" si="27"/>
        <v>#N/A</v>
      </c>
      <c r="O50" s="427"/>
      <c r="P50" s="430" t="e">
        <f t="shared" si="28"/>
        <v>#N/A</v>
      </c>
      <c r="Q50" s="431"/>
      <c r="R50" s="103">
        <f t="shared" si="71"/>
        <v>0</v>
      </c>
      <c r="S50" s="104">
        <f t="shared" si="71"/>
        <v>0</v>
      </c>
      <c r="T50" s="104">
        <f t="shared" si="72"/>
        <v>0</v>
      </c>
      <c r="U50" s="104">
        <f t="shared" si="72"/>
        <v>0</v>
      </c>
      <c r="V50" s="104">
        <f t="shared" si="72"/>
        <v>9.9999999999999995E-8</v>
      </c>
      <c r="W50" s="104">
        <f t="shared" si="72"/>
        <v>0</v>
      </c>
      <c r="X50" s="104">
        <f t="shared" si="116"/>
        <v>0</v>
      </c>
      <c r="Y50" s="104">
        <f t="shared" si="116"/>
        <v>9.9999999999999995E-8</v>
      </c>
      <c r="Z50" s="104">
        <f t="shared" si="116"/>
        <v>9.9999999999999995E-8</v>
      </c>
      <c r="AA50" s="105">
        <f t="shared" si="116"/>
        <v>9.9999999999999995E-8</v>
      </c>
      <c r="AB50" s="101" t="e">
        <f>$DT50*HLOOKUP($J50,'Construction Costs (timber)'!$B$1:$V$32,'Construction Planner'!$L50+2,FALSE)</f>
        <v>#N/A</v>
      </c>
      <c r="AC50" s="14" t="e">
        <f>$DT50*HLOOKUP($J50,'Construction Costs (clay)'!$B$1:$V$32,'Construction Planner'!$L50+2,FALSE)</f>
        <v>#N/A</v>
      </c>
      <c r="AD50" s="14" t="e">
        <f>$DT50*HLOOKUP($J50,'Construction Costs (iron)'!$B$1:$V$32,'Construction Planner'!$L50+2,FALSE)</f>
        <v>#N/A</v>
      </c>
      <c r="AE50" s="34" t="e">
        <f t="shared" si="86"/>
        <v>#N/A</v>
      </c>
      <c r="AF50" s="33" t="e">
        <f t="shared" si="3"/>
        <v>#N/A</v>
      </c>
      <c r="AG50" s="14" t="e">
        <f t="shared" si="4"/>
        <v>#N/A</v>
      </c>
      <c r="AH50" s="14" t="e">
        <f t="shared" si="5"/>
        <v>#N/A</v>
      </c>
      <c r="AI50" s="34" t="e">
        <f t="shared" si="87"/>
        <v>#N/A</v>
      </c>
      <c r="AJ50" s="49" t="e">
        <f t="shared" si="31"/>
        <v>#N/A</v>
      </c>
      <c r="AK50" s="49" t="e">
        <f t="shared" si="32"/>
        <v>#N/A</v>
      </c>
      <c r="AL50" s="49" t="e">
        <f t="shared" si="33"/>
        <v>#N/A</v>
      </c>
      <c r="AM50" s="25">
        <f t="shared" si="6"/>
        <v>30</v>
      </c>
      <c r="AN50" s="25">
        <f t="shared" si="7"/>
        <v>30</v>
      </c>
      <c r="AO50" s="25">
        <f t="shared" si="8"/>
        <v>30</v>
      </c>
      <c r="AP50" s="52" t="e">
        <f t="shared" si="34"/>
        <v>#N/A</v>
      </c>
      <c r="AQ50" s="53" t="e">
        <f t="shared" si="34"/>
        <v>#N/A</v>
      </c>
      <c r="AR50" s="54" t="e">
        <f t="shared" si="34"/>
        <v>#N/A</v>
      </c>
      <c r="AS50" s="316">
        <f t="shared" si="88"/>
        <v>0</v>
      </c>
      <c r="AT50" s="106">
        <f>_xlfn.IFNA($M50/VLOOKUP($BT50,'Unit information'!$A$2:$K$29,2,FALSE)*R50,0)*(1+$E$9)</f>
        <v>0</v>
      </c>
      <c r="AU50" s="107">
        <f>_xlfn.IFNA($M50/VLOOKUP($BT50,'Unit information'!$A$2:$K$29,3,FALSE)*S50,0)*(1+$E$9)</f>
        <v>0</v>
      </c>
      <c r="AV50" s="107">
        <f>_xlfn.IFNA($M50/VLOOKUP($BT50,'Unit information'!$A$2:$K$29,4,FALSE)*T50,0)*(1+$E$9)</f>
        <v>0</v>
      </c>
      <c r="AW50" s="107">
        <f>_xlfn.IFNA($M50/VLOOKUP($BT50,'Unit information'!$A$2:$K$29,5,FALSE)*U50,0)*(1+$E$9)</f>
        <v>0</v>
      </c>
      <c r="AX50" s="107">
        <f>_xlfn.IFNA($M50/VLOOKUP($BU50,'Unit information'!$A$2:$K$29,6,FALSE)*V50,0)*(1+$E$9)</f>
        <v>0</v>
      </c>
      <c r="AY50" s="107">
        <f>_xlfn.IFNA($M50/VLOOKUP($BU50,'Unit information'!$A$2:$K$29,7,FALSE)*W50,0)*(1+$E$9)</f>
        <v>0</v>
      </c>
      <c r="AZ50" s="107">
        <f>_xlfn.IFNA($M50/VLOOKUP($BU50,'Unit information'!$A$2:$K$29,8,FALSE)*X50,0)*(1+$E$9)</f>
        <v>0</v>
      </c>
      <c r="BA50" s="107">
        <f>_xlfn.IFNA($M50/VLOOKUP($BU50,'Unit information'!$A$2:$K$29,9,FALSE)*Y50,0)*(1+$E$9)</f>
        <v>0</v>
      </c>
      <c r="BB50" s="107">
        <f>_xlfn.IFNA($M50/VLOOKUP($BV50,'Unit information'!$A$2:$K$29,10,FALSE)*Z50,0)*(1+$E$9)</f>
        <v>0</v>
      </c>
      <c r="BC50" s="108">
        <f>_xlfn.IFNA($M50/VLOOKUP($BV50,'Unit information'!$A$2:$K$29,11,FALSE)*AA50,0)*(1+$E$9)</f>
        <v>0</v>
      </c>
      <c r="BD50" s="106">
        <f t="shared" si="10"/>
        <v>0</v>
      </c>
      <c r="BE50" s="107">
        <f t="shared" si="11"/>
        <v>0</v>
      </c>
      <c r="BF50" s="108">
        <f t="shared" si="12"/>
        <v>0</v>
      </c>
      <c r="BG50" s="25" t="e">
        <f t="shared" si="13"/>
        <v>#N/A</v>
      </c>
      <c r="BH50" s="25" t="e">
        <f t="shared" si="14"/>
        <v>#N/A</v>
      </c>
      <c r="BI50" s="25" t="e">
        <f t="shared" si="15"/>
        <v>#N/A</v>
      </c>
      <c r="BJ50" s="27" t="e">
        <f t="shared" si="16"/>
        <v>#N/A</v>
      </c>
      <c r="BK50" s="18" t="e">
        <f t="shared" si="17"/>
        <v>#N/A</v>
      </c>
      <c r="BL50" s="18" t="e">
        <f t="shared" si="18"/>
        <v>#N/A</v>
      </c>
      <c r="BM50" s="28" t="e">
        <f t="shared" si="89"/>
        <v>#N/A</v>
      </c>
      <c r="BN50" s="33">
        <f>HLOOKUP("maximum population",Miscelaneous!$C$1:$C$33,CH50+3,FALSE)</f>
        <v>240</v>
      </c>
      <c r="BO50" s="14">
        <f t="shared" si="35"/>
        <v>32</v>
      </c>
      <c r="BP50" s="14">
        <f t="shared" si="36"/>
        <v>0</v>
      </c>
      <c r="BQ50" s="14">
        <f t="shared" si="37"/>
        <v>208</v>
      </c>
      <c r="BR50" s="34" t="e">
        <f>HLOOKUP(J50,Villagers!$B$1:$V$33,L50+3,FALSE)-HLOOKUP(J50,Villagers!$B$1:$V$33,L50+2,FALSE)</f>
        <v>#N/A</v>
      </c>
      <c r="BS50" s="49">
        <f t="shared" si="38"/>
        <v>1</v>
      </c>
      <c r="BT50" s="50">
        <f t="shared" si="39"/>
        <v>0</v>
      </c>
      <c r="BU50" s="50">
        <f t="shared" si="40"/>
        <v>0</v>
      </c>
      <c r="BV50" s="50">
        <f t="shared" si="120"/>
        <v>0</v>
      </c>
      <c r="BW50" s="50">
        <f t="shared" si="121"/>
        <v>0</v>
      </c>
      <c r="BX50" s="50">
        <f t="shared" si="122"/>
        <v>0</v>
      </c>
      <c r="BY50" s="50">
        <f t="shared" si="122"/>
        <v>0</v>
      </c>
      <c r="BZ50" s="50">
        <f t="shared" si="44"/>
        <v>0</v>
      </c>
      <c r="CA50" s="50">
        <f t="shared" si="45"/>
        <v>0</v>
      </c>
      <c r="CB50" s="50">
        <f t="shared" si="46"/>
        <v>1</v>
      </c>
      <c r="CC50" s="50">
        <f t="shared" si="47"/>
        <v>0</v>
      </c>
      <c r="CD50" s="50">
        <f t="shared" si="48"/>
        <v>0</v>
      </c>
      <c r="CE50" s="50">
        <f t="shared" si="49"/>
        <v>1</v>
      </c>
      <c r="CF50" s="50">
        <f t="shared" si="50"/>
        <v>1</v>
      </c>
      <c r="CG50" s="50">
        <f t="shared" si="51"/>
        <v>1</v>
      </c>
      <c r="CH50" s="50">
        <f t="shared" si="52"/>
        <v>1</v>
      </c>
      <c r="CI50" s="50">
        <f t="shared" si="53"/>
        <v>1</v>
      </c>
      <c r="CJ50" s="50">
        <f t="shared" si="54"/>
        <v>1</v>
      </c>
      <c r="CK50" s="50">
        <f t="shared" si="55"/>
        <v>0</v>
      </c>
      <c r="CL50" s="50">
        <f t="shared" si="54"/>
        <v>0</v>
      </c>
      <c r="CM50" s="51">
        <f t="shared" si="56"/>
        <v>0</v>
      </c>
      <c r="CN50" s="33">
        <f>ROUND(IF(BS50=0,0,HLOOKUP(BS$14,Villagers!$B$1:$V$33,BS50+3,FALSE)),)</f>
        <v>5</v>
      </c>
      <c r="CO50" s="14">
        <f>ROUND(IF(BT50=0,0,HLOOKUP(BT$14,Villagers!$B$1:$V$33,BT50+3,FALSE)),)</f>
        <v>0</v>
      </c>
      <c r="CP50" s="14">
        <f>ROUND(IF(BU50=0,0,HLOOKUP(BU$14,Villagers!$B$1:$V$33,BU50+3,FALSE)),)</f>
        <v>0</v>
      </c>
      <c r="CQ50" s="14">
        <f>ROUND(IF(BV50=0,0,HLOOKUP(BV$14,Villagers!$B$1:$V$33,BV50+3,FALSE)),)</f>
        <v>0</v>
      </c>
      <c r="CR50" s="14">
        <f>ROUND(IF(BW50=0,0,HLOOKUP(BW$14,Villagers!$B$1:$V$33,BW50+3,FALSE)),)</f>
        <v>0</v>
      </c>
      <c r="CS50" s="14">
        <f>ROUND(IF(BX50=0,0,HLOOKUP(BX$14,Villagers!$B$1:$V$33,BX50+3,FALSE)),)</f>
        <v>0</v>
      </c>
      <c r="CT50" s="14">
        <f>ROUND(IF(BY50=0,0,HLOOKUP(BY$14,Villagers!$B$1:$V$33,BY50+3,FALSE)),)</f>
        <v>0</v>
      </c>
      <c r="CU50" s="14">
        <f>ROUND(IF(BZ50=0,0,HLOOKUP(BZ$14,Villagers!$B$1:$V$33,BZ50+3,FALSE)),)</f>
        <v>0</v>
      </c>
      <c r="CV50" s="14">
        <f>ROUND(IF(CA50=0,0,HLOOKUP(CA$14,Villagers!$B$1:$V$33,CA50+3,FALSE)),)</f>
        <v>0</v>
      </c>
      <c r="CW50" s="14">
        <f>ROUND(IF(CB50=0,0,HLOOKUP(CB$14,Villagers!$B$1:$V$33,CB50+3,FALSE)),)</f>
        <v>0</v>
      </c>
      <c r="CX50" s="14">
        <f>ROUND(IF(CC50=0,0,HLOOKUP(CC$14,Villagers!$B$1:$V$33,CC50+3,FALSE)),)</f>
        <v>0</v>
      </c>
      <c r="CY50" s="14">
        <f>ROUND(IF(CD50=0,0,HLOOKUP(CD$14,Villagers!$B$1:$V$33,CD50+3,FALSE)),)</f>
        <v>0</v>
      </c>
      <c r="CZ50" s="14">
        <f>ROUND(IF(CE50=0,0,HLOOKUP(CE$14,Villagers!$B$1:$V$33,CE50+3,FALSE)),)</f>
        <v>5</v>
      </c>
      <c r="DA50" s="14">
        <f>ROUND(IF(CF50=0,0,HLOOKUP(CF$14,Villagers!$B$1:$V$33,CF50+3,FALSE)),)</f>
        <v>10</v>
      </c>
      <c r="DB50" s="14">
        <f>ROUND(IF(CG50=0,0,HLOOKUP(CG$14,Villagers!$B$1:$V$33,CG50+3,FALSE)),)</f>
        <v>10</v>
      </c>
      <c r="DC50" s="14">
        <f>ROUND(IF(CH50=0,0,HLOOKUP(CH$14,Villagers!$B$1:$V$33,CH50+3,FALSE)),)</f>
        <v>0</v>
      </c>
      <c r="DD50" s="14">
        <f>ROUND(IF(CI50=0,0,HLOOKUP(CI$14,Villagers!$B$1:$V$33,CI50+3,FALSE)),)</f>
        <v>0</v>
      </c>
      <c r="DE50" s="14">
        <f>ROUND(IF(CJ50=0,0,HLOOKUP(CJ$14,Villagers!$B$1:$V$33,CJ50+3,FALSE)),)</f>
        <v>2</v>
      </c>
      <c r="DF50" s="370">
        <f>ROUND(IF(CK50=0,0,HLOOKUP(CK$14,Villagers!$B$1:$V$33,CK50+3,FALSE)),)</f>
        <v>0</v>
      </c>
      <c r="DG50" s="370">
        <f>ROUND(IF(CL50=0,0,HLOOKUP(CL$14,Villagers!$B$1:$V$33,CL50+3,FALSE)),)</f>
        <v>0</v>
      </c>
      <c r="DH50" s="34">
        <f>ROUND(IF(CM50=0,0,HLOOKUP(CM$14,Villagers!$B$1:$V$33,CM50+3,FALSE)),)</f>
        <v>0</v>
      </c>
      <c r="DI50" s="109">
        <f t="shared" si="74"/>
        <v>0</v>
      </c>
      <c r="DJ50" s="50">
        <f t="shared" si="75"/>
        <v>0</v>
      </c>
      <c r="DK50" s="50">
        <f t="shared" si="76"/>
        <v>0</v>
      </c>
      <c r="DL50" s="50">
        <f t="shared" si="77"/>
        <v>0</v>
      </c>
      <c r="DM50" s="50">
        <f t="shared" si="78"/>
        <v>0</v>
      </c>
      <c r="DN50" s="50">
        <f t="shared" si="79"/>
        <v>0</v>
      </c>
      <c r="DO50" s="50">
        <f t="shared" si="80"/>
        <v>0</v>
      </c>
      <c r="DP50" s="50">
        <f t="shared" si="81"/>
        <v>0</v>
      </c>
      <c r="DQ50" s="50">
        <f t="shared" si="58"/>
        <v>0</v>
      </c>
      <c r="DR50" s="50">
        <f t="shared" si="59"/>
        <v>0</v>
      </c>
      <c r="DS50" s="96">
        <f>Miscelaneous!$D$4*Miscelaneous!$D$2^($CI50-1)</f>
        <v>1000</v>
      </c>
      <c r="DT50" s="333">
        <f t="shared" si="60"/>
        <v>1</v>
      </c>
      <c r="DU50" s="81">
        <v>1</v>
      </c>
      <c r="DV50" s="79">
        <f t="shared" si="61"/>
        <v>0</v>
      </c>
      <c r="DW50" s="79">
        <f t="shared" si="21"/>
        <v>0</v>
      </c>
      <c r="DX50" s="79">
        <f t="shared" si="62"/>
        <v>0</v>
      </c>
      <c r="DY50" s="79">
        <v>1</v>
      </c>
      <c r="DZ50" s="79">
        <f t="shared" si="22"/>
        <v>0</v>
      </c>
      <c r="EA50" s="79">
        <f t="shared" si="63"/>
        <v>0</v>
      </c>
      <c r="EB50" s="79">
        <f t="shared" si="64"/>
        <v>0</v>
      </c>
      <c r="EC50" s="79">
        <f t="shared" si="65"/>
        <v>0</v>
      </c>
      <c r="ED50" s="79">
        <v>1</v>
      </c>
      <c r="EE50" s="79">
        <v>1</v>
      </c>
      <c r="EF50" s="79">
        <f t="shared" si="66"/>
        <v>0</v>
      </c>
      <c r="EG50" s="79">
        <v>1</v>
      </c>
      <c r="EH50" s="79">
        <v>1</v>
      </c>
      <c r="EI50" s="79">
        <v>1</v>
      </c>
      <c r="EJ50" s="79">
        <v>1</v>
      </c>
      <c r="EK50" s="79">
        <v>1</v>
      </c>
      <c r="EL50" s="79">
        <v>1</v>
      </c>
      <c r="EM50" s="143">
        <f t="shared" si="67"/>
        <v>0</v>
      </c>
      <c r="EN50" s="143">
        <f t="shared" si="68"/>
        <v>0</v>
      </c>
      <c r="EO50" s="82">
        <f t="shared" si="69"/>
        <v>0</v>
      </c>
    </row>
    <row r="51" spans="1:145" x14ac:dyDescent="0.25">
      <c r="A51">
        <v>37</v>
      </c>
      <c r="B51" s="172" t="e">
        <f t="shared" si="23"/>
        <v>#N/A</v>
      </c>
      <c r="C51" s="121" t="e">
        <f t="shared" ref="C51:E51" si="125">AJ51-SUM(AB51:AB55)</f>
        <v>#N/A</v>
      </c>
      <c r="D51" s="122" t="e">
        <f t="shared" si="125"/>
        <v>#N/A</v>
      </c>
      <c r="E51" s="122" t="e">
        <f t="shared" si="125"/>
        <v>#N/A</v>
      </c>
      <c r="F51" s="176" t="e">
        <f t="shared" si="0"/>
        <v>#N/A</v>
      </c>
      <c r="G51" s="121">
        <f t="shared" si="25"/>
        <v>208</v>
      </c>
      <c r="H51" s="176" t="e">
        <f t="shared" si="26"/>
        <v>#N/A</v>
      </c>
      <c r="I51" s="48">
        <v>1</v>
      </c>
      <c r="J51" s="39"/>
      <c r="K51" s="350">
        <v>1</v>
      </c>
      <c r="L51" s="34" t="e">
        <f t="shared" si="1"/>
        <v>#N/A</v>
      </c>
      <c r="M51" s="38" t="e">
        <f>(HLOOKUP(J51,'Construction Times'!$B$3:$W$34,L51+2,FALSE)*HLOOKUP("hq modifier",'Construction Times'!$W$3:$W$34,BS51+2,FALSE))*(1-$H$9)</f>
        <v>#N/A</v>
      </c>
      <c r="N51" s="426" t="e">
        <f t="shared" si="27"/>
        <v>#N/A</v>
      </c>
      <c r="O51" s="427"/>
      <c r="P51" s="430" t="e">
        <f t="shared" si="28"/>
        <v>#N/A</v>
      </c>
      <c r="Q51" s="431"/>
      <c r="R51" s="103">
        <f t="shared" si="71"/>
        <v>0</v>
      </c>
      <c r="S51" s="104">
        <f t="shared" si="71"/>
        <v>0</v>
      </c>
      <c r="T51" s="104">
        <f t="shared" si="72"/>
        <v>0</v>
      </c>
      <c r="U51" s="104">
        <f t="shared" si="72"/>
        <v>0</v>
      </c>
      <c r="V51" s="104">
        <f t="shared" si="72"/>
        <v>9.9999999999999995E-8</v>
      </c>
      <c r="W51" s="104">
        <f t="shared" si="72"/>
        <v>0</v>
      </c>
      <c r="X51" s="104">
        <f t="shared" si="116"/>
        <v>0</v>
      </c>
      <c r="Y51" s="104">
        <f t="shared" si="116"/>
        <v>9.9999999999999995E-8</v>
      </c>
      <c r="Z51" s="104">
        <f t="shared" si="116"/>
        <v>9.9999999999999995E-8</v>
      </c>
      <c r="AA51" s="105">
        <f t="shared" si="116"/>
        <v>9.9999999999999995E-8</v>
      </c>
      <c r="AB51" s="101" t="e">
        <f>$DT51*HLOOKUP($J51,'Construction Costs (timber)'!$B$1:$V$32,'Construction Planner'!$L51+2,FALSE)</f>
        <v>#N/A</v>
      </c>
      <c r="AC51" s="14" t="e">
        <f>$DT51*HLOOKUP($J51,'Construction Costs (clay)'!$B$1:$V$32,'Construction Planner'!$L51+2,FALSE)</f>
        <v>#N/A</v>
      </c>
      <c r="AD51" s="14" t="e">
        <f>$DT51*HLOOKUP($J51,'Construction Costs (iron)'!$B$1:$V$32,'Construction Planner'!$L51+2,FALSE)</f>
        <v>#N/A</v>
      </c>
      <c r="AE51" s="34" t="e">
        <f t="shared" si="86"/>
        <v>#N/A</v>
      </c>
      <c r="AF51" s="33" t="e">
        <f t="shared" si="3"/>
        <v>#N/A</v>
      </c>
      <c r="AG51" s="14" t="e">
        <f t="shared" si="4"/>
        <v>#N/A</v>
      </c>
      <c r="AH51" s="14" t="e">
        <f t="shared" si="5"/>
        <v>#N/A</v>
      </c>
      <c r="AI51" s="34" t="e">
        <f t="shared" si="87"/>
        <v>#N/A</v>
      </c>
      <c r="AJ51" s="49" t="e">
        <f t="shared" si="31"/>
        <v>#N/A</v>
      </c>
      <c r="AK51" s="49" t="e">
        <f t="shared" si="32"/>
        <v>#N/A</v>
      </c>
      <c r="AL51" s="49" t="e">
        <f t="shared" si="33"/>
        <v>#N/A</v>
      </c>
      <c r="AM51" s="25">
        <f t="shared" si="6"/>
        <v>30</v>
      </c>
      <c r="AN51" s="25">
        <f t="shared" si="7"/>
        <v>30</v>
      </c>
      <c r="AO51" s="25">
        <f t="shared" si="8"/>
        <v>30</v>
      </c>
      <c r="AP51" s="52" t="e">
        <f t="shared" si="34"/>
        <v>#N/A</v>
      </c>
      <c r="AQ51" s="53" t="e">
        <f t="shared" si="34"/>
        <v>#N/A</v>
      </c>
      <c r="AR51" s="54" t="e">
        <f t="shared" si="34"/>
        <v>#N/A</v>
      </c>
      <c r="AS51" s="316">
        <f t="shared" si="88"/>
        <v>0</v>
      </c>
      <c r="AT51" s="106">
        <f>_xlfn.IFNA($M51/VLOOKUP($BT51,'Unit information'!$A$2:$K$29,2,FALSE)*R51,0)*(1+$E$9)</f>
        <v>0</v>
      </c>
      <c r="AU51" s="107">
        <f>_xlfn.IFNA($M51/VLOOKUP($BT51,'Unit information'!$A$2:$K$29,3,FALSE)*S51,0)*(1+$E$9)</f>
        <v>0</v>
      </c>
      <c r="AV51" s="107">
        <f>_xlfn.IFNA($M51/VLOOKUP($BT51,'Unit information'!$A$2:$K$29,4,FALSE)*T51,0)*(1+$E$9)</f>
        <v>0</v>
      </c>
      <c r="AW51" s="107">
        <f>_xlfn.IFNA($M51/VLOOKUP($BT51,'Unit information'!$A$2:$K$29,5,FALSE)*U51,0)*(1+$E$9)</f>
        <v>0</v>
      </c>
      <c r="AX51" s="107">
        <f>_xlfn.IFNA($M51/VLOOKUP($BU51,'Unit information'!$A$2:$K$29,6,FALSE)*V51,0)*(1+$E$9)</f>
        <v>0</v>
      </c>
      <c r="AY51" s="107">
        <f>_xlfn.IFNA($M51/VLOOKUP($BU51,'Unit information'!$A$2:$K$29,7,FALSE)*W51,0)*(1+$E$9)</f>
        <v>0</v>
      </c>
      <c r="AZ51" s="107">
        <f>_xlfn.IFNA($M51/VLOOKUP($BU51,'Unit information'!$A$2:$K$29,8,FALSE)*X51,0)*(1+$E$9)</f>
        <v>0</v>
      </c>
      <c r="BA51" s="107">
        <f>_xlfn.IFNA($M51/VLOOKUP($BU51,'Unit information'!$A$2:$K$29,9,FALSE)*Y51,0)*(1+$E$9)</f>
        <v>0</v>
      </c>
      <c r="BB51" s="107">
        <f>_xlfn.IFNA($M51/VLOOKUP($BV51,'Unit information'!$A$2:$K$29,10,FALSE)*Z51,0)*(1+$E$9)</f>
        <v>0</v>
      </c>
      <c r="BC51" s="108">
        <f>_xlfn.IFNA($M51/VLOOKUP($BV51,'Unit information'!$A$2:$K$29,11,FALSE)*AA51,0)*(1+$E$9)</f>
        <v>0</v>
      </c>
      <c r="BD51" s="106">
        <f t="shared" si="10"/>
        <v>0</v>
      </c>
      <c r="BE51" s="107">
        <f t="shared" si="11"/>
        <v>0</v>
      </c>
      <c r="BF51" s="108">
        <f t="shared" si="12"/>
        <v>0</v>
      </c>
      <c r="BG51" s="25" t="e">
        <f t="shared" si="13"/>
        <v>#N/A</v>
      </c>
      <c r="BH51" s="25" t="e">
        <f t="shared" si="14"/>
        <v>#N/A</v>
      </c>
      <c r="BI51" s="25" t="e">
        <f t="shared" si="15"/>
        <v>#N/A</v>
      </c>
      <c r="BJ51" s="27" t="e">
        <f t="shared" si="16"/>
        <v>#N/A</v>
      </c>
      <c r="BK51" s="18" t="e">
        <f t="shared" si="17"/>
        <v>#N/A</v>
      </c>
      <c r="BL51" s="18" t="e">
        <f t="shared" si="18"/>
        <v>#N/A</v>
      </c>
      <c r="BM51" s="28" t="e">
        <f t="shared" si="89"/>
        <v>#N/A</v>
      </c>
      <c r="BN51" s="33">
        <f>HLOOKUP("maximum population",Miscelaneous!$C$1:$C$33,CH51+3,FALSE)</f>
        <v>240</v>
      </c>
      <c r="BO51" s="14">
        <f t="shared" si="35"/>
        <v>32</v>
      </c>
      <c r="BP51" s="14">
        <f t="shared" si="36"/>
        <v>0</v>
      </c>
      <c r="BQ51" s="14">
        <f t="shared" si="37"/>
        <v>208</v>
      </c>
      <c r="BR51" s="34" t="e">
        <f>HLOOKUP(J51,Villagers!$B$1:$V$33,L51+3,FALSE)-HLOOKUP(J51,Villagers!$B$1:$V$33,L51+2,FALSE)</f>
        <v>#N/A</v>
      </c>
      <c r="BS51" s="49">
        <f t="shared" si="38"/>
        <v>1</v>
      </c>
      <c r="BT51" s="50">
        <f t="shared" si="39"/>
        <v>0</v>
      </c>
      <c r="BU51" s="50">
        <f t="shared" si="40"/>
        <v>0</v>
      </c>
      <c r="BV51" s="50">
        <f t="shared" si="120"/>
        <v>0</v>
      </c>
      <c r="BW51" s="50">
        <f t="shared" si="121"/>
        <v>0</v>
      </c>
      <c r="BX51" s="50">
        <f t="shared" si="122"/>
        <v>0</v>
      </c>
      <c r="BY51" s="50">
        <f t="shared" si="122"/>
        <v>0</v>
      </c>
      <c r="BZ51" s="50">
        <f t="shared" si="44"/>
        <v>0</v>
      </c>
      <c r="CA51" s="50">
        <f t="shared" si="45"/>
        <v>0</v>
      </c>
      <c r="CB51" s="50">
        <f t="shared" si="46"/>
        <v>1</v>
      </c>
      <c r="CC51" s="50">
        <f t="shared" si="47"/>
        <v>0</v>
      </c>
      <c r="CD51" s="50">
        <f t="shared" si="48"/>
        <v>0</v>
      </c>
      <c r="CE51" s="50">
        <f t="shared" si="49"/>
        <v>1</v>
      </c>
      <c r="CF51" s="50">
        <f t="shared" si="50"/>
        <v>1</v>
      </c>
      <c r="CG51" s="50">
        <f t="shared" si="51"/>
        <v>1</v>
      </c>
      <c r="CH51" s="50">
        <f t="shared" si="52"/>
        <v>1</v>
      </c>
      <c r="CI51" s="50">
        <f t="shared" si="53"/>
        <v>1</v>
      </c>
      <c r="CJ51" s="50">
        <f t="shared" si="54"/>
        <v>1</v>
      </c>
      <c r="CK51" s="50">
        <f t="shared" si="55"/>
        <v>0</v>
      </c>
      <c r="CL51" s="50">
        <f t="shared" si="54"/>
        <v>0</v>
      </c>
      <c r="CM51" s="51">
        <f t="shared" si="56"/>
        <v>0</v>
      </c>
      <c r="CN51" s="33">
        <f>ROUND(IF(BS51=0,0,HLOOKUP(BS$14,Villagers!$B$1:$V$33,BS51+3,FALSE)),)</f>
        <v>5</v>
      </c>
      <c r="CO51" s="14">
        <f>ROUND(IF(BT51=0,0,HLOOKUP(BT$14,Villagers!$B$1:$V$33,BT51+3,FALSE)),)</f>
        <v>0</v>
      </c>
      <c r="CP51" s="14">
        <f>ROUND(IF(BU51=0,0,HLOOKUP(BU$14,Villagers!$B$1:$V$33,BU51+3,FALSE)),)</f>
        <v>0</v>
      </c>
      <c r="CQ51" s="14">
        <f>ROUND(IF(BV51=0,0,HLOOKUP(BV$14,Villagers!$B$1:$V$33,BV51+3,FALSE)),)</f>
        <v>0</v>
      </c>
      <c r="CR51" s="14">
        <f>ROUND(IF(BW51=0,0,HLOOKUP(BW$14,Villagers!$B$1:$V$33,BW51+3,FALSE)),)</f>
        <v>0</v>
      </c>
      <c r="CS51" s="14">
        <f>ROUND(IF(BX51=0,0,HLOOKUP(BX$14,Villagers!$B$1:$V$33,BX51+3,FALSE)),)</f>
        <v>0</v>
      </c>
      <c r="CT51" s="14">
        <f>ROUND(IF(BY51=0,0,HLOOKUP(BY$14,Villagers!$B$1:$V$33,BY51+3,FALSE)),)</f>
        <v>0</v>
      </c>
      <c r="CU51" s="14">
        <f>ROUND(IF(BZ51=0,0,HLOOKUP(BZ$14,Villagers!$B$1:$V$33,BZ51+3,FALSE)),)</f>
        <v>0</v>
      </c>
      <c r="CV51" s="14">
        <f>ROUND(IF(CA51=0,0,HLOOKUP(CA$14,Villagers!$B$1:$V$33,CA51+3,FALSE)),)</f>
        <v>0</v>
      </c>
      <c r="CW51" s="14">
        <f>ROUND(IF(CB51=0,0,HLOOKUP(CB$14,Villagers!$B$1:$V$33,CB51+3,FALSE)),)</f>
        <v>0</v>
      </c>
      <c r="CX51" s="14">
        <f>ROUND(IF(CC51=0,0,HLOOKUP(CC$14,Villagers!$B$1:$V$33,CC51+3,FALSE)),)</f>
        <v>0</v>
      </c>
      <c r="CY51" s="14">
        <f>ROUND(IF(CD51=0,0,HLOOKUP(CD$14,Villagers!$B$1:$V$33,CD51+3,FALSE)),)</f>
        <v>0</v>
      </c>
      <c r="CZ51" s="14">
        <f>ROUND(IF(CE51=0,0,HLOOKUP(CE$14,Villagers!$B$1:$V$33,CE51+3,FALSE)),)</f>
        <v>5</v>
      </c>
      <c r="DA51" s="14">
        <f>ROUND(IF(CF51=0,0,HLOOKUP(CF$14,Villagers!$B$1:$V$33,CF51+3,FALSE)),)</f>
        <v>10</v>
      </c>
      <c r="DB51" s="14">
        <f>ROUND(IF(CG51=0,0,HLOOKUP(CG$14,Villagers!$B$1:$V$33,CG51+3,FALSE)),)</f>
        <v>10</v>
      </c>
      <c r="DC51" s="14">
        <f>ROUND(IF(CH51=0,0,HLOOKUP(CH$14,Villagers!$B$1:$V$33,CH51+3,FALSE)),)</f>
        <v>0</v>
      </c>
      <c r="DD51" s="14">
        <f>ROUND(IF(CI51=0,0,HLOOKUP(CI$14,Villagers!$B$1:$V$33,CI51+3,FALSE)),)</f>
        <v>0</v>
      </c>
      <c r="DE51" s="14">
        <f>ROUND(IF(CJ51=0,0,HLOOKUP(CJ$14,Villagers!$B$1:$V$33,CJ51+3,FALSE)),)</f>
        <v>2</v>
      </c>
      <c r="DF51" s="370">
        <f>ROUND(IF(CK51=0,0,HLOOKUP(CK$14,Villagers!$B$1:$V$33,CK51+3,FALSE)),)</f>
        <v>0</v>
      </c>
      <c r="DG51" s="370">
        <f>ROUND(IF(CL51=0,0,HLOOKUP(CL$14,Villagers!$B$1:$V$33,CL51+3,FALSE)),)</f>
        <v>0</v>
      </c>
      <c r="DH51" s="34">
        <f>ROUND(IF(CM51=0,0,HLOOKUP(CM$14,Villagers!$B$1:$V$33,CM51+3,FALSE)),)</f>
        <v>0</v>
      </c>
      <c r="DI51" s="109">
        <f t="shared" si="74"/>
        <v>0</v>
      </c>
      <c r="DJ51" s="50">
        <f t="shared" si="75"/>
        <v>0</v>
      </c>
      <c r="DK51" s="50">
        <f t="shared" si="76"/>
        <v>0</v>
      </c>
      <c r="DL51" s="50">
        <f t="shared" si="77"/>
        <v>0</v>
      </c>
      <c r="DM51" s="50">
        <f t="shared" si="78"/>
        <v>0</v>
      </c>
      <c r="DN51" s="50">
        <f t="shared" si="79"/>
        <v>0</v>
      </c>
      <c r="DO51" s="50">
        <f t="shared" si="80"/>
        <v>0</v>
      </c>
      <c r="DP51" s="50">
        <f t="shared" si="81"/>
        <v>0</v>
      </c>
      <c r="DQ51" s="50">
        <f t="shared" si="58"/>
        <v>0</v>
      </c>
      <c r="DR51" s="50">
        <f t="shared" si="59"/>
        <v>0</v>
      </c>
      <c r="DS51" s="96">
        <f>Miscelaneous!$D$4*Miscelaneous!$D$2^($CI51-1)</f>
        <v>1000</v>
      </c>
      <c r="DT51" s="333">
        <f t="shared" si="60"/>
        <v>1</v>
      </c>
      <c r="DU51" s="81">
        <v>1</v>
      </c>
      <c r="DV51" s="79">
        <f t="shared" si="61"/>
        <v>0</v>
      </c>
      <c r="DW51" s="79">
        <f t="shared" si="21"/>
        <v>0</v>
      </c>
      <c r="DX51" s="79">
        <f t="shared" si="62"/>
        <v>0</v>
      </c>
      <c r="DY51" s="79">
        <v>1</v>
      </c>
      <c r="DZ51" s="79">
        <f t="shared" si="22"/>
        <v>0</v>
      </c>
      <c r="EA51" s="79">
        <f t="shared" si="63"/>
        <v>0</v>
      </c>
      <c r="EB51" s="79">
        <f t="shared" si="64"/>
        <v>0</v>
      </c>
      <c r="EC51" s="79">
        <f t="shared" si="65"/>
        <v>0</v>
      </c>
      <c r="ED51" s="79">
        <v>1</v>
      </c>
      <c r="EE51" s="79">
        <v>1</v>
      </c>
      <c r="EF51" s="79">
        <f t="shared" si="66"/>
        <v>0</v>
      </c>
      <c r="EG51" s="79">
        <v>1</v>
      </c>
      <c r="EH51" s="79">
        <v>1</v>
      </c>
      <c r="EI51" s="79">
        <v>1</v>
      </c>
      <c r="EJ51" s="79">
        <v>1</v>
      </c>
      <c r="EK51" s="79">
        <v>1</v>
      </c>
      <c r="EL51" s="79">
        <v>1</v>
      </c>
      <c r="EM51" s="143">
        <f t="shared" si="67"/>
        <v>0</v>
      </c>
      <c r="EN51" s="143">
        <f t="shared" si="68"/>
        <v>0</v>
      </c>
      <c r="EO51" s="82">
        <f t="shared" si="69"/>
        <v>0</v>
      </c>
    </row>
    <row r="52" spans="1:145" x14ac:dyDescent="0.25">
      <c r="A52">
        <v>38</v>
      </c>
      <c r="B52" s="172" t="e">
        <f t="shared" si="23"/>
        <v>#N/A</v>
      </c>
      <c r="C52" s="121" t="e">
        <f t="shared" ref="C52:E52" si="126">AJ52-SUM(AB52:AB56)</f>
        <v>#N/A</v>
      </c>
      <c r="D52" s="122" t="e">
        <f t="shared" si="126"/>
        <v>#N/A</v>
      </c>
      <c r="E52" s="122" t="e">
        <f t="shared" si="126"/>
        <v>#N/A</v>
      </c>
      <c r="F52" s="176" t="e">
        <f t="shared" si="0"/>
        <v>#N/A</v>
      </c>
      <c r="G52" s="121">
        <f t="shared" si="25"/>
        <v>208</v>
      </c>
      <c r="H52" s="176" t="e">
        <f t="shared" si="26"/>
        <v>#N/A</v>
      </c>
      <c r="I52" s="48">
        <v>1</v>
      </c>
      <c r="J52" s="39"/>
      <c r="K52" s="350">
        <v>1</v>
      </c>
      <c r="L52" s="34" t="e">
        <f t="shared" si="1"/>
        <v>#N/A</v>
      </c>
      <c r="M52" s="38" t="e">
        <f>(HLOOKUP(J52,'Construction Times'!$B$3:$W$34,L52+2,FALSE)*HLOOKUP("hq modifier",'Construction Times'!$W$3:$W$34,BS52+2,FALSE))*(1-$H$9)</f>
        <v>#N/A</v>
      </c>
      <c r="N52" s="426" t="e">
        <f t="shared" si="27"/>
        <v>#N/A</v>
      </c>
      <c r="O52" s="427"/>
      <c r="P52" s="430" t="e">
        <f t="shared" si="28"/>
        <v>#N/A</v>
      </c>
      <c r="Q52" s="431"/>
      <c r="R52" s="103">
        <f t="shared" si="71"/>
        <v>0</v>
      </c>
      <c r="S52" s="104">
        <f t="shared" si="71"/>
        <v>0</v>
      </c>
      <c r="T52" s="104">
        <f t="shared" si="72"/>
        <v>0</v>
      </c>
      <c r="U52" s="104">
        <f t="shared" si="72"/>
        <v>0</v>
      </c>
      <c r="V52" s="104">
        <f t="shared" si="72"/>
        <v>9.9999999999999995E-8</v>
      </c>
      <c r="W52" s="104">
        <f t="shared" si="72"/>
        <v>0</v>
      </c>
      <c r="X52" s="104">
        <f t="shared" si="116"/>
        <v>0</v>
      </c>
      <c r="Y52" s="104">
        <f t="shared" si="116"/>
        <v>9.9999999999999995E-8</v>
      </c>
      <c r="Z52" s="104">
        <f t="shared" si="116"/>
        <v>9.9999999999999995E-8</v>
      </c>
      <c r="AA52" s="105">
        <f t="shared" si="116"/>
        <v>9.9999999999999995E-8</v>
      </c>
      <c r="AB52" s="101" t="e">
        <f>$DT52*HLOOKUP($J52,'Construction Costs (timber)'!$B$1:$V$32,'Construction Planner'!$L52+2,FALSE)</f>
        <v>#N/A</v>
      </c>
      <c r="AC52" s="14" t="e">
        <f>$DT52*HLOOKUP($J52,'Construction Costs (clay)'!$B$1:$V$32,'Construction Planner'!$L52+2,FALSE)</f>
        <v>#N/A</v>
      </c>
      <c r="AD52" s="14" t="e">
        <f>$DT52*HLOOKUP($J52,'Construction Costs (iron)'!$B$1:$V$32,'Construction Planner'!$L52+2,FALSE)</f>
        <v>#N/A</v>
      </c>
      <c r="AE52" s="34" t="e">
        <f t="shared" si="86"/>
        <v>#N/A</v>
      </c>
      <c r="AF52" s="33" t="e">
        <f t="shared" si="3"/>
        <v>#N/A</v>
      </c>
      <c r="AG52" s="14" t="e">
        <f t="shared" si="4"/>
        <v>#N/A</v>
      </c>
      <c r="AH52" s="14" t="e">
        <f t="shared" si="5"/>
        <v>#N/A</v>
      </c>
      <c r="AI52" s="34" t="e">
        <f t="shared" si="87"/>
        <v>#N/A</v>
      </c>
      <c r="AJ52" s="49" t="e">
        <f t="shared" si="31"/>
        <v>#N/A</v>
      </c>
      <c r="AK52" s="49" t="e">
        <f t="shared" si="32"/>
        <v>#N/A</v>
      </c>
      <c r="AL52" s="49" t="e">
        <f t="shared" si="33"/>
        <v>#N/A</v>
      </c>
      <c r="AM52" s="25">
        <f t="shared" si="6"/>
        <v>30</v>
      </c>
      <c r="AN52" s="25">
        <f t="shared" si="7"/>
        <v>30</v>
      </c>
      <c r="AO52" s="25">
        <f t="shared" si="8"/>
        <v>30</v>
      </c>
      <c r="AP52" s="52" t="e">
        <f t="shared" si="34"/>
        <v>#N/A</v>
      </c>
      <c r="AQ52" s="53" t="e">
        <f t="shared" si="34"/>
        <v>#N/A</v>
      </c>
      <c r="AR52" s="54" t="e">
        <f t="shared" si="34"/>
        <v>#N/A</v>
      </c>
      <c r="AS52" s="316">
        <f t="shared" si="88"/>
        <v>0</v>
      </c>
      <c r="AT52" s="106">
        <f>_xlfn.IFNA($M52/VLOOKUP($BT52,'Unit information'!$A$2:$K$29,2,FALSE)*R52,0)*(1+$E$9)</f>
        <v>0</v>
      </c>
      <c r="AU52" s="107">
        <f>_xlfn.IFNA($M52/VLOOKUP($BT52,'Unit information'!$A$2:$K$29,3,FALSE)*S52,0)*(1+$E$9)</f>
        <v>0</v>
      </c>
      <c r="AV52" s="107">
        <f>_xlfn.IFNA($M52/VLOOKUP($BT52,'Unit information'!$A$2:$K$29,4,FALSE)*T52,0)*(1+$E$9)</f>
        <v>0</v>
      </c>
      <c r="AW52" s="107">
        <f>_xlfn.IFNA($M52/VLOOKUP($BT52,'Unit information'!$A$2:$K$29,5,FALSE)*U52,0)*(1+$E$9)</f>
        <v>0</v>
      </c>
      <c r="AX52" s="107">
        <f>_xlfn.IFNA($M52/VLOOKUP($BU52,'Unit information'!$A$2:$K$29,6,FALSE)*V52,0)*(1+$E$9)</f>
        <v>0</v>
      </c>
      <c r="AY52" s="107">
        <f>_xlfn.IFNA($M52/VLOOKUP($BU52,'Unit information'!$A$2:$K$29,7,FALSE)*W52,0)*(1+$E$9)</f>
        <v>0</v>
      </c>
      <c r="AZ52" s="107">
        <f>_xlfn.IFNA($M52/VLOOKUP($BU52,'Unit information'!$A$2:$K$29,8,FALSE)*X52,0)*(1+$E$9)</f>
        <v>0</v>
      </c>
      <c r="BA52" s="107">
        <f>_xlfn.IFNA($M52/VLOOKUP($BU52,'Unit information'!$A$2:$K$29,9,FALSE)*Y52,0)*(1+$E$9)</f>
        <v>0</v>
      </c>
      <c r="BB52" s="107">
        <f>_xlfn.IFNA($M52/VLOOKUP($BV52,'Unit information'!$A$2:$K$29,10,FALSE)*Z52,0)*(1+$E$9)</f>
        <v>0</v>
      </c>
      <c r="BC52" s="108">
        <f>_xlfn.IFNA($M52/VLOOKUP($BV52,'Unit information'!$A$2:$K$29,11,FALSE)*AA52,0)*(1+$E$9)</f>
        <v>0</v>
      </c>
      <c r="BD52" s="106">
        <f t="shared" si="10"/>
        <v>0</v>
      </c>
      <c r="BE52" s="107">
        <f t="shared" si="11"/>
        <v>0</v>
      </c>
      <c r="BF52" s="108">
        <f t="shared" si="12"/>
        <v>0</v>
      </c>
      <c r="BG52" s="25" t="e">
        <f t="shared" si="13"/>
        <v>#N/A</v>
      </c>
      <c r="BH52" s="25" t="e">
        <f t="shared" si="14"/>
        <v>#N/A</v>
      </c>
      <c r="BI52" s="25" t="e">
        <f t="shared" si="15"/>
        <v>#N/A</v>
      </c>
      <c r="BJ52" s="27" t="e">
        <f t="shared" si="16"/>
        <v>#N/A</v>
      </c>
      <c r="BK52" s="18" t="e">
        <f t="shared" si="17"/>
        <v>#N/A</v>
      </c>
      <c r="BL52" s="18" t="e">
        <f t="shared" si="18"/>
        <v>#N/A</v>
      </c>
      <c r="BM52" s="28" t="e">
        <f t="shared" si="89"/>
        <v>#N/A</v>
      </c>
      <c r="BN52" s="33">
        <f>HLOOKUP("maximum population",Miscelaneous!$C$1:$C$33,CH52+3,FALSE)</f>
        <v>240</v>
      </c>
      <c r="BO52" s="14">
        <f t="shared" si="35"/>
        <v>32</v>
      </c>
      <c r="BP52" s="14">
        <f t="shared" si="36"/>
        <v>0</v>
      </c>
      <c r="BQ52" s="14">
        <f t="shared" si="37"/>
        <v>208</v>
      </c>
      <c r="BR52" s="34" t="e">
        <f>HLOOKUP(J52,Villagers!$B$1:$V$33,L52+3,FALSE)-HLOOKUP(J52,Villagers!$B$1:$V$33,L52+2,FALSE)</f>
        <v>#N/A</v>
      </c>
      <c r="BS52" s="49">
        <f t="shared" si="38"/>
        <v>1</v>
      </c>
      <c r="BT52" s="50">
        <f t="shared" si="39"/>
        <v>0</v>
      </c>
      <c r="BU52" s="50">
        <f t="shared" si="40"/>
        <v>0</v>
      </c>
      <c r="BV52" s="50">
        <f t="shared" si="120"/>
        <v>0</v>
      </c>
      <c r="BW52" s="50">
        <f t="shared" si="121"/>
        <v>0</v>
      </c>
      <c r="BX52" s="50">
        <f t="shared" si="122"/>
        <v>0</v>
      </c>
      <c r="BY52" s="50">
        <f t="shared" si="122"/>
        <v>0</v>
      </c>
      <c r="BZ52" s="50">
        <f t="shared" si="44"/>
        <v>0</v>
      </c>
      <c r="CA52" s="50">
        <f t="shared" si="45"/>
        <v>0</v>
      </c>
      <c r="CB52" s="50">
        <f t="shared" si="46"/>
        <v>1</v>
      </c>
      <c r="CC52" s="50">
        <f t="shared" si="47"/>
        <v>0</v>
      </c>
      <c r="CD52" s="50">
        <f t="shared" si="48"/>
        <v>0</v>
      </c>
      <c r="CE52" s="50">
        <f t="shared" si="49"/>
        <v>1</v>
      </c>
      <c r="CF52" s="50">
        <f t="shared" si="50"/>
        <v>1</v>
      </c>
      <c r="CG52" s="50">
        <f t="shared" si="51"/>
        <v>1</v>
      </c>
      <c r="CH52" s="50">
        <f t="shared" si="52"/>
        <v>1</v>
      </c>
      <c r="CI52" s="50">
        <f t="shared" si="53"/>
        <v>1</v>
      </c>
      <c r="CJ52" s="50">
        <f t="shared" si="54"/>
        <v>1</v>
      </c>
      <c r="CK52" s="50">
        <f t="shared" si="55"/>
        <v>0</v>
      </c>
      <c r="CL52" s="50">
        <f t="shared" si="54"/>
        <v>0</v>
      </c>
      <c r="CM52" s="51">
        <f t="shared" si="56"/>
        <v>0</v>
      </c>
      <c r="CN52" s="33">
        <f>ROUND(IF(BS52=0,0,HLOOKUP(BS$14,Villagers!$B$1:$V$33,BS52+3,FALSE)),)</f>
        <v>5</v>
      </c>
      <c r="CO52" s="14">
        <f>ROUND(IF(BT52=0,0,HLOOKUP(BT$14,Villagers!$B$1:$V$33,BT52+3,FALSE)),)</f>
        <v>0</v>
      </c>
      <c r="CP52" s="14">
        <f>ROUND(IF(BU52=0,0,HLOOKUP(BU$14,Villagers!$B$1:$V$33,BU52+3,FALSE)),)</f>
        <v>0</v>
      </c>
      <c r="CQ52" s="14">
        <f>ROUND(IF(BV52=0,0,HLOOKUP(BV$14,Villagers!$B$1:$V$33,BV52+3,FALSE)),)</f>
        <v>0</v>
      </c>
      <c r="CR52" s="14">
        <f>ROUND(IF(BW52=0,0,HLOOKUP(BW$14,Villagers!$B$1:$V$33,BW52+3,FALSE)),)</f>
        <v>0</v>
      </c>
      <c r="CS52" s="14">
        <f>ROUND(IF(BX52=0,0,HLOOKUP(BX$14,Villagers!$B$1:$V$33,BX52+3,FALSE)),)</f>
        <v>0</v>
      </c>
      <c r="CT52" s="14">
        <f>ROUND(IF(BY52=0,0,HLOOKUP(BY$14,Villagers!$B$1:$V$33,BY52+3,FALSE)),)</f>
        <v>0</v>
      </c>
      <c r="CU52" s="14">
        <f>ROUND(IF(BZ52=0,0,HLOOKUP(BZ$14,Villagers!$B$1:$V$33,BZ52+3,FALSE)),)</f>
        <v>0</v>
      </c>
      <c r="CV52" s="14">
        <f>ROUND(IF(CA52=0,0,HLOOKUP(CA$14,Villagers!$B$1:$V$33,CA52+3,FALSE)),)</f>
        <v>0</v>
      </c>
      <c r="CW52" s="14">
        <f>ROUND(IF(CB52=0,0,HLOOKUP(CB$14,Villagers!$B$1:$V$33,CB52+3,FALSE)),)</f>
        <v>0</v>
      </c>
      <c r="CX52" s="14">
        <f>ROUND(IF(CC52=0,0,HLOOKUP(CC$14,Villagers!$B$1:$V$33,CC52+3,FALSE)),)</f>
        <v>0</v>
      </c>
      <c r="CY52" s="14">
        <f>ROUND(IF(CD52=0,0,HLOOKUP(CD$14,Villagers!$B$1:$V$33,CD52+3,FALSE)),)</f>
        <v>0</v>
      </c>
      <c r="CZ52" s="14">
        <f>ROUND(IF(CE52=0,0,HLOOKUP(CE$14,Villagers!$B$1:$V$33,CE52+3,FALSE)),)</f>
        <v>5</v>
      </c>
      <c r="DA52" s="14">
        <f>ROUND(IF(CF52=0,0,HLOOKUP(CF$14,Villagers!$B$1:$V$33,CF52+3,FALSE)),)</f>
        <v>10</v>
      </c>
      <c r="DB52" s="14">
        <f>ROUND(IF(CG52=0,0,HLOOKUP(CG$14,Villagers!$B$1:$V$33,CG52+3,FALSE)),)</f>
        <v>10</v>
      </c>
      <c r="DC52" s="14">
        <f>ROUND(IF(CH52=0,0,HLOOKUP(CH$14,Villagers!$B$1:$V$33,CH52+3,FALSE)),)</f>
        <v>0</v>
      </c>
      <c r="DD52" s="14">
        <f>ROUND(IF(CI52=0,0,HLOOKUP(CI$14,Villagers!$B$1:$V$33,CI52+3,FALSE)),)</f>
        <v>0</v>
      </c>
      <c r="DE52" s="14">
        <f>ROUND(IF(CJ52=0,0,HLOOKUP(CJ$14,Villagers!$B$1:$V$33,CJ52+3,FALSE)),)</f>
        <v>2</v>
      </c>
      <c r="DF52" s="370">
        <f>ROUND(IF(CK52=0,0,HLOOKUP(CK$14,Villagers!$B$1:$V$33,CK52+3,FALSE)),)</f>
        <v>0</v>
      </c>
      <c r="DG52" s="370">
        <f>ROUND(IF(CL52=0,0,HLOOKUP(CL$14,Villagers!$B$1:$V$33,CL52+3,FALSE)),)</f>
        <v>0</v>
      </c>
      <c r="DH52" s="34">
        <f>ROUND(IF(CM52=0,0,HLOOKUP(CM$14,Villagers!$B$1:$V$33,CM52+3,FALSE)),)</f>
        <v>0</v>
      </c>
      <c r="DI52" s="109">
        <f t="shared" si="74"/>
        <v>0</v>
      </c>
      <c r="DJ52" s="50">
        <f t="shared" si="75"/>
        <v>0</v>
      </c>
      <c r="DK52" s="50">
        <f t="shared" si="76"/>
        <v>0</v>
      </c>
      <c r="DL52" s="50">
        <f t="shared" si="77"/>
        <v>0</v>
      </c>
      <c r="DM52" s="50">
        <f t="shared" si="78"/>
        <v>0</v>
      </c>
      <c r="DN52" s="50">
        <f t="shared" si="79"/>
        <v>0</v>
      </c>
      <c r="DO52" s="50">
        <f t="shared" si="80"/>
        <v>0</v>
      </c>
      <c r="DP52" s="50">
        <f t="shared" si="81"/>
        <v>0</v>
      </c>
      <c r="DQ52" s="50">
        <f t="shared" si="58"/>
        <v>0</v>
      </c>
      <c r="DR52" s="50">
        <f t="shared" si="59"/>
        <v>0</v>
      </c>
      <c r="DS52" s="96">
        <f>Miscelaneous!$D$4*Miscelaneous!$D$2^($CI52-1)</f>
        <v>1000</v>
      </c>
      <c r="DT52" s="333">
        <f t="shared" si="60"/>
        <v>1</v>
      </c>
      <c r="DU52" s="81">
        <v>1</v>
      </c>
      <c r="DV52" s="79">
        <f t="shared" si="61"/>
        <v>0</v>
      </c>
      <c r="DW52" s="79">
        <f t="shared" si="21"/>
        <v>0</v>
      </c>
      <c r="DX52" s="79">
        <f t="shared" si="62"/>
        <v>0</v>
      </c>
      <c r="DY52" s="79">
        <v>1</v>
      </c>
      <c r="DZ52" s="79">
        <f t="shared" si="22"/>
        <v>0</v>
      </c>
      <c r="EA52" s="79">
        <f t="shared" si="63"/>
        <v>0</v>
      </c>
      <c r="EB52" s="79">
        <f t="shared" si="64"/>
        <v>0</v>
      </c>
      <c r="EC52" s="79">
        <f t="shared" si="65"/>
        <v>0</v>
      </c>
      <c r="ED52" s="79">
        <v>1</v>
      </c>
      <c r="EE52" s="79">
        <v>1</v>
      </c>
      <c r="EF52" s="79">
        <f t="shared" si="66"/>
        <v>0</v>
      </c>
      <c r="EG52" s="79">
        <v>1</v>
      </c>
      <c r="EH52" s="79">
        <v>1</v>
      </c>
      <c r="EI52" s="79">
        <v>1</v>
      </c>
      <c r="EJ52" s="79">
        <v>1</v>
      </c>
      <c r="EK52" s="79">
        <v>1</v>
      </c>
      <c r="EL52" s="79">
        <v>1</v>
      </c>
      <c r="EM52" s="143">
        <f t="shared" si="67"/>
        <v>0</v>
      </c>
      <c r="EN52" s="143">
        <f t="shared" si="68"/>
        <v>0</v>
      </c>
      <c r="EO52" s="82">
        <f t="shared" si="69"/>
        <v>0</v>
      </c>
    </row>
    <row r="53" spans="1:145" x14ac:dyDescent="0.25">
      <c r="A53">
        <v>39</v>
      </c>
      <c r="B53" s="172" t="e">
        <f t="shared" si="23"/>
        <v>#N/A</v>
      </c>
      <c r="C53" s="121" t="e">
        <f t="shared" ref="C53:E53" si="127">AJ53-SUM(AB53:AB57)</f>
        <v>#N/A</v>
      </c>
      <c r="D53" s="122" t="e">
        <f t="shared" si="127"/>
        <v>#N/A</v>
      </c>
      <c r="E53" s="122" t="e">
        <f t="shared" si="127"/>
        <v>#N/A</v>
      </c>
      <c r="F53" s="176" t="e">
        <f t="shared" si="0"/>
        <v>#N/A</v>
      </c>
      <c r="G53" s="121">
        <f t="shared" si="25"/>
        <v>208</v>
      </c>
      <c r="H53" s="176" t="e">
        <f t="shared" si="26"/>
        <v>#N/A</v>
      </c>
      <c r="I53" s="48">
        <v>1</v>
      </c>
      <c r="J53" s="39"/>
      <c r="K53" s="350">
        <v>1</v>
      </c>
      <c r="L53" s="34" t="e">
        <f t="shared" si="1"/>
        <v>#N/A</v>
      </c>
      <c r="M53" s="38" t="e">
        <f>(HLOOKUP(J53,'Construction Times'!$B$3:$W$34,L53+2,FALSE)*HLOOKUP("hq modifier",'Construction Times'!$W$3:$W$34,BS53+2,FALSE))*(1-$H$9)</f>
        <v>#N/A</v>
      </c>
      <c r="N53" s="426" t="e">
        <f t="shared" si="27"/>
        <v>#N/A</v>
      </c>
      <c r="O53" s="427"/>
      <c r="P53" s="430" t="e">
        <f t="shared" si="28"/>
        <v>#N/A</v>
      </c>
      <c r="Q53" s="431"/>
      <c r="R53" s="103">
        <f t="shared" si="71"/>
        <v>0</v>
      </c>
      <c r="S53" s="104">
        <f t="shared" si="71"/>
        <v>0</v>
      </c>
      <c r="T53" s="104">
        <f t="shared" si="72"/>
        <v>0</v>
      </c>
      <c r="U53" s="104">
        <f t="shared" si="72"/>
        <v>0</v>
      </c>
      <c r="V53" s="104">
        <f t="shared" si="72"/>
        <v>9.9999999999999995E-8</v>
      </c>
      <c r="W53" s="104">
        <f t="shared" si="72"/>
        <v>0</v>
      </c>
      <c r="X53" s="104">
        <f t="shared" si="116"/>
        <v>0</v>
      </c>
      <c r="Y53" s="104">
        <f t="shared" si="116"/>
        <v>9.9999999999999995E-8</v>
      </c>
      <c r="Z53" s="104">
        <f t="shared" si="116"/>
        <v>9.9999999999999995E-8</v>
      </c>
      <c r="AA53" s="105">
        <f t="shared" si="116"/>
        <v>9.9999999999999995E-8</v>
      </c>
      <c r="AB53" s="101" t="e">
        <f>$DT53*HLOOKUP($J53,'Construction Costs (timber)'!$B$1:$V$32,'Construction Planner'!$L53+2,FALSE)</f>
        <v>#N/A</v>
      </c>
      <c r="AC53" s="14" t="e">
        <f>$DT53*HLOOKUP($J53,'Construction Costs (clay)'!$B$1:$V$32,'Construction Planner'!$L53+2,FALSE)</f>
        <v>#N/A</v>
      </c>
      <c r="AD53" s="14" t="e">
        <f>$DT53*HLOOKUP($J53,'Construction Costs (iron)'!$B$1:$V$32,'Construction Planner'!$L53+2,FALSE)</f>
        <v>#N/A</v>
      </c>
      <c r="AE53" s="34" t="e">
        <f t="shared" si="86"/>
        <v>#N/A</v>
      </c>
      <c r="AF53" s="33" t="e">
        <f t="shared" si="3"/>
        <v>#N/A</v>
      </c>
      <c r="AG53" s="14" t="e">
        <f t="shared" si="4"/>
        <v>#N/A</v>
      </c>
      <c r="AH53" s="14" t="e">
        <f t="shared" si="5"/>
        <v>#N/A</v>
      </c>
      <c r="AI53" s="34" t="e">
        <f t="shared" si="87"/>
        <v>#N/A</v>
      </c>
      <c r="AJ53" s="49" t="e">
        <f t="shared" si="31"/>
        <v>#N/A</v>
      </c>
      <c r="AK53" s="49" t="e">
        <f t="shared" si="32"/>
        <v>#N/A</v>
      </c>
      <c r="AL53" s="49" t="e">
        <f t="shared" si="33"/>
        <v>#N/A</v>
      </c>
      <c r="AM53" s="25">
        <f t="shared" si="6"/>
        <v>30</v>
      </c>
      <c r="AN53" s="25">
        <f t="shared" si="7"/>
        <v>30</v>
      </c>
      <c r="AO53" s="25">
        <f t="shared" si="8"/>
        <v>30</v>
      </c>
      <c r="AP53" s="52" t="e">
        <f t="shared" si="34"/>
        <v>#N/A</v>
      </c>
      <c r="AQ53" s="53" t="e">
        <f t="shared" si="34"/>
        <v>#N/A</v>
      </c>
      <c r="AR53" s="54" t="e">
        <f t="shared" si="34"/>
        <v>#N/A</v>
      </c>
      <c r="AS53" s="316">
        <f t="shared" si="88"/>
        <v>0</v>
      </c>
      <c r="AT53" s="106">
        <f>_xlfn.IFNA($M53/VLOOKUP($BT53,'Unit information'!$A$2:$K$29,2,FALSE)*R53,0)*(1+$E$9)</f>
        <v>0</v>
      </c>
      <c r="AU53" s="107">
        <f>_xlfn.IFNA($M53/VLOOKUP($BT53,'Unit information'!$A$2:$K$29,3,FALSE)*S53,0)*(1+$E$9)</f>
        <v>0</v>
      </c>
      <c r="AV53" s="107">
        <f>_xlfn.IFNA($M53/VLOOKUP($BT53,'Unit information'!$A$2:$K$29,4,FALSE)*T53,0)*(1+$E$9)</f>
        <v>0</v>
      </c>
      <c r="AW53" s="107">
        <f>_xlfn.IFNA($M53/VLOOKUP($BT53,'Unit information'!$A$2:$K$29,5,FALSE)*U53,0)*(1+$E$9)</f>
        <v>0</v>
      </c>
      <c r="AX53" s="107">
        <f>_xlfn.IFNA($M53/VLOOKUP($BU53,'Unit information'!$A$2:$K$29,6,FALSE)*V53,0)*(1+$E$9)</f>
        <v>0</v>
      </c>
      <c r="AY53" s="107">
        <f>_xlfn.IFNA($M53/VLOOKUP($BU53,'Unit information'!$A$2:$K$29,7,FALSE)*W53,0)*(1+$E$9)</f>
        <v>0</v>
      </c>
      <c r="AZ53" s="107">
        <f>_xlfn.IFNA($M53/VLOOKUP($BU53,'Unit information'!$A$2:$K$29,8,FALSE)*X53,0)*(1+$E$9)</f>
        <v>0</v>
      </c>
      <c r="BA53" s="107">
        <f>_xlfn.IFNA($M53/VLOOKUP($BU53,'Unit information'!$A$2:$K$29,9,FALSE)*Y53,0)*(1+$E$9)</f>
        <v>0</v>
      </c>
      <c r="BB53" s="107">
        <f>_xlfn.IFNA($M53/VLOOKUP($BV53,'Unit information'!$A$2:$K$29,10,FALSE)*Z53,0)*(1+$E$9)</f>
        <v>0</v>
      </c>
      <c r="BC53" s="108">
        <f>_xlfn.IFNA($M53/VLOOKUP($BV53,'Unit information'!$A$2:$K$29,11,FALSE)*AA53,0)*(1+$E$9)</f>
        <v>0</v>
      </c>
      <c r="BD53" s="106">
        <f t="shared" si="10"/>
        <v>0</v>
      </c>
      <c r="BE53" s="107">
        <f t="shared" si="11"/>
        <v>0</v>
      </c>
      <c r="BF53" s="108">
        <f t="shared" si="12"/>
        <v>0</v>
      </c>
      <c r="BG53" s="25" t="e">
        <f t="shared" si="13"/>
        <v>#N/A</v>
      </c>
      <c r="BH53" s="25" t="e">
        <f t="shared" si="14"/>
        <v>#N/A</v>
      </c>
      <c r="BI53" s="25" t="e">
        <f t="shared" si="15"/>
        <v>#N/A</v>
      </c>
      <c r="BJ53" s="27" t="e">
        <f t="shared" si="16"/>
        <v>#N/A</v>
      </c>
      <c r="BK53" s="18" t="e">
        <f t="shared" si="17"/>
        <v>#N/A</v>
      </c>
      <c r="BL53" s="18" t="e">
        <f t="shared" si="18"/>
        <v>#N/A</v>
      </c>
      <c r="BM53" s="28" t="e">
        <f t="shared" si="89"/>
        <v>#N/A</v>
      </c>
      <c r="BN53" s="33">
        <f>HLOOKUP("maximum population",Miscelaneous!$C$1:$C$33,CH53+3,FALSE)</f>
        <v>240</v>
      </c>
      <c r="BO53" s="14">
        <f t="shared" si="35"/>
        <v>32</v>
      </c>
      <c r="BP53" s="14">
        <f t="shared" si="36"/>
        <v>0</v>
      </c>
      <c r="BQ53" s="14">
        <f t="shared" si="37"/>
        <v>208</v>
      </c>
      <c r="BR53" s="34" t="e">
        <f>HLOOKUP(J53,Villagers!$B$1:$V$33,L53+3,FALSE)-HLOOKUP(J53,Villagers!$B$1:$V$33,L53+2,FALSE)</f>
        <v>#N/A</v>
      </c>
      <c r="BS53" s="49">
        <f t="shared" si="38"/>
        <v>1</v>
      </c>
      <c r="BT53" s="50">
        <f t="shared" si="39"/>
        <v>0</v>
      </c>
      <c r="BU53" s="50">
        <f t="shared" si="40"/>
        <v>0</v>
      </c>
      <c r="BV53" s="50">
        <f t="shared" si="120"/>
        <v>0</v>
      </c>
      <c r="BW53" s="50">
        <f t="shared" si="121"/>
        <v>0</v>
      </c>
      <c r="BX53" s="50">
        <f t="shared" si="122"/>
        <v>0</v>
      </c>
      <c r="BY53" s="50">
        <f t="shared" si="122"/>
        <v>0</v>
      </c>
      <c r="BZ53" s="50">
        <f t="shared" si="44"/>
        <v>0</v>
      </c>
      <c r="CA53" s="50">
        <f t="shared" si="45"/>
        <v>0</v>
      </c>
      <c r="CB53" s="50">
        <f t="shared" si="46"/>
        <v>1</v>
      </c>
      <c r="CC53" s="50">
        <f t="shared" si="47"/>
        <v>0</v>
      </c>
      <c r="CD53" s="50">
        <f t="shared" si="48"/>
        <v>0</v>
      </c>
      <c r="CE53" s="50">
        <f t="shared" si="49"/>
        <v>1</v>
      </c>
      <c r="CF53" s="50">
        <f t="shared" si="50"/>
        <v>1</v>
      </c>
      <c r="CG53" s="50">
        <f t="shared" si="51"/>
        <v>1</v>
      </c>
      <c r="CH53" s="50">
        <f t="shared" si="52"/>
        <v>1</v>
      </c>
      <c r="CI53" s="50">
        <f t="shared" si="53"/>
        <v>1</v>
      </c>
      <c r="CJ53" s="50">
        <f t="shared" si="54"/>
        <v>1</v>
      </c>
      <c r="CK53" s="50">
        <f t="shared" si="55"/>
        <v>0</v>
      </c>
      <c r="CL53" s="50">
        <f t="shared" si="54"/>
        <v>0</v>
      </c>
      <c r="CM53" s="51">
        <f t="shared" si="56"/>
        <v>0</v>
      </c>
      <c r="CN53" s="33">
        <f>ROUND(IF(BS53=0,0,HLOOKUP(BS$14,Villagers!$B$1:$V$33,BS53+3,FALSE)),)</f>
        <v>5</v>
      </c>
      <c r="CO53" s="14">
        <f>ROUND(IF(BT53=0,0,HLOOKUP(BT$14,Villagers!$B$1:$V$33,BT53+3,FALSE)),)</f>
        <v>0</v>
      </c>
      <c r="CP53" s="14">
        <f>ROUND(IF(BU53=0,0,HLOOKUP(BU$14,Villagers!$B$1:$V$33,BU53+3,FALSE)),)</f>
        <v>0</v>
      </c>
      <c r="CQ53" s="14">
        <f>ROUND(IF(BV53=0,0,HLOOKUP(BV$14,Villagers!$B$1:$V$33,BV53+3,FALSE)),)</f>
        <v>0</v>
      </c>
      <c r="CR53" s="14">
        <f>ROUND(IF(BW53=0,0,HLOOKUP(BW$14,Villagers!$B$1:$V$33,BW53+3,FALSE)),)</f>
        <v>0</v>
      </c>
      <c r="CS53" s="14">
        <f>ROUND(IF(BX53=0,0,HLOOKUP(BX$14,Villagers!$B$1:$V$33,BX53+3,FALSE)),)</f>
        <v>0</v>
      </c>
      <c r="CT53" s="14">
        <f>ROUND(IF(BY53=0,0,HLOOKUP(BY$14,Villagers!$B$1:$V$33,BY53+3,FALSE)),)</f>
        <v>0</v>
      </c>
      <c r="CU53" s="14">
        <f>ROUND(IF(BZ53=0,0,HLOOKUP(BZ$14,Villagers!$B$1:$V$33,BZ53+3,FALSE)),)</f>
        <v>0</v>
      </c>
      <c r="CV53" s="14">
        <f>ROUND(IF(CA53=0,0,HLOOKUP(CA$14,Villagers!$B$1:$V$33,CA53+3,FALSE)),)</f>
        <v>0</v>
      </c>
      <c r="CW53" s="14">
        <f>ROUND(IF(CB53=0,0,HLOOKUP(CB$14,Villagers!$B$1:$V$33,CB53+3,FALSE)),)</f>
        <v>0</v>
      </c>
      <c r="CX53" s="14">
        <f>ROUND(IF(CC53=0,0,HLOOKUP(CC$14,Villagers!$B$1:$V$33,CC53+3,FALSE)),)</f>
        <v>0</v>
      </c>
      <c r="CY53" s="14">
        <f>ROUND(IF(CD53=0,0,HLOOKUP(CD$14,Villagers!$B$1:$V$33,CD53+3,FALSE)),)</f>
        <v>0</v>
      </c>
      <c r="CZ53" s="14">
        <f>ROUND(IF(CE53=0,0,HLOOKUP(CE$14,Villagers!$B$1:$V$33,CE53+3,FALSE)),)</f>
        <v>5</v>
      </c>
      <c r="DA53" s="14">
        <f>ROUND(IF(CF53=0,0,HLOOKUP(CF$14,Villagers!$B$1:$V$33,CF53+3,FALSE)),)</f>
        <v>10</v>
      </c>
      <c r="DB53" s="14">
        <f>ROUND(IF(CG53=0,0,HLOOKUP(CG$14,Villagers!$B$1:$V$33,CG53+3,FALSE)),)</f>
        <v>10</v>
      </c>
      <c r="DC53" s="14">
        <f>ROUND(IF(CH53=0,0,HLOOKUP(CH$14,Villagers!$B$1:$V$33,CH53+3,FALSE)),)</f>
        <v>0</v>
      </c>
      <c r="DD53" s="14">
        <f>ROUND(IF(CI53=0,0,HLOOKUP(CI$14,Villagers!$B$1:$V$33,CI53+3,FALSE)),)</f>
        <v>0</v>
      </c>
      <c r="DE53" s="14">
        <f>ROUND(IF(CJ53=0,0,HLOOKUP(CJ$14,Villagers!$B$1:$V$33,CJ53+3,FALSE)),)</f>
        <v>2</v>
      </c>
      <c r="DF53" s="370">
        <f>ROUND(IF(CK53=0,0,HLOOKUP(CK$14,Villagers!$B$1:$V$33,CK53+3,FALSE)),)</f>
        <v>0</v>
      </c>
      <c r="DG53" s="370">
        <f>ROUND(IF(CL53=0,0,HLOOKUP(CL$14,Villagers!$B$1:$V$33,CL53+3,FALSE)),)</f>
        <v>0</v>
      </c>
      <c r="DH53" s="34">
        <f>ROUND(IF(CM53=0,0,HLOOKUP(CM$14,Villagers!$B$1:$V$33,CM53+3,FALSE)),)</f>
        <v>0</v>
      </c>
      <c r="DI53" s="109">
        <f t="shared" si="74"/>
        <v>0</v>
      </c>
      <c r="DJ53" s="50">
        <f t="shared" si="75"/>
        <v>0</v>
      </c>
      <c r="DK53" s="50">
        <f t="shared" si="76"/>
        <v>0</v>
      </c>
      <c r="DL53" s="50">
        <f t="shared" si="77"/>
        <v>0</v>
      </c>
      <c r="DM53" s="50">
        <f t="shared" si="78"/>
        <v>0</v>
      </c>
      <c r="DN53" s="50">
        <f t="shared" si="79"/>
        <v>0</v>
      </c>
      <c r="DO53" s="50">
        <f t="shared" si="80"/>
        <v>0</v>
      </c>
      <c r="DP53" s="50">
        <f t="shared" si="81"/>
        <v>0</v>
      </c>
      <c r="DQ53" s="50">
        <f t="shared" si="58"/>
        <v>0</v>
      </c>
      <c r="DR53" s="50">
        <f t="shared" si="59"/>
        <v>0</v>
      </c>
      <c r="DS53" s="96">
        <f>Miscelaneous!$D$4*Miscelaneous!$D$2^($CI53-1)</f>
        <v>1000</v>
      </c>
      <c r="DT53" s="333">
        <f t="shared" si="60"/>
        <v>1</v>
      </c>
      <c r="DU53" s="81">
        <v>1</v>
      </c>
      <c r="DV53" s="79">
        <f t="shared" si="61"/>
        <v>0</v>
      </c>
      <c r="DW53" s="79">
        <f t="shared" si="21"/>
        <v>0</v>
      </c>
      <c r="DX53" s="79">
        <f t="shared" si="62"/>
        <v>0</v>
      </c>
      <c r="DY53" s="79">
        <v>1</v>
      </c>
      <c r="DZ53" s="79">
        <f t="shared" si="22"/>
        <v>0</v>
      </c>
      <c r="EA53" s="79">
        <f t="shared" si="63"/>
        <v>0</v>
      </c>
      <c r="EB53" s="79">
        <f t="shared" si="64"/>
        <v>0</v>
      </c>
      <c r="EC53" s="79">
        <f t="shared" si="65"/>
        <v>0</v>
      </c>
      <c r="ED53" s="79">
        <v>1</v>
      </c>
      <c r="EE53" s="79">
        <v>1</v>
      </c>
      <c r="EF53" s="79">
        <f t="shared" si="66"/>
        <v>0</v>
      </c>
      <c r="EG53" s="79">
        <v>1</v>
      </c>
      <c r="EH53" s="79">
        <v>1</v>
      </c>
      <c r="EI53" s="79">
        <v>1</v>
      </c>
      <c r="EJ53" s="79">
        <v>1</v>
      </c>
      <c r="EK53" s="79">
        <v>1</v>
      </c>
      <c r="EL53" s="79">
        <v>1</v>
      </c>
      <c r="EM53" s="143">
        <f t="shared" si="67"/>
        <v>0</v>
      </c>
      <c r="EN53" s="143">
        <f t="shared" si="68"/>
        <v>0</v>
      </c>
      <c r="EO53" s="82">
        <f t="shared" si="69"/>
        <v>0</v>
      </c>
    </row>
    <row r="54" spans="1:145" x14ac:dyDescent="0.25">
      <c r="A54">
        <v>40</v>
      </c>
      <c r="B54" s="172" t="e">
        <f t="shared" si="23"/>
        <v>#N/A</v>
      </c>
      <c r="C54" s="121" t="e">
        <f t="shared" ref="C54:E54" si="128">AJ54-SUM(AB54:AB58)</f>
        <v>#N/A</v>
      </c>
      <c r="D54" s="122" t="e">
        <f t="shared" si="128"/>
        <v>#N/A</v>
      </c>
      <c r="E54" s="122" t="e">
        <f t="shared" si="128"/>
        <v>#N/A</v>
      </c>
      <c r="F54" s="176" t="e">
        <f t="shared" si="0"/>
        <v>#N/A</v>
      </c>
      <c r="G54" s="121">
        <f t="shared" si="25"/>
        <v>208</v>
      </c>
      <c r="H54" s="176" t="e">
        <f t="shared" si="26"/>
        <v>#N/A</v>
      </c>
      <c r="I54" s="48">
        <v>1</v>
      </c>
      <c r="J54" s="64"/>
      <c r="K54" s="350">
        <v>1</v>
      </c>
      <c r="L54" s="34" t="e">
        <f t="shared" si="1"/>
        <v>#N/A</v>
      </c>
      <c r="M54" s="38" t="e">
        <f>(HLOOKUP(J54,'Construction Times'!$B$3:$W$34,L54+2,FALSE)*HLOOKUP("hq modifier",'Construction Times'!$W$3:$W$34,BS54+2,FALSE))*(1-$H$9)</f>
        <v>#N/A</v>
      </c>
      <c r="N54" s="426" t="e">
        <f t="shared" si="27"/>
        <v>#N/A</v>
      </c>
      <c r="O54" s="427"/>
      <c r="P54" s="430" t="e">
        <f t="shared" si="28"/>
        <v>#N/A</v>
      </c>
      <c r="Q54" s="431"/>
      <c r="R54" s="103">
        <f t="shared" si="71"/>
        <v>0</v>
      </c>
      <c r="S54" s="104">
        <f t="shared" si="71"/>
        <v>0</v>
      </c>
      <c r="T54" s="104">
        <f t="shared" si="72"/>
        <v>0</v>
      </c>
      <c r="U54" s="104">
        <f t="shared" si="72"/>
        <v>0</v>
      </c>
      <c r="V54" s="104">
        <f t="shared" si="72"/>
        <v>9.9999999999999995E-8</v>
      </c>
      <c r="W54" s="104">
        <f t="shared" si="72"/>
        <v>0</v>
      </c>
      <c r="X54" s="104">
        <f t="shared" si="116"/>
        <v>0</v>
      </c>
      <c r="Y54" s="104">
        <f t="shared" si="116"/>
        <v>9.9999999999999995E-8</v>
      </c>
      <c r="Z54" s="104">
        <f t="shared" si="116"/>
        <v>9.9999999999999995E-8</v>
      </c>
      <c r="AA54" s="105">
        <f t="shared" si="116"/>
        <v>9.9999999999999995E-8</v>
      </c>
      <c r="AB54" s="101" t="e">
        <f>$DT54*HLOOKUP($J54,'Construction Costs (timber)'!$B$1:$V$32,'Construction Planner'!$L54+2,FALSE)</f>
        <v>#N/A</v>
      </c>
      <c r="AC54" s="14" t="e">
        <f>$DT54*HLOOKUP($J54,'Construction Costs (clay)'!$B$1:$V$32,'Construction Planner'!$L54+2,FALSE)</f>
        <v>#N/A</v>
      </c>
      <c r="AD54" s="14" t="e">
        <f>$DT54*HLOOKUP($J54,'Construction Costs (iron)'!$B$1:$V$32,'Construction Planner'!$L54+2,FALSE)</f>
        <v>#N/A</v>
      </c>
      <c r="AE54" s="34" t="e">
        <f t="shared" si="86"/>
        <v>#N/A</v>
      </c>
      <c r="AF54" s="33" t="e">
        <f t="shared" si="3"/>
        <v>#N/A</v>
      </c>
      <c r="AG54" s="14" t="e">
        <f t="shared" si="4"/>
        <v>#N/A</v>
      </c>
      <c r="AH54" s="14" t="e">
        <f t="shared" si="5"/>
        <v>#N/A</v>
      </c>
      <c r="AI54" s="34" t="e">
        <f t="shared" si="87"/>
        <v>#N/A</v>
      </c>
      <c r="AJ54" s="49" t="e">
        <f t="shared" si="31"/>
        <v>#N/A</v>
      </c>
      <c r="AK54" s="49" t="e">
        <f t="shared" si="32"/>
        <v>#N/A</v>
      </c>
      <c r="AL54" s="49" t="e">
        <f t="shared" si="33"/>
        <v>#N/A</v>
      </c>
      <c r="AM54" s="25">
        <f t="shared" si="6"/>
        <v>30</v>
      </c>
      <c r="AN54" s="25">
        <f t="shared" si="7"/>
        <v>30</v>
      </c>
      <c r="AO54" s="25">
        <f t="shared" si="8"/>
        <v>30</v>
      </c>
      <c r="AP54" s="52" t="e">
        <f t="shared" si="34"/>
        <v>#N/A</v>
      </c>
      <c r="AQ54" s="53" t="e">
        <f t="shared" si="34"/>
        <v>#N/A</v>
      </c>
      <c r="AR54" s="54" t="e">
        <f t="shared" si="34"/>
        <v>#N/A</v>
      </c>
      <c r="AS54" s="316">
        <f t="shared" si="88"/>
        <v>0</v>
      </c>
      <c r="AT54" s="106">
        <f>_xlfn.IFNA($M54/VLOOKUP($BT54,'Unit information'!$A$2:$K$29,2,FALSE)*R54,0)*(1+$E$9)</f>
        <v>0</v>
      </c>
      <c r="AU54" s="107">
        <f>_xlfn.IFNA($M54/VLOOKUP($BT54,'Unit information'!$A$2:$K$29,3,FALSE)*S54,0)*(1+$E$9)</f>
        <v>0</v>
      </c>
      <c r="AV54" s="107">
        <f>_xlfn.IFNA($M54/VLOOKUP($BT54,'Unit information'!$A$2:$K$29,4,FALSE)*T54,0)*(1+$E$9)</f>
        <v>0</v>
      </c>
      <c r="AW54" s="107">
        <f>_xlfn.IFNA($M54/VLOOKUP($BT54,'Unit information'!$A$2:$K$29,5,FALSE)*U54,0)*(1+$E$9)</f>
        <v>0</v>
      </c>
      <c r="AX54" s="107">
        <f>_xlfn.IFNA($M54/VLOOKUP($BU54,'Unit information'!$A$2:$K$29,6,FALSE)*V54,0)*(1+$E$9)</f>
        <v>0</v>
      </c>
      <c r="AY54" s="107">
        <f>_xlfn.IFNA($M54/VLOOKUP($BU54,'Unit information'!$A$2:$K$29,7,FALSE)*W54,0)*(1+$E$9)</f>
        <v>0</v>
      </c>
      <c r="AZ54" s="107">
        <f>_xlfn.IFNA($M54/VLOOKUP($BU54,'Unit information'!$A$2:$K$29,8,FALSE)*X54,0)*(1+$E$9)</f>
        <v>0</v>
      </c>
      <c r="BA54" s="107">
        <f>_xlfn.IFNA($M54/VLOOKUP($BU54,'Unit information'!$A$2:$K$29,9,FALSE)*Y54,0)*(1+$E$9)</f>
        <v>0</v>
      </c>
      <c r="BB54" s="107">
        <f>_xlfn.IFNA($M54/VLOOKUP($BV54,'Unit information'!$A$2:$K$29,10,FALSE)*Z54,0)*(1+$E$9)</f>
        <v>0</v>
      </c>
      <c r="BC54" s="108">
        <f>_xlfn.IFNA($M54/VLOOKUP($BV54,'Unit information'!$A$2:$K$29,11,FALSE)*AA54,0)*(1+$E$9)</f>
        <v>0</v>
      </c>
      <c r="BD54" s="106">
        <f t="shared" si="10"/>
        <v>0</v>
      </c>
      <c r="BE54" s="107">
        <f t="shared" si="11"/>
        <v>0</v>
      </c>
      <c r="BF54" s="108">
        <f t="shared" si="12"/>
        <v>0</v>
      </c>
      <c r="BG54" s="25" t="e">
        <f t="shared" si="13"/>
        <v>#N/A</v>
      </c>
      <c r="BH54" s="25" t="e">
        <f t="shared" si="14"/>
        <v>#N/A</v>
      </c>
      <c r="BI54" s="25" t="e">
        <f t="shared" si="15"/>
        <v>#N/A</v>
      </c>
      <c r="BJ54" s="27" t="e">
        <f t="shared" si="16"/>
        <v>#N/A</v>
      </c>
      <c r="BK54" s="18" t="e">
        <f t="shared" si="17"/>
        <v>#N/A</v>
      </c>
      <c r="BL54" s="18" t="e">
        <f t="shared" si="18"/>
        <v>#N/A</v>
      </c>
      <c r="BM54" s="28" t="e">
        <f t="shared" si="89"/>
        <v>#N/A</v>
      </c>
      <c r="BN54" s="33">
        <f>HLOOKUP("maximum population",Miscelaneous!$C$1:$C$33,CH54+3,FALSE)</f>
        <v>240</v>
      </c>
      <c r="BO54" s="14">
        <f t="shared" si="35"/>
        <v>32</v>
      </c>
      <c r="BP54" s="14">
        <f t="shared" si="36"/>
        <v>0</v>
      </c>
      <c r="BQ54" s="14">
        <f t="shared" si="37"/>
        <v>208</v>
      </c>
      <c r="BR54" s="34" t="e">
        <f>HLOOKUP(J54,Villagers!$B$1:$V$33,L54+3,FALSE)-HLOOKUP(J54,Villagers!$B$1:$V$33,L54+2,FALSE)</f>
        <v>#N/A</v>
      </c>
      <c r="BS54" s="49">
        <f t="shared" si="38"/>
        <v>1</v>
      </c>
      <c r="BT54" s="50">
        <f t="shared" si="39"/>
        <v>0</v>
      </c>
      <c r="BU54" s="50">
        <f t="shared" si="40"/>
        <v>0</v>
      </c>
      <c r="BV54" s="50">
        <f t="shared" si="120"/>
        <v>0</v>
      </c>
      <c r="BW54" s="50">
        <f t="shared" si="121"/>
        <v>0</v>
      </c>
      <c r="BX54" s="50">
        <f t="shared" si="122"/>
        <v>0</v>
      </c>
      <c r="BY54" s="50">
        <f t="shared" si="122"/>
        <v>0</v>
      </c>
      <c r="BZ54" s="50">
        <f t="shared" si="44"/>
        <v>0</v>
      </c>
      <c r="CA54" s="50">
        <f t="shared" si="45"/>
        <v>0</v>
      </c>
      <c r="CB54" s="50">
        <f t="shared" si="46"/>
        <v>1</v>
      </c>
      <c r="CC54" s="50">
        <f t="shared" si="47"/>
        <v>0</v>
      </c>
      <c r="CD54" s="50">
        <f t="shared" si="48"/>
        <v>0</v>
      </c>
      <c r="CE54" s="50">
        <f t="shared" si="49"/>
        <v>1</v>
      </c>
      <c r="CF54" s="50">
        <f t="shared" si="50"/>
        <v>1</v>
      </c>
      <c r="CG54" s="50">
        <f t="shared" si="51"/>
        <v>1</v>
      </c>
      <c r="CH54" s="50">
        <f t="shared" si="52"/>
        <v>1</v>
      </c>
      <c r="CI54" s="50">
        <f t="shared" si="53"/>
        <v>1</v>
      </c>
      <c r="CJ54" s="50">
        <f t="shared" si="54"/>
        <v>1</v>
      </c>
      <c r="CK54" s="50">
        <f t="shared" si="55"/>
        <v>0</v>
      </c>
      <c r="CL54" s="50">
        <f t="shared" si="54"/>
        <v>0</v>
      </c>
      <c r="CM54" s="51">
        <f t="shared" si="56"/>
        <v>0</v>
      </c>
      <c r="CN54" s="33">
        <f>ROUND(IF(BS54=0,0,HLOOKUP(BS$14,Villagers!$B$1:$V$33,BS54+3,FALSE)),)</f>
        <v>5</v>
      </c>
      <c r="CO54" s="14">
        <f>ROUND(IF(BT54=0,0,HLOOKUP(BT$14,Villagers!$B$1:$V$33,BT54+3,FALSE)),)</f>
        <v>0</v>
      </c>
      <c r="CP54" s="14">
        <f>ROUND(IF(BU54=0,0,HLOOKUP(BU$14,Villagers!$B$1:$V$33,BU54+3,FALSE)),)</f>
        <v>0</v>
      </c>
      <c r="CQ54" s="14">
        <f>ROUND(IF(BV54=0,0,HLOOKUP(BV$14,Villagers!$B$1:$V$33,BV54+3,FALSE)),)</f>
        <v>0</v>
      </c>
      <c r="CR54" s="14">
        <f>ROUND(IF(BW54=0,0,HLOOKUP(BW$14,Villagers!$B$1:$V$33,BW54+3,FALSE)),)</f>
        <v>0</v>
      </c>
      <c r="CS54" s="14">
        <f>ROUND(IF(BX54=0,0,HLOOKUP(BX$14,Villagers!$B$1:$V$33,BX54+3,FALSE)),)</f>
        <v>0</v>
      </c>
      <c r="CT54" s="14">
        <f>ROUND(IF(BY54=0,0,HLOOKUP(BY$14,Villagers!$B$1:$V$33,BY54+3,FALSE)),)</f>
        <v>0</v>
      </c>
      <c r="CU54" s="14">
        <f>ROUND(IF(BZ54=0,0,HLOOKUP(BZ$14,Villagers!$B$1:$V$33,BZ54+3,FALSE)),)</f>
        <v>0</v>
      </c>
      <c r="CV54" s="14">
        <f>ROUND(IF(CA54=0,0,HLOOKUP(CA$14,Villagers!$B$1:$V$33,CA54+3,FALSE)),)</f>
        <v>0</v>
      </c>
      <c r="CW54" s="14">
        <f>ROUND(IF(CB54=0,0,HLOOKUP(CB$14,Villagers!$B$1:$V$33,CB54+3,FALSE)),)</f>
        <v>0</v>
      </c>
      <c r="CX54" s="14">
        <f>ROUND(IF(CC54=0,0,HLOOKUP(CC$14,Villagers!$B$1:$V$33,CC54+3,FALSE)),)</f>
        <v>0</v>
      </c>
      <c r="CY54" s="14">
        <f>ROUND(IF(CD54=0,0,HLOOKUP(CD$14,Villagers!$B$1:$V$33,CD54+3,FALSE)),)</f>
        <v>0</v>
      </c>
      <c r="CZ54" s="14">
        <f>ROUND(IF(CE54=0,0,HLOOKUP(CE$14,Villagers!$B$1:$V$33,CE54+3,FALSE)),)</f>
        <v>5</v>
      </c>
      <c r="DA54" s="14">
        <f>ROUND(IF(CF54=0,0,HLOOKUP(CF$14,Villagers!$B$1:$V$33,CF54+3,FALSE)),)</f>
        <v>10</v>
      </c>
      <c r="DB54" s="14">
        <f>ROUND(IF(CG54=0,0,HLOOKUP(CG$14,Villagers!$B$1:$V$33,CG54+3,FALSE)),)</f>
        <v>10</v>
      </c>
      <c r="DC54" s="14">
        <f>ROUND(IF(CH54=0,0,HLOOKUP(CH$14,Villagers!$B$1:$V$33,CH54+3,FALSE)),)</f>
        <v>0</v>
      </c>
      <c r="DD54" s="14">
        <f>ROUND(IF(CI54=0,0,HLOOKUP(CI$14,Villagers!$B$1:$V$33,CI54+3,FALSE)),)</f>
        <v>0</v>
      </c>
      <c r="DE54" s="14">
        <f>ROUND(IF(CJ54=0,0,HLOOKUP(CJ$14,Villagers!$B$1:$V$33,CJ54+3,FALSE)),)</f>
        <v>2</v>
      </c>
      <c r="DF54" s="370">
        <f>ROUND(IF(CK54=0,0,HLOOKUP(CK$14,Villagers!$B$1:$V$33,CK54+3,FALSE)),)</f>
        <v>0</v>
      </c>
      <c r="DG54" s="370">
        <f>ROUND(IF(CL54=0,0,HLOOKUP(CL$14,Villagers!$B$1:$V$33,CL54+3,FALSE)),)</f>
        <v>0</v>
      </c>
      <c r="DH54" s="34">
        <f>ROUND(IF(CM54=0,0,HLOOKUP(CM$14,Villagers!$B$1:$V$33,CM54+3,FALSE)),)</f>
        <v>0</v>
      </c>
      <c r="DI54" s="109">
        <f t="shared" si="74"/>
        <v>0</v>
      </c>
      <c r="DJ54" s="50">
        <f t="shared" si="75"/>
        <v>0</v>
      </c>
      <c r="DK54" s="50">
        <f t="shared" si="76"/>
        <v>0</v>
      </c>
      <c r="DL54" s="50">
        <f t="shared" si="77"/>
        <v>0</v>
      </c>
      <c r="DM54" s="50">
        <f t="shared" si="78"/>
        <v>0</v>
      </c>
      <c r="DN54" s="50">
        <f t="shared" si="79"/>
        <v>0</v>
      </c>
      <c r="DO54" s="50">
        <f t="shared" si="80"/>
        <v>0</v>
      </c>
      <c r="DP54" s="50">
        <f t="shared" si="81"/>
        <v>0</v>
      </c>
      <c r="DQ54" s="50">
        <f t="shared" si="58"/>
        <v>0</v>
      </c>
      <c r="DR54" s="50">
        <f t="shared" si="59"/>
        <v>0</v>
      </c>
      <c r="DS54" s="96">
        <f>Miscelaneous!$D$4*Miscelaneous!$D$2^($CI54-1)</f>
        <v>1000</v>
      </c>
      <c r="DT54" s="333">
        <f t="shared" si="60"/>
        <v>1</v>
      </c>
      <c r="DU54" s="81">
        <v>1</v>
      </c>
      <c r="DV54" s="79">
        <f t="shared" si="61"/>
        <v>0</v>
      </c>
      <c r="DW54" s="79">
        <f t="shared" si="21"/>
        <v>0</v>
      </c>
      <c r="DX54" s="79">
        <f t="shared" si="62"/>
        <v>0</v>
      </c>
      <c r="DY54" s="79">
        <v>1</v>
      </c>
      <c r="DZ54" s="79">
        <f t="shared" si="22"/>
        <v>0</v>
      </c>
      <c r="EA54" s="79">
        <f t="shared" si="63"/>
        <v>0</v>
      </c>
      <c r="EB54" s="79">
        <f t="shared" si="64"/>
        <v>0</v>
      </c>
      <c r="EC54" s="79">
        <f t="shared" si="65"/>
        <v>0</v>
      </c>
      <c r="ED54" s="79">
        <v>1</v>
      </c>
      <c r="EE54" s="79">
        <v>1</v>
      </c>
      <c r="EF54" s="79">
        <f t="shared" si="66"/>
        <v>0</v>
      </c>
      <c r="EG54" s="79">
        <v>1</v>
      </c>
      <c r="EH54" s="79">
        <v>1</v>
      </c>
      <c r="EI54" s="79">
        <v>1</v>
      </c>
      <c r="EJ54" s="79">
        <v>1</v>
      </c>
      <c r="EK54" s="79">
        <v>1</v>
      </c>
      <c r="EL54" s="79">
        <v>1</v>
      </c>
      <c r="EM54" s="143">
        <f t="shared" si="67"/>
        <v>0</v>
      </c>
      <c r="EN54" s="143">
        <f t="shared" si="68"/>
        <v>0</v>
      </c>
      <c r="EO54" s="82">
        <f t="shared" si="69"/>
        <v>0</v>
      </c>
    </row>
    <row r="55" spans="1:145" x14ac:dyDescent="0.25">
      <c r="A55">
        <v>41</v>
      </c>
      <c r="B55" s="172" t="e">
        <f t="shared" si="23"/>
        <v>#N/A</v>
      </c>
      <c r="C55" s="121" t="e">
        <f t="shared" ref="C55:E55" si="129">AJ55-SUM(AB55:AB59)</f>
        <v>#N/A</v>
      </c>
      <c r="D55" s="122" t="e">
        <f t="shared" si="129"/>
        <v>#N/A</v>
      </c>
      <c r="E55" s="122" t="e">
        <f t="shared" si="129"/>
        <v>#N/A</v>
      </c>
      <c r="F55" s="176" t="e">
        <f t="shared" si="0"/>
        <v>#N/A</v>
      </c>
      <c r="G55" s="121">
        <f t="shared" si="25"/>
        <v>208</v>
      </c>
      <c r="H55" s="176" t="e">
        <f t="shared" si="26"/>
        <v>#N/A</v>
      </c>
      <c r="I55" s="48">
        <v>1</v>
      </c>
      <c r="J55" s="39"/>
      <c r="K55" s="350">
        <v>1</v>
      </c>
      <c r="L55" s="34" t="e">
        <f t="shared" si="1"/>
        <v>#N/A</v>
      </c>
      <c r="M55" s="38" t="e">
        <f>(HLOOKUP(J55,'Construction Times'!$B$3:$W$34,L55+2,FALSE)*HLOOKUP("hq modifier",'Construction Times'!$W$3:$W$34,BS55+2,FALSE))*(1-$H$9)</f>
        <v>#N/A</v>
      </c>
      <c r="N55" s="426" t="e">
        <f t="shared" si="27"/>
        <v>#N/A</v>
      </c>
      <c r="O55" s="427"/>
      <c r="P55" s="430" t="e">
        <f t="shared" si="28"/>
        <v>#N/A</v>
      </c>
      <c r="Q55" s="431"/>
      <c r="R55" s="103">
        <f t="shared" si="71"/>
        <v>0</v>
      </c>
      <c r="S55" s="104">
        <f t="shared" si="71"/>
        <v>0</v>
      </c>
      <c r="T55" s="104">
        <f t="shared" si="72"/>
        <v>0</v>
      </c>
      <c r="U55" s="104">
        <f t="shared" si="72"/>
        <v>0</v>
      </c>
      <c r="V55" s="104">
        <f t="shared" si="72"/>
        <v>9.9999999999999995E-8</v>
      </c>
      <c r="W55" s="104">
        <f t="shared" si="72"/>
        <v>0</v>
      </c>
      <c r="X55" s="104">
        <f t="shared" si="116"/>
        <v>0</v>
      </c>
      <c r="Y55" s="104">
        <f t="shared" si="116"/>
        <v>9.9999999999999995E-8</v>
      </c>
      <c r="Z55" s="104">
        <f t="shared" si="116"/>
        <v>9.9999999999999995E-8</v>
      </c>
      <c r="AA55" s="105">
        <f t="shared" si="116"/>
        <v>9.9999999999999995E-8</v>
      </c>
      <c r="AB55" s="101" t="e">
        <f>$DT55*HLOOKUP($J55,'Construction Costs (timber)'!$B$1:$V$32,'Construction Planner'!$L55+2,FALSE)</f>
        <v>#N/A</v>
      </c>
      <c r="AC55" s="14" t="e">
        <f>$DT55*HLOOKUP($J55,'Construction Costs (clay)'!$B$1:$V$32,'Construction Planner'!$L55+2,FALSE)</f>
        <v>#N/A</v>
      </c>
      <c r="AD55" s="14" t="e">
        <f>$DT55*HLOOKUP($J55,'Construction Costs (iron)'!$B$1:$V$32,'Construction Planner'!$L55+2,FALSE)</f>
        <v>#N/A</v>
      </c>
      <c r="AE55" s="34" t="e">
        <f t="shared" si="86"/>
        <v>#N/A</v>
      </c>
      <c r="AF55" s="33" t="e">
        <f t="shared" si="3"/>
        <v>#N/A</v>
      </c>
      <c r="AG55" s="14" t="e">
        <f t="shared" si="4"/>
        <v>#N/A</v>
      </c>
      <c r="AH55" s="14" t="e">
        <f t="shared" si="5"/>
        <v>#N/A</v>
      </c>
      <c r="AI55" s="34" t="e">
        <f t="shared" si="87"/>
        <v>#N/A</v>
      </c>
      <c r="AJ55" s="49" t="e">
        <f t="shared" si="31"/>
        <v>#N/A</v>
      </c>
      <c r="AK55" s="49" t="e">
        <f t="shared" si="32"/>
        <v>#N/A</v>
      </c>
      <c r="AL55" s="49" t="e">
        <f t="shared" si="33"/>
        <v>#N/A</v>
      </c>
      <c r="AM55" s="25">
        <f t="shared" si="6"/>
        <v>30</v>
      </c>
      <c r="AN55" s="25">
        <f t="shared" si="7"/>
        <v>30</v>
      </c>
      <c r="AO55" s="25">
        <f t="shared" si="8"/>
        <v>30</v>
      </c>
      <c r="AP55" s="52" t="e">
        <f t="shared" si="34"/>
        <v>#N/A</v>
      </c>
      <c r="AQ55" s="53" t="e">
        <f t="shared" si="34"/>
        <v>#N/A</v>
      </c>
      <c r="AR55" s="54" t="e">
        <f t="shared" si="34"/>
        <v>#N/A</v>
      </c>
      <c r="AS55" s="316">
        <f t="shared" si="88"/>
        <v>0</v>
      </c>
      <c r="AT55" s="106">
        <f>_xlfn.IFNA($M55/VLOOKUP($BT55,'Unit information'!$A$2:$K$29,2,FALSE)*R55,0)*(1+$E$9)</f>
        <v>0</v>
      </c>
      <c r="AU55" s="107">
        <f>_xlfn.IFNA($M55/VLOOKUP($BT55,'Unit information'!$A$2:$K$29,3,FALSE)*S55,0)*(1+$E$9)</f>
        <v>0</v>
      </c>
      <c r="AV55" s="107">
        <f>_xlfn.IFNA($M55/VLOOKUP($BT55,'Unit information'!$A$2:$K$29,4,FALSE)*T55,0)*(1+$E$9)</f>
        <v>0</v>
      </c>
      <c r="AW55" s="107">
        <f>_xlfn.IFNA($M55/VLOOKUP($BT55,'Unit information'!$A$2:$K$29,5,FALSE)*U55,0)*(1+$E$9)</f>
        <v>0</v>
      </c>
      <c r="AX55" s="107">
        <f>_xlfn.IFNA($M55/VLOOKUP($BU55,'Unit information'!$A$2:$K$29,6,FALSE)*V55,0)*(1+$E$9)</f>
        <v>0</v>
      </c>
      <c r="AY55" s="107">
        <f>_xlfn.IFNA($M55/VLOOKUP($BU55,'Unit information'!$A$2:$K$29,7,FALSE)*W55,0)*(1+$E$9)</f>
        <v>0</v>
      </c>
      <c r="AZ55" s="107">
        <f>_xlfn.IFNA($M55/VLOOKUP($BU55,'Unit information'!$A$2:$K$29,8,FALSE)*X55,0)*(1+$E$9)</f>
        <v>0</v>
      </c>
      <c r="BA55" s="107">
        <f>_xlfn.IFNA($M55/VLOOKUP($BU55,'Unit information'!$A$2:$K$29,9,FALSE)*Y55,0)*(1+$E$9)</f>
        <v>0</v>
      </c>
      <c r="BB55" s="107">
        <f>_xlfn.IFNA($M55/VLOOKUP($BV55,'Unit information'!$A$2:$K$29,10,FALSE)*Z55,0)*(1+$E$9)</f>
        <v>0</v>
      </c>
      <c r="BC55" s="108">
        <f>_xlfn.IFNA($M55/VLOOKUP($BV55,'Unit information'!$A$2:$K$29,11,FALSE)*AA55,0)*(1+$E$9)</f>
        <v>0</v>
      </c>
      <c r="BD55" s="106">
        <f t="shared" si="10"/>
        <v>0</v>
      </c>
      <c r="BE55" s="107">
        <f t="shared" si="11"/>
        <v>0</v>
      </c>
      <c r="BF55" s="108">
        <f t="shared" si="12"/>
        <v>0</v>
      </c>
      <c r="BG55" s="25" t="e">
        <f t="shared" si="13"/>
        <v>#N/A</v>
      </c>
      <c r="BH55" s="25" t="e">
        <f t="shared" si="14"/>
        <v>#N/A</v>
      </c>
      <c r="BI55" s="25" t="e">
        <f t="shared" si="15"/>
        <v>#N/A</v>
      </c>
      <c r="BJ55" s="27" t="e">
        <f t="shared" si="16"/>
        <v>#N/A</v>
      </c>
      <c r="BK55" s="18" t="e">
        <f t="shared" si="17"/>
        <v>#N/A</v>
      </c>
      <c r="BL55" s="18" t="e">
        <f t="shared" si="18"/>
        <v>#N/A</v>
      </c>
      <c r="BM55" s="28" t="e">
        <f t="shared" si="89"/>
        <v>#N/A</v>
      </c>
      <c r="BN55" s="33">
        <f>HLOOKUP("maximum population",Miscelaneous!$C$1:$C$33,CH55+3,FALSE)</f>
        <v>240</v>
      </c>
      <c r="BO55" s="14">
        <f t="shared" si="35"/>
        <v>32</v>
      </c>
      <c r="BP55" s="14">
        <f t="shared" si="36"/>
        <v>0</v>
      </c>
      <c r="BQ55" s="14">
        <f t="shared" si="37"/>
        <v>208</v>
      </c>
      <c r="BR55" s="34" t="e">
        <f>HLOOKUP(J55,Villagers!$B$1:$V$33,L55+3,FALSE)-HLOOKUP(J55,Villagers!$B$1:$V$33,L55+2,FALSE)</f>
        <v>#N/A</v>
      </c>
      <c r="BS55" s="49">
        <f t="shared" si="38"/>
        <v>1</v>
      </c>
      <c r="BT55" s="50">
        <f t="shared" si="39"/>
        <v>0</v>
      </c>
      <c r="BU55" s="50">
        <f t="shared" si="40"/>
        <v>0</v>
      </c>
      <c r="BV55" s="50">
        <f t="shared" si="120"/>
        <v>0</v>
      </c>
      <c r="BW55" s="50">
        <f t="shared" si="121"/>
        <v>0</v>
      </c>
      <c r="BX55" s="50">
        <f t="shared" si="122"/>
        <v>0</v>
      </c>
      <c r="BY55" s="50">
        <f t="shared" si="122"/>
        <v>0</v>
      </c>
      <c r="BZ55" s="50">
        <f t="shared" si="44"/>
        <v>0</v>
      </c>
      <c r="CA55" s="50">
        <f t="shared" si="45"/>
        <v>0</v>
      </c>
      <c r="CB55" s="50">
        <f t="shared" si="46"/>
        <v>1</v>
      </c>
      <c r="CC55" s="50">
        <f t="shared" si="47"/>
        <v>0</v>
      </c>
      <c r="CD55" s="50">
        <f t="shared" si="48"/>
        <v>0</v>
      </c>
      <c r="CE55" s="50">
        <f t="shared" si="49"/>
        <v>1</v>
      </c>
      <c r="CF55" s="50">
        <f t="shared" si="50"/>
        <v>1</v>
      </c>
      <c r="CG55" s="50">
        <f t="shared" si="51"/>
        <v>1</v>
      </c>
      <c r="CH55" s="50">
        <f t="shared" si="52"/>
        <v>1</v>
      </c>
      <c r="CI55" s="50">
        <f t="shared" si="53"/>
        <v>1</v>
      </c>
      <c r="CJ55" s="50">
        <f t="shared" si="54"/>
        <v>1</v>
      </c>
      <c r="CK55" s="50">
        <f t="shared" si="55"/>
        <v>0</v>
      </c>
      <c r="CL55" s="50">
        <f t="shared" si="54"/>
        <v>0</v>
      </c>
      <c r="CM55" s="51">
        <f t="shared" si="56"/>
        <v>0</v>
      </c>
      <c r="CN55" s="33">
        <f>ROUND(IF(BS55=0,0,HLOOKUP(BS$14,Villagers!$B$1:$V$33,BS55+3,FALSE)),)</f>
        <v>5</v>
      </c>
      <c r="CO55" s="14">
        <f>ROUND(IF(BT55=0,0,HLOOKUP(BT$14,Villagers!$B$1:$V$33,BT55+3,FALSE)),)</f>
        <v>0</v>
      </c>
      <c r="CP55" s="14">
        <f>ROUND(IF(BU55=0,0,HLOOKUP(BU$14,Villagers!$B$1:$V$33,BU55+3,FALSE)),)</f>
        <v>0</v>
      </c>
      <c r="CQ55" s="14">
        <f>ROUND(IF(BV55=0,0,HLOOKUP(BV$14,Villagers!$B$1:$V$33,BV55+3,FALSE)),)</f>
        <v>0</v>
      </c>
      <c r="CR55" s="14">
        <f>ROUND(IF(BW55=0,0,HLOOKUP(BW$14,Villagers!$B$1:$V$33,BW55+3,FALSE)),)</f>
        <v>0</v>
      </c>
      <c r="CS55" s="14">
        <f>ROUND(IF(BX55=0,0,HLOOKUP(BX$14,Villagers!$B$1:$V$33,BX55+3,FALSE)),)</f>
        <v>0</v>
      </c>
      <c r="CT55" s="14">
        <f>ROUND(IF(BY55=0,0,HLOOKUP(BY$14,Villagers!$B$1:$V$33,BY55+3,FALSE)),)</f>
        <v>0</v>
      </c>
      <c r="CU55" s="14">
        <f>ROUND(IF(BZ55=0,0,HLOOKUP(BZ$14,Villagers!$B$1:$V$33,BZ55+3,FALSE)),)</f>
        <v>0</v>
      </c>
      <c r="CV55" s="14">
        <f>ROUND(IF(CA55=0,0,HLOOKUP(CA$14,Villagers!$B$1:$V$33,CA55+3,FALSE)),)</f>
        <v>0</v>
      </c>
      <c r="CW55" s="14">
        <f>ROUND(IF(CB55=0,0,HLOOKUP(CB$14,Villagers!$B$1:$V$33,CB55+3,FALSE)),)</f>
        <v>0</v>
      </c>
      <c r="CX55" s="14">
        <f>ROUND(IF(CC55=0,0,HLOOKUP(CC$14,Villagers!$B$1:$V$33,CC55+3,FALSE)),)</f>
        <v>0</v>
      </c>
      <c r="CY55" s="14">
        <f>ROUND(IF(CD55=0,0,HLOOKUP(CD$14,Villagers!$B$1:$V$33,CD55+3,FALSE)),)</f>
        <v>0</v>
      </c>
      <c r="CZ55" s="14">
        <f>ROUND(IF(CE55=0,0,HLOOKUP(CE$14,Villagers!$B$1:$V$33,CE55+3,FALSE)),)</f>
        <v>5</v>
      </c>
      <c r="DA55" s="14">
        <f>ROUND(IF(CF55=0,0,HLOOKUP(CF$14,Villagers!$B$1:$V$33,CF55+3,FALSE)),)</f>
        <v>10</v>
      </c>
      <c r="DB55" s="14">
        <f>ROUND(IF(CG55=0,0,HLOOKUP(CG$14,Villagers!$B$1:$V$33,CG55+3,FALSE)),)</f>
        <v>10</v>
      </c>
      <c r="DC55" s="14">
        <f>ROUND(IF(CH55=0,0,HLOOKUP(CH$14,Villagers!$B$1:$V$33,CH55+3,FALSE)),)</f>
        <v>0</v>
      </c>
      <c r="DD55" s="14">
        <f>ROUND(IF(CI55=0,0,HLOOKUP(CI$14,Villagers!$B$1:$V$33,CI55+3,FALSE)),)</f>
        <v>0</v>
      </c>
      <c r="DE55" s="14">
        <f>ROUND(IF(CJ55=0,0,HLOOKUP(CJ$14,Villagers!$B$1:$V$33,CJ55+3,FALSE)),)</f>
        <v>2</v>
      </c>
      <c r="DF55" s="370">
        <f>ROUND(IF(CK55=0,0,HLOOKUP(CK$14,Villagers!$B$1:$V$33,CK55+3,FALSE)),)</f>
        <v>0</v>
      </c>
      <c r="DG55" s="370">
        <f>ROUND(IF(CL55=0,0,HLOOKUP(CL$14,Villagers!$B$1:$V$33,CL55+3,FALSE)),)</f>
        <v>0</v>
      </c>
      <c r="DH55" s="34">
        <f>ROUND(IF(CM55=0,0,HLOOKUP(CM$14,Villagers!$B$1:$V$33,CM55+3,FALSE)),)</f>
        <v>0</v>
      </c>
      <c r="DI55" s="109">
        <f t="shared" si="74"/>
        <v>0</v>
      </c>
      <c r="DJ55" s="50">
        <f t="shared" si="75"/>
        <v>0</v>
      </c>
      <c r="DK55" s="50">
        <f t="shared" si="76"/>
        <v>0</v>
      </c>
      <c r="DL55" s="50">
        <f t="shared" si="77"/>
        <v>0</v>
      </c>
      <c r="DM55" s="50">
        <f t="shared" si="78"/>
        <v>0</v>
      </c>
      <c r="DN55" s="50">
        <f t="shared" si="79"/>
        <v>0</v>
      </c>
      <c r="DO55" s="50">
        <f t="shared" si="80"/>
        <v>0</v>
      </c>
      <c r="DP55" s="50">
        <f t="shared" si="81"/>
        <v>0</v>
      </c>
      <c r="DQ55" s="50">
        <f t="shared" si="58"/>
        <v>0</v>
      </c>
      <c r="DR55" s="50">
        <f t="shared" si="59"/>
        <v>0</v>
      </c>
      <c r="DS55" s="96">
        <f>Miscelaneous!$D$4*Miscelaneous!$D$2^($CI55-1)</f>
        <v>1000</v>
      </c>
      <c r="DT55" s="333">
        <f t="shared" si="60"/>
        <v>1</v>
      </c>
      <c r="DU55" s="81">
        <v>1</v>
      </c>
      <c r="DV55" s="79">
        <f t="shared" si="61"/>
        <v>0</v>
      </c>
      <c r="DW55" s="79">
        <f t="shared" si="21"/>
        <v>0</v>
      </c>
      <c r="DX55" s="79">
        <f t="shared" si="62"/>
        <v>0</v>
      </c>
      <c r="DY55" s="79">
        <v>1</v>
      </c>
      <c r="DZ55" s="79">
        <f t="shared" si="22"/>
        <v>0</v>
      </c>
      <c r="EA55" s="79">
        <f t="shared" si="63"/>
        <v>0</v>
      </c>
      <c r="EB55" s="79">
        <f t="shared" si="64"/>
        <v>0</v>
      </c>
      <c r="EC55" s="79">
        <f t="shared" si="65"/>
        <v>0</v>
      </c>
      <c r="ED55" s="79">
        <v>1</v>
      </c>
      <c r="EE55" s="79">
        <v>1</v>
      </c>
      <c r="EF55" s="79">
        <f t="shared" si="66"/>
        <v>0</v>
      </c>
      <c r="EG55" s="79">
        <v>1</v>
      </c>
      <c r="EH55" s="79">
        <v>1</v>
      </c>
      <c r="EI55" s="79">
        <v>1</v>
      </c>
      <c r="EJ55" s="79">
        <v>1</v>
      </c>
      <c r="EK55" s="79">
        <v>1</v>
      </c>
      <c r="EL55" s="79">
        <v>1</v>
      </c>
      <c r="EM55" s="143">
        <f t="shared" si="67"/>
        <v>0</v>
      </c>
      <c r="EN55" s="143">
        <f t="shared" si="68"/>
        <v>0</v>
      </c>
      <c r="EO55" s="82">
        <f t="shared" si="69"/>
        <v>0</v>
      </c>
    </row>
    <row r="56" spans="1:145" x14ac:dyDescent="0.25">
      <c r="A56">
        <v>42</v>
      </c>
      <c r="B56" s="172" t="e">
        <f t="shared" si="23"/>
        <v>#N/A</v>
      </c>
      <c r="C56" s="121" t="e">
        <f t="shared" ref="C56:E56" si="130">AJ56-SUM(AB56:AB60)</f>
        <v>#N/A</v>
      </c>
      <c r="D56" s="122" t="e">
        <f t="shared" si="130"/>
        <v>#N/A</v>
      </c>
      <c r="E56" s="122" t="e">
        <f t="shared" si="130"/>
        <v>#N/A</v>
      </c>
      <c r="F56" s="176" t="e">
        <f t="shared" si="0"/>
        <v>#N/A</v>
      </c>
      <c r="G56" s="121">
        <f t="shared" si="25"/>
        <v>208</v>
      </c>
      <c r="H56" s="176" t="e">
        <f t="shared" si="26"/>
        <v>#N/A</v>
      </c>
      <c r="I56" s="48">
        <v>1</v>
      </c>
      <c r="J56" s="39"/>
      <c r="K56" s="350">
        <v>1</v>
      </c>
      <c r="L56" s="34" t="e">
        <f t="shared" si="1"/>
        <v>#N/A</v>
      </c>
      <c r="M56" s="38" t="e">
        <f>(HLOOKUP(J56,'Construction Times'!$B$3:$W$34,L56+2,FALSE)*HLOOKUP("hq modifier",'Construction Times'!$W$3:$W$34,BS56+2,FALSE))*(1-$H$9)</f>
        <v>#N/A</v>
      </c>
      <c r="N56" s="426" t="e">
        <f t="shared" si="27"/>
        <v>#N/A</v>
      </c>
      <c r="O56" s="427"/>
      <c r="P56" s="430" t="e">
        <f t="shared" si="28"/>
        <v>#N/A</v>
      </c>
      <c r="Q56" s="431"/>
      <c r="R56" s="103">
        <f t="shared" si="71"/>
        <v>0</v>
      </c>
      <c r="S56" s="104">
        <f t="shared" si="71"/>
        <v>0</v>
      </c>
      <c r="T56" s="104">
        <f t="shared" si="72"/>
        <v>0</v>
      </c>
      <c r="U56" s="104">
        <f t="shared" si="72"/>
        <v>0</v>
      </c>
      <c r="V56" s="104">
        <f t="shared" si="72"/>
        <v>9.9999999999999995E-8</v>
      </c>
      <c r="W56" s="104">
        <f t="shared" si="72"/>
        <v>0</v>
      </c>
      <c r="X56" s="104">
        <f t="shared" si="116"/>
        <v>0</v>
      </c>
      <c r="Y56" s="104">
        <f t="shared" si="116"/>
        <v>9.9999999999999995E-8</v>
      </c>
      <c r="Z56" s="104">
        <f t="shared" si="116"/>
        <v>9.9999999999999995E-8</v>
      </c>
      <c r="AA56" s="105">
        <f t="shared" si="116"/>
        <v>9.9999999999999995E-8</v>
      </c>
      <c r="AB56" s="101" t="e">
        <f>$DT56*HLOOKUP($J56,'Construction Costs (timber)'!$B$1:$V$32,'Construction Planner'!$L56+2,FALSE)</f>
        <v>#N/A</v>
      </c>
      <c r="AC56" s="14" t="e">
        <f>$DT56*HLOOKUP($J56,'Construction Costs (clay)'!$B$1:$V$32,'Construction Planner'!$L56+2,FALSE)</f>
        <v>#N/A</v>
      </c>
      <c r="AD56" s="14" t="e">
        <f>$DT56*HLOOKUP($J56,'Construction Costs (iron)'!$B$1:$V$32,'Construction Planner'!$L56+2,FALSE)</f>
        <v>#N/A</v>
      </c>
      <c r="AE56" s="34" t="e">
        <f t="shared" si="86"/>
        <v>#N/A</v>
      </c>
      <c r="AF56" s="33" t="e">
        <f t="shared" si="3"/>
        <v>#N/A</v>
      </c>
      <c r="AG56" s="14" t="e">
        <f t="shared" si="4"/>
        <v>#N/A</v>
      </c>
      <c r="AH56" s="14" t="e">
        <f t="shared" si="5"/>
        <v>#N/A</v>
      </c>
      <c r="AI56" s="34" t="e">
        <f t="shared" si="87"/>
        <v>#N/A</v>
      </c>
      <c r="AJ56" s="49" t="e">
        <f t="shared" si="31"/>
        <v>#N/A</v>
      </c>
      <c r="AK56" s="49" t="e">
        <f t="shared" si="32"/>
        <v>#N/A</v>
      </c>
      <c r="AL56" s="49" t="e">
        <f t="shared" si="33"/>
        <v>#N/A</v>
      </c>
      <c r="AM56" s="25">
        <f t="shared" si="6"/>
        <v>30</v>
      </c>
      <c r="AN56" s="25">
        <f t="shared" si="7"/>
        <v>30</v>
      </c>
      <c r="AO56" s="25">
        <f t="shared" si="8"/>
        <v>30</v>
      </c>
      <c r="AP56" s="52" t="e">
        <f t="shared" si="34"/>
        <v>#N/A</v>
      </c>
      <c r="AQ56" s="53" t="e">
        <f t="shared" si="34"/>
        <v>#N/A</v>
      </c>
      <c r="AR56" s="54" t="e">
        <f t="shared" si="34"/>
        <v>#N/A</v>
      </c>
      <c r="AS56" s="316">
        <f t="shared" si="88"/>
        <v>0</v>
      </c>
      <c r="AT56" s="106">
        <f>_xlfn.IFNA($M56/VLOOKUP($BT56,'Unit information'!$A$2:$K$29,2,FALSE)*R56,0)*(1+$E$9)</f>
        <v>0</v>
      </c>
      <c r="AU56" s="107">
        <f>_xlfn.IFNA($M56/VLOOKUP($BT56,'Unit information'!$A$2:$K$29,3,FALSE)*S56,0)*(1+$E$9)</f>
        <v>0</v>
      </c>
      <c r="AV56" s="107">
        <f>_xlfn.IFNA($M56/VLOOKUP($BT56,'Unit information'!$A$2:$K$29,4,FALSE)*T56,0)*(1+$E$9)</f>
        <v>0</v>
      </c>
      <c r="AW56" s="107">
        <f>_xlfn.IFNA($M56/VLOOKUP($BT56,'Unit information'!$A$2:$K$29,5,FALSE)*U56,0)*(1+$E$9)</f>
        <v>0</v>
      </c>
      <c r="AX56" s="107">
        <f>_xlfn.IFNA($M56/VLOOKUP($BU56,'Unit information'!$A$2:$K$29,6,FALSE)*V56,0)*(1+$E$9)</f>
        <v>0</v>
      </c>
      <c r="AY56" s="107">
        <f>_xlfn.IFNA($M56/VLOOKUP($BU56,'Unit information'!$A$2:$K$29,7,FALSE)*W56,0)*(1+$E$9)</f>
        <v>0</v>
      </c>
      <c r="AZ56" s="107">
        <f>_xlfn.IFNA($M56/VLOOKUP($BU56,'Unit information'!$A$2:$K$29,8,FALSE)*X56,0)*(1+$E$9)</f>
        <v>0</v>
      </c>
      <c r="BA56" s="107">
        <f>_xlfn.IFNA($M56/VLOOKUP($BU56,'Unit information'!$A$2:$K$29,9,FALSE)*Y56,0)*(1+$E$9)</f>
        <v>0</v>
      </c>
      <c r="BB56" s="107">
        <f>_xlfn.IFNA($M56/VLOOKUP($BV56,'Unit information'!$A$2:$K$29,10,FALSE)*Z56,0)*(1+$E$9)</f>
        <v>0</v>
      </c>
      <c r="BC56" s="108">
        <f>_xlfn.IFNA($M56/VLOOKUP($BV56,'Unit information'!$A$2:$K$29,11,FALSE)*AA56,0)*(1+$E$9)</f>
        <v>0</v>
      </c>
      <c r="BD56" s="106">
        <f t="shared" si="10"/>
        <v>0</v>
      </c>
      <c r="BE56" s="107">
        <f t="shared" si="11"/>
        <v>0</v>
      </c>
      <c r="BF56" s="108">
        <f t="shared" si="12"/>
        <v>0</v>
      </c>
      <c r="BG56" s="25" t="e">
        <f t="shared" si="13"/>
        <v>#N/A</v>
      </c>
      <c r="BH56" s="25" t="e">
        <f t="shared" si="14"/>
        <v>#N/A</v>
      </c>
      <c r="BI56" s="25" t="e">
        <f t="shared" si="15"/>
        <v>#N/A</v>
      </c>
      <c r="BJ56" s="27" t="e">
        <f t="shared" si="16"/>
        <v>#N/A</v>
      </c>
      <c r="BK56" s="18" t="e">
        <f t="shared" si="17"/>
        <v>#N/A</v>
      </c>
      <c r="BL56" s="18" t="e">
        <f t="shared" si="18"/>
        <v>#N/A</v>
      </c>
      <c r="BM56" s="28" t="e">
        <f t="shared" si="89"/>
        <v>#N/A</v>
      </c>
      <c r="BN56" s="33">
        <f>HLOOKUP("maximum population",Miscelaneous!$C$1:$C$33,CH56+3,FALSE)</f>
        <v>240</v>
      </c>
      <c r="BO56" s="14">
        <f t="shared" si="35"/>
        <v>32</v>
      </c>
      <c r="BP56" s="14">
        <f t="shared" si="36"/>
        <v>0</v>
      </c>
      <c r="BQ56" s="14">
        <f t="shared" si="37"/>
        <v>208</v>
      </c>
      <c r="BR56" s="34" t="e">
        <f>HLOOKUP(J56,Villagers!$B$1:$V$33,L56+3,FALSE)-HLOOKUP(J56,Villagers!$B$1:$V$33,L56+2,FALSE)</f>
        <v>#N/A</v>
      </c>
      <c r="BS56" s="49">
        <f t="shared" si="38"/>
        <v>1</v>
      </c>
      <c r="BT56" s="50">
        <f t="shared" si="39"/>
        <v>0</v>
      </c>
      <c r="BU56" s="50">
        <f t="shared" si="40"/>
        <v>0</v>
      </c>
      <c r="BV56" s="50">
        <f t="shared" si="120"/>
        <v>0</v>
      </c>
      <c r="BW56" s="50">
        <f t="shared" si="121"/>
        <v>0</v>
      </c>
      <c r="BX56" s="50">
        <f t="shared" si="122"/>
        <v>0</v>
      </c>
      <c r="BY56" s="50">
        <f t="shared" si="122"/>
        <v>0</v>
      </c>
      <c r="BZ56" s="50">
        <f t="shared" si="44"/>
        <v>0</v>
      </c>
      <c r="CA56" s="50">
        <f t="shared" si="45"/>
        <v>0</v>
      </c>
      <c r="CB56" s="50">
        <f t="shared" si="46"/>
        <v>1</v>
      </c>
      <c r="CC56" s="50">
        <f t="shared" si="47"/>
        <v>0</v>
      </c>
      <c r="CD56" s="50">
        <f t="shared" si="48"/>
        <v>0</v>
      </c>
      <c r="CE56" s="50">
        <f t="shared" si="49"/>
        <v>1</v>
      </c>
      <c r="CF56" s="50">
        <f t="shared" si="50"/>
        <v>1</v>
      </c>
      <c r="CG56" s="50">
        <f t="shared" si="51"/>
        <v>1</v>
      </c>
      <c r="CH56" s="50">
        <f t="shared" si="52"/>
        <v>1</v>
      </c>
      <c r="CI56" s="50">
        <f t="shared" si="53"/>
        <v>1</v>
      </c>
      <c r="CJ56" s="50">
        <f t="shared" si="54"/>
        <v>1</v>
      </c>
      <c r="CK56" s="50">
        <f t="shared" si="55"/>
        <v>0</v>
      </c>
      <c r="CL56" s="50">
        <f t="shared" si="54"/>
        <v>0</v>
      </c>
      <c r="CM56" s="51">
        <f t="shared" si="56"/>
        <v>0</v>
      </c>
      <c r="CN56" s="33">
        <f>ROUND(IF(BS56=0,0,HLOOKUP(BS$14,Villagers!$B$1:$V$33,BS56+3,FALSE)),)</f>
        <v>5</v>
      </c>
      <c r="CO56" s="14">
        <f>ROUND(IF(BT56=0,0,HLOOKUP(BT$14,Villagers!$B$1:$V$33,BT56+3,FALSE)),)</f>
        <v>0</v>
      </c>
      <c r="CP56" s="14">
        <f>ROUND(IF(BU56=0,0,HLOOKUP(BU$14,Villagers!$B$1:$V$33,BU56+3,FALSE)),)</f>
        <v>0</v>
      </c>
      <c r="CQ56" s="14">
        <f>ROUND(IF(BV56=0,0,HLOOKUP(BV$14,Villagers!$B$1:$V$33,BV56+3,FALSE)),)</f>
        <v>0</v>
      </c>
      <c r="CR56" s="14">
        <f>ROUND(IF(BW56=0,0,HLOOKUP(BW$14,Villagers!$B$1:$V$33,BW56+3,FALSE)),)</f>
        <v>0</v>
      </c>
      <c r="CS56" s="14">
        <f>ROUND(IF(BX56=0,0,HLOOKUP(BX$14,Villagers!$B$1:$V$33,BX56+3,FALSE)),)</f>
        <v>0</v>
      </c>
      <c r="CT56" s="14">
        <f>ROUND(IF(BY56=0,0,HLOOKUP(BY$14,Villagers!$B$1:$V$33,BY56+3,FALSE)),)</f>
        <v>0</v>
      </c>
      <c r="CU56" s="14">
        <f>ROUND(IF(BZ56=0,0,HLOOKUP(BZ$14,Villagers!$B$1:$V$33,BZ56+3,FALSE)),)</f>
        <v>0</v>
      </c>
      <c r="CV56" s="14">
        <f>ROUND(IF(CA56=0,0,HLOOKUP(CA$14,Villagers!$B$1:$V$33,CA56+3,FALSE)),)</f>
        <v>0</v>
      </c>
      <c r="CW56" s="14">
        <f>ROUND(IF(CB56=0,0,HLOOKUP(CB$14,Villagers!$B$1:$V$33,CB56+3,FALSE)),)</f>
        <v>0</v>
      </c>
      <c r="CX56" s="14">
        <f>ROUND(IF(CC56=0,0,HLOOKUP(CC$14,Villagers!$B$1:$V$33,CC56+3,FALSE)),)</f>
        <v>0</v>
      </c>
      <c r="CY56" s="14">
        <f>ROUND(IF(CD56=0,0,HLOOKUP(CD$14,Villagers!$B$1:$V$33,CD56+3,FALSE)),)</f>
        <v>0</v>
      </c>
      <c r="CZ56" s="14">
        <f>ROUND(IF(CE56=0,0,HLOOKUP(CE$14,Villagers!$B$1:$V$33,CE56+3,FALSE)),)</f>
        <v>5</v>
      </c>
      <c r="DA56" s="14">
        <f>ROUND(IF(CF56=0,0,HLOOKUP(CF$14,Villagers!$B$1:$V$33,CF56+3,FALSE)),)</f>
        <v>10</v>
      </c>
      <c r="DB56" s="14">
        <f>ROUND(IF(CG56=0,0,HLOOKUP(CG$14,Villagers!$B$1:$V$33,CG56+3,FALSE)),)</f>
        <v>10</v>
      </c>
      <c r="DC56" s="14">
        <f>ROUND(IF(CH56=0,0,HLOOKUP(CH$14,Villagers!$B$1:$V$33,CH56+3,FALSE)),)</f>
        <v>0</v>
      </c>
      <c r="DD56" s="14">
        <f>ROUND(IF(CI56=0,0,HLOOKUP(CI$14,Villagers!$B$1:$V$33,CI56+3,FALSE)),)</f>
        <v>0</v>
      </c>
      <c r="DE56" s="14">
        <f>ROUND(IF(CJ56=0,0,HLOOKUP(CJ$14,Villagers!$B$1:$V$33,CJ56+3,FALSE)),)</f>
        <v>2</v>
      </c>
      <c r="DF56" s="370">
        <f>ROUND(IF(CK56=0,0,HLOOKUP(CK$14,Villagers!$B$1:$V$33,CK56+3,FALSE)),)</f>
        <v>0</v>
      </c>
      <c r="DG56" s="370">
        <f>ROUND(IF(CL56=0,0,HLOOKUP(CL$14,Villagers!$B$1:$V$33,CL56+3,FALSE)),)</f>
        <v>0</v>
      </c>
      <c r="DH56" s="34">
        <f>ROUND(IF(CM56=0,0,HLOOKUP(CM$14,Villagers!$B$1:$V$33,CM56+3,FALSE)),)</f>
        <v>0</v>
      </c>
      <c r="DI56" s="109">
        <f t="shared" si="74"/>
        <v>0</v>
      </c>
      <c r="DJ56" s="50">
        <f t="shared" si="75"/>
        <v>0</v>
      </c>
      <c r="DK56" s="50">
        <f t="shared" si="76"/>
        <v>0</v>
      </c>
      <c r="DL56" s="50">
        <f t="shared" si="77"/>
        <v>0</v>
      </c>
      <c r="DM56" s="50">
        <f t="shared" si="78"/>
        <v>0</v>
      </c>
      <c r="DN56" s="50">
        <f t="shared" si="79"/>
        <v>0</v>
      </c>
      <c r="DO56" s="50">
        <f t="shared" si="80"/>
        <v>0</v>
      </c>
      <c r="DP56" s="50">
        <f t="shared" si="81"/>
        <v>0</v>
      </c>
      <c r="DQ56" s="50">
        <f t="shared" si="58"/>
        <v>0</v>
      </c>
      <c r="DR56" s="50">
        <f t="shared" si="59"/>
        <v>0</v>
      </c>
      <c r="DS56" s="96">
        <f>Miscelaneous!$D$4*Miscelaneous!$D$2^($CI56-1)</f>
        <v>1000</v>
      </c>
      <c r="DT56" s="333">
        <f t="shared" si="60"/>
        <v>1</v>
      </c>
      <c r="DU56" s="81">
        <v>1</v>
      </c>
      <c r="DV56" s="79">
        <f t="shared" si="61"/>
        <v>0</v>
      </c>
      <c r="DW56" s="79">
        <f t="shared" si="21"/>
        <v>0</v>
      </c>
      <c r="DX56" s="79">
        <f t="shared" si="62"/>
        <v>0</v>
      </c>
      <c r="DY56" s="79">
        <v>1</v>
      </c>
      <c r="DZ56" s="79">
        <f t="shared" si="22"/>
        <v>0</v>
      </c>
      <c r="EA56" s="79">
        <f t="shared" si="63"/>
        <v>0</v>
      </c>
      <c r="EB56" s="79">
        <f t="shared" si="64"/>
        <v>0</v>
      </c>
      <c r="EC56" s="79">
        <f t="shared" si="65"/>
        <v>0</v>
      </c>
      <c r="ED56" s="79">
        <v>1</v>
      </c>
      <c r="EE56" s="79">
        <v>1</v>
      </c>
      <c r="EF56" s="79">
        <f t="shared" si="66"/>
        <v>0</v>
      </c>
      <c r="EG56" s="79">
        <v>1</v>
      </c>
      <c r="EH56" s="79">
        <v>1</v>
      </c>
      <c r="EI56" s="79">
        <v>1</v>
      </c>
      <c r="EJ56" s="79">
        <v>1</v>
      </c>
      <c r="EK56" s="79">
        <v>1</v>
      </c>
      <c r="EL56" s="79">
        <v>1</v>
      </c>
      <c r="EM56" s="143">
        <f t="shared" si="67"/>
        <v>0</v>
      </c>
      <c r="EN56" s="143">
        <f t="shared" si="68"/>
        <v>0</v>
      </c>
      <c r="EO56" s="82">
        <f t="shared" si="69"/>
        <v>0</v>
      </c>
    </row>
    <row r="57" spans="1:145" x14ac:dyDescent="0.25">
      <c r="A57">
        <v>43</v>
      </c>
      <c r="B57" s="172" t="e">
        <f t="shared" si="23"/>
        <v>#N/A</v>
      </c>
      <c r="C57" s="121" t="e">
        <f t="shared" ref="C57:E57" si="131">AJ57-SUM(AB57:AB61)</f>
        <v>#N/A</v>
      </c>
      <c r="D57" s="122" t="e">
        <f t="shared" si="131"/>
        <v>#N/A</v>
      </c>
      <c r="E57" s="122" t="e">
        <f t="shared" si="131"/>
        <v>#N/A</v>
      </c>
      <c r="F57" s="176" t="e">
        <f t="shared" si="0"/>
        <v>#N/A</v>
      </c>
      <c r="G57" s="121">
        <f t="shared" si="25"/>
        <v>208</v>
      </c>
      <c r="H57" s="176" t="e">
        <f t="shared" si="26"/>
        <v>#N/A</v>
      </c>
      <c r="I57" s="48">
        <v>1</v>
      </c>
      <c r="J57" s="39"/>
      <c r="K57" s="350">
        <v>1</v>
      </c>
      <c r="L57" s="34" t="e">
        <f t="shared" si="1"/>
        <v>#N/A</v>
      </c>
      <c r="M57" s="38" t="e">
        <f>(HLOOKUP(J57,'Construction Times'!$B$3:$W$34,L57+2,FALSE)*HLOOKUP("hq modifier",'Construction Times'!$W$3:$W$34,BS57+2,FALSE))*(1-$H$9)</f>
        <v>#N/A</v>
      </c>
      <c r="N57" s="426" t="e">
        <f t="shared" si="27"/>
        <v>#N/A</v>
      </c>
      <c r="O57" s="427"/>
      <c r="P57" s="430" t="e">
        <f t="shared" si="28"/>
        <v>#N/A</v>
      </c>
      <c r="Q57" s="431"/>
      <c r="R57" s="103">
        <f t="shared" si="71"/>
        <v>0</v>
      </c>
      <c r="S57" s="104">
        <f t="shared" si="71"/>
        <v>0</v>
      </c>
      <c r="T57" s="104">
        <f t="shared" si="72"/>
        <v>0</v>
      </c>
      <c r="U57" s="104">
        <f t="shared" si="72"/>
        <v>0</v>
      </c>
      <c r="V57" s="104">
        <f t="shared" si="72"/>
        <v>9.9999999999999995E-8</v>
      </c>
      <c r="W57" s="104">
        <f t="shared" si="72"/>
        <v>0</v>
      </c>
      <c r="X57" s="104">
        <f t="shared" si="116"/>
        <v>0</v>
      </c>
      <c r="Y57" s="104">
        <f t="shared" si="116"/>
        <v>9.9999999999999995E-8</v>
      </c>
      <c r="Z57" s="104">
        <f t="shared" si="116"/>
        <v>9.9999999999999995E-8</v>
      </c>
      <c r="AA57" s="105">
        <f t="shared" si="116"/>
        <v>9.9999999999999995E-8</v>
      </c>
      <c r="AB57" s="101" t="e">
        <f>$DT57*HLOOKUP($J57,'Construction Costs (timber)'!$B$1:$V$32,'Construction Planner'!$L57+2,FALSE)</f>
        <v>#N/A</v>
      </c>
      <c r="AC57" s="14" t="e">
        <f>$DT57*HLOOKUP($J57,'Construction Costs (clay)'!$B$1:$V$32,'Construction Planner'!$L57+2,FALSE)</f>
        <v>#N/A</v>
      </c>
      <c r="AD57" s="14" t="e">
        <f>$DT57*HLOOKUP($J57,'Construction Costs (iron)'!$B$1:$V$32,'Construction Planner'!$L57+2,FALSE)</f>
        <v>#N/A</v>
      </c>
      <c r="AE57" s="34" t="e">
        <f t="shared" si="86"/>
        <v>#N/A</v>
      </c>
      <c r="AF57" s="33" t="e">
        <f t="shared" si="3"/>
        <v>#N/A</v>
      </c>
      <c r="AG57" s="14" t="e">
        <f t="shared" si="4"/>
        <v>#N/A</v>
      </c>
      <c r="AH57" s="14" t="e">
        <f t="shared" si="5"/>
        <v>#N/A</v>
      </c>
      <c r="AI57" s="34" t="e">
        <f t="shared" si="87"/>
        <v>#N/A</v>
      </c>
      <c r="AJ57" s="49" t="e">
        <f t="shared" si="31"/>
        <v>#N/A</v>
      </c>
      <c r="AK57" s="49" t="e">
        <f t="shared" si="32"/>
        <v>#N/A</v>
      </c>
      <c r="AL57" s="49" t="e">
        <f t="shared" si="33"/>
        <v>#N/A</v>
      </c>
      <c r="AM57" s="25">
        <f t="shared" si="6"/>
        <v>30</v>
      </c>
      <c r="AN57" s="25">
        <f t="shared" si="7"/>
        <v>30</v>
      </c>
      <c r="AO57" s="25">
        <f t="shared" si="8"/>
        <v>30</v>
      </c>
      <c r="AP57" s="52" t="e">
        <f t="shared" si="34"/>
        <v>#N/A</v>
      </c>
      <c r="AQ57" s="53" t="e">
        <f t="shared" si="34"/>
        <v>#N/A</v>
      </c>
      <c r="AR57" s="54" t="e">
        <f t="shared" si="34"/>
        <v>#N/A</v>
      </c>
      <c r="AS57" s="316">
        <f t="shared" si="88"/>
        <v>0</v>
      </c>
      <c r="AT57" s="106">
        <f>_xlfn.IFNA($M57/VLOOKUP($BT57,'Unit information'!$A$2:$K$29,2,FALSE)*R57,0)*(1+$E$9)</f>
        <v>0</v>
      </c>
      <c r="AU57" s="107">
        <f>_xlfn.IFNA($M57/VLOOKUP($BT57,'Unit information'!$A$2:$K$29,3,FALSE)*S57,0)*(1+$E$9)</f>
        <v>0</v>
      </c>
      <c r="AV57" s="107">
        <f>_xlfn.IFNA($M57/VLOOKUP($BT57,'Unit information'!$A$2:$K$29,4,FALSE)*T57,0)*(1+$E$9)</f>
        <v>0</v>
      </c>
      <c r="AW57" s="107">
        <f>_xlfn.IFNA($M57/VLOOKUP($BT57,'Unit information'!$A$2:$K$29,5,FALSE)*U57,0)*(1+$E$9)</f>
        <v>0</v>
      </c>
      <c r="AX57" s="107">
        <f>_xlfn.IFNA($M57/VLOOKUP($BU57,'Unit information'!$A$2:$K$29,6,FALSE)*V57,0)*(1+$E$9)</f>
        <v>0</v>
      </c>
      <c r="AY57" s="107">
        <f>_xlfn.IFNA($M57/VLOOKUP($BU57,'Unit information'!$A$2:$K$29,7,FALSE)*W57,0)*(1+$E$9)</f>
        <v>0</v>
      </c>
      <c r="AZ57" s="107">
        <f>_xlfn.IFNA($M57/VLOOKUP($BU57,'Unit information'!$A$2:$K$29,8,FALSE)*X57,0)*(1+$E$9)</f>
        <v>0</v>
      </c>
      <c r="BA57" s="107">
        <f>_xlfn.IFNA($M57/VLOOKUP($BU57,'Unit information'!$A$2:$K$29,9,FALSE)*Y57,0)*(1+$E$9)</f>
        <v>0</v>
      </c>
      <c r="BB57" s="107">
        <f>_xlfn.IFNA($M57/VLOOKUP($BV57,'Unit information'!$A$2:$K$29,10,FALSE)*Z57,0)*(1+$E$9)</f>
        <v>0</v>
      </c>
      <c r="BC57" s="108">
        <f>_xlfn.IFNA($M57/VLOOKUP($BV57,'Unit information'!$A$2:$K$29,11,FALSE)*AA57,0)*(1+$E$9)</f>
        <v>0</v>
      </c>
      <c r="BD57" s="106">
        <f t="shared" si="10"/>
        <v>0</v>
      </c>
      <c r="BE57" s="107">
        <f t="shared" si="11"/>
        <v>0</v>
      </c>
      <c r="BF57" s="108">
        <f t="shared" si="12"/>
        <v>0</v>
      </c>
      <c r="BG57" s="25" t="e">
        <f t="shared" si="13"/>
        <v>#N/A</v>
      </c>
      <c r="BH57" s="25" t="e">
        <f t="shared" si="14"/>
        <v>#N/A</v>
      </c>
      <c r="BI57" s="25" t="e">
        <f t="shared" si="15"/>
        <v>#N/A</v>
      </c>
      <c r="BJ57" s="27" t="e">
        <f t="shared" si="16"/>
        <v>#N/A</v>
      </c>
      <c r="BK57" s="18" t="e">
        <f t="shared" si="17"/>
        <v>#N/A</v>
      </c>
      <c r="BL57" s="18" t="e">
        <f t="shared" si="18"/>
        <v>#N/A</v>
      </c>
      <c r="BM57" s="28" t="e">
        <f t="shared" si="89"/>
        <v>#N/A</v>
      </c>
      <c r="BN57" s="33">
        <f>HLOOKUP("maximum population",Miscelaneous!$C$1:$C$33,CH57+3,FALSE)</f>
        <v>240</v>
      </c>
      <c r="BO57" s="14">
        <f t="shared" si="35"/>
        <v>32</v>
      </c>
      <c r="BP57" s="14">
        <f t="shared" si="36"/>
        <v>0</v>
      </c>
      <c r="BQ57" s="14">
        <f t="shared" si="37"/>
        <v>208</v>
      </c>
      <c r="BR57" s="34" t="e">
        <f>HLOOKUP(J57,Villagers!$B$1:$V$33,L57+3,FALSE)-HLOOKUP(J57,Villagers!$B$1:$V$33,L57+2,FALSE)</f>
        <v>#N/A</v>
      </c>
      <c r="BS57" s="49">
        <f t="shared" si="38"/>
        <v>1</v>
      </c>
      <c r="BT57" s="50">
        <f t="shared" si="39"/>
        <v>0</v>
      </c>
      <c r="BU57" s="50">
        <f t="shared" si="40"/>
        <v>0</v>
      </c>
      <c r="BV57" s="50">
        <f t="shared" si="120"/>
        <v>0</v>
      </c>
      <c r="BW57" s="50">
        <f t="shared" si="121"/>
        <v>0</v>
      </c>
      <c r="BX57" s="50">
        <f t="shared" si="122"/>
        <v>0</v>
      </c>
      <c r="BY57" s="50">
        <f t="shared" si="122"/>
        <v>0</v>
      </c>
      <c r="BZ57" s="50">
        <f t="shared" si="44"/>
        <v>0</v>
      </c>
      <c r="CA57" s="50">
        <f t="shared" si="45"/>
        <v>0</v>
      </c>
      <c r="CB57" s="50">
        <f t="shared" si="46"/>
        <v>1</v>
      </c>
      <c r="CC57" s="50">
        <f t="shared" si="47"/>
        <v>0</v>
      </c>
      <c r="CD57" s="50">
        <f t="shared" si="48"/>
        <v>0</v>
      </c>
      <c r="CE57" s="50">
        <f t="shared" si="49"/>
        <v>1</v>
      </c>
      <c r="CF57" s="50">
        <f t="shared" si="50"/>
        <v>1</v>
      </c>
      <c r="CG57" s="50">
        <f t="shared" si="51"/>
        <v>1</v>
      </c>
      <c r="CH57" s="50">
        <f t="shared" si="52"/>
        <v>1</v>
      </c>
      <c r="CI57" s="50">
        <f t="shared" si="53"/>
        <v>1</v>
      </c>
      <c r="CJ57" s="50">
        <f t="shared" si="54"/>
        <v>1</v>
      </c>
      <c r="CK57" s="50">
        <f t="shared" si="55"/>
        <v>0</v>
      </c>
      <c r="CL57" s="50">
        <f t="shared" si="54"/>
        <v>0</v>
      </c>
      <c r="CM57" s="51">
        <f t="shared" si="56"/>
        <v>0</v>
      </c>
      <c r="CN57" s="33">
        <f>ROUND(IF(BS57=0,0,HLOOKUP(BS$14,Villagers!$B$1:$V$33,BS57+3,FALSE)),)</f>
        <v>5</v>
      </c>
      <c r="CO57" s="14">
        <f>ROUND(IF(BT57=0,0,HLOOKUP(BT$14,Villagers!$B$1:$V$33,BT57+3,FALSE)),)</f>
        <v>0</v>
      </c>
      <c r="CP57" s="14">
        <f>ROUND(IF(BU57=0,0,HLOOKUP(BU$14,Villagers!$B$1:$V$33,BU57+3,FALSE)),)</f>
        <v>0</v>
      </c>
      <c r="CQ57" s="14">
        <f>ROUND(IF(BV57=0,0,HLOOKUP(BV$14,Villagers!$B$1:$V$33,BV57+3,FALSE)),)</f>
        <v>0</v>
      </c>
      <c r="CR57" s="14">
        <f>ROUND(IF(BW57=0,0,HLOOKUP(BW$14,Villagers!$B$1:$V$33,BW57+3,FALSE)),)</f>
        <v>0</v>
      </c>
      <c r="CS57" s="14">
        <f>ROUND(IF(BX57=0,0,HLOOKUP(BX$14,Villagers!$B$1:$V$33,BX57+3,FALSE)),)</f>
        <v>0</v>
      </c>
      <c r="CT57" s="14">
        <f>ROUND(IF(BY57=0,0,HLOOKUP(BY$14,Villagers!$B$1:$V$33,BY57+3,FALSE)),)</f>
        <v>0</v>
      </c>
      <c r="CU57" s="14">
        <f>ROUND(IF(BZ57=0,0,HLOOKUP(BZ$14,Villagers!$B$1:$V$33,BZ57+3,FALSE)),)</f>
        <v>0</v>
      </c>
      <c r="CV57" s="14">
        <f>ROUND(IF(CA57=0,0,HLOOKUP(CA$14,Villagers!$B$1:$V$33,CA57+3,FALSE)),)</f>
        <v>0</v>
      </c>
      <c r="CW57" s="14">
        <f>ROUND(IF(CB57=0,0,HLOOKUP(CB$14,Villagers!$B$1:$V$33,CB57+3,FALSE)),)</f>
        <v>0</v>
      </c>
      <c r="CX57" s="14">
        <f>ROUND(IF(CC57=0,0,HLOOKUP(CC$14,Villagers!$B$1:$V$33,CC57+3,FALSE)),)</f>
        <v>0</v>
      </c>
      <c r="CY57" s="14">
        <f>ROUND(IF(CD57=0,0,HLOOKUP(CD$14,Villagers!$B$1:$V$33,CD57+3,FALSE)),)</f>
        <v>0</v>
      </c>
      <c r="CZ57" s="14">
        <f>ROUND(IF(CE57=0,0,HLOOKUP(CE$14,Villagers!$B$1:$V$33,CE57+3,FALSE)),)</f>
        <v>5</v>
      </c>
      <c r="DA57" s="14">
        <f>ROUND(IF(CF57=0,0,HLOOKUP(CF$14,Villagers!$B$1:$V$33,CF57+3,FALSE)),)</f>
        <v>10</v>
      </c>
      <c r="DB57" s="14">
        <f>ROUND(IF(CG57=0,0,HLOOKUP(CG$14,Villagers!$B$1:$V$33,CG57+3,FALSE)),)</f>
        <v>10</v>
      </c>
      <c r="DC57" s="14">
        <f>ROUND(IF(CH57=0,0,HLOOKUP(CH$14,Villagers!$B$1:$V$33,CH57+3,FALSE)),)</f>
        <v>0</v>
      </c>
      <c r="DD57" s="14">
        <f>ROUND(IF(CI57=0,0,HLOOKUP(CI$14,Villagers!$B$1:$V$33,CI57+3,FALSE)),)</f>
        <v>0</v>
      </c>
      <c r="DE57" s="14">
        <f>ROUND(IF(CJ57=0,0,HLOOKUP(CJ$14,Villagers!$B$1:$V$33,CJ57+3,FALSE)),)</f>
        <v>2</v>
      </c>
      <c r="DF57" s="370">
        <f>ROUND(IF(CK57=0,0,HLOOKUP(CK$14,Villagers!$B$1:$V$33,CK57+3,FALSE)),)</f>
        <v>0</v>
      </c>
      <c r="DG57" s="370">
        <f>ROUND(IF(CL57=0,0,HLOOKUP(CL$14,Villagers!$B$1:$V$33,CL57+3,FALSE)),)</f>
        <v>0</v>
      </c>
      <c r="DH57" s="34">
        <f>ROUND(IF(CM57=0,0,HLOOKUP(CM$14,Villagers!$B$1:$V$33,CM57+3,FALSE)),)</f>
        <v>0</v>
      </c>
      <c r="DI57" s="109">
        <f t="shared" si="74"/>
        <v>0</v>
      </c>
      <c r="DJ57" s="50">
        <f t="shared" si="75"/>
        <v>0</v>
      </c>
      <c r="DK57" s="50">
        <f t="shared" si="76"/>
        <v>0</v>
      </c>
      <c r="DL57" s="50">
        <f t="shared" si="77"/>
        <v>0</v>
      </c>
      <c r="DM57" s="50">
        <f t="shared" si="78"/>
        <v>0</v>
      </c>
      <c r="DN57" s="50">
        <f t="shared" si="79"/>
        <v>0</v>
      </c>
      <c r="DO57" s="50">
        <f t="shared" si="80"/>
        <v>0</v>
      </c>
      <c r="DP57" s="50">
        <f t="shared" si="81"/>
        <v>0</v>
      </c>
      <c r="DQ57" s="50">
        <f t="shared" si="58"/>
        <v>0</v>
      </c>
      <c r="DR57" s="50">
        <f t="shared" si="59"/>
        <v>0</v>
      </c>
      <c r="DS57" s="96">
        <f>Miscelaneous!$D$4*Miscelaneous!$D$2^($CI57-1)</f>
        <v>1000</v>
      </c>
      <c r="DT57" s="333">
        <f t="shared" si="60"/>
        <v>1</v>
      </c>
      <c r="DU57" s="81">
        <v>1</v>
      </c>
      <c r="DV57" s="79">
        <f t="shared" si="61"/>
        <v>0</v>
      </c>
      <c r="DW57" s="79">
        <f t="shared" si="21"/>
        <v>0</v>
      </c>
      <c r="DX57" s="79">
        <f t="shared" si="62"/>
        <v>0</v>
      </c>
      <c r="DY57" s="79">
        <v>1</v>
      </c>
      <c r="DZ57" s="79">
        <f t="shared" si="22"/>
        <v>0</v>
      </c>
      <c r="EA57" s="79">
        <f t="shared" si="63"/>
        <v>0</v>
      </c>
      <c r="EB57" s="79">
        <f t="shared" si="64"/>
        <v>0</v>
      </c>
      <c r="EC57" s="79">
        <f t="shared" si="65"/>
        <v>0</v>
      </c>
      <c r="ED57" s="79">
        <v>1</v>
      </c>
      <c r="EE57" s="79">
        <v>1</v>
      </c>
      <c r="EF57" s="79">
        <f t="shared" si="66"/>
        <v>0</v>
      </c>
      <c r="EG57" s="79">
        <v>1</v>
      </c>
      <c r="EH57" s="79">
        <v>1</v>
      </c>
      <c r="EI57" s="79">
        <v>1</v>
      </c>
      <c r="EJ57" s="79">
        <v>1</v>
      </c>
      <c r="EK57" s="79">
        <v>1</v>
      </c>
      <c r="EL57" s="79">
        <v>1</v>
      </c>
      <c r="EM57" s="143">
        <f t="shared" si="67"/>
        <v>0</v>
      </c>
      <c r="EN57" s="143">
        <f t="shared" si="68"/>
        <v>0</v>
      </c>
      <c r="EO57" s="82">
        <f t="shared" si="69"/>
        <v>0</v>
      </c>
    </row>
    <row r="58" spans="1:145" x14ac:dyDescent="0.25">
      <c r="A58">
        <v>44</v>
      </c>
      <c r="B58" s="172" t="e">
        <f t="shared" si="23"/>
        <v>#N/A</v>
      </c>
      <c r="C58" s="121" t="e">
        <f t="shared" ref="C58:E58" si="132">AJ58-SUM(AB58:AB62)</f>
        <v>#N/A</v>
      </c>
      <c r="D58" s="122" t="e">
        <f t="shared" si="132"/>
        <v>#N/A</v>
      </c>
      <c r="E58" s="122" t="e">
        <f t="shared" si="132"/>
        <v>#N/A</v>
      </c>
      <c r="F58" s="176" t="e">
        <f t="shared" si="0"/>
        <v>#N/A</v>
      </c>
      <c r="G58" s="121">
        <f t="shared" si="25"/>
        <v>208</v>
      </c>
      <c r="H58" s="176" t="e">
        <f t="shared" si="26"/>
        <v>#N/A</v>
      </c>
      <c r="I58" s="48">
        <v>1</v>
      </c>
      <c r="J58" s="39"/>
      <c r="K58" s="350">
        <v>1</v>
      </c>
      <c r="L58" s="34" t="e">
        <f t="shared" si="1"/>
        <v>#N/A</v>
      </c>
      <c r="M58" s="38" t="e">
        <f>(HLOOKUP(J58,'Construction Times'!$B$3:$W$34,L58+2,FALSE)*HLOOKUP("hq modifier",'Construction Times'!$W$3:$W$34,BS58+2,FALSE))*(1-$H$9)</f>
        <v>#N/A</v>
      </c>
      <c r="N58" s="426" t="e">
        <f t="shared" si="27"/>
        <v>#N/A</v>
      </c>
      <c r="O58" s="427"/>
      <c r="P58" s="430" t="e">
        <f t="shared" si="28"/>
        <v>#N/A</v>
      </c>
      <c r="Q58" s="431"/>
      <c r="R58" s="103">
        <f t="shared" si="71"/>
        <v>0</v>
      </c>
      <c r="S58" s="104">
        <f t="shared" si="71"/>
        <v>0</v>
      </c>
      <c r="T58" s="104">
        <f t="shared" si="72"/>
        <v>0</v>
      </c>
      <c r="U58" s="104">
        <f t="shared" si="72"/>
        <v>0</v>
      </c>
      <c r="V58" s="104">
        <f t="shared" si="72"/>
        <v>9.9999999999999995E-8</v>
      </c>
      <c r="W58" s="104">
        <f t="shared" si="72"/>
        <v>0</v>
      </c>
      <c r="X58" s="104">
        <f t="shared" si="116"/>
        <v>0</v>
      </c>
      <c r="Y58" s="104">
        <f t="shared" si="116"/>
        <v>9.9999999999999995E-8</v>
      </c>
      <c r="Z58" s="104">
        <f t="shared" si="116"/>
        <v>9.9999999999999995E-8</v>
      </c>
      <c r="AA58" s="105">
        <f t="shared" si="116"/>
        <v>9.9999999999999995E-8</v>
      </c>
      <c r="AB58" s="101" t="e">
        <f>$DT58*HLOOKUP($J58,'Construction Costs (timber)'!$B$1:$V$32,'Construction Planner'!$L58+2,FALSE)</f>
        <v>#N/A</v>
      </c>
      <c r="AC58" s="14" t="e">
        <f>$DT58*HLOOKUP($J58,'Construction Costs (clay)'!$B$1:$V$32,'Construction Planner'!$L58+2,FALSE)</f>
        <v>#N/A</v>
      </c>
      <c r="AD58" s="14" t="e">
        <f>$DT58*HLOOKUP($J58,'Construction Costs (iron)'!$B$1:$V$32,'Construction Planner'!$L58+2,FALSE)</f>
        <v>#N/A</v>
      </c>
      <c r="AE58" s="34" t="e">
        <f t="shared" si="86"/>
        <v>#N/A</v>
      </c>
      <c r="AF58" s="33" t="e">
        <f t="shared" si="3"/>
        <v>#N/A</v>
      </c>
      <c r="AG58" s="14" t="e">
        <f t="shared" si="4"/>
        <v>#N/A</v>
      </c>
      <c r="AH58" s="14" t="e">
        <f t="shared" si="5"/>
        <v>#N/A</v>
      </c>
      <c r="AI58" s="34" t="e">
        <f t="shared" si="87"/>
        <v>#N/A</v>
      </c>
      <c r="AJ58" s="49" t="e">
        <f t="shared" si="31"/>
        <v>#N/A</v>
      </c>
      <c r="AK58" s="49" t="e">
        <f t="shared" si="32"/>
        <v>#N/A</v>
      </c>
      <c r="AL58" s="49" t="e">
        <f t="shared" si="33"/>
        <v>#N/A</v>
      </c>
      <c r="AM58" s="25">
        <f t="shared" si="6"/>
        <v>30</v>
      </c>
      <c r="AN58" s="25">
        <f t="shared" si="7"/>
        <v>30</v>
      </c>
      <c r="AO58" s="25">
        <f t="shared" si="8"/>
        <v>30</v>
      </c>
      <c r="AP58" s="52" t="e">
        <f t="shared" si="34"/>
        <v>#N/A</v>
      </c>
      <c r="AQ58" s="53" t="e">
        <f t="shared" si="34"/>
        <v>#N/A</v>
      </c>
      <c r="AR58" s="54" t="e">
        <f t="shared" si="34"/>
        <v>#N/A</v>
      </c>
      <c r="AS58" s="316">
        <f t="shared" si="88"/>
        <v>0</v>
      </c>
      <c r="AT58" s="106">
        <f>_xlfn.IFNA($M58/VLOOKUP($BT58,'Unit information'!$A$2:$K$29,2,FALSE)*R58,0)*(1+$E$9)</f>
        <v>0</v>
      </c>
      <c r="AU58" s="107">
        <f>_xlfn.IFNA($M58/VLOOKUP($BT58,'Unit information'!$A$2:$K$29,3,FALSE)*S58,0)*(1+$E$9)</f>
        <v>0</v>
      </c>
      <c r="AV58" s="107">
        <f>_xlfn.IFNA($M58/VLOOKUP($BT58,'Unit information'!$A$2:$K$29,4,FALSE)*T58,0)*(1+$E$9)</f>
        <v>0</v>
      </c>
      <c r="AW58" s="107">
        <f>_xlfn.IFNA($M58/VLOOKUP($BT58,'Unit information'!$A$2:$K$29,5,FALSE)*U58,0)*(1+$E$9)</f>
        <v>0</v>
      </c>
      <c r="AX58" s="107">
        <f>_xlfn.IFNA($M58/VLOOKUP($BU58,'Unit information'!$A$2:$K$29,6,FALSE)*V58,0)*(1+$E$9)</f>
        <v>0</v>
      </c>
      <c r="AY58" s="107">
        <f>_xlfn.IFNA($M58/VLOOKUP($BU58,'Unit information'!$A$2:$K$29,7,FALSE)*W58,0)*(1+$E$9)</f>
        <v>0</v>
      </c>
      <c r="AZ58" s="107">
        <f>_xlfn.IFNA($M58/VLOOKUP($BU58,'Unit information'!$A$2:$K$29,8,FALSE)*X58,0)*(1+$E$9)</f>
        <v>0</v>
      </c>
      <c r="BA58" s="107">
        <f>_xlfn.IFNA($M58/VLOOKUP($BU58,'Unit information'!$A$2:$K$29,9,FALSE)*Y58,0)*(1+$E$9)</f>
        <v>0</v>
      </c>
      <c r="BB58" s="107">
        <f>_xlfn.IFNA($M58/VLOOKUP($BV58,'Unit information'!$A$2:$K$29,10,FALSE)*Z58,0)*(1+$E$9)</f>
        <v>0</v>
      </c>
      <c r="BC58" s="108">
        <f>_xlfn.IFNA($M58/VLOOKUP($BV58,'Unit information'!$A$2:$K$29,11,FALSE)*AA58,0)*(1+$E$9)</f>
        <v>0</v>
      </c>
      <c r="BD58" s="106">
        <f t="shared" si="10"/>
        <v>0</v>
      </c>
      <c r="BE58" s="107">
        <f t="shared" si="11"/>
        <v>0</v>
      </c>
      <c r="BF58" s="108">
        <f t="shared" si="12"/>
        <v>0</v>
      </c>
      <c r="BG58" s="25" t="e">
        <f t="shared" si="13"/>
        <v>#N/A</v>
      </c>
      <c r="BH58" s="25" t="e">
        <f t="shared" si="14"/>
        <v>#N/A</v>
      </c>
      <c r="BI58" s="25" t="e">
        <f t="shared" si="15"/>
        <v>#N/A</v>
      </c>
      <c r="BJ58" s="27" t="e">
        <f t="shared" si="16"/>
        <v>#N/A</v>
      </c>
      <c r="BK58" s="18" t="e">
        <f t="shared" si="17"/>
        <v>#N/A</v>
      </c>
      <c r="BL58" s="18" t="e">
        <f t="shared" si="18"/>
        <v>#N/A</v>
      </c>
      <c r="BM58" s="28" t="e">
        <f t="shared" si="89"/>
        <v>#N/A</v>
      </c>
      <c r="BN58" s="33">
        <f>HLOOKUP("maximum population",Miscelaneous!$C$1:$C$33,CH58+3,FALSE)</f>
        <v>240</v>
      </c>
      <c r="BO58" s="14">
        <f t="shared" si="35"/>
        <v>32</v>
      </c>
      <c r="BP58" s="14">
        <f t="shared" si="36"/>
        <v>0</v>
      </c>
      <c r="BQ58" s="14">
        <f t="shared" si="37"/>
        <v>208</v>
      </c>
      <c r="BR58" s="34" t="e">
        <f>HLOOKUP(J58,Villagers!$B$1:$V$33,L58+3,FALSE)-HLOOKUP(J58,Villagers!$B$1:$V$33,L58+2,FALSE)</f>
        <v>#N/A</v>
      </c>
      <c r="BS58" s="49">
        <f t="shared" si="38"/>
        <v>1</v>
      </c>
      <c r="BT58" s="50">
        <f t="shared" si="39"/>
        <v>0</v>
      </c>
      <c r="BU58" s="50">
        <f t="shared" si="40"/>
        <v>0</v>
      </c>
      <c r="BV58" s="50">
        <f t="shared" si="120"/>
        <v>0</v>
      </c>
      <c r="BW58" s="50">
        <f t="shared" si="121"/>
        <v>0</v>
      </c>
      <c r="BX58" s="50">
        <f t="shared" si="122"/>
        <v>0</v>
      </c>
      <c r="BY58" s="50">
        <f t="shared" si="122"/>
        <v>0</v>
      </c>
      <c r="BZ58" s="50">
        <f t="shared" si="44"/>
        <v>0</v>
      </c>
      <c r="CA58" s="50">
        <f t="shared" si="45"/>
        <v>0</v>
      </c>
      <c r="CB58" s="50">
        <f t="shared" si="46"/>
        <v>1</v>
      </c>
      <c r="CC58" s="50">
        <f t="shared" si="47"/>
        <v>0</v>
      </c>
      <c r="CD58" s="50">
        <f t="shared" si="48"/>
        <v>0</v>
      </c>
      <c r="CE58" s="50">
        <f t="shared" si="49"/>
        <v>1</v>
      </c>
      <c r="CF58" s="50">
        <f t="shared" si="50"/>
        <v>1</v>
      </c>
      <c r="CG58" s="50">
        <f t="shared" si="51"/>
        <v>1</v>
      </c>
      <c r="CH58" s="50">
        <f t="shared" si="52"/>
        <v>1</v>
      </c>
      <c r="CI58" s="50">
        <f t="shared" si="53"/>
        <v>1</v>
      </c>
      <c r="CJ58" s="50">
        <f t="shared" si="54"/>
        <v>1</v>
      </c>
      <c r="CK58" s="50">
        <f t="shared" si="55"/>
        <v>0</v>
      </c>
      <c r="CL58" s="50">
        <f t="shared" si="54"/>
        <v>0</v>
      </c>
      <c r="CM58" s="51">
        <f t="shared" si="56"/>
        <v>0</v>
      </c>
      <c r="CN58" s="33">
        <f>ROUND(IF(BS58=0,0,HLOOKUP(BS$14,Villagers!$B$1:$V$33,BS58+3,FALSE)),)</f>
        <v>5</v>
      </c>
      <c r="CO58" s="14">
        <f>ROUND(IF(BT58=0,0,HLOOKUP(BT$14,Villagers!$B$1:$V$33,BT58+3,FALSE)),)</f>
        <v>0</v>
      </c>
      <c r="CP58" s="14">
        <f>ROUND(IF(BU58=0,0,HLOOKUP(BU$14,Villagers!$B$1:$V$33,BU58+3,FALSE)),)</f>
        <v>0</v>
      </c>
      <c r="CQ58" s="14">
        <f>ROUND(IF(BV58=0,0,HLOOKUP(BV$14,Villagers!$B$1:$V$33,BV58+3,FALSE)),)</f>
        <v>0</v>
      </c>
      <c r="CR58" s="14">
        <f>ROUND(IF(BW58=0,0,HLOOKUP(BW$14,Villagers!$B$1:$V$33,BW58+3,FALSE)),)</f>
        <v>0</v>
      </c>
      <c r="CS58" s="14">
        <f>ROUND(IF(BX58=0,0,HLOOKUP(BX$14,Villagers!$B$1:$V$33,BX58+3,FALSE)),)</f>
        <v>0</v>
      </c>
      <c r="CT58" s="14">
        <f>ROUND(IF(BY58=0,0,HLOOKUP(BY$14,Villagers!$B$1:$V$33,BY58+3,FALSE)),)</f>
        <v>0</v>
      </c>
      <c r="CU58" s="14">
        <f>ROUND(IF(BZ58=0,0,HLOOKUP(BZ$14,Villagers!$B$1:$V$33,BZ58+3,FALSE)),)</f>
        <v>0</v>
      </c>
      <c r="CV58" s="14">
        <f>ROUND(IF(CA58=0,0,HLOOKUP(CA$14,Villagers!$B$1:$V$33,CA58+3,FALSE)),)</f>
        <v>0</v>
      </c>
      <c r="CW58" s="14">
        <f>ROUND(IF(CB58=0,0,HLOOKUP(CB$14,Villagers!$B$1:$V$33,CB58+3,FALSE)),)</f>
        <v>0</v>
      </c>
      <c r="CX58" s="14">
        <f>ROUND(IF(CC58=0,0,HLOOKUP(CC$14,Villagers!$B$1:$V$33,CC58+3,FALSE)),)</f>
        <v>0</v>
      </c>
      <c r="CY58" s="14">
        <f>ROUND(IF(CD58=0,0,HLOOKUP(CD$14,Villagers!$B$1:$V$33,CD58+3,FALSE)),)</f>
        <v>0</v>
      </c>
      <c r="CZ58" s="14">
        <f>ROUND(IF(CE58=0,0,HLOOKUP(CE$14,Villagers!$B$1:$V$33,CE58+3,FALSE)),)</f>
        <v>5</v>
      </c>
      <c r="DA58" s="14">
        <f>ROUND(IF(CF58=0,0,HLOOKUP(CF$14,Villagers!$B$1:$V$33,CF58+3,FALSE)),)</f>
        <v>10</v>
      </c>
      <c r="DB58" s="14">
        <f>ROUND(IF(CG58=0,0,HLOOKUP(CG$14,Villagers!$B$1:$V$33,CG58+3,FALSE)),)</f>
        <v>10</v>
      </c>
      <c r="DC58" s="14">
        <f>ROUND(IF(CH58=0,0,HLOOKUP(CH$14,Villagers!$B$1:$V$33,CH58+3,FALSE)),)</f>
        <v>0</v>
      </c>
      <c r="DD58" s="14">
        <f>ROUND(IF(CI58=0,0,HLOOKUP(CI$14,Villagers!$B$1:$V$33,CI58+3,FALSE)),)</f>
        <v>0</v>
      </c>
      <c r="DE58" s="14">
        <f>ROUND(IF(CJ58=0,0,HLOOKUP(CJ$14,Villagers!$B$1:$V$33,CJ58+3,FALSE)),)</f>
        <v>2</v>
      </c>
      <c r="DF58" s="370">
        <f>ROUND(IF(CK58=0,0,HLOOKUP(CK$14,Villagers!$B$1:$V$33,CK58+3,FALSE)),)</f>
        <v>0</v>
      </c>
      <c r="DG58" s="370">
        <f>ROUND(IF(CL58=0,0,HLOOKUP(CL$14,Villagers!$B$1:$V$33,CL58+3,FALSE)),)</f>
        <v>0</v>
      </c>
      <c r="DH58" s="34">
        <f>ROUND(IF(CM58=0,0,HLOOKUP(CM$14,Villagers!$B$1:$V$33,CM58+3,FALSE)),)</f>
        <v>0</v>
      </c>
      <c r="DI58" s="109">
        <f t="shared" si="74"/>
        <v>0</v>
      </c>
      <c r="DJ58" s="50">
        <f t="shared" si="75"/>
        <v>0</v>
      </c>
      <c r="DK58" s="50">
        <f t="shared" si="76"/>
        <v>0</v>
      </c>
      <c r="DL58" s="50">
        <f t="shared" si="77"/>
        <v>0</v>
      </c>
      <c r="DM58" s="50">
        <f t="shared" si="78"/>
        <v>0</v>
      </c>
      <c r="DN58" s="50">
        <f t="shared" si="79"/>
        <v>0</v>
      </c>
      <c r="DO58" s="50">
        <f t="shared" si="80"/>
        <v>0</v>
      </c>
      <c r="DP58" s="50">
        <f t="shared" si="81"/>
        <v>0</v>
      </c>
      <c r="DQ58" s="50">
        <f t="shared" si="58"/>
        <v>0</v>
      </c>
      <c r="DR58" s="50">
        <f t="shared" si="59"/>
        <v>0</v>
      </c>
      <c r="DS58" s="96">
        <f>Miscelaneous!$D$4*Miscelaneous!$D$2^($CI58-1)</f>
        <v>1000</v>
      </c>
      <c r="DT58" s="333">
        <f t="shared" si="60"/>
        <v>1</v>
      </c>
      <c r="DU58" s="81">
        <v>1</v>
      </c>
      <c r="DV58" s="79">
        <f t="shared" si="61"/>
        <v>0</v>
      </c>
      <c r="DW58" s="79">
        <f t="shared" si="21"/>
        <v>0</v>
      </c>
      <c r="DX58" s="79">
        <f t="shared" si="62"/>
        <v>0</v>
      </c>
      <c r="DY58" s="79">
        <v>1</v>
      </c>
      <c r="DZ58" s="79">
        <f t="shared" si="22"/>
        <v>0</v>
      </c>
      <c r="EA58" s="79">
        <f t="shared" si="63"/>
        <v>0</v>
      </c>
      <c r="EB58" s="79">
        <f t="shared" si="64"/>
        <v>0</v>
      </c>
      <c r="EC58" s="79">
        <f t="shared" si="65"/>
        <v>0</v>
      </c>
      <c r="ED58" s="79">
        <v>1</v>
      </c>
      <c r="EE58" s="79">
        <v>1</v>
      </c>
      <c r="EF58" s="79">
        <f t="shared" si="66"/>
        <v>0</v>
      </c>
      <c r="EG58" s="79">
        <v>1</v>
      </c>
      <c r="EH58" s="79">
        <v>1</v>
      </c>
      <c r="EI58" s="79">
        <v>1</v>
      </c>
      <c r="EJ58" s="79">
        <v>1</v>
      </c>
      <c r="EK58" s="79">
        <v>1</v>
      </c>
      <c r="EL58" s="79">
        <v>1</v>
      </c>
      <c r="EM58" s="143">
        <f t="shared" si="67"/>
        <v>0</v>
      </c>
      <c r="EN58" s="143">
        <f t="shared" si="68"/>
        <v>0</v>
      </c>
      <c r="EO58" s="82">
        <f t="shared" si="69"/>
        <v>0</v>
      </c>
    </row>
    <row r="59" spans="1:145" x14ac:dyDescent="0.25">
      <c r="A59">
        <v>45</v>
      </c>
      <c r="B59" s="172" t="e">
        <f t="shared" si="23"/>
        <v>#N/A</v>
      </c>
      <c r="C59" s="121" t="e">
        <f t="shared" ref="C59:E59" si="133">AJ59-SUM(AB59:AB63)</f>
        <v>#N/A</v>
      </c>
      <c r="D59" s="122" t="e">
        <f t="shared" si="133"/>
        <v>#N/A</v>
      </c>
      <c r="E59" s="122" t="e">
        <f t="shared" si="133"/>
        <v>#N/A</v>
      </c>
      <c r="F59" s="176" t="e">
        <f t="shared" si="0"/>
        <v>#N/A</v>
      </c>
      <c r="G59" s="121">
        <f t="shared" si="25"/>
        <v>208</v>
      </c>
      <c r="H59" s="176" t="e">
        <f t="shared" si="26"/>
        <v>#N/A</v>
      </c>
      <c r="I59" s="48">
        <v>1</v>
      </c>
      <c r="J59" s="39"/>
      <c r="K59" s="350">
        <v>1</v>
      </c>
      <c r="L59" s="34" t="e">
        <f t="shared" si="1"/>
        <v>#N/A</v>
      </c>
      <c r="M59" s="38" t="e">
        <f>(HLOOKUP(J59,'Construction Times'!$B$3:$W$34,L59+2,FALSE)*HLOOKUP("hq modifier",'Construction Times'!$W$3:$W$34,BS59+2,FALSE))*(1-$H$9)</f>
        <v>#N/A</v>
      </c>
      <c r="N59" s="426" t="e">
        <f t="shared" si="27"/>
        <v>#N/A</v>
      </c>
      <c r="O59" s="427"/>
      <c r="P59" s="430" t="e">
        <f t="shared" si="28"/>
        <v>#N/A</v>
      </c>
      <c r="Q59" s="431"/>
      <c r="R59" s="103">
        <f t="shared" si="71"/>
        <v>0</v>
      </c>
      <c r="S59" s="104">
        <f t="shared" si="71"/>
        <v>0</v>
      </c>
      <c r="T59" s="104">
        <f t="shared" si="72"/>
        <v>0</v>
      </c>
      <c r="U59" s="104">
        <f t="shared" si="72"/>
        <v>0</v>
      </c>
      <c r="V59" s="104">
        <f t="shared" si="72"/>
        <v>9.9999999999999995E-8</v>
      </c>
      <c r="W59" s="104">
        <f t="shared" si="72"/>
        <v>0</v>
      </c>
      <c r="X59" s="104">
        <f t="shared" si="116"/>
        <v>0</v>
      </c>
      <c r="Y59" s="104">
        <f t="shared" si="116"/>
        <v>9.9999999999999995E-8</v>
      </c>
      <c r="Z59" s="104">
        <f t="shared" si="116"/>
        <v>9.9999999999999995E-8</v>
      </c>
      <c r="AA59" s="105">
        <f t="shared" si="116"/>
        <v>9.9999999999999995E-8</v>
      </c>
      <c r="AB59" s="101" t="e">
        <f>$DT59*HLOOKUP($J59,'Construction Costs (timber)'!$B$1:$V$32,'Construction Planner'!$L59+2,FALSE)</f>
        <v>#N/A</v>
      </c>
      <c r="AC59" s="14" t="e">
        <f>$DT59*HLOOKUP($J59,'Construction Costs (clay)'!$B$1:$V$32,'Construction Planner'!$L59+2,FALSE)</f>
        <v>#N/A</v>
      </c>
      <c r="AD59" s="14" t="e">
        <f>$DT59*HLOOKUP($J59,'Construction Costs (iron)'!$B$1:$V$32,'Construction Planner'!$L59+2,FALSE)</f>
        <v>#N/A</v>
      </c>
      <c r="AE59" s="34" t="e">
        <f t="shared" si="86"/>
        <v>#N/A</v>
      </c>
      <c r="AF59" s="33" t="e">
        <f t="shared" si="3"/>
        <v>#N/A</v>
      </c>
      <c r="AG59" s="14" t="e">
        <f t="shared" si="4"/>
        <v>#N/A</v>
      </c>
      <c r="AH59" s="14" t="e">
        <f t="shared" si="5"/>
        <v>#N/A</v>
      </c>
      <c r="AI59" s="34" t="e">
        <f t="shared" si="87"/>
        <v>#N/A</v>
      </c>
      <c r="AJ59" s="49" t="e">
        <f t="shared" si="31"/>
        <v>#N/A</v>
      </c>
      <c r="AK59" s="49" t="e">
        <f t="shared" si="32"/>
        <v>#N/A</v>
      </c>
      <c r="AL59" s="49" t="e">
        <f t="shared" si="33"/>
        <v>#N/A</v>
      </c>
      <c r="AM59" s="25">
        <f t="shared" si="6"/>
        <v>30</v>
      </c>
      <c r="AN59" s="25">
        <f t="shared" si="7"/>
        <v>30</v>
      </c>
      <c r="AO59" s="25">
        <f t="shared" si="8"/>
        <v>30</v>
      </c>
      <c r="AP59" s="52" t="e">
        <f t="shared" si="34"/>
        <v>#N/A</v>
      </c>
      <c r="AQ59" s="53" t="e">
        <f t="shared" si="34"/>
        <v>#N/A</v>
      </c>
      <c r="AR59" s="54" t="e">
        <f t="shared" si="34"/>
        <v>#N/A</v>
      </c>
      <c r="AS59" s="316">
        <f t="shared" si="88"/>
        <v>0</v>
      </c>
      <c r="AT59" s="106">
        <f>_xlfn.IFNA($M59/VLOOKUP($BT59,'Unit information'!$A$2:$K$29,2,FALSE)*R59,0)*(1+$E$9)</f>
        <v>0</v>
      </c>
      <c r="AU59" s="107">
        <f>_xlfn.IFNA($M59/VLOOKUP($BT59,'Unit information'!$A$2:$K$29,3,FALSE)*S59,0)*(1+$E$9)</f>
        <v>0</v>
      </c>
      <c r="AV59" s="107">
        <f>_xlfn.IFNA($M59/VLOOKUP($BT59,'Unit information'!$A$2:$K$29,4,FALSE)*T59,0)*(1+$E$9)</f>
        <v>0</v>
      </c>
      <c r="AW59" s="107">
        <f>_xlfn.IFNA($M59/VLOOKUP($BT59,'Unit information'!$A$2:$K$29,5,FALSE)*U59,0)*(1+$E$9)</f>
        <v>0</v>
      </c>
      <c r="AX59" s="107">
        <f>_xlfn.IFNA($M59/VLOOKUP($BU59,'Unit information'!$A$2:$K$29,6,FALSE)*V59,0)*(1+$E$9)</f>
        <v>0</v>
      </c>
      <c r="AY59" s="107">
        <f>_xlfn.IFNA($M59/VLOOKUP($BU59,'Unit information'!$A$2:$K$29,7,FALSE)*W59,0)*(1+$E$9)</f>
        <v>0</v>
      </c>
      <c r="AZ59" s="107">
        <f>_xlfn.IFNA($M59/VLOOKUP($BU59,'Unit information'!$A$2:$K$29,8,FALSE)*X59,0)*(1+$E$9)</f>
        <v>0</v>
      </c>
      <c r="BA59" s="107">
        <f>_xlfn.IFNA($M59/VLOOKUP($BU59,'Unit information'!$A$2:$K$29,9,FALSE)*Y59,0)*(1+$E$9)</f>
        <v>0</v>
      </c>
      <c r="BB59" s="107">
        <f>_xlfn.IFNA($M59/VLOOKUP($BV59,'Unit information'!$A$2:$K$29,10,FALSE)*Z59,0)*(1+$E$9)</f>
        <v>0</v>
      </c>
      <c r="BC59" s="108">
        <f>_xlfn.IFNA($M59/VLOOKUP($BV59,'Unit information'!$A$2:$K$29,11,FALSE)*AA59,0)*(1+$E$9)</f>
        <v>0</v>
      </c>
      <c r="BD59" s="106">
        <f t="shared" si="10"/>
        <v>0</v>
      </c>
      <c r="BE59" s="107">
        <f t="shared" si="11"/>
        <v>0</v>
      </c>
      <c r="BF59" s="108">
        <f t="shared" si="12"/>
        <v>0</v>
      </c>
      <c r="BG59" s="25" t="e">
        <f t="shared" si="13"/>
        <v>#N/A</v>
      </c>
      <c r="BH59" s="25" t="e">
        <f t="shared" si="14"/>
        <v>#N/A</v>
      </c>
      <c r="BI59" s="25" t="e">
        <f t="shared" si="15"/>
        <v>#N/A</v>
      </c>
      <c r="BJ59" s="27" t="e">
        <f t="shared" si="16"/>
        <v>#N/A</v>
      </c>
      <c r="BK59" s="18" t="e">
        <f t="shared" si="17"/>
        <v>#N/A</v>
      </c>
      <c r="BL59" s="18" t="e">
        <f t="shared" si="18"/>
        <v>#N/A</v>
      </c>
      <c r="BM59" s="28" t="e">
        <f t="shared" si="89"/>
        <v>#N/A</v>
      </c>
      <c r="BN59" s="33">
        <f>HLOOKUP("maximum population",Miscelaneous!$C$1:$C$33,CH59+3,FALSE)</f>
        <v>240</v>
      </c>
      <c r="BO59" s="14">
        <f t="shared" si="35"/>
        <v>32</v>
      </c>
      <c r="BP59" s="14">
        <f t="shared" si="36"/>
        <v>0</v>
      </c>
      <c r="BQ59" s="14">
        <f t="shared" si="37"/>
        <v>208</v>
      </c>
      <c r="BR59" s="34" t="e">
        <f>HLOOKUP(J59,Villagers!$B$1:$V$33,L59+3,FALSE)-HLOOKUP(J59,Villagers!$B$1:$V$33,L59+2,FALSE)</f>
        <v>#N/A</v>
      </c>
      <c r="BS59" s="49">
        <f t="shared" si="38"/>
        <v>1</v>
      </c>
      <c r="BT59" s="50">
        <f t="shared" si="39"/>
        <v>0</v>
      </c>
      <c r="BU59" s="50">
        <f t="shared" si="40"/>
        <v>0</v>
      </c>
      <c r="BV59" s="50">
        <f t="shared" si="120"/>
        <v>0</v>
      </c>
      <c r="BW59" s="50">
        <f t="shared" si="121"/>
        <v>0</v>
      </c>
      <c r="BX59" s="50">
        <f t="shared" si="122"/>
        <v>0</v>
      </c>
      <c r="BY59" s="50">
        <f t="shared" si="122"/>
        <v>0</v>
      </c>
      <c r="BZ59" s="50">
        <f t="shared" si="44"/>
        <v>0</v>
      </c>
      <c r="CA59" s="50">
        <f t="shared" si="45"/>
        <v>0</v>
      </c>
      <c r="CB59" s="50">
        <f t="shared" si="46"/>
        <v>1</v>
      </c>
      <c r="CC59" s="50">
        <f t="shared" si="47"/>
        <v>0</v>
      </c>
      <c r="CD59" s="50">
        <f t="shared" si="48"/>
        <v>0</v>
      </c>
      <c r="CE59" s="50">
        <f t="shared" si="49"/>
        <v>1</v>
      </c>
      <c r="CF59" s="50">
        <f t="shared" si="50"/>
        <v>1</v>
      </c>
      <c r="CG59" s="50">
        <f t="shared" si="51"/>
        <v>1</v>
      </c>
      <c r="CH59" s="50">
        <f t="shared" si="52"/>
        <v>1</v>
      </c>
      <c r="CI59" s="50">
        <f t="shared" si="53"/>
        <v>1</v>
      </c>
      <c r="CJ59" s="50">
        <f t="shared" si="54"/>
        <v>1</v>
      </c>
      <c r="CK59" s="50">
        <f t="shared" si="55"/>
        <v>0</v>
      </c>
      <c r="CL59" s="50">
        <f t="shared" si="54"/>
        <v>0</v>
      </c>
      <c r="CM59" s="51">
        <f t="shared" si="56"/>
        <v>0</v>
      </c>
      <c r="CN59" s="33">
        <f>ROUND(IF(BS59=0,0,HLOOKUP(BS$14,Villagers!$B$1:$V$33,BS59+3,FALSE)),)</f>
        <v>5</v>
      </c>
      <c r="CO59" s="14">
        <f>ROUND(IF(BT59=0,0,HLOOKUP(BT$14,Villagers!$B$1:$V$33,BT59+3,FALSE)),)</f>
        <v>0</v>
      </c>
      <c r="CP59" s="14">
        <f>ROUND(IF(BU59=0,0,HLOOKUP(BU$14,Villagers!$B$1:$V$33,BU59+3,FALSE)),)</f>
        <v>0</v>
      </c>
      <c r="CQ59" s="14">
        <f>ROUND(IF(BV59=0,0,HLOOKUP(BV$14,Villagers!$B$1:$V$33,BV59+3,FALSE)),)</f>
        <v>0</v>
      </c>
      <c r="CR59" s="14">
        <f>ROUND(IF(BW59=0,0,HLOOKUP(BW$14,Villagers!$B$1:$V$33,BW59+3,FALSE)),)</f>
        <v>0</v>
      </c>
      <c r="CS59" s="14">
        <f>ROUND(IF(BX59=0,0,HLOOKUP(BX$14,Villagers!$B$1:$V$33,BX59+3,FALSE)),)</f>
        <v>0</v>
      </c>
      <c r="CT59" s="14">
        <f>ROUND(IF(BY59=0,0,HLOOKUP(BY$14,Villagers!$B$1:$V$33,BY59+3,FALSE)),)</f>
        <v>0</v>
      </c>
      <c r="CU59" s="14">
        <f>ROUND(IF(BZ59=0,0,HLOOKUP(BZ$14,Villagers!$B$1:$V$33,BZ59+3,FALSE)),)</f>
        <v>0</v>
      </c>
      <c r="CV59" s="14">
        <f>ROUND(IF(CA59=0,0,HLOOKUP(CA$14,Villagers!$B$1:$V$33,CA59+3,FALSE)),)</f>
        <v>0</v>
      </c>
      <c r="CW59" s="14">
        <f>ROUND(IF(CB59=0,0,HLOOKUP(CB$14,Villagers!$B$1:$V$33,CB59+3,FALSE)),)</f>
        <v>0</v>
      </c>
      <c r="CX59" s="14">
        <f>ROUND(IF(CC59=0,0,HLOOKUP(CC$14,Villagers!$B$1:$V$33,CC59+3,FALSE)),)</f>
        <v>0</v>
      </c>
      <c r="CY59" s="14">
        <f>ROUND(IF(CD59=0,0,HLOOKUP(CD$14,Villagers!$B$1:$V$33,CD59+3,FALSE)),)</f>
        <v>0</v>
      </c>
      <c r="CZ59" s="14">
        <f>ROUND(IF(CE59=0,0,HLOOKUP(CE$14,Villagers!$B$1:$V$33,CE59+3,FALSE)),)</f>
        <v>5</v>
      </c>
      <c r="DA59" s="14">
        <f>ROUND(IF(CF59=0,0,HLOOKUP(CF$14,Villagers!$B$1:$V$33,CF59+3,FALSE)),)</f>
        <v>10</v>
      </c>
      <c r="DB59" s="14">
        <f>ROUND(IF(CG59=0,0,HLOOKUP(CG$14,Villagers!$B$1:$V$33,CG59+3,FALSE)),)</f>
        <v>10</v>
      </c>
      <c r="DC59" s="14">
        <f>ROUND(IF(CH59=0,0,HLOOKUP(CH$14,Villagers!$B$1:$V$33,CH59+3,FALSE)),)</f>
        <v>0</v>
      </c>
      <c r="DD59" s="14">
        <f>ROUND(IF(CI59=0,0,HLOOKUP(CI$14,Villagers!$B$1:$V$33,CI59+3,FALSE)),)</f>
        <v>0</v>
      </c>
      <c r="DE59" s="14">
        <f>ROUND(IF(CJ59=0,0,HLOOKUP(CJ$14,Villagers!$B$1:$V$33,CJ59+3,FALSE)),)</f>
        <v>2</v>
      </c>
      <c r="DF59" s="370">
        <f>ROUND(IF(CK59=0,0,HLOOKUP(CK$14,Villagers!$B$1:$V$33,CK59+3,FALSE)),)</f>
        <v>0</v>
      </c>
      <c r="DG59" s="370">
        <f>ROUND(IF(CL59=0,0,HLOOKUP(CL$14,Villagers!$B$1:$V$33,CL59+3,FALSE)),)</f>
        <v>0</v>
      </c>
      <c r="DH59" s="34">
        <f>ROUND(IF(CM59=0,0,HLOOKUP(CM$14,Villagers!$B$1:$V$33,CM59+3,FALSE)),)</f>
        <v>0</v>
      </c>
      <c r="DI59" s="109">
        <f t="shared" si="74"/>
        <v>0</v>
      </c>
      <c r="DJ59" s="50">
        <f t="shared" si="75"/>
        <v>0</v>
      </c>
      <c r="DK59" s="50">
        <f t="shared" si="76"/>
        <v>0</v>
      </c>
      <c r="DL59" s="50">
        <f t="shared" si="77"/>
        <v>0</v>
      </c>
      <c r="DM59" s="50">
        <f t="shared" si="78"/>
        <v>0</v>
      </c>
      <c r="DN59" s="50">
        <f t="shared" si="79"/>
        <v>0</v>
      </c>
      <c r="DO59" s="50">
        <f t="shared" si="80"/>
        <v>0</v>
      </c>
      <c r="DP59" s="50">
        <f t="shared" si="81"/>
        <v>0</v>
      </c>
      <c r="DQ59" s="50">
        <f t="shared" si="58"/>
        <v>0</v>
      </c>
      <c r="DR59" s="50">
        <f t="shared" si="59"/>
        <v>0</v>
      </c>
      <c r="DS59" s="96">
        <f>Miscelaneous!$D$4*Miscelaneous!$D$2^($CI59-1)</f>
        <v>1000</v>
      </c>
      <c r="DT59" s="333">
        <f t="shared" si="60"/>
        <v>1</v>
      </c>
      <c r="DU59" s="81">
        <v>1</v>
      </c>
      <c r="DV59" s="79">
        <f t="shared" si="61"/>
        <v>0</v>
      </c>
      <c r="DW59" s="79">
        <f t="shared" si="21"/>
        <v>0</v>
      </c>
      <c r="DX59" s="79">
        <f t="shared" si="62"/>
        <v>0</v>
      </c>
      <c r="DY59" s="79">
        <v>1</v>
      </c>
      <c r="DZ59" s="79">
        <f t="shared" si="22"/>
        <v>0</v>
      </c>
      <c r="EA59" s="79">
        <f t="shared" si="63"/>
        <v>0</v>
      </c>
      <c r="EB59" s="79">
        <f t="shared" si="64"/>
        <v>0</v>
      </c>
      <c r="EC59" s="79">
        <f t="shared" si="65"/>
        <v>0</v>
      </c>
      <c r="ED59" s="79">
        <v>1</v>
      </c>
      <c r="EE59" s="79">
        <v>1</v>
      </c>
      <c r="EF59" s="79">
        <f t="shared" si="66"/>
        <v>0</v>
      </c>
      <c r="EG59" s="79">
        <v>1</v>
      </c>
      <c r="EH59" s="79">
        <v>1</v>
      </c>
      <c r="EI59" s="79">
        <v>1</v>
      </c>
      <c r="EJ59" s="79">
        <v>1</v>
      </c>
      <c r="EK59" s="79">
        <v>1</v>
      </c>
      <c r="EL59" s="79">
        <v>1</v>
      </c>
      <c r="EM59" s="143">
        <f t="shared" si="67"/>
        <v>0</v>
      </c>
      <c r="EN59" s="143">
        <f t="shared" si="68"/>
        <v>0</v>
      </c>
      <c r="EO59" s="82">
        <f t="shared" si="69"/>
        <v>0</v>
      </c>
    </row>
    <row r="60" spans="1:145" x14ac:dyDescent="0.25">
      <c r="A60">
        <v>46</v>
      </c>
      <c r="B60" s="172" t="e">
        <f t="shared" si="23"/>
        <v>#N/A</v>
      </c>
      <c r="C60" s="121" t="e">
        <f t="shared" ref="C60:E60" si="134">AJ60-SUM(AB60:AB64)</f>
        <v>#N/A</v>
      </c>
      <c r="D60" s="122" t="e">
        <f t="shared" si="134"/>
        <v>#N/A</v>
      </c>
      <c r="E60" s="122" t="e">
        <f t="shared" si="134"/>
        <v>#N/A</v>
      </c>
      <c r="F60" s="176" t="e">
        <f t="shared" si="0"/>
        <v>#N/A</v>
      </c>
      <c r="G60" s="121">
        <f t="shared" si="25"/>
        <v>208</v>
      </c>
      <c r="H60" s="176" t="e">
        <f t="shared" si="26"/>
        <v>#N/A</v>
      </c>
      <c r="I60" s="48">
        <v>1</v>
      </c>
      <c r="J60" s="39"/>
      <c r="K60" s="350">
        <v>1</v>
      </c>
      <c r="L60" s="34" t="e">
        <f t="shared" si="1"/>
        <v>#N/A</v>
      </c>
      <c r="M60" s="38" t="e">
        <f>(HLOOKUP(J60,'Construction Times'!$B$3:$W$34,L60+2,FALSE)*HLOOKUP("hq modifier",'Construction Times'!$W$3:$W$34,BS60+2,FALSE))*(1-$H$9)</f>
        <v>#N/A</v>
      </c>
      <c r="N60" s="426" t="e">
        <f t="shared" si="27"/>
        <v>#N/A</v>
      </c>
      <c r="O60" s="427"/>
      <c r="P60" s="430" t="e">
        <f t="shared" si="28"/>
        <v>#N/A</v>
      </c>
      <c r="Q60" s="431"/>
      <c r="R60" s="103">
        <f t="shared" si="71"/>
        <v>0</v>
      </c>
      <c r="S60" s="104">
        <f t="shared" si="71"/>
        <v>0</v>
      </c>
      <c r="T60" s="104">
        <f t="shared" si="72"/>
        <v>0</v>
      </c>
      <c r="U60" s="104">
        <f t="shared" si="72"/>
        <v>0</v>
      </c>
      <c r="V60" s="104">
        <f t="shared" si="72"/>
        <v>9.9999999999999995E-8</v>
      </c>
      <c r="W60" s="104">
        <f t="shared" si="72"/>
        <v>0</v>
      </c>
      <c r="X60" s="104">
        <f t="shared" si="116"/>
        <v>0</v>
      </c>
      <c r="Y60" s="104">
        <f t="shared" si="116"/>
        <v>9.9999999999999995E-8</v>
      </c>
      <c r="Z60" s="104">
        <f t="shared" si="116"/>
        <v>9.9999999999999995E-8</v>
      </c>
      <c r="AA60" s="105">
        <f t="shared" si="116"/>
        <v>9.9999999999999995E-8</v>
      </c>
      <c r="AB60" s="101" t="e">
        <f>$DT60*HLOOKUP($J60,'Construction Costs (timber)'!$B$1:$V$32,'Construction Planner'!$L60+2,FALSE)</f>
        <v>#N/A</v>
      </c>
      <c r="AC60" s="14" t="e">
        <f>$DT60*HLOOKUP($J60,'Construction Costs (clay)'!$B$1:$V$32,'Construction Planner'!$L60+2,FALSE)</f>
        <v>#N/A</v>
      </c>
      <c r="AD60" s="14" t="e">
        <f>$DT60*HLOOKUP($J60,'Construction Costs (iron)'!$B$1:$V$32,'Construction Planner'!$L60+2,FALSE)</f>
        <v>#N/A</v>
      </c>
      <c r="AE60" s="34" t="e">
        <f t="shared" si="86"/>
        <v>#N/A</v>
      </c>
      <c r="AF60" s="33" t="e">
        <f t="shared" si="3"/>
        <v>#N/A</v>
      </c>
      <c r="AG60" s="14" t="e">
        <f t="shared" si="4"/>
        <v>#N/A</v>
      </c>
      <c r="AH60" s="14" t="e">
        <f t="shared" si="5"/>
        <v>#N/A</v>
      </c>
      <c r="AI60" s="34" t="e">
        <f t="shared" si="87"/>
        <v>#N/A</v>
      </c>
      <c r="AJ60" s="49" t="e">
        <f t="shared" si="31"/>
        <v>#N/A</v>
      </c>
      <c r="AK60" s="49" t="e">
        <f t="shared" si="32"/>
        <v>#N/A</v>
      </c>
      <c r="AL60" s="49" t="e">
        <f t="shared" si="33"/>
        <v>#N/A</v>
      </c>
      <c r="AM60" s="25">
        <f t="shared" si="6"/>
        <v>30</v>
      </c>
      <c r="AN60" s="25">
        <f t="shared" si="7"/>
        <v>30</v>
      </c>
      <c r="AO60" s="25">
        <f t="shared" si="8"/>
        <v>30</v>
      </c>
      <c r="AP60" s="52" t="e">
        <f t="shared" si="34"/>
        <v>#N/A</v>
      </c>
      <c r="AQ60" s="53" t="e">
        <f t="shared" si="34"/>
        <v>#N/A</v>
      </c>
      <c r="AR60" s="54" t="e">
        <f t="shared" si="34"/>
        <v>#N/A</v>
      </c>
      <c r="AS60" s="316">
        <f t="shared" si="88"/>
        <v>0</v>
      </c>
      <c r="AT60" s="106">
        <f>_xlfn.IFNA($M60/VLOOKUP($BT60,'Unit information'!$A$2:$K$29,2,FALSE)*R60,0)*(1+$E$9)</f>
        <v>0</v>
      </c>
      <c r="AU60" s="107">
        <f>_xlfn.IFNA($M60/VLOOKUP($BT60,'Unit information'!$A$2:$K$29,3,FALSE)*S60,0)*(1+$E$9)</f>
        <v>0</v>
      </c>
      <c r="AV60" s="107">
        <f>_xlfn.IFNA($M60/VLOOKUP($BT60,'Unit information'!$A$2:$K$29,4,FALSE)*T60,0)*(1+$E$9)</f>
        <v>0</v>
      </c>
      <c r="AW60" s="107">
        <f>_xlfn.IFNA($M60/VLOOKUP($BT60,'Unit information'!$A$2:$K$29,5,FALSE)*U60,0)*(1+$E$9)</f>
        <v>0</v>
      </c>
      <c r="AX60" s="107">
        <f>_xlfn.IFNA($M60/VLOOKUP($BU60,'Unit information'!$A$2:$K$29,6,FALSE)*V60,0)*(1+$E$9)</f>
        <v>0</v>
      </c>
      <c r="AY60" s="107">
        <f>_xlfn.IFNA($M60/VLOOKUP($BU60,'Unit information'!$A$2:$K$29,7,FALSE)*W60,0)*(1+$E$9)</f>
        <v>0</v>
      </c>
      <c r="AZ60" s="107">
        <f>_xlfn.IFNA($M60/VLOOKUP($BU60,'Unit information'!$A$2:$K$29,8,FALSE)*X60,0)*(1+$E$9)</f>
        <v>0</v>
      </c>
      <c r="BA60" s="107">
        <f>_xlfn.IFNA($M60/VLOOKUP($BU60,'Unit information'!$A$2:$K$29,9,FALSE)*Y60,0)*(1+$E$9)</f>
        <v>0</v>
      </c>
      <c r="BB60" s="107">
        <f>_xlfn.IFNA($M60/VLOOKUP($BV60,'Unit information'!$A$2:$K$29,10,FALSE)*Z60,0)*(1+$E$9)</f>
        <v>0</v>
      </c>
      <c r="BC60" s="108">
        <f>_xlfn.IFNA($M60/VLOOKUP($BV60,'Unit information'!$A$2:$K$29,11,FALSE)*AA60,0)*(1+$E$9)</f>
        <v>0</v>
      </c>
      <c r="BD60" s="106">
        <f t="shared" si="10"/>
        <v>0</v>
      </c>
      <c r="BE60" s="107">
        <f t="shared" si="11"/>
        <v>0</v>
      </c>
      <c r="BF60" s="108">
        <f t="shared" si="12"/>
        <v>0</v>
      </c>
      <c r="BG60" s="25" t="e">
        <f t="shared" si="13"/>
        <v>#N/A</v>
      </c>
      <c r="BH60" s="25" t="e">
        <f t="shared" si="14"/>
        <v>#N/A</v>
      </c>
      <c r="BI60" s="25" t="e">
        <f t="shared" si="15"/>
        <v>#N/A</v>
      </c>
      <c r="BJ60" s="27" t="e">
        <f t="shared" si="16"/>
        <v>#N/A</v>
      </c>
      <c r="BK60" s="18" t="e">
        <f t="shared" si="17"/>
        <v>#N/A</v>
      </c>
      <c r="BL60" s="18" t="e">
        <f t="shared" si="18"/>
        <v>#N/A</v>
      </c>
      <c r="BM60" s="28" t="e">
        <f t="shared" si="89"/>
        <v>#N/A</v>
      </c>
      <c r="BN60" s="33">
        <f>HLOOKUP("maximum population",Miscelaneous!$C$1:$C$33,CH60+3,FALSE)</f>
        <v>240</v>
      </c>
      <c r="BO60" s="14">
        <f t="shared" si="35"/>
        <v>32</v>
      </c>
      <c r="BP60" s="14">
        <f t="shared" si="36"/>
        <v>0</v>
      </c>
      <c r="BQ60" s="14">
        <f t="shared" si="37"/>
        <v>208</v>
      </c>
      <c r="BR60" s="34" t="e">
        <f>HLOOKUP(J60,Villagers!$B$1:$V$33,L60+3,FALSE)-HLOOKUP(J60,Villagers!$B$1:$V$33,L60+2,FALSE)</f>
        <v>#N/A</v>
      </c>
      <c r="BS60" s="49">
        <f t="shared" si="38"/>
        <v>1</v>
      </c>
      <c r="BT60" s="50">
        <f t="shared" si="39"/>
        <v>0</v>
      </c>
      <c r="BU60" s="50">
        <f t="shared" si="40"/>
        <v>0</v>
      </c>
      <c r="BV60" s="50">
        <f t="shared" si="120"/>
        <v>0</v>
      </c>
      <c r="BW60" s="50">
        <f t="shared" si="121"/>
        <v>0</v>
      </c>
      <c r="BX60" s="50">
        <f t="shared" si="122"/>
        <v>0</v>
      </c>
      <c r="BY60" s="50">
        <f t="shared" si="122"/>
        <v>0</v>
      </c>
      <c r="BZ60" s="50">
        <f t="shared" si="44"/>
        <v>0</v>
      </c>
      <c r="CA60" s="50">
        <f t="shared" si="45"/>
        <v>0</v>
      </c>
      <c r="CB60" s="50">
        <f t="shared" si="46"/>
        <v>1</v>
      </c>
      <c r="CC60" s="50">
        <f t="shared" si="47"/>
        <v>0</v>
      </c>
      <c r="CD60" s="50">
        <f t="shared" si="48"/>
        <v>0</v>
      </c>
      <c r="CE60" s="50">
        <f t="shared" si="49"/>
        <v>1</v>
      </c>
      <c r="CF60" s="50">
        <f t="shared" si="50"/>
        <v>1</v>
      </c>
      <c r="CG60" s="50">
        <f t="shared" si="51"/>
        <v>1</v>
      </c>
      <c r="CH60" s="50">
        <f t="shared" si="52"/>
        <v>1</v>
      </c>
      <c r="CI60" s="50">
        <f t="shared" si="53"/>
        <v>1</v>
      </c>
      <c r="CJ60" s="50">
        <f t="shared" si="54"/>
        <v>1</v>
      </c>
      <c r="CK60" s="50">
        <f t="shared" si="55"/>
        <v>0</v>
      </c>
      <c r="CL60" s="50">
        <f t="shared" si="54"/>
        <v>0</v>
      </c>
      <c r="CM60" s="51">
        <f t="shared" si="56"/>
        <v>0</v>
      </c>
      <c r="CN60" s="33">
        <f>ROUND(IF(BS60=0,0,HLOOKUP(BS$14,Villagers!$B$1:$V$33,BS60+3,FALSE)),)</f>
        <v>5</v>
      </c>
      <c r="CO60" s="14">
        <f>ROUND(IF(BT60=0,0,HLOOKUP(BT$14,Villagers!$B$1:$V$33,BT60+3,FALSE)),)</f>
        <v>0</v>
      </c>
      <c r="CP60" s="14">
        <f>ROUND(IF(BU60=0,0,HLOOKUP(BU$14,Villagers!$B$1:$V$33,BU60+3,FALSE)),)</f>
        <v>0</v>
      </c>
      <c r="CQ60" s="14">
        <f>ROUND(IF(BV60=0,0,HLOOKUP(BV$14,Villagers!$B$1:$V$33,BV60+3,FALSE)),)</f>
        <v>0</v>
      </c>
      <c r="CR60" s="14">
        <f>ROUND(IF(BW60=0,0,HLOOKUP(BW$14,Villagers!$B$1:$V$33,BW60+3,FALSE)),)</f>
        <v>0</v>
      </c>
      <c r="CS60" s="14">
        <f>ROUND(IF(BX60=0,0,HLOOKUP(BX$14,Villagers!$B$1:$V$33,BX60+3,FALSE)),)</f>
        <v>0</v>
      </c>
      <c r="CT60" s="14">
        <f>ROUND(IF(BY60=0,0,HLOOKUP(BY$14,Villagers!$B$1:$V$33,BY60+3,FALSE)),)</f>
        <v>0</v>
      </c>
      <c r="CU60" s="14">
        <f>ROUND(IF(BZ60=0,0,HLOOKUP(BZ$14,Villagers!$B$1:$V$33,BZ60+3,FALSE)),)</f>
        <v>0</v>
      </c>
      <c r="CV60" s="14">
        <f>ROUND(IF(CA60=0,0,HLOOKUP(CA$14,Villagers!$B$1:$V$33,CA60+3,FALSE)),)</f>
        <v>0</v>
      </c>
      <c r="CW60" s="14">
        <f>ROUND(IF(CB60=0,0,HLOOKUP(CB$14,Villagers!$B$1:$V$33,CB60+3,FALSE)),)</f>
        <v>0</v>
      </c>
      <c r="CX60" s="14">
        <f>ROUND(IF(CC60=0,0,HLOOKUP(CC$14,Villagers!$B$1:$V$33,CC60+3,FALSE)),)</f>
        <v>0</v>
      </c>
      <c r="CY60" s="14">
        <f>ROUND(IF(CD60=0,0,HLOOKUP(CD$14,Villagers!$B$1:$V$33,CD60+3,FALSE)),)</f>
        <v>0</v>
      </c>
      <c r="CZ60" s="14">
        <f>ROUND(IF(CE60=0,0,HLOOKUP(CE$14,Villagers!$B$1:$V$33,CE60+3,FALSE)),)</f>
        <v>5</v>
      </c>
      <c r="DA60" s="14">
        <f>ROUND(IF(CF60=0,0,HLOOKUP(CF$14,Villagers!$B$1:$V$33,CF60+3,FALSE)),)</f>
        <v>10</v>
      </c>
      <c r="DB60" s="14">
        <f>ROUND(IF(CG60=0,0,HLOOKUP(CG$14,Villagers!$B$1:$V$33,CG60+3,FALSE)),)</f>
        <v>10</v>
      </c>
      <c r="DC60" s="14">
        <f>ROUND(IF(CH60=0,0,HLOOKUP(CH$14,Villagers!$B$1:$V$33,CH60+3,FALSE)),)</f>
        <v>0</v>
      </c>
      <c r="DD60" s="14">
        <f>ROUND(IF(CI60=0,0,HLOOKUP(CI$14,Villagers!$B$1:$V$33,CI60+3,FALSE)),)</f>
        <v>0</v>
      </c>
      <c r="DE60" s="14">
        <f>ROUND(IF(CJ60=0,0,HLOOKUP(CJ$14,Villagers!$B$1:$V$33,CJ60+3,FALSE)),)</f>
        <v>2</v>
      </c>
      <c r="DF60" s="370">
        <f>ROUND(IF(CK60=0,0,HLOOKUP(CK$14,Villagers!$B$1:$V$33,CK60+3,FALSE)),)</f>
        <v>0</v>
      </c>
      <c r="DG60" s="370">
        <f>ROUND(IF(CL60=0,0,HLOOKUP(CL$14,Villagers!$B$1:$V$33,CL60+3,FALSE)),)</f>
        <v>0</v>
      </c>
      <c r="DH60" s="34">
        <f>ROUND(IF(CM60=0,0,HLOOKUP(CM$14,Villagers!$B$1:$V$33,CM60+3,FALSE)),)</f>
        <v>0</v>
      </c>
      <c r="DI60" s="109">
        <f t="shared" si="74"/>
        <v>0</v>
      </c>
      <c r="DJ60" s="50">
        <f t="shared" si="75"/>
        <v>0</v>
      </c>
      <c r="DK60" s="50">
        <f t="shared" si="76"/>
        <v>0</v>
      </c>
      <c r="DL60" s="50">
        <f t="shared" si="77"/>
        <v>0</v>
      </c>
      <c r="DM60" s="50">
        <f t="shared" si="78"/>
        <v>0</v>
      </c>
      <c r="DN60" s="50">
        <f t="shared" si="79"/>
        <v>0</v>
      </c>
      <c r="DO60" s="50">
        <f t="shared" si="80"/>
        <v>0</v>
      </c>
      <c r="DP60" s="50">
        <f t="shared" si="81"/>
        <v>0</v>
      </c>
      <c r="DQ60" s="50">
        <f t="shared" si="58"/>
        <v>0</v>
      </c>
      <c r="DR60" s="50">
        <f t="shared" si="59"/>
        <v>0</v>
      </c>
      <c r="DS60" s="96">
        <f>Miscelaneous!$D$4*Miscelaneous!$D$2^($CI60-1)</f>
        <v>1000</v>
      </c>
      <c r="DT60" s="333">
        <f t="shared" si="60"/>
        <v>1</v>
      </c>
      <c r="DU60" s="81">
        <v>1</v>
      </c>
      <c r="DV60" s="79">
        <f t="shared" si="61"/>
        <v>0</v>
      </c>
      <c r="DW60" s="79">
        <f t="shared" si="21"/>
        <v>0</v>
      </c>
      <c r="DX60" s="79">
        <f t="shared" si="62"/>
        <v>0</v>
      </c>
      <c r="DY60" s="79">
        <v>1</v>
      </c>
      <c r="DZ60" s="79">
        <f t="shared" si="22"/>
        <v>0</v>
      </c>
      <c r="EA60" s="79">
        <f t="shared" si="63"/>
        <v>0</v>
      </c>
      <c r="EB60" s="79">
        <f t="shared" si="64"/>
        <v>0</v>
      </c>
      <c r="EC60" s="79">
        <f t="shared" si="65"/>
        <v>0</v>
      </c>
      <c r="ED60" s="79">
        <v>1</v>
      </c>
      <c r="EE60" s="79">
        <v>1</v>
      </c>
      <c r="EF60" s="79">
        <f t="shared" si="66"/>
        <v>0</v>
      </c>
      <c r="EG60" s="79">
        <v>1</v>
      </c>
      <c r="EH60" s="79">
        <v>1</v>
      </c>
      <c r="EI60" s="79">
        <v>1</v>
      </c>
      <c r="EJ60" s="79">
        <v>1</v>
      </c>
      <c r="EK60" s="79">
        <v>1</v>
      </c>
      <c r="EL60" s="79">
        <v>1</v>
      </c>
      <c r="EM60" s="143">
        <f t="shared" si="67"/>
        <v>0</v>
      </c>
      <c r="EN60" s="143">
        <f t="shared" si="68"/>
        <v>0</v>
      </c>
      <c r="EO60" s="82">
        <f t="shared" si="69"/>
        <v>0</v>
      </c>
    </row>
    <row r="61" spans="1:145" x14ac:dyDescent="0.25">
      <c r="A61">
        <v>47</v>
      </c>
      <c r="B61" s="172" t="e">
        <f t="shared" si="23"/>
        <v>#N/A</v>
      </c>
      <c r="C61" s="121" t="e">
        <f t="shared" ref="C61:E61" si="135">AJ61-SUM(AB61:AB65)</f>
        <v>#N/A</v>
      </c>
      <c r="D61" s="122" t="e">
        <f t="shared" si="135"/>
        <v>#N/A</v>
      </c>
      <c r="E61" s="122" t="e">
        <f t="shared" si="135"/>
        <v>#N/A</v>
      </c>
      <c r="F61" s="176" t="e">
        <f t="shared" si="0"/>
        <v>#N/A</v>
      </c>
      <c r="G61" s="121">
        <f t="shared" si="25"/>
        <v>208</v>
      </c>
      <c r="H61" s="176" t="e">
        <f t="shared" si="26"/>
        <v>#N/A</v>
      </c>
      <c r="I61" s="48">
        <v>1</v>
      </c>
      <c r="J61" s="39"/>
      <c r="K61" s="350">
        <v>1</v>
      </c>
      <c r="L61" s="34" t="e">
        <f t="shared" si="1"/>
        <v>#N/A</v>
      </c>
      <c r="M61" s="38" t="e">
        <f>(HLOOKUP(J61,'Construction Times'!$B$3:$W$34,L61+2,FALSE)*HLOOKUP("hq modifier",'Construction Times'!$W$3:$W$34,BS61+2,FALSE))*(1-$H$9)</f>
        <v>#N/A</v>
      </c>
      <c r="N61" s="426" t="e">
        <f t="shared" si="27"/>
        <v>#N/A</v>
      </c>
      <c r="O61" s="427"/>
      <c r="P61" s="430" t="e">
        <f t="shared" si="28"/>
        <v>#N/A</v>
      </c>
      <c r="Q61" s="431"/>
      <c r="R61" s="103">
        <f t="shared" si="71"/>
        <v>0</v>
      </c>
      <c r="S61" s="104">
        <f t="shared" si="71"/>
        <v>0</v>
      </c>
      <c r="T61" s="104">
        <f t="shared" si="72"/>
        <v>0</v>
      </c>
      <c r="U61" s="104">
        <f t="shared" si="72"/>
        <v>0</v>
      </c>
      <c r="V61" s="104">
        <f t="shared" si="72"/>
        <v>9.9999999999999995E-8</v>
      </c>
      <c r="W61" s="104">
        <f t="shared" si="72"/>
        <v>0</v>
      </c>
      <c r="X61" s="104">
        <f t="shared" si="116"/>
        <v>0</v>
      </c>
      <c r="Y61" s="104">
        <f t="shared" si="116"/>
        <v>9.9999999999999995E-8</v>
      </c>
      <c r="Z61" s="104">
        <f t="shared" si="116"/>
        <v>9.9999999999999995E-8</v>
      </c>
      <c r="AA61" s="105">
        <f t="shared" si="116"/>
        <v>9.9999999999999995E-8</v>
      </c>
      <c r="AB61" s="101" t="e">
        <f>$DT61*HLOOKUP($J61,'Construction Costs (timber)'!$B$1:$V$32,'Construction Planner'!$L61+2,FALSE)</f>
        <v>#N/A</v>
      </c>
      <c r="AC61" s="14" t="e">
        <f>$DT61*HLOOKUP($J61,'Construction Costs (clay)'!$B$1:$V$32,'Construction Planner'!$L61+2,FALSE)</f>
        <v>#N/A</v>
      </c>
      <c r="AD61" s="14" t="e">
        <f>$DT61*HLOOKUP($J61,'Construction Costs (iron)'!$B$1:$V$32,'Construction Planner'!$L61+2,FALSE)</f>
        <v>#N/A</v>
      </c>
      <c r="AE61" s="34" t="e">
        <f t="shared" si="86"/>
        <v>#N/A</v>
      </c>
      <c r="AF61" s="33" t="e">
        <f t="shared" si="3"/>
        <v>#N/A</v>
      </c>
      <c r="AG61" s="14" t="e">
        <f t="shared" si="4"/>
        <v>#N/A</v>
      </c>
      <c r="AH61" s="14" t="e">
        <f t="shared" si="5"/>
        <v>#N/A</v>
      </c>
      <c r="AI61" s="34" t="e">
        <f t="shared" si="87"/>
        <v>#N/A</v>
      </c>
      <c r="AJ61" s="49" t="e">
        <f t="shared" si="31"/>
        <v>#N/A</v>
      </c>
      <c r="AK61" s="49" t="e">
        <f t="shared" si="32"/>
        <v>#N/A</v>
      </c>
      <c r="AL61" s="49" t="e">
        <f t="shared" si="33"/>
        <v>#N/A</v>
      </c>
      <c r="AM61" s="25">
        <f t="shared" si="6"/>
        <v>30</v>
      </c>
      <c r="AN61" s="25">
        <f t="shared" si="7"/>
        <v>30</v>
      </c>
      <c r="AO61" s="25">
        <f t="shared" si="8"/>
        <v>30</v>
      </c>
      <c r="AP61" s="52" t="e">
        <f t="shared" si="34"/>
        <v>#N/A</v>
      </c>
      <c r="AQ61" s="53" t="e">
        <f t="shared" si="34"/>
        <v>#N/A</v>
      </c>
      <c r="AR61" s="54" t="e">
        <f t="shared" si="34"/>
        <v>#N/A</v>
      </c>
      <c r="AS61" s="316">
        <f t="shared" si="88"/>
        <v>0</v>
      </c>
      <c r="AT61" s="106">
        <f>_xlfn.IFNA($M61/VLOOKUP($BT61,'Unit information'!$A$2:$K$29,2,FALSE)*R61,0)*(1+$E$9)</f>
        <v>0</v>
      </c>
      <c r="AU61" s="107">
        <f>_xlfn.IFNA($M61/VLOOKUP($BT61,'Unit information'!$A$2:$K$29,3,FALSE)*S61,0)*(1+$E$9)</f>
        <v>0</v>
      </c>
      <c r="AV61" s="107">
        <f>_xlfn.IFNA($M61/VLOOKUP($BT61,'Unit information'!$A$2:$K$29,4,FALSE)*T61,0)*(1+$E$9)</f>
        <v>0</v>
      </c>
      <c r="AW61" s="107">
        <f>_xlfn.IFNA($M61/VLOOKUP($BT61,'Unit information'!$A$2:$K$29,5,FALSE)*U61,0)*(1+$E$9)</f>
        <v>0</v>
      </c>
      <c r="AX61" s="107">
        <f>_xlfn.IFNA($M61/VLOOKUP($BU61,'Unit information'!$A$2:$K$29,6,FALSE)*V61,0)*(1+$E$9)</f>
        <v>0</v>
      </c>
      <c r="AY61" s="107">
        <f>_xlfn.IFNA($M61/VLOOKUP($BU61,'Unit information'!$A$2:$K$29,7,FALSE)*W61,0)*(1+$E$9)</f>
        <v>0</v>
      </c>
      <c r="AZ61" s="107">
        <f>_xlfn.IFNA($M61/VLOOKUP($BU61,'Unit information'!$A$2:$K$29,8,FALSE)*X61,0)*(1+$E$9)</f>
        <v>0</v>
      </c>
      <c r="BA61" s="107">
        <f>_xlfn.IFNA($M61/VLOOKUP($BU61,'Unit information'!$A$2:$K$29,9,FALSE)*Y61,0)*(1+$E$9)</f>
        <v>0</v>
      </c>
      <c r="BB61" s="107">
        <f>_xlfn.IFNA($M61/VLOOKUP($BV61,'Unit information'!$A$2:$K$29,10,FALSE)*Z61,0)*(1+$E$9)</f>
        <v>0</v>
      </c>
      <c r="BC61" s="108">
        <f>_xlfn.IFNA($M61/VLOOKUP($BV61,'Unit information'!$A$2:$K$29,11,FALSE)*AA61,0)*(1+$E$9)</f>
        <v>0</v>
      </c>
      <c r="BD61" s="106">
        <f t="shared" si="10"/>
        <v>0</v>
      </c>
      <c r="BE61" s="107">
        <f t="shared" si="11"/>
        <v>0</v>
      </c>
      <c r="BF61" s="108">
        <f t="shared" si="12"/>
        <v>0</v>
      </c>
      <c r="BG61" s="25" t="e">
        <f t="shared" si="13"/>
        <v>#N/A</v>
      </c>
      <c r="BH61" s="25" t="e">
        <f t="shared" si="14"/>
        <v>#N/A</v>
      </c>
      <c r="BI61" s="25" t="e">
        <f t="shared" si="15"/>
        <v>#N/A</v>
      </c>
      <c r="BJ61" s="27" t="e">
        <f t="shared" si="16"/>
        <v>#N/A</v>
      </c>
      <c r="BK61" s="18" t="e">
        <f t="shared" si="17"/>
        <v>#N/A</v>
      </c>
      <c r="BL61" s="18" t="e">
        <f t="shared" si="18"/>
        <v>#N/A</v>
      </c>
      <c r="BM61" s="28" t="e">
        <f t="shared" si="89"/>
        <v>#N/A</v>
      </c>
      <c r="BN61" s="33">
        <f>HLOOKUP("maximum population",Miscelaneous!$C$1:$C$33,CH61+3,FALSE)</f>
        <v>240</v>
      </c>
      <c r="BO61" s="14">
        <f t="shared" si="35"/>
        <v>32</v>
      </c>
      <c r="BP61" s="14">
        <f t="shared" si="36"/>
        <v>0</v>
      </c>
      <c r="BQ61" s="14">
        <f t="shared" si="37"/>
        <v>208</v>
      </c>
      <c r="BR61" s="34" t="e">
        <f>HLOOKUP(J61,Villagers!$B$1:$V$33,L61+3,FALSE)-HLOOKUP(J61,Villagers!$B$1:$V$33,L61+2,FALSE)</f>
        <v>#N/A</v>
      </c>
      <c r="BS61" s="49">
        <f t="shared" si="38"/>
        <v>1</v>
      </c>
      <c r="BT61" s="50">
        <f t="shared" si="39"/>
        <v>0</v>
      </c>
      <c r="BU61" s="50">
        <f t="shared" si="40"/>
        <v>0</v>
      </c>
      <c r="BV61" s="50">
        <f t="shared" si="120"/>
        <v>0</v>
      </c>
      <c r="BW61" s="50">
        <f t="shared" si="121"/>
        <v>0</v>
      </c>
      <c r="BX61" s="50">
        <f t="shared" si="122"/>
        <v>0</v>
      </c>
      <c r="BY61" s="50">
        <f t="shared" si="122"/>
        <v>0</v>
      </c>
      <c r="BZ61" s="50">
        <f t="shared" si="44"/>
        <v>0</v>
      </c>
      <c r="CA61" s="50">
        <f t="shared" si="45"/>
        <v>0</v>
      </c>
      <c r="CB61" s="50">
        <f t="shared" si="46"/>
        <v>1</v>
      </c>
      <c r="CC61" s="50">
        <f t="shared" si="47"/>
        <v>0</v>
      </c>
      <c r="CD61" s="50">
        <f t="shared" si="48"/>
        <v>0</v>
      </c>
      <c r="CE61" s="50">
        <f t="shared" si="49"/>
        <v>1</v>
      </c>
      <c r="CF61" s="50">
        <f t="shared" si="50"/>
        <v>1</v>
      </c>
      <c r="CG61" s="50">
        <f t="shared" si="51"/>
        <v>1</v>
      </c>
      <c r="CH61" s="50">
        <f t="shared" si="52"/>
        <v>1</v>
      </c>
      <c r="CI61" s="50">
        <f t="shared" si="53"/>
        <v>1</v>
      </c>
      <c r="CJ61" s="50">
        <f t="shared" si="54"/>
        <v>1</v>
      </c>
      <c r="CK61" s="50">
        <f t="shared" si="55"/>
        <v>0</v>
      </c>
      <c r="CL61" s="50">
        <f t="shared" si="54"/>
        <v>0</v>
      </c>
      <c r="CM61" s="51">
        <f t="shared" si="56"/>
        <v>0</v>
      </c>
      <c r="CN61" s="33">
        <f>ROUND(IF(BS61=0,0,HLOOKUP(BS$14,Villagers!$B$1:$V$33,BS61+3,FALSE)),)</f>
        <v>5</v>
      </c>
      <c r="CO61" s="14">
        <f>ROUND(IF(BT61=0,0,HLOOKUP(BT$14,Villagers!$B$1:$V$33,BT61+3,FALSE)),)</f>
        <v>0</v>
      </c>
      <c r="CP61" s="14">
        <f>ROUND(IF(BU61=0,0,HLOOKUP(BU$14,Villagers!$B$1:$V$33,BU61+3,FALSE)),)</f>
        <v>0</v>
      </c>
      <c r="CQ61" s="14">
        <f>ROUND(IF(BV61=0,0,HLOOKUP(BV$14,Villagers!$B$1:$V$33,BV61+3,FALSE)),)</f>
        <v>0</v>
      </c>
      <c r="CR61" s="14">
        <f>ROUND(IF(BW61=0,0,HLOOKUP(BW$14,Villagers!$B$1:$V$33,BW61+3,FALSE)),)</f>
        <v>0</v>
      </c>
      <c r="CS61" s="14">
        <f>ROUND(IF(BX61=0,0,HLOOKUP(BX$14,Villagers!$B$1:$V$33,BX61+3,FALSE)),)</f>
        <v>0</v>
      </c>
      <c r="CT61" s="14">
        <f>ROUND(IF(BY61=0,0,HLOOKUP(BY$14,Villagers!$B$1:$V$33,BY61+3,FALSE)),)</f>
        <v>0</v>
      </c>
      <c r="CU61" s="14">
        <f>ROUND(IF(BZ61=0,0,HLOOKUP(BZ$14,Villagers!$B$1:$V$33,BZ61+3,FALSE)),)</f>
        <v>0</v>
      </c>
      <c r="CV61" s="14">
        <f>ROUND(IF(CA61=0,0,HLOOKUP(CA$14,Villagers!$B$1:$V$33,CA61+3,FALSE)),)</f>
        <v>0</v>
      </c>
      <c r="CW61" s="14">
        <f>ROUND(IF(CB61=0,0,HLOOKUP(CB$14,Villagers!$B$1:$V$33,CB61+3,FALSE)),)</f>
        <v>0</v>
      </c>
      <c r="CX61" s="14">
        <f>ROUND(IF(CC61=0,0,HLOOKUP(CC$14,Villagers!$B$1:$V$33,CC61+3,FALSE)),)</f>
        <v>0</v>
      </c>
      <c r="CY61" s="14">
        <f>ROUND(IF(CD61=0,0,HLOOKUP(CD$14,Villagers!$B$1:$V$33,CD61+3,FALSE)),)</f>
        <v>0</v>
      </c>
      <c r="CZ61" s="14">
        <f>ROUND(IF(CE61=0,0,HLOOKUP(CE$14,Villagers!$B$1:$V$33,CE61+3,FALSE)),)</f>
        <v>5</v>
      </c>
      <c r="DA61" s="14">
        <f>ROUND(IF(CF61=0,0,HLOOKUP(CF$14,Villagers!$B$1:$V$33,CF61+3,FALSE)),)</f>
        <v>10</v>
      </c>
      <c r="DB61" s="14">
        <f>ROUND(IF(CG61=0,0,HLOOKUP(CG$14,Villagers!$B$1:$V$33,CG61+3,FALSE)),)</f>
        <v>10</v>
      </c>
      <c r="DC61" s="14">
        <f>ROUND(IF(CH61=0,0,HLOOKUP(CH$14,Villagers!$B$1:$V$33,CH61+3,FALSE)),)</f>
        <v>0</v>
      </c>
      <c r="DD61" s="14">
        <f>ROUND(IF(CI61=0,0,HLOOKUP(CI$14,Villagers!$B$1:$V$33,CI61+3,FALSE)),)</f>
        <v>0</v>
      </c>
      <c r="DE61" s="14">
        <f>ROUND(IF(CJ61=0,0,HLOOKUP(CJ$14,Villagers!$B$1:$V$33,CJ61+3,FALSE)),)</f>
        <v>2</v>
      </c>
      <c r="DF61" s="370">
        <f>ROUND(IF(CK61=0,0,HLOOKUP(CK$14,Villagers!$B$1:$V$33,CK61+3,FALSE)),)</f>
        <v>0</v>
      </c>
      <c r="DG61" s="370">
        <f>ROUND(IF(CL61=0,0,HLOOKUP(CL$14,Villagers!$B$1:$V$33,CL61+3,FALSE)),)</f>
        <v>0</v>
      </c>
      <c r="DH61" s="34">
        <f>ROUND(IF(CM61=0,0,HLOOKUP(CM$14,Villagers!$B$1:$V$33,CM61+3,FALSE)),)</f>
        <v>0</v>
      </c>
      <c r="DI61" s="109">
        <f t="shared" si="74"/>
        <v>0</v>
      </c>
      <c r="DJ61" s="50">
        <f t="shared" si="75"/>
        <v>0</v>
      </c>
      <c r="DK61" s="50">
        <f t="shared" si="76"/>
        <v>0</v>
      </c>
      <c r="DL61" s="50">
        <f t="shared" si="77"/>
        <v>0</v>
      </c>
      <c r="DM61" s="50">
        <f t="shared" si="78"/>
        <v>0</v>
      </c>
      <c r="DN61" s="50">
        <f t="shared" si="79"/>
        <v>0</v>
      </c>
      <c r="DO61" s="50">
        <f t="shared" si="80"/>
        <v>0</v>
      </c>
      <c r="DP61" s="50">
        <f t="shared" si="81"/>
        <v>0</v>
      </c>
      <c r="DQ61" s="50">
        <f t="shared" si="58"/>
        <v>0</v>
      </c>
      <c r="DR61" s="50">
        <f t="shared" si="59"/>
        <v>0</v>
      </c>
      <c r="DS61" s="96">
        <f>Miscelaneous!$D$4*Miscelaneous!$D$2^($CI61-1)</f>
        <v>1000</v>
      </c>
      <c r="DT61" s="333">
        <f t="shared" si="60"/>
        <v>1</v>
      </c>
      <c r="DU61" s="81">
        <v>1</v>
      </c>
      <c r="DV61" s="79">
        <f t="shared" si="61"/>
        <v>0</v>
      </c>
      <c r="DW61" s="79">
        <f t="shared" si="21"/>
        <v>0</v>
      </c>
      <c r="DX61" s="79">
        <f t="shared" si="62"/>
        <v>0</v>
      </c>
      <c r="DY61" s="79">
        <v>1</v>
      </c>
      <c r="DZ61" s="79">
        <f t="shared" si="22"/>
        <v>0</v>
      </c>
      <c r="EA61" s="79">
        <f t="shared" si="63"/>
        <v>0</v>
      </c>
      <c r="EB61" s="79">
        <f t="shared" si="64"/>
        <v>0</v>
      </c>
      <c r="EC61" s="79">
        <f t="shared" si="65"/>
        <v>0</v>
      </c>
      <c r="ED61" s="79">
        <v>1</v>
      </c>
      <c r="EE61" s="79">
        <v>1</v>
      </c>
      <c r="EF61" s="79">
        <f t="shared" si="66"/>
        <v>0</v>
      </c>
      <c r="EG61" s="79">
        <v>1</v>
      </c>
      <c r="EH61" s="79">
        <v>1</v>
      </c>
      <c r="EI61" s="79">
        <v>1</v>
      </c>
      <c r="EJ61" s="79">
        <v>1</v>
      </c>
      <c r="EK61" s="79">
        <v>1</v>
      </c>
      <c r="EL61" s="79">
        <v>1</v>
      </c>
      <c r="EM61" s="143">
        <f t="shared" si="67"/>
        <v>0</v>
      </c>
      <c r="EN61" s="143">
        <f t="shared" si="68"/>
        <v>0</v>
      </c>
      <c r="EO61" s="82">
        <f t="shared" si="69"/>
        <v>0</v>
      </c>
    </row>
    <row r="62" spans="1:145" x14ac:dyDescent="0.25">
      <c r="A62">
        <v>48</v>
      </c>
      <c r="B62" s="172" t="e">
        <f t="shared" si="23"/>
        <v>#N/A</v>
      </c>
      <c r="C62" s="121" t="e">
        <f t="shared" ref="C62:E62" si="136">AJ62-SUM(AB62:AB66)</f>
        <v>#N/A</v>
      </c>
      <c r="D62" s="122" t="e">
        <f t="shared" si="136"/>
        <v>#N/A</v>
      </c>
      <c r="E62" s="122" t="e">
        <f t="shared" si="136"/>
        <v>#N/A</v>
      </c>
      <c r="F62" s="176" t="e">
        <f t="shared" si="0"/>
        <v>#N/A</v>
      </c>
      <c r="G62" s="121">
        <f t="shared" si="25"/>
        <v>208</v>
      </c>
      <c r="H62" s="176" t="e">
        <f t="shared" si="26"/>
        <v>#N/A</v>
      </c>
      <c r="I62" s="48">
        <v>1</v>
      </c>
      <c r="J62" s="39"/>
      <c r="K62" s="350">
        <v>1</v>
      </c>
      <c r="L62" s="34" t="e">
        <f t="shared" si="1"/>
        <v>#N/A</v>
      </c>
      <c r="M62" s="38" t="e">
        <f>(HLOOKUP(J62,'Construction Times'!$B$3:$W$34,L62+2,FALSE)*HLOOKUP("hq modifier",'Construction Times'!$W$3:$W$34,BS62+2,FALSE))*(1-$H$9)</f>
        <v>#N/A</v>
      </c>
      <c r="N62" s="426" t="e">
        <f t="shared" si="27"/>
        <v>#N/A</v>
      </c>
      <c r="O62" s="427"/>
      <c r="P62" s="430" t="e">
        <f t="shared" si="28"/>
        <v>#N/A</v>
      </c>
      <c r="Q62" s="431"/>
      <c r="R62" s="103">
        <f t="shared" si="71"/>
        <v>0</v>
      </c>
      <c r="S62" s="104">
        <f t="shared" si="71"/>
        <v>0</v>
      </c>
      <c r="T62" s="104">
        <f t="shared" si="72"/>
        <v>0</v>
      </c>
      <c r="U62" s="104">
        <f t="shared" si="72"/>
        <v>0</v>
      </c>
      <c r="V62" s="104">
        <f t="shared" si="72"/>
        <v>9.9999999999999995E-8</v>
      </c>
      <c r="W62" s="104">
        <f t="shared" si="72"/>
        <v>0</v>
      </c>
      <c r="X62" s="104">
        <f t="shared" si="116"/>
        <v>0</v>
      </c>
      <c r="Y62" s="104">
        <f t="shared" si="116"/>
        <v>9.9999999999999995E-8</v>
      </c>
      <c r="Z62" s="104">
        <f t="shared" si="116"/>
        <v>9.9999999999999995E-8</v>
      </c>
      <c r="AA62" s="105">
        <f t="shared" si="116"/>
        <v>9.9999999999999995E-8</v>
      </c>
      <c r="AB62" s="101" t="e">
        <f>$DT62*HLOOKUP($J62,'Construction Costs (timber)'!$B$1:$V$32,'Construction Planner'!$L62+2,FALSE)</f>
        <v>#N/A</v>
      </c>
      <c r="AC62" s="14" t="e">
        <f>$DT62*HLOOKUP($J62,'Construction Costs (clay)'!$B$1:$V$32,'Construction Planner'!$L62+2,FALSE)</f>
        <v>#N/A</v>
      </c>
      <c r="AD62" s="14" t="e">
        <f>$DT62*HLOOKUP($J62,'Construction Costs (iron)'!$B$1:$V$32,'Construction Planner'!$L62+2,FALSE)</f>
        <v>#N/A</v>
      </c>
      <c r="AE62" s="34" t="e">
        <f t="shared" si="86"/>
        <v>#N/A</v>
      </c>
      <c r="AF62" s="33" t="e">
        <f t="shared" si="3"/>
        <v>#N/A</v>
      </c>
      <c r="AG62" s="14" t="e">
        <f t="shared" si="4"/>
        <v>#N/A</v>
      </c>
      <c r="AH62" s="14" t="e">
        <f t="shared" si="5"/>
        <v>#N/A</v>
      </c>
      <c r="AI62" s="34" t="e">
        <f t="shared" si="87"/>
        <v>#N/A</v>
      </c>
      <c r="AJ62" s="49" t="e">
        <f t="shared" si="31"/>
        <v>#N/A</v>
      </c>
      <c r="AK62" s="49" t="e">
        <f t="shared" si="32"/>
        <v>#N/A</v>
      </c>
      <c r="AL62" s="49" t="e">
        <f t="shared" si="33"/>
        <v>#N/A</v>
      </c>
      <c r="AM62" s="25">
        <f t="shared" si="6"/>
        <v>30</v>
      </c>
      <c r="AN62" s="25">
        <f t="shared" si="7"/>
        <v>30</v>
      </c>
      <c r="AO62" s="25">
        <f t="shared" si="8"/>
        <v>30</v>
      </c>
      <c r="AP62" s="52" t="e">
        <f t="shared" si="34"/>
        <v>#N/A</v>
      </c>
      <c r="AQ62" s="53" t="e">
        <f t="shared" si="34"/>
        <v>#N/A</v>
      </c>
      <c r="AR62" s="54" t="e">
        <f t="shared" si="34"/>
        <v>#N/A</v>
      </c>
      <c r="AS62" s="316">
        <f t="shared" si="88"/>
        <v>0</v>
      </c>
      <c r="AT62" s="106">
        <f>_xlfn.IFNA($M62/VLOOKUP($BT62,'Unit information'!$A$2:$K$29,2,FALSE)*R62,0)*(1+$E$9)</f>
        <v>0</v>
      </c>
      <c r="AU62" s="107">
        <f>_xlfn.IFNA($M62/VLOOKUP($BT62,'Unit information'!$A$2:$K$29,3,FALSE)*S62,0)*(1+$E$9)</f>
        <v>0</v>
      </c>
      <c r="AV62" s="107">
        <f>_xlfn.IFNA($M62/VLOOKUP($BT62,'Unit information'!$A$2:$K$29,4,FALSE)*T62,0)*(1+$E$9)</f>
        <v>0</v>
      </c>
      <c r="AW62" s="107">
        <f>_xlfn.IFNA($M62/VLOOKUP($BT62,'Unit information'!$A$2:$K$29,5,FALSE)*U62,0)*(1+$E$9)</f>
        <v>0</v>
      </c>
      <c r="AX62" s="107">
        <f>_xlfn.IFNA($M62/VLOOKUP($BU62,'Unit information'!$A$2:$K$29,6,FALSE)*V62,0)*(1+$E$9)</f>
        <v>0</v>
      </c>
      <c r="AY62" s="107">
        <f>_xlfn.IFNA($M62/VLOOKUP($BU62,'Unit information'!$A$2:$K$29,7,FALSE)*W62,0)*(1+$E$9)</f>
        <v>0</v>
      </c>
      <c r="AZ62" s="107">
        <f>_xlfn.IFNA($M62/VLOOKUP($BU62,'Unit information'!$A$2:$K$29,8,FALSE)*X62,0)*(1+$E$9)</f>
        <v>0</v>
      </c>
      <c r="BA62" s="107">
        <f>_xlfn.IFNA($M62/VLOOKUP($BU62,'Unit information'!$A$2:$K$29,9,FALSE)*Y62,0)*(1+$E$9)</f>
        <v>0</v>
      </c>
      <c r="BB62" s="107">
        <f>_xlfn.IFNA($M62/VLOOKUP($BV62,'Unit information'!$A$2:$K$29,10,FALSE)*Z62,0)*(1+$E$9)</f>
        <v>0</v>
      </c>
      <c r="BC62" s="108">
        <f>_xlfn.IFNA($M62/VLOOKUP($BV62,'Unit information'!$A$2:$K$29,11,FALSE)*AA62,0)*(1+$E$9)</f>
        <v>0</v>
      </c>
      <c r="BD62" s="106">
        <f t="shared" si="10"/>
        <v>0</v>
      </c>
      <c r="BE62" s="107">
        <f t="shared" si="11"/>
        <v>0</v>
      </c>
      <c r="BF62" s="108">
        <f t="shared" si="12"/>
        <v>0</v>
      </c>
      <c r="BG62" s="25" t="e">
        <f t="shared" si="13"/>
        <v>#N/A</v>
      </c>
      <c r="BH62" s="25" t="e">
        <f t="shared" si="14"/>
        <v>#N/A</v>
      </c>
      <c r="BI62" s="25" t="e">
        <f t="shared" si="15"/>
        <v>#N/A</v>
      </c>
      <c r="BJ62" s="27" t="e">
        <f t="shared" si="16"/>
        <v>#N/A</v>
      </c>
      <c r="BK62" s="18" t="e">
        <f t="shared" si="17"/>
        <v>#N/A</v>
      </c>
      <c r="BL62" s="18" t="e">
        <f t="shared" si="18"/>
        <v>#N/A</v>
      </c>
      <c r="BM62" s="28" t="e">
        <f t="shared" si="89"/>
        <v>#N/A</v>
      </c>
      <c r="BN62" s="33">
        <f>HLOOKUP("maximum population",Miscelaneous!$C$1:$C$33,CH62+3,FALSE)</f>
        <v>240</v>
      </c>
      <c r="BO62" s="14">
        <f t="shared" si="35"/>
        <v>32</v>
      </c>
      <c r="BP62" s="14">
        <f t="shared" si="36"/>
        <v>0</v>
      </c>
      <c r="BQ62" s="14">
        <f t="shared" si="37"/>
        <v>208</v>
      </c>
      <c r="BR62" s="34" t="e">
        <f>HLOOKUP(J62,Villagers!$B$1:$V$33,L62+3,FALSE)-HLOOKUP(J62,Villagers!$B$1:$V$33,L62+2,FALSE)</f>
        <v>#N/A</v>
      </c>
      <c r="BS62" s="49">
        <f t="shared" si="38"/>
        <v>1</v>
      </c>
      <c r="BT62" s="50">
        <f t="shared" si="39"/>
        <v>0</v>
      </c>
      <c r="BU62" s="50">
        <f t="shared" si="40"/>
        <v>0</v>
      </c>
      <c r="BV62" s="50">
        <f t="shared" si="120"/>
        <v>0</v>
      </c>
      <c r="BW62" s="50">
        <f t="shared" si="121"/>
        <v>0</v>
      </c>
      <c r="BX62" s="50">
        <f t="shared" si="122"/>
        <v>0</v>
      </c>
      <c r="BY62" s="50">
        <f t="shared" si="122"/>
        <v>0</v>
      </c>
      <c r="BZ62" s="50">
        <f t="shared" si="44"/>
        <v>0</v>
      </c>
      <c r="CA62" s="50">
        <f t="shared" si="45"/>
        <v>0</v>
      </c>
      <c r="CB62" s="50">
        <f t="shared" si="46"/>
        <v>1</v>
      </c>
      <c r="CC62" s="50">
        <f t="shared" si="47"/>
        <v>0</v>
      </c>
      <c r="CD62" s="50">
        <f t="shared" si="48"/>
        <v>0</v>
      </c>
      <c r="CE62" s="50">
        <f t="shared" si="49"/>
        <v>1</v>
      </c>
      <c r="CF62" s="50">
        <f t="shared" si="50"/>
        <v>1</v>
      </c>
      <c r="CG62" s="50">
        <f t="shared" si="51"/>
        <v>1</v>
      </c>
      <c r="CH62" s="50">
        <f t="shared" si="52"/>
        <v>1</v>
      </c>
      <c r="CI62" s="50">
        <f t="shared" si="53"/>
        <v>1</v>
      </c>
      <c r="CJ62" s="50">
        <f t="shared" si="54"/>
        <v>1</v>
      </c>
      <c r="CK62" s="50">
        <f t="shared" si="55"/>
        <v>0</v>
      </c>
      <c r="CL62" s="50">
        <f t="shared" si="54"/>
        <v>0</v>
      </c>
      <c r="CM62" s="51">
        <f t="shared" si="56"/>
        <v>0</v>
      </c>
      <c r="CN62" s="33">
        <f>ROUND(IF(BS62=0,0,HLOOKUP(BS$14,Villagers!$B$1:$V$33,BS62+3,FALSE)),)</f>
        <v>5</v>
      </c>
      <c r="CO62" s="14">
        <f>ROUND(IF(BT62=0,0,HLOOKUP(BT$14,Villagers!$B$1:$V$33,BT62+3,FALSE)),)</f>
        <v>0</v>
      </c>
      <c r="CP62" s="14">
        <f>ROUND(IF(BU62=0,0,HLOOKUP(BU$14,Villagers!$B$1:$V$33,BU62+3,FALSE)),)</f>
        <v>0</v>
      </c>
      <c r="CQ62" s="14">
        <f>ROUND(IF(BV62=0,0,HLOOKUP(BV$14,Villagers!$B$1:$V$33,BV62+3,FALSE)),)</f>
        <v>0</v>
      </c>
      <c r="CR62" s="14">
        <f>ROUND(IF(BW62=0,0,HLOOKUP(BW$14,Villagers!$B$1:$V$33,BW62+3,FALSE)),)</f>
        <v>0</v>
      </c>
      <c r="CS62" s="14">
        <f>ROUND(IF(BX62=0,0,HLOOKUP(BX$14,Villagers!$B$1:$V$33,BX62+3,FALSE)),)</f>
        <v>0</v>
      </c>
      <c r="CT62" s="14">
        <f>ROUND(IF(BY62=0,0,HLOOKUP(BY$14,Villagers!$B$1:$V$33,BY62+3,FALSE)),)</f>
        <v>0</v>
      </c>
      <c r="CU62" s="14">
        <f>ROUND(IF(BZ62=0,0,HLOOKUP(BZ$14,Villagers!$B$1:$V$33,BZ62+3,FALSE)),)</f>
        <v>0</v>
      </c>
      <c r="CV62" s="14">
        <f>ROUND(IF(CA62=0,0,HLOOKUP(CA$14,Villagers!$B$1:$V$33,CA62+3,FALSE)),)</f>
        <v>0</v>
      </c>
      <c r="CW62" s="14">
        <f>ROUND(IF(CB62=0,0,HLOOKUP(CB$14,Villagers!$B$1:$V$33,CB62+3,FALSE)),)</f>
        <v>0</v>
      </c>
      <c r="CX62" s="14">
        <f>ROUND(IF(CC62=0,0,HLOOKUP(CC$14,Villagers!$B$1:$V$33,CC62+3,FALSE)),)</f>
        <v>0</v>
      </c>
      <c r="CY62" s="14">
        <f>ROUND(IF(CD62=0,0,HLOOKUP(CD$14,Villagers!$B$1:$V$33,CD62+3,FALSE)),)</f>
        <v>0</v>
      </c>
      <c r="CZ62" s="14">
        <f>ROUND(IF(CE62=0,0,HLOOKUP(CE$14,Villagers!$B$1:$V$33,CE62+3,FALSE)),)</f>
        <v>5</v>
      </c>
      <c r="DA62" s="14">
        <f>ROUND(IF(CF62=0,0,HLOOKUP(CF$14,Villagers!$B$1:$V$33,CF62+3,FALSE)),)</f>
        <v>10</v>
      </c>
      <c r="DB62" s="14">
        <f>ROUND(IF(CG62=0,0,HLOOKUP(CG$14,Villagers!$B$1:$V$33,CG62+3,FALSE)),)</f>
        <v>10</v>
      </c>
      <c r="DC62" s="14">
        <f>ROUND(IF(CH62=0,0,HLOOKUP(CH$14,Villagers!$B$1:$V$33,CH62+3,FALSE)),)</f>
        <v>0</v>
      </c>
      <c r="DD62" s="14">
        <f>ROUND(IF(CI62=0,0,HLOOKUP(CI$14,Villagers!$B$1:$V$33,CI62+3,FALSE)),)</f>
        <v>0</v>
      </c>
      <c r="DE62" s="14">
        <f>ROUND(IF(CJ62=0,0,HLOOKUP(CJ$14,Villagers!$B$1:$V$33,CJ62+3,FALSE)),)</f>
        <v>2</v>
      </c>
      <c r="DF62" s="370">
        <f>ROUND(IF(CK62=0,0,HLOOKUP(CK$14,Villagers!$B$1:$V$33,CK62+3,FALSE)),)</f>
        <v>0</v>
      </c>
      <c r="DG62" s="370">
        <f>ROUND(IF(CL62=0,0,HLOOKUP(CL$14,Villagers!$B$1:$V$33,CL62+3,FALSE)),)</f>
        <v>0</v>
      </c>
      <c r="DH62" s="34">
        <f>ROUND(IF(CM62=0,0,HLOOKUP(CM$14,Villagers!$B$1:$V$33,CM62+3,FALSE)),)</f>
        <v>0</v>
      </c>
      <c r="DI62" s="109">
        <f t="shared" si="74"/>
        <v>0</v>
      </c>
      <c r="DJ62" s="50">
        <f t="shared" si="75"/>
        <v>0</v>
      </c>
      <c r="DK62" s="50">
        <f t="shared" si="76"/>
        <v>0</v>
      </c>
      <c r="DL62" s="50">
        <f t="shared" si="77"/>
        <v>0</v>
      </c>
      <c r="DM62" s="50">
        <f t="shared" si="78"/>
        <v>0</v>
      </c>
      <c r="DN62" s="50">
        <f t="shared" si="79"/>
        <v>0</v>
      </c>
      <c r="DO62" s="50">
        <f t="shared" si="80"/>
        <v>0</v>
      </c>
      <c r="DP62" s="50">
        <f t="shared" si="81"/>
        <v>0</v>
      </c>
      <c r="DQ62" s="50">
        <f t="shared" si="58"/>
        <v>0</v>
      </c>
      <c r="DR62" s="50">
        <f t="shared" si="59"/>
        <v>0</v>
      </c>
      <c r="DS62" s="96">
        <f>Miscelaneous!$D$4*Miscelaneous!$D$2^($CI62-1)</f>
        <v>1000</v>
      </c>
      <c r="DT62" s="333">
        <f t="shared" si="60"/>
        <v>1</v>
      </c>
      <c r="DU62" s="81">
        <v>1</v>
      </c>
      <c r="DV62" s="79">
        <f t="shared" si="61"/>
        <v>0</v>
      </c>
      <c r="DW62" s="79">
        <f t="shared" si="21"/>
        <v>0</v>
      </c>
      <c r="DX62" s="79">
        <f t="shared" si="62"/>
        <v>0</v>
      </c>
      <c r="DY62" s="79">
        <v>1</v>
      </c>
      <c r="DZ62" s="79">
        <f t="shared" si="22"/>
        <v>0</v>
      </c>
      <c r="EA62" s="79">
        <f t="shared" si="63"/>
        <v>0</v>
      </c>
      <c r="EB62" s="79">
        <f t="shared" si="64"/>
        <v>0</v>
      </c>
      <c r="EC62" s="79">
        <f t="shared" si="65"/>
        <v>0</v>
      </c>
      <c r="ED62" s="79">
        <v>1</v>
      </c>
      <c r="EE62" s="79">
        <v>1</v>
      </c>
      <c r="EF62" s="79">
        <f t="shared" si="66"/>
        <v>0</v>
      </c>
      <c r="EG62" s="79">
        <v>1</v>
      </c>
      <c r="EH62" s="79">
        <v>1</v>
      </c>
      <c r="EI62" s="79">
        <v>1</v>
      </c>
      <c r="EJ62" s="79">
        <v>1</v>
      </c>
      <c r="EK62" s="79">
        <v>1</v>
      </c>
      <c r="EL62" s="79">
        <v>1</v>
      </c>
      <c r="EM62" s="143">
        <f t="shared" si="67"/>
        <v>0</v>
      </c>
      <c r="EN62" s="143">
        <f t="shared" si="68"/>
        <v>0</v>
      </c>
      <c r="EO62" s="82">
        <f t="shared" si="69"/>
        <v>0</v>
      </c>
    </row>
    <row r="63" spans="1:145" x14ac:dyDescent="0.25">
      <c r="A63">
        <v>49</v>
      </c>
      <c r="B63" s="172" t="e">
        <f t="shared" si="23"/>
        <v>#N/A</v>
      </c>
      <c r="C63" s="121" t="e">
        <f t="shared" ref="C63:E63" si="137">AJ63-SUM(AB63:AB67)</f>
        <v>#N/A</v>
      </c>
      <c r="D63" s="122" t="e">
        <f t="shared" si="137"/>
        <v>#N/A</v>
      </c>
      <c r="E63" s="122" t="e">
        <f t="shared" si="137"/>
        <v>#N/A</v>
      </c>
      <c r="F63" s="176" t="e">
        <f t="shared" si="0"/>
        <v>#N/A</v>
      </c>
      <c r="G63" s="121">
        <f t="shared" si="25"/>
        <v>208</v>
      </c>
      <c r="H63" s="176" t="e">
        <f t="shared" si="26"/>
        <v>#N/A</v>
      </c>
      <c r="I63" s="48">
        <v>1</v>
      </c>
      <c r="J63" s="39"/>
      <c r="K63" s="350">
        <v>1</v>
      </c>
      <c r="L63" s="34" t="e">
        <f t="shared" si="1"/>
        <v>#N/A</v>
      </c>
      <c r="M63" s="38" t="e">
        <f>(HLOOKUP(J63,'Construction Times'!$B$3:$W$34,L63+2,FALSE)*HLOOKUP("hq modifier",'Construction Times'!$W$3:$W$34,BS63+2,FALSE))*(1-$H$9)</f>
        <v>#N/A</v>
      </c>
      <c r="N63" s="426" t="e">
        <f t="shared" si="27"/>
        <v>#N/A</v>
      </c>
      <c r="O63" s="427"/>
      <c r="P63" s="430" t="e">
        <f t="shared" si="28"/>
        <v>#N/A</v>
      </c>
      <c r="Q63" s="431"/>
      <c r="R63" s="103">
        <f t="shared" si="71"/>
        <v>0</v>
      </c>
      <c r="S63" s="104">
        <f t="shared" si="71"/>
        <v>0</v>
      </c>
      <c r="T63" s="104">
        <f t="shared" si="72"/>
        <v>0</v>
      </c>
      <c r="U63" s="104">
        <f t="shared" si="72"/>
        <v>0</v>
      </c>
      <c r="V63" s="104">
        <f t="shared" si="72"/>
        <v>9.9999999999999995E-8</v>
      </c>
      <c r="W63" s="104">
        <f t="shared" si="72"/>
        <v>0</v>
      </c>
      <c r="X63" s="104">
        <f t="shared" si="116"/>
        <v>0</v>
      </c>
      <c r="Y63" s="104">
        <f t="shared" si="116"/>
        <v>9.9999999999999995E-8</v>
      </c>
      <c r="Z63" s="104">
        <f t="shared" si="116"/>
        <v>9.9999999999999995E-8</v>
      </c>
      <c r="AA63" s="105">
        <f t="shared" si="116"/>
        <v>9.9999999999999995E-8</v>
      </c>
      <c r="AB63" s="101" t="e">
        <f>$DT63*HLOOKUP($J63,'Construction Costs (timber)'!$B$1:$V$32,'Construction Planner'!$L63+2,FALSE)</f>
        <v>#N/A</v>
      </c>
      <c r="AC63" s="14" t="e">
        <f>$DT63*HLOOKUP($J63,'Construction Costs (clay)'!$B$1:$V$32,'Construction Planner'!$L63+2,FALSE)</f>
        <v>#N/A</v>
      </c>
      <c r="AD63" s="14" t="e">
        <f>$DT63*HLOOKUP($J63,'Construction Costs (iron)'!$B$1:$V$32,'Construction Planner'!$L63+2,FALSE)</f>
        <v>#N/A</v>
      </c>
      <c r="AE63" s="34" t="e">
        <f t="shared" si="86"/>
        <v>#N/A</v>
      </c>
      <c r="AF63" s="33" t="e">
        <f t="shared" si="3"/>
        <v>#N/A</v>
      </c>
      <c r="AG63" s="14" t="e">
        <f t="shared" si="4"/>
        <v>#N/A</v>
      </c>
      <c r="AH63" s="14" t="e">
        <f t="shared" si="5"/>
        <v>#N/A</v>
      </c>
      <c r="AI63" s="34" t="e">
        <f t="shared" si="87"/>
        <v>#N/A</v>
      </c>
      <c r="AJ63" s="49" t="e">
        <f t="shared" si="31"/>
        <v>#N/A</v>
      </c>
      <c r="AK63" s="49" t="e">
        <f t="shared" si="32"/>
        <v>#N/A</v>
      </c>
      <c r="AL63" s="49" t="e">
        <f t="shared" si="33"/>
        <v>#N/A</v>
      </c>
      <c r="AM63" s="25">
        <f t="shared" si="6"/>
        <v>30</v>
      </c>
      <c r="AN63" s="25">
        <f t="shared" si="7"/>
        <v>30</v>
      </c>
      <c r="AO63" s="25">
        <f t="shared" si="8"/>
        <v>30</v>
      </c>
      <c r="AP63" s="52" t="e">
        <f t="shared" si="34"/>
        <v>#N/A</v>
      </c>
      <c r="AQ63" s="53" t="e">
        <f t="shared" si="34"/>
        <v>#N/A</v>
      </c>
      <c r="AR63" s="54" t="e">
        <f t="shared" si="34"/>
        <v>#N/A</v>
      </c>
      <c r="AS63" s="316">
        <f t="shared" si="88"/>
        <v>0</v>
      </c>
      <c r="AT63" s="106">
        <f>_xlfn.IFNA($M63/VLOOKUP($BT63,'Unit information'!$A$2:$K$29,2,FALSE)*R63,0)*(1+$E$9)</f>
        <v>0</v>
      </c>
      <c r="AU63" s="107">
        <f>_xlfn.IFNA($M63/VLOOKUP($BT63,'Unit information'!$A$2:$K$29,3,FALSE)*S63,0)*(1+$E$9)</f>
        <v>0</v>
      </c>
      <c r="AV63" s="107">
        <f>_xlfn.IFNA($M63/VLOOKUP($BT63,'Unit information'!$A$2:$K$29,4,FALSE)*T63,0)*(1+$E$9)</f>
        <v>0</v>
      </c>
      <c r="AW63" s="107">
        <f>_xlfn.IFNA($M63/VLOOKUP($BT63,'Unit information'!$A$2:$K$29,5,FALSE)*U63,0)*(1+$E$9)</f>
        <v>0</v>
      </c>
      <c r="AX63" s="107">
        <f>_xlfn.IFNA($M63/VLOOKUP($BU63,'Unit information'!$A$2:$K$29,6,FALSE)*V63,0)*(1+$E$9)</f>
        <v>0</v>
      </c>
      <c r="AY63" s="107">
        <f>_xlfn.IFNA($M63/VLOOKUP($BU63,'Unit information'!$A$2:$K$29,7,FALSE)*W63,0)*(1+$E$9)</f>
        <v>0</v>
      </c>
      <c r="AZ63" s="107">
        <f>_xlfn.IFNA($M63/VLOOKUP($BU63,'Unit information'!$A$2:$K$29,8,FALSE)*X63,0)*(1+$E$9)</f>
        <v>0</v>
      </c>
      <c r="BA63" s="107">
        <f>_xlfn.IFNA($M63/VLOOKUP($BU63,'Unit information'!$A$2:$K$29,9,FALSE)*Y63,0)*(1+$E$9)</f>
        <v>0</v>
      </c>
      <c r="BB63" s="107">
        <f>_xlfn.IFNA($M63/VLOOKUP($BV63,'Unit information'!$A$2:$K$29,10,FALSE)*Z63,0)*(1+$E$9)</f>
        <v>0</v>
      </c>
      <c r="BC63" s="108">
        <f>_xlfn.IFNA($M63/VLOOKUP($BV63,'Unit information'!$A$2:$K$29,11,FALSE)*AA63,0)*(1+$E$9)</f>
        <v>0</v>
      </c>
      <c r="BD63" s="106">
        <f t="shared" si="10"/>
        <v>0</v>
      </c>
      <c r="BE63" s="107">
        <f t="shared" si="11"/>
        <v>0</v>
      </c>
      <c r="BF63" s="108">
        <f t="shared" si="12"/>
        <v>0</v>
      </c>
      <c r="BG63" s="25" t="e">
        <f t="shared" si="13"/>
        <v>#N/A</v>
      </c>
      <c r="BH63" s="25" t="e">
        <f t="shared" si="14"/>
        <v>#N/A</v>
      </c>
      <c r="BI63" s="25" t="e">
        <f t="shared" si="15"/>
        <v>#N/A</v>
      </c>
      <c r="BJ63" s="27" t="e">
        <f t="shared" si="16"/>
        <v>#N/A</v>
      </c>
      <c r="BK63" s="18" t="e">
        <f t="shared" si="17"/>
        <v>#N/A</v>
      </c>
      <c r="BL63" s="18" t="e">
        <f t="shared" si="18"/>
        <v>#N/A</v>
      </c>
      <c r="BM63" s="28" t="e">
        <f t="shared" si="89"/>
        <v>#N/A</v>
      </c>
      <c r="BN63" s="33">
        <f>HLOOKUP("maximum population",Miscelaneous!$C$1:$C$33,CH63+3,FALSE)</f>
        <v>240</v>
      </c>
      <c r="BO63" s="14">
        <f t="shared" si="35"/>
        <v>32</v>
      </c>
      <c r="BP63" s="14">
        <f t="shared" si="36"/>
        <v>0</v>
      </c>
      <c r="BQ63" s="14">
        <f t="shared" si="37"/>
        <v>208</v>
      </c>
      <c r="BR63" s="34" t="e">
        <f>HLOOKUP(J63,Villagers!$B$1:$V$33,L63+3,FALSE)-HLOOKUP(J63,Villagers!$B$1:$V$33,L63+2,FALSE)</f>
        <v>#N/A</v>
      </c>
      <c r="BS63" s="49">
        <f t="shared" si="38"/>
        <v>1</v>
      </c>
      <c r="BT63" s="50">
        <f t="shared" si="39"/>
        <v>0</v>
      </c>
      <c r="BU63" s="50">
        <f t="shared" si="40"/>
        <v>0</v>
      </c>
      <c r="BV63" s="50">
        <f t="shared" si="120"/>
        <v>0</v>
      </c>
      <c r="BW63" s="50">
        <f t="shared" si="121"/>
        <v>0</v>
      </c>
      <c r="BX63" s="50">
        <f t="shared" si="122"/>
        <v>0</v>
      </c>
      <c r="BY63" s="50">
        <f t="shared" si="122"/>
        <v>0</v>
      </c>
      <c r="BZ63" s="50">
        <f t="shared" si="44"/>
        <v>0</v>
      </c>
      <c r="CA63" s="50">
        <f t="shared" si="45"/>
        <v>0</v>
      </c>
      <c r="CB63" s="50">
        <f t="shared" si="46"/>
        <v>1</v>
      </c>
      <c r="CC63" s="50">
        <f t="shared" si="47"/>
        <v>0</v>
      </c>
      <c r="CD63" s="50">
        <f t="shared" si="48"/>
        <v>0</v>
      </c>
      <c r="CE63" s="50">
        <f t="shared" si="49"/>
        <v>1</v>
      </c>
      <c r="CF63" s="50">
        <f t="shared" si="50"/>
        <v>1</v>
      </c>
      <c r="CG63" s="50">
        <f t="shared" si="51"/>
        <v>1</v>
      </c>
      <c r="CH63" s="50">
        <f t="shared" si="52"/>
        <v>1</v>
      </c>
      <c r="CI63" s="50">
        <f t="shared" si="53"/>
        <v>1</v>
      </c>
      <c r="CJ63" s="50">
        <f t="shared" si="54"/>
        <v>1</v>
      </c>
      <c r="CK63" s="50">
        <f t="shared" si="55"/>
        <v>0</v>
      </c>
      <c r="CL63" s="50">
        <f t="shared" si="54"/>
        <v>0</v>
      </c>
      <c r="CM63" s="51">
        <f t="shared" si="56"/>
        <v>0</v>
      </c>
      <c r="CN63" s="33">
        <f>ROUND(IF(BS63=0,0,HLOOKUP(BS$14,Villagers!$B$1:$V$33,BS63+3,FALSE)),)</f>
        <v>5</v>
      </c>
      <c r="CO63" s="14">
        <f>ROUND(IF(BT63=0,0,HLOOKUP(BT$14,Villagers!$B$1:$V$33,BT63+3,FALSE)),)</f>
        <v>0</v>
      </c>
      <c r="CP63" s="14">
        <f>ROUND(IF(BU63=0,0,HLOOKUP(BU$14,Villagers!$B$1:$V$33,BU63+3,FALSE)),)</f>
        <v>0</v>
      </c>
      <c r="CQ63" s="14">
        <f>ROUND(IF(BV63=0,0,HLOOKUP(BV$14,Villagers!$B$1:$V$33,BV63+3,FALSE)),)</f>
        <v>0</v>
      </c>
      <c r="CR63" s="14">
        <f>ROUND(IF(BW63=0,0,HLOOKUP(BW$14,Villagers!$B$1:$V$33,BW63+3,FALSE)),)</f>
        <v>0</v>
      </c>
      <c r="CS63" s="14">
        <f>ROUND(IF(BX63=0,0,HLOOKUP(BX$14,Villagers!$B$1:$V$33,BX63+3,FALSE)),)</f>
        <v>0</v>
      </c>
      <c r="CT63" s="14">
        <f>ROUND(IF(BY63=0,0,HLOOKUP(BY$14,Villagers!$B$1:$V$33,BY63+3,FALSE)),)</f>
        <v>0</v>
      </c>
      <c r="CU63" s="14">
        <f>ROUND(IF(BZ63=0,0,HLOOKUP(BZ$14,Villagers!$B$1:$V$33,BZ63+3,FALSE)),)</f>
        <v>0</v>
      </c>
      <c r="CV63" s="14">
        <f>ROUND(IF(CA63=0,0,HLOOKUP(CA$14,Villagers!$B$1:$V$33,CA63+3,FALSE)),)</f>
        <v>0</v>
      </c>
      <c r="CW63" s="14">
        <f>ROUND(IF(CB63=0,0,HLOOKUP(CB$14,Villagers!$B$1:$V$33,CB63+3,FALSE)),)</f>
        <v>0</v>
      </c>
      <c r="CX63" s="14">
        <f>ROUND(IF(CC63=0,0,HLOOKUP(CC$14,Villagers!$B$1:$V$33,CC63+3,FALSE)),)</f>
        <v>0</v>
      </c>
      <c r="CY63" s="14">
        <f>ROUND(IF(CD63=0,0,HLOOKUP(CD$14,Villagers!$B$1:$V$33,CD63+3,FALSE)),)</f>
        <v>0</v>
      </c>
      <c r="CZ63" s="14">
        <f>ROUND(IF(CE63=0,0,HLOOKUP(CE$14,Villagers!$B$1:$V$33,CE63+3,FALSE)),)</f>
        <v>5</v>
      </c>
      <c r="DA63" s="14">
        <f>ROUND(IF(CF63=0,0,HLOOKUP(CF$14,Villagers!$B$1:$V$33,CF63+3,FALSE)),)</f>
        <v>10</v>
      </c>
      <c r="DB63" s="14">
        <f>ROUND(IF(CG63=0,0,HLOOKUP(CG$14,Villagers!$B$1:$V$33,CG63+3,FALSE)),)</f>
        <v>10</v>
      </c>
      <c r="DC63" s="14">
        <f>ROUND(IF(CH63=0,0,HLOOKUP(CH$14,Villagers!$B$1:$V$33,CH63+3,FALSE)),)</f>
        <v>0</v>
      </c>
      <c r="DD63" s="14">
        <f>ROUND(IF(CI63=0,0,HLOOKUP(CI$14,Villagers!$B$1:$V$33,CI63+3,FALSE)),)</f>
        <v>0</v>
      </c>
      <c r="DE63" s="14">
        <f>ROUND(IF(CJ63=0,0,HLOOKUP(CJ$14,Villagers!$B$1:$V$33,CJ63+3,FALSE)),)</f>
        <v>2</v>
      </c>
      <c r="DF63" s="370">
        <f>ROUND(IF(CK63=0,0,HLOOKUP(CK$14,Villagers!$B$1:$V$33,CK63+3,FALSE)),)</f>
        <v>0</v>
      </c>
      <c r="DG63" s="370">
        <f>ROUND(IF(CL63=0,0,HLOOKUP(CL$14,Villagers!$B$1:$V$33,CL63+3,FALSE)),)</f>
        <v>0</v>
      </c>
      <c r="DH63" s="34">
        <f>ROUND(IF(CM63=0,0,HLOOKUP(CM$14,Villagers!$B$1:$V$33,CM63+3,FALSE)),)</f>
        <v>0</v>
      </c>
      <c r="DI63" s="109">
        <f t="shared" si="74"/>
        <v>0</v>
      </c>
      <c r="DJ63" s="50">
        <f t="shared" si="75"/>
        <v>0</v>
      </c>
      <c r="DK63" s="50">
        <f t="shared" si="76"/>
        <v>0</v>
      </c>
      <c r="DL63" s="50">
        <f t="shared" si="77"/>
        <v>0</v>
      </c>
      <c r="DM63" s="50">
        <f t="shared" si="78"/>
        <v>0</v>
      </c>
      <c r="DN63" s="50">
        <f t="shared" si="79"/>
        <v>0</v>
      </c>
      <c r="DO63" s="50">
        <f t="shared" si="80"/>
        <v>0</v>
      </c>
      <c r="DP63" s="50">
        <f t="shared" si="81"/>
        <v>0</v>
      </c>
      <c r="DQ63" s="50">
        <f t="shared" si="58"/>
        <v>0</v>
      </c>
      <c r="DR63" s="50">
        <f t="shared" si="59"/>
        <v>0</v>
      </c>
      <c r="DS63" s="96">
        <f>Miscelaneous!$D$4*Miscelaneous!$D$2^($CI63-1)</f>
        <v>1000</v>
      </c>
      <c r="DT63" s="333">
        <f t="shared" si="60"/>
        <v>1</v>
      </c>
      <c r="DU63" s="81">
        <v>1</v>
      </c>
      <c r="DV63" s="79">
        <f t="shared" si="61"/>
        <v>0</v>
      </c>
      <c r="DW63" s="79">
        <f t="shared" si="21"/>
        <v>0</v>
      </c>
      <c r="DX63" s="79">
        <f t="shared" si="62"/>
        <v>0</v>
      </c>
      <c r="DY63" s="79">
        <v>1</v>
      </c>
      <c r="DZ63" s="79">
        <f t="shared" si="22"/>
        <v>0</v>
      </c>
      <c r="EA63" s="79">
        <f t="shared" si="63"/>
        <v>0</v>
      </c>
      <c r="EB63" s="79">
        <f t="shared" si="64"/>
        <v>0</v>
      </c>
      <c r="EC63" s="79">
        <f t="shared" si="65"/>
        <v>0</v>
      </c>
      <c r="ED63" s="79">
        <v>1</v>
      </c>
      <c r="EE63" s="79">
        <v>1</v>
      </c>
      <c r="EF63" s="79">
        <f t="shared" si="66"/>
        <v>0</v>
      </c>
      <c r="EG63" s="79">
        <v>1</v>
      </c>
      <c r="EH63" s="79">
        <v>1</v>
      </c>
      <c r="EI63" s="79">
        <v>1</v>
      </c>
      <c r="EJ63" s="79">
        <v>1</v>
      </c>
      <c r="EK63" s="79">
        <v>1</v>
      </c>
      <c r="EL63" s="79">
        <v>1</v>
      </c>
      <c r="EM63" s="143">
        <f t="shared" si="67"/>
        <v>0</v>
      </c>
      <c r="EN63" s="143">
        <f t="shared" si="68"/>
        <v>0</v>
      </c>
      <c r="EO63" s="82">
        <f t="shared" si="69"/>
        <v>0</v>
      </c>
    </row>
    <row r="64" spans="1:145" x14ac:dyDescent="0.25">
      <c r="A64">
        <v>50</v>
      </c>
      <c r="B64" s="172" t="e">
        <f t="shared" si="23"/>
        <v>#N/A</v>
      </c>
      <c r="C64" s="121" t="e">
        <f t="shared" ref="C64:E64" si="138">AJ64-SUM(AB64:AB68)</f>
        <v>#N/A</v>
      </c>
      <c r="D64" s="122" t="e">
        <f t="shared" si="138"/>
        <v>#N/A</v>
      </c>
      <c r="E64" s="122" t="e">
        <f t="shared" si="138"/>
        <v>#N/A</v>
      </c>
      <c r="F64" s="176" t="e">
        <f t="shared" si="0"/>
        <v>#N/A</v>
      </c>
      <c r="G64" s="121">
        <f t="shared" si="25"/>
        <v>208</v>
      </c>
      <c r="H64" s="176" t="e">
        <f t="shared" si="26"/>
        <v>#N/A</v>
      </c>
      <c r="I64" s="48">
        <v>1</v>
      </c>
      <c r="J64" s="39"/>
      <c r="K64" s="350">
        <v>1</v>
      </c>
      <c r="L64" s="34" t="e">
        <f t="shared" si="1"/>
        <v>#N/A</v>
      </c>
      <c r="M64" s="38" t="e">
        <f>(HLOOKUP(J64,'Construction Times'!$B$3:$W$34,L64+2,FALSE)*HLOOKUP("hq modifier",'Construction Times'!$W$3:$W$34,BS64+2,FALSE))*(1-$H$9)</f>
        <v>#N/A</v>
      </c>
      <c r="N64" s="426" t="e">
        <f t="shared" si="27"/>
        <v>#N/A</v>
      </c>
      <c r="O64" s="427"/>
      <c r="P64" s="430" t="e">
        <f t="shared" si="28"/>
        <v>#N/A</v>
      </c>
      <c r="Q64" s="431"/>
      <c r="R64" s="103">
        <f t="shared" si="71"/>
        <v>0</v>
      </c>
      <c r="S64" s="104">
        <f t="shared" si="71"/>
        <v>0</v>
      </c>
      <c r="T64" s="104">
        <f t="shared" si="72"/>
        <v>0</v>
      </c>
      <c r="U64" s="104">
        <f t="shared" si="72"/>
        <v>0</v>
      </c>
      <c r="V64" s="104">
        <f t="shared" si="72"/>
        <v>9.9999999999999995E-8</v>
      </c>
      <c r="W64" s="104">
        <f t="shared" si="72"/>
        <v>0</v>
      </c>
      <c r="X64" s="104">
        <f t="shared" si="116"/>
        <v>0</v>
      </c>
      <c r="Y64" s="104">
        <f t="shared" si="116"/>
        <v>9.9999999999999995E-8</v>
      </c>
      <c r="Z64" s="104">
        <f t="shared" si="116"/>
        <v>9.9999999999999995E-8</v>
      </c>
      <c r="AA64" s="105">
        <f t="shared" si="116"/>
        <v>9.9999999999999995E-8</v>
      </c>
      <c r="AB64" s="101" t="e">
        <f>$DT64*HLOOKUP($J64,'Construction Costs (timber)'!$B$1:$V$32,'Construction Planner'!$L64+2,FALSE)</f>
        <v>#N/A</v>
      </c>
      <c r="AC64" s="14" t="e">
        <f>$DT64*HLOOKUP($J64,'Construction Costs (clay)'!$B$1:$V$32,'Construction Planner'!$L64+2,FALSE)</f>
        <v>#N/A</v>
      </c>
      <c r="AD64" s="14" t="e">
        <f>$DT64*HLOOKUP($J64,'Construction Costs (iron)'!$B$1:$V$32,'Construction Planner'!$L64+2,FALSE)</f>
        <v>#N/A</v>
      </c>
      <c r="AE64" s="34" t="e">
        <f t="shared" si="86"/>
        <v>#N/A</v>
      </c>
      <c r="AF64" s="33" t="e">
        <f t="shared" si="3"/>
        <v>#N/A</v>
      </c>
      <c r="AG64" s="14" t="e">
        <f t="shared" si="4"/>
        <v>#N/A</v>
      </c>
      <c r="AH64" s="14" t="e">
        <f t="shared" si="5"/>
        <v>#N/A</v>
      </c>
      <c r="AI64" s="34" t="e">
        <f t="shared" si="87"/>
        <v>#N/A</v>
      </c>
      <c r="AJ64" s="49" t="e">
        <f t="shared" si="31"/>
        <v>#N/A</v>
      </c>
      <c r="AK64" s="49" t="e">
        <f t="shared" si="32"/>
        <v>#N/A</v>
      </c>
      <c r="AL64" s="49" t="e">
        <f t="shared" si="33"/>
        <v>#N/A</v>
      </c>
      <c r="AM64" s="25">
        <f t="shared" si="6"/>
        <v>30</v>
      </c>
      <c r="AN64" s="25">
        <f t="shared" si="7"/>
        <v>30</v>
      </c>
      <c r="AO64" s="25">
        <f t="shared" si="8"/>
        <v>30</v>
      </c>
      <c r="AP64" s="52" t="e">
        <f t="shared" si="34"/>
        <v>#N/A</v>
      </c>
      <c r="AQ64" s="53" t="e">
        <f t="shared" si="34"/>
        <v>#N/A</v>
      </c>
      <c r="AR64" s="54" t="e">
        <f t="shared" si="34"/>
        <v>#N/A</v>
      </c>
      <c r="AS64" s="316">
        <f t="shared" si="88"/>
        <v>0</v>
      </c>
      <c r="AT64" s="106">
        <f>_xlfn.IFNA($M64/VLOOKUP($BT64,'Unit information'!$A$2:$K$29,2,FALSE)*R64,0)*(1+$E$9)</f>
        <v>0</v>
      </c>
      <c r="AU64" s="107">
        <f>_xlfn.IFNA($M64/VLOOKUP($BT64,'Unit information'!$A$2:$K$29,3,FALSE)*S64,0)*(1+$E$9)</f>
        <v>0</v>
      </c>
      <c r="AV64" s="107">
        <f>_xlfn.IFNA($M64/VLOOKUP($BT64,'Unit information'!$A$2:$K$29,4,FALSE)*T64,0)*(1+$E$9)</f>
        <v>0</v>
      </c>
      <c r="AW64" s="107">
        <f>_xlfn.IFNA($M64/VLOOKUP($BT64,'Unit information'!$A$2:$K$29,5,FALSE)*U64,0)*(1+$E$9)</f>
        <v>0</v>
      </c>
      <c r="AX64" s="107">
        <f>_xlfn.IFNA($M64/VLOOKUP($BU64,'Unit information'!$A$2:$K$29,6,FALSE)*V64,0)*(1+$E$9)</f>
        <v>0</v>
      </c>
      <c r="AY64" s="107">
        <f>_xlfn.IFNA($M64/VLOOKUP($BU64,'Unit information'!$A$2:$K$29,7,FALSE)*W64,0)*(1+$E$9)</f>
        <v>0</v>
      </c>
      <c r="AZ64" s="107">
        <f>_xlfn.IFNA($M64/VLOOKUP($BU64,'Unit information'!$A$2:$K$29,8,FALSE)*X64,0)*(1+$E$9)</f>
        <v>0</v>
      </c>
      <c r="BA64" s="107">
        <f>_xlfn.IFNA($M64/VLOOKUP($BU64,'Unit information'!$A$2:$K$29,9,FALSE)*Y64,0)*(1+$E$9)</f>
        <v>0</v>
      </c>
      <c r="BB64" s="107">
        <f>_xlfn.IFNA($M64/VLOOKUP($BV64,'Unit information'!$A$2:$K$29,10,FALSE)*Z64,0)*(1+$E$9)</f>
        <v>0</v>
      </c>
      <c r="BC64" s="108">
        <f>_xlfn.IFNA($M64/VLOOKUP($BV64,'Unit information'!$A$2:$K$29,11,FALSE)*AA64,0)*(1+$E$9)</f>
        <v>0</v>
      </c>
      <c r="BD64" s="106">
        <f t="shared" si="10"/>
        <v>0</v>
      </c>
      <c r="BE64" s="107">
        <f t="shared" si="11"/>
        <v>0</v>
      </c>
      <c r="BF64" s="108">
        <f t="shared" si="12"/>
        <v>0</v>
      </c>
      <c r="BG64" s="25" t="e">
        <f t="shared" si="13"/>
        <v>#N/A</v>
      </c>
      <c r="BH64" s="25" t="e">
        <f t="shared" si="14"/>
        <v>#N/A</v>
      </c>
      <c r="BI64" s="25" t="e">
        <f t="shared" si="15"/>
        <v>#N/A</v>
      </c>
      <c r="BJ64" s="27" t="e">
        <f t="shared" si="16"/>
        <v>#N/A</v>
      </c>
      <c r="BK64" s="18" t="e">
        <f t="shared" si="17"/>
        <v>#N/A</v>
      </c>
      <c r="BL64" s="18" t="e">
        <f t="shared" si="18"/>
        <v>#N/A</v>
      </c>
      <c r="BM64" s="28" t="e">
        <f t="shared" si="89"/>
        <v>#N/A</v>
      </c>
      <c r="BN64" s="33">
        <f>HLOOKUP("maximum population",Miscelaneous!$C$1:$C$33,CH64+3,FALSE)</f>
        <v>240</v>
      </c>
      <c r="BO64" s="14">
        <f t="shared" si="35"/>
        <v>32</v>
      </c>
      <c r="BP64" s="14">
        <f t="shared" si="36"/>
        <v>0</v>
      </c>
      <c r="BQ64" s="14">
        <f t="shared" si="37"/>
        <v>208</v>
      </c>
      <c r="BR64" s="34" t="e">
        <f>HLOOKUP(J64,Villagers!$B$1:$V$33,L64+3,FALSE)-HLOOKUP(J64,Villagers!$B$1:$V$33,L64+2,FALSE)</f>
        <v>#N/A</v>
      </c>
      <c r="BS64" s="49">
        <f t="shared" si="38"/>
        <v>1</v>
      </c>
      <c r="BT64" s="50">
        <f t="shared" si="39"/>
        <v>0</v>
      </c>
      <c r="BU64" s="50">
        <f t="shared" si="40"/>
        <v>0</v>
      </c>
      <c r="BV64" s="50">
        <f t="shared" si="120"/>
        <v>0</v>
      </c>
      <c r="BW64" s="50">
        <f t="shared" si="121"/>
        <v>0</v>
      </c>
      <c r="BX64" s="50">
        <f t="shared" si="122"/>
        <v>0</v>
      </c>
      <c r="BY64" s="50">
        <f t="shared" si="122"/>
        <v>0</v>
      </c>
      <c r="BZ64" s="50">
        <f t="shared" si="44"/>
        <v>0</v>
      </c>
      <c r="CA64" s="50">
        <f t="shared" si="45"/>
        <v>0</v>
      </c>
      <c r="CB64" s="50">
        <f t="shared" si="46"/>
        <v>1</v>
      </c>
      <c r="CC64" s="50">
        <f t="shared" si="47"/>
        <v>0</v>
      </c>
      <c r="CD64" s="50">
        <f t="shared" si="48"/>
        <v>0</v>
      </c>
      <c r="CE64" s="50">
        <f t="shared" si="49"/>
        <v>1</v>
      </c>
      <c r="CF64" s="50">
        <f t="shared" si="50"/>
        <v>1</v>
      </c>
      <c r="CG64" s="50">
        <f t="shared" si="51"/>
        <v>1</v>
      </c>
      <c r="CH64" s="50">
        <f t="shared" si="52"/>
        <v>1</v>
      </c>
      <c r="CI64" s="50">
        <f t="shared" si="53"/>
        <v>1</v>
      </c>
      <c r="CJ64" s="50">
        <f t="shared" si="54"/>
        <v>1</v>
      </c>
      <c r="CK64" s="50">
        <f t="shared" si="55"/>
        <v>0</v>
      </c>
      <c r="CL64" s="50">
        <f t="shared" si="54"/>
        <v>0</v>
      </c>
      <c r="CM64" s="51">
        <f t="shared" si="56"/>
        <v>0</v>
      </c>
      <c r="CN64" s="33">
        <f>ROUND(IF(BS64=0,0,HLOOKUP(BS$14,Villagers!$B$1:$V$33,BS64+3,FALSE)),)</f>
        <v>5</v>
      </c>
      <c r="CO64" s="14">
        <f>ROUND(IF(BT64=0,0,HLOOKUP(BT$14,Villagers!$B$1:$V$33,BT64+3,FALSE)),)</f>
        <v>0</v>
      </c>
      <c r="CP64" s="14">
        <f>ROUND(IF(BU64=0,0,HLOOKUP(BU$14,Villagers!$B$1:$V$33,BU64+3,FALSE)),)</f>
        <v>0</v>
      </c>
      <c r="CQ64" s="14">
        <f>ROUND(IF(BV64=0,0,HLOOKUP(BV$14,Villagers!$B$1:$V$33,BV64+3,FALSE)),)</f>
        <v>0</v>
      </c>
      <c r="CR64" s="14">
        <f>ROUND(IF(BW64=0,0,HLOOKUP(BW$14,Villagers!$B$1:$V$33,BW64+3,FALSE)),)</f>
        <v>0</v>
      </c>
      <c r="CS64" s="14">
        <f>ROUND(IF(BX64=0,0,HLOOKUP(BX$14,Villagers!$B$1:$V$33,BX64+3,FALSE)),)</f>
        <v>0</v>
      </c>
      <c r="CT64" s="14">
        <f>ROUND(IF(BY64=0,0,HLOOKUP(BY$14,Villagers!$B$1:$V$33,BY64+3,FALSE)),)</f>
        <v>0</v>
      </c>
      <c r="CU64" s="14">
        <f>ROUND(IF(BZ64=0,0,HLOOKUP(BZ$14,Villagers!$B$1:$V$33,BZ64+3,FALSE)),)</f>
        <v>0</v>
      </c>
      <c r="CV64" s="14">
        <f>ROUND(IF(CA64=0,0,HLOOKUP(CA$14,Villagers!$B$1:$V$33,CA64+3,FALSE)),)</f>
        <v>0</v>
      </c>
      <c r="CW64" s="14">
        <f>ROUND(IF(CB64=0,0,HLOOKUP(CB$14,Villagers!$B$1:$V$33,CB64+3,FALSE)),)</f>
        <v>0</v>
      </c>
      <c r="CX64" s="14">
        <f>ROUND(IF(CC64=0,0,HLOOKUP(CC$14,Villagers!$B$1:$V$33,CC64+3,FALSE)),)</f>
        <v>0</v>
      </c>
      <c r="CY64" s="14">
        <f>ROUND(IF(CD64=0,0,HLOOKUP(CD$14,Villagers!$B$1:$V$33,CD64+3,FALSE)),)</f>
        <v>0</v>
      </c>
      <c r="CZ64" s="14">
        <f>ROUND(IF(CE64=0,0,HLOOKUP(CE$14,Villagers!$B$1:$V$33,CE64+3,FALSE)),)</f>
        <v>5</v>
      </c>
      <c r="DA64" s="14">
        <f>ROUND(IF(CF64=0,0,HLOOKUP(CF$14,Villagers!$B$1:$V$33,CF64+3,FALSE)),)</f>
        <v>10</v>
      </c>
      <c r="DB64" s="14">
        <f>ROUND(IF(CG64=0,0,HLOOKUP(CG$14,Villagers!$B$1:$V$33,CG64+3,FALSE)),)</f>
        <v>10</v>
      </c>
      <c r="DC64" s="14">
        <f>ROUND(IF(CH64=0,0,HLOOKUP(CH$14,Villagers!$B$1:$V$33,CH64+3,FALSE)),)</f>
        <v>0</v>
      </c>
      <c r="DD64" s="14">
        <f>ROUND(IF(CI64=0,0,HLOOKUP(CI$14,Villagers!$B$1:$V$33,CI64+3,FALSE)),)</f>
        <v>0</v>
      </c>
      <c r="DE64" s="14">
        <f>ROUND(IF(CJ64=0,0,HLOOKUP(CJ$14,Villagers!$B$1:$V$33,CJ64+3,FALSE)),)</f>
        <v>2</v>
      </c>
      <c r="DF64" s="370">
        <f>ROUND(IF(CK64=0,0,HLOOKUP(CK$14,Villagers!$B$1:$V$33,CK64+3,FALSE)),)</f>
        <v>0</v>
      </c>
      <c r="DG64" s="370">
        <f>ROUND(IF(CL64=0,0,HLOOKUP(CL$14,Villagers!$B$1:$V$33,CL64+3,FALSE)),)</f>
        <v>0</v>
      </c>
      <c r="DH64" s="34">
        <f>ROUND(IF(CM64=0,0,HLOOKUP(CM$14,Villagers!$B$1:$V$33,CM64+3,FALSE)),)</f>
        <v>0</v>
      </c>
      <c r="DI64" s="109">
        <f t="shared" si="74"/>
        <v>0</v>
      </c>
      <c r="DJ64" s="50">
        <f t="shared" si="75"/>
        <v>0</v>
      </c>
      <c r="DK64" s="50">
        <f t="shared" si="76"/>
        <v>0</v>
      </c>
      <c r="DL64" s="50">
        <f t="shared" si="77"/>
        <v>0</v>
      </c>
      <c r="DM64" s="50">
        <f t="shared" si="78"/>
        <v>0</v>
      </c>
      <c r="DN64" s="50">
        <f t="shared" si="79"/>
        <v>0</v>
      </c>
      <c r="DO64" s="50">
        <f t="shared" si="80"/>
        <v>0</v>
      </c>
      <c r="DP64" s="50">
        <f t="shared" si="81"/>
        <v>0</v>
      </c>
      <c r="DQ64" s="50">
        <f t="shared" si="58"/>
        <v>0</v>
      </c>
      <c r="DR64" s="50">
        <f t="shared" si="59"/>
        <v>0</v>
      </c>
      <c r="DS64" s="96">
        <f>Miscelaneous!$D$4*Miscelaneous!$D$2^($CI64-1)</f>
        <v>1000</v>
      </c>
      <c r="DT64" s="333">
        <f t="shared" si="60"/>
        <v>1</v>
      </c>
      <c r="DU64" s="81">
        <v>1</v>
      </c>
      <c r="DV64" s="79">
        <f t="shared" si="61"/>
        <v>0</v>
      </c>
      <c r="DW64" s="79">
        <f t="shared" si="21"/>
        <v>0</v>
      </c>
      <c r="DX64" s="79">
        <f t="shared" si="62"/>
        <v>0</v>
      </c>
      <c r="DY64" s="79">
        <v>1</v>
      </c>
      <c r="DZ64" s="79">
        <f t="shared" si="22"/>
        <v>0</v>
      </c>
      <c r="EA64" s="79">
        <f t="shared" si="63"/>
        <v>0</v>
      </c>
      <c r="EB64" s="79">
        <f t="shared" si="64"/>
        <v>0</v>
      </c>
      <c r="EC64" s="79">
        <f t="shared" si="65"/>
        <v>0</v>
      </c>
      <c r="ED64" s="79">
        <v>1</v>
      </c>
      <c r="EE64" s="79">
        <v>1</v>
      </c>
      <c r="EF64" s="79">
        <f t="shared" si="66"/>
        <v>0</v>
      </c>
      <c r="EG64" s="79">
        <v>1</v>
      </c>
      <c r="EH64" s="79">
        <v>1</v>
      </c>
      <c r="EI64" s="79">
        <v>1</v>
      </c>
      <c r="EJ64" s="79">
        <v>1</v>
      </c>
      <c r="EK64" s="79">
        <v>1</v>
      </c>
      <c r="EL64" s="79">
        <v>1</v>
      </c>
      <c r="EM64" s="143">
        <f t="shared" si="67"/>
        <v>0</v>
      </c>
      <c r="EN64" s="143">
        <f t="shared" si="68"/>
        <v>0</v>
      </c>
      <c r="EO64" s="82">
        <f t="shared" si="69"/>
        <v>0</v>
      </c>
    </row>
    <row r="65" spans="1:145" x14ac:dyDescent="0.25">
      <c r="A65">
        <v>51</v>
      </c>
      <c r="B65" s="172" t="e">
        <f t="shared" si="23"/>
        <v>#N/A</v>
      </c>
      <c r="C65" s="121" t="e">
        <f t="shared" ref="C65:E65" si="139">AJ65-SUM(AB65:AB69)</f>
        <v>#N/A</v>
      </c>
      <c r="D65" s="122" t="e">
        <f t="shared" si="139"/>
        <v>#N/A</v>
      </c>
      <c r="E65" s="122" t="e">
        <f t="shared" si="139"/>
        <v>#N/A</v>
      </c>
      <c r="F65" s="176" t="e">
        <f t="shared" si="0"/>
        <v>#N/A</v>
      </c>
      <c r="G65" s="121">
        <f t="shared" si="25"/>
        <v>208</v>
      </c>
      <c r="H65" s="176" t="e">
        <f t="shared" si="26"/>
        <v>#N/A</v>
      </c>
      <c r="I65" s="48">
        <v>1</v>
      </c>
      <c r="J65" s="39"/>
      <c r="K65" s="350">
        <v>1</v>
      </c>
      <c r="L65" s="34" t="e">
        <f t="shared" si="1"/>
        <v>#N/A</v>
      </c>
      <c r="M65" s="38" t="e">
        <f>(HLOOKUP(J65,'Construction Times'!$B$3:$W$34,L65+2,FALSE)*HLOOKUP("hq modifier",'Construction Times'!$W$3:$W$34,BS65+2,FALSE))*(1-$H$9)</f>
        <v>#N/A</v>
      </c>
      <c r="N65" s="426" t="e">
        <f t="shared" si="27"/>
        <v>#N/A</v>
      </c>
      <c r="O65" s="427"/>
      <c r="P65" s="430" t="e">
        <f t="shared" si="28"/>
        <v>#N/A</v>
      </c>
      <c r="Q65" s="431"/>
      <c r="R65" s="103">
        <f t="shared" si="71"/>
        <v>0</v>
      </c>
      <c r="S65" s="104">
        <f t="shared" si="71"/>
        <v>0</v>
      </c>
      <c r="T65" s="104">
        <f t="shared" si="72"/>
        <v>0</v>
      </c>
      <c r="U65" s="104">
        <f t="shared" si="72"/>
        <v>0</v>
      </c>
      <c r="V65" s="104">
        <f t="shared" si="72"/>
        <v>9.9999999999999995E-8</v>
      </c>
      <c r="W65" s="104">
        <f t="shared" si="72"/>
        <v>0</v>
      </c>
      <c r="X65" s="104">
        <f t="shared" si="116"/>
        <v>0</v>
      </c>
      <c r="Y65" s="104">
        <f t="shared" si="116"/>
        <v>9.9999999999999995E-8</v>
      </c>
      <c r="Z65" s="104">
        <f t="shared" si="116"/>
        <v>9.9999999999999995E-8</v>
      </c>
      <c r="AA65" s="105">
        <f t="shared" si="116"/>
        <v>9.9999999999999995E-8</v>
      </c>
      <c r="AB65" s="101" t="e">
        <f>$DT65*HLOOKUP($J65,'Construction Costs (timber)'!$B$1:$V$32,'Construction Planner'!$L65+2,FALSE)</f>
        <v>#N/A</v>
      </c>
      <c r="AC65" s="14" t="e">
        <f>$DT65*HLOOKUP($J65,'Construction Costs (clay)'!$B$1:$V$32,'Construction Planner'!$L65+2,FALSE)</f>
        <v>#N/A</v>
      </c>
      <c r="AD65" s="14" t="e">
        <f>$DT65*HLOOKUP($J65,'Construction Costs (iron)'!$B$1:$V$32,'Construction Planner'!$L65+2,FALSE)</f>
        <v>#N/A</v>
      </c>
      <c r="AE65" s="34" t="e">
        <f t="shared" si="86"/>
        <v>#N/A</v>
      </c>
      <c r="AF65" s="33" t="e">
        <f t="shared" si="3"/>
        <v>#N/A</v>
      </c>
      <c r="AG65" s="14" t="e">
        <f t="shared" si="4"/>
        <v>#N/A</v>
      </c>
      <c r="AH65" s="14" t="e">
        <f t="shared" si="5"/>
        <v>#N/A</v>
      </c>
      <c r="AI65" s="34" t="e">
        <f t="shared" si="87"/>
        <v>#N/A</v>
      </c>
      <c r="AJ65" s="49" t="e">
        <f t="shared" si="31"/>
        <v>#N/A</v>
      </c>
      <c r="AK65" s="49" t="e">
        <f t="shared" si="32"/>
        <v>#N/A</v>
      </c>
      <c r="AL65" s="49" t="e">
        <f t="shared" si="33"/>
        <v>#N/A</v>
      </c>
      <c r="AM65" s="25">
        <f t="shared" si="6"/>
        <v>30</v>
      </c>
      <c r="AN65" s="25">
        <f t="shared" si="7"/>
        <v>30</v>
      </c>
      <c r="AO65" s="25">
        <f t="shared" si="8"/>
        <v>30</v>
      </c>
      <c r="AP65" s="52" t="e">
        <f t="shared" si="34"/>
        <v>#N/A</v>
      </c>
      <c r="AQ65" s="53" t="e">
        <f t="shared" si="34"/>
        <v>#N/A</v>
      </c>
      <c r="AR65" s="54" t="e">
        <f t="shared" si="34"/>
        <v>#N/A</v>
      </c>
      <c r="AS65" s="316">
        <f t="shared" si="88"/>
        <v>0</v>
      </c>
      <c r="AT65" s="106">
        <f>_xlfn.IFNA($M65/VLOOKUP($BT65,'Unit information'!$A$2:$K$29,2,FALSE)*R65,0)*(1+$E$9)</f>
        <v>0</v>
      </c>
      <c r="AU65" s="107">
        <f>_xlfn.IFNA($M65/VLOOKUP($BT65,'Unit information'!$A$2:$K$29,3,FALSE)*S65,0)*(1+$E$9)</f>
        <v>0</v>
      </c>
      <c r="AV65" s="107">
        <f>_xlfn.IFNA($M65/VLOOKUP($BT65,'Unit information'!$A$2:$K$29,4,FALSE)*T65,0)*(1+$E$9)</f>
        <v>0</v>
      </c>
      <c r="AW65" s="107">
        <f>_xlfn.IFNA($M65/VLOOKUP($BT65,'Unit information'!$A$2:$K$29,5,FALSE)*U65,0)*(1+$E$9)</f>
        <v>0</v>
      </c>
      <c r="AX65" s="107">
        <f>_xlfn.IFNA($M65/VLOOKUP($BU65,'Unit information'!$A$2:$K$29,6,FALSE)*V65,0)*(1+$E$9)</f>
        <v>0</v>
      </c>
      <c r="AY65" s="107">
        <f>_xlfn.IFNA($M65/VLOOKUP($BU65,'Unit information'!$A$2:$K$29,7,FALSE)*W65,0)*(1+$E$9)</f>
        <v>0</v>
      </c>
      <c r="AZ65" s="107">
        <f>_xlfn.IFNA($M65/VLOOKUP($BU65,'Unit information'!$A$2:$K$29,8,FALSE)*X65,0)*(1+$E$9)</f>
        <v>0</v>
      </c>
      <c r="BA65" s="107">
        <f>_xlfn.IFNA($M65/VLOOKUP($BU65,'Unit information'!$A$2:$K$29,9,FALSE)*Y65,0)*(1+$E$9)</f>
        <v>0</v>
      </c>
      <c r="BB65" s="107">
        <f>_xlfn.IFNA($M65/VLOOKUP($BV65,'Unit information'!$A$2:$K$29,10,FALSE)*Z65,0)*(1+$E$9)</f>
        <v>0</v>
      </c>
      <c r="BC65" s="108">
        <f>_xlfn.IFNA($M65/VLOOKUP($BV65,'Unit information'!$A$2:$K$29,11,FALSE)*AA65,0)*(1+$E$9)</f>
        <v>0</v>
      </c>
      <c r="BD65" s="106">
        <f t="shared" si="10"/>
        <v>0</v>
      </c>
      <c r="BE65" s="107">
        <f t="shared" si="11"/>
        <v>0</v>
      </c>
      <c r="BF65" s="108">
        <f t="shared" si="12"/>
        <v>0</v>
      </c>
      <c r="BG65" s="25" t="e">
        <f t="shared" si="13"/>
        <v>#N/A</v>
      </c>
      <c r="BH65" s="25" t="e">
        <f t="shared" si="14"/>
        <v>#N/A</v>
      </c>
      <c r="BI65" s="25" t="e">
        <f t="shared" si="15"/>
        <v>#N/A</v>
      </c>
      <c r="BJ65" s="27" t="e">
        <f t="shared" si="16"/>
        <v>#N/A</v>
      </c>
      <c r="BK65" s="18" t="e">
        <f t="shared" si="17"/>
        <v>#N/A</v>
      </c>
      <c r="BL65" s="18" t="e">
        <f t="shared" si="18"/>
        <v>#N/A</v>
      </c>
      <c r="BM65" s="28" t="e">
        <f t="shared" si="89"/>
        <v>#N/A</v>
      </c>
      <c r="BN65" s="33">
        <f>HLOOKUP("maximum population",Miscelaneous!$C$1:$C$33,CH65+3,FALSE)</f>
        <v>240</v>
      </c>
      <c r="BO65" s="14">
        <f t="shared" si="35"/>
        <v>32</v>
      </c>
      <c r="BP65" s="14">
        <f t="shared" si="36"/>
        <v>0</v>
      </c>
      <c r="BQ65" s="14">
        <f t="shared" si="37"/>
        <v>208</v>
      </c>
      <c r="BR65" s="34" t="e">
        <f>HLOOKUP(J65,Villagers!$B$1:$V$33,L65+3,FALSE)-HLOOKUP(J65,Villagers!$B$1:$V$33,L65+2,FALSE)</f>
        <v>#N/A</v>
      </c>
      <c r="BS65" s="49">
        <f t="shared" si="38"/>
        <v>1</v>
      </c>
      <c r="BT65" s="50">
        <f t="shared" si="39"/>
        <v>0</v>
      </c>
      <c r="BU65" s="50">
        <f t="shared" si="40"/>
        <v>0</v>
      </c>
      <c r="BV65" s="50">
        <f t="shared" si="120"/>
        <v>0</v>
      </c>
      <c r="BW65" s="50">
        <f t="shared" si="121"/>
        <v>0</v>
      </c>
      <c r="BX65" s="50">
        <f t="shared" si="122"/>
        <v>0</v>
      </c>
      <c r="BY65" s="50">
        <f t="shared" si="122"/>
        <v>0</v>
      </c>
      <c r="BZ65" s="50">
        <f t="shared" si="44"/>
        <v>0</v>
      </c>
      <c r="CA65" s="50">
        <f t="shared" si="45"/>
        <v>0</v>
      </c>
      <c r="CB65" s="50">
        <f t="shared" si="46"/>
        <v>1</v>
      </c>
      <c r="CC65" s="50">
        <f t="shared" si="47"/>
        <v>0</v>
      </c>
      <c r="CD65" s="50">
        <f t="shared" si="48"/>
        <v>0</v>
      </c>
      <c r="CE65" s="50">
        <f t="shared" si="49"/>
        <v>1</v>
      </c>
      <c r="CF65" s="50">
        <f t="shared" si="50"/>
        <v>1</v>
      </c>
      <c r="CG65" s="50">
        <f t="shared" si="51"/>
        <v>1</v>
      </c>
      <c r="CH65" s="50">
        <f t="shared" si="52"/>
        <v>1</v>
      </c>
      <c r="CI65" s="50">
        <f t="shared" si="53"/>
        <v>1</v>
      </c>
      <c r="CJ65" s="50">
        <f t="shared" si="54"/>
        <v>1</v>
      </c>
      <c r="CK65" s="50">
        <f t="shared" si="55"/>
        <v>0</v>
      </c>
      <c r="CL65" s="50">
        <f t="shared" si="54"/>
        <v>0</v>
      </c>
      <c r="CM65" s="51">
        <f t="shared" si="56"/>
        <v>0</v>
      </c>
      <c r="CN65" s="33">
        <f>ROUND(IF(BS65=0,0,HLOOKUP(BS$14,Villagers!$B$1:$V$33,BS65+3,FALSE)),)</f>
        <v>5</v>
      </c>
      <c r="CO65" s="14">
        <f>ROUND(IF(BT65=0,0,HLOOKUP(BT$14,Villagers!$B$1:$V$33,BT65+3,FALSE)),)</f>
        <v>0</v>
      </c>
      <c r="CP65" s="14">
        <f>ROUND(IF(BU65=0,0,HLOOKUP(BU$14,Villagers!$B$1:$V$33,BU65+3,FALSE)),)</f>
        <v>0</v>
      </c>
      <c r="CQ65" s="14">
        <f>ROUND(IF(BV65=0,0,HLOOKUP(BV$14,Villagers!$B$1:$V$33,BV65+3,FALSE)),)</f>
        <v>0</v>
      </c>
      <c r="CR65" s="14">
        <f>ROUND(IF(BW65=0,0,HLOOKUP(BW$14,Villagers!$B$1:$V$33,BW65+3,FALSE)),)</f>
        <v>0</v>
      </c>
      <c r="CS65" s="14">
        <f>ROUND(IF(BX65=0,0,HLOOKUP(BX$14,Villagers!$B$1:$V$33,BX65+3,FALSE)),)</f>
        <v>0</v>
      </c>
      <c r="CT65" s="14">
        <f>ROUND(IF(BY65=0,0,HLOOKUP(BY$14,Villagers!$B$1:$V$33,BY65+3,FALSE)),)</f>
        <v>0</v>
      </c>
      <c r="CU65" s="14">
        <f>ROUND(IF(BZ65=0,0,HLOOKUP(BZ$14,Villagers!$B$1:$V$33,BZ65+3,FALSE)),)</f>
        <v>0</v>
      </c>
      <c r="CV65" s="14">
        <f>ROUND(IF(CA65=0,0,HLOOKUP(CA$14,Villagers!$B$1:$V$33,CA65+3,FALSE)),)</f>
        <v>0</v>
      </c>
      <c r="CW65" s="14">
        <f>ROUND(IF(CB65=0,0,HLOOKUP(CB$14,Villagers!$B$1:$V$33,CB65+3,FALSE)),)</f>
        <v>0</v>
      </c>
      <c r="CX65" s="14">
        <f>ROUND(IF(CC65=0,0,HLOOKUP(CC$14,Villagers!$B$1:$V$33,CC65+3,FALSE)),)</f>
        <v>0</v>
      </c>
      <c r="CY65" s="14">
        <f>ROUND(IF(CD65=0,0,HLOOKUP(CD$14,Villagers!$B$1:$V$33,CD65+3,FALSE)),)</f>
        <v>0</v>
      </c>
      <c r="CZ65" s="14">
        <f>ROUND(IF(CE65=0,0,HLOOKUP(CE$14,Villagers!$B$1:$V$33,CE65+3,FALSE)),)</f>
        <v>5</v>
      </c>
      <c r="DA65" s="14">
        <f>ROUND(IF(CF65=0,0,HLOOKUP(CF$14,Villagers!$B$1:$V$33,CF65+3,FALSE)),)</f>
        <v>10</v>
      </c>
      <c r="DB65" s="14">
        <f>ROUND(IF(CG65=0,0,HLOOKUP(CG$14,Villagers!$B$1:$V$33,CG65+3,FALSE)),)</f>
        <v>10</v>
      </c>
      <c r="DC65" s="14">
        <f>ROUND(IF(CH65=0,0,HLOOKUP(CH$14,Villagers!$B$1:$V$33,CH65+3,FALSE)),)</f>
        <v>0</v>
      </c>
      <c r="DD65" s="14">
        <f>ROUND(IF(CI65=0,0,HLOOKUP(CI$14,Villagers!$B$1:$V$33,CI65+3,FALSE)),)</f>
        <v>0</v>
      </c>
      <c r="DE65" s="14">
        <f>ROUND(IF(CJ65=0,0,HLOOKUP(CJ$14,Villagers!$B$1:$V$33,CJ65+3,FALSE)),)</f>
        <v>2</v>
      </c>
      <c r="DF65" s="370">
        <f>ROUND(IF(CK65=0,0,HLOOKUP(CK$14,Villagers!$B$1:$V$33,CK65+3,FALSE)),)</f>
        <v>0</v>
      </c>
      <c r="DG65" s="370">
        <f>ROUND(IF(CL65=0,0,HLOOKUP(CL$14,Villagers!$B$1:$V$33,CL65+3,FALSE)),)</f>
        <v>0</v>
      </c>
      <c r="DH65" s="34">
        <f>ROUND(IF(CM65=0,0,HLOOKUP(CM$14,Villagers!$B$1:$V$33,CM65+3,FALSE)),)</f>
        <v>0</v>
      </c>
      <c r="DI65" s="109">
        <f t="shared" si="74"/>
        <v>0</v>
      </c>
      <c r="DJ65" s="50">
        <f t="shared" si="75"/>
        <v>0</v>
      </c>
      <c r="DK65" s="50">
        <f t="shared" si="76"/>
        <v>0</v>
      </c>
      <c r="DL65" s="50">
        <f t="shared" si="77"/>
        <v>0</v>
      </c>
      <c r="DM65" s="50">
        <f t="shared" si="78"/>
        <v>0</v>
      </c>
      <c r="DN65" s="50">
        <f t="shared" si="79"/>
        <v>0</v>
      </c>
      <c r="DO65" s="50">
        <f t="shared" si="80"/>
        <v>0</v>
      </c>
      <c r="DP65" s="50">
        <f t="shared" si="81"/>
        <v>0</v>
      </c>
      <c r="DQ65" s="50">
        <f t="shared" si="58"/>
        <v>0</v>
      </c>
      <c r="DR65" s="50">
        <f t="shared" si="59"/>
        <v>0</v>
      </c>
      <c r="DS65" s="96">
        <f>Miscelaneous!$D$4*Miscelaneous!$D$2^($CI65-1)</f>
        <v>1000</v>
      </c>
      <c r="DT65" s="333">
        <f t="shared" si="60"/>
        <v>1</v>
      </c>
      <c r="DU65" s="81">
        <v>1</v>
      </c>
      <c r="DV65" s="79">
        <f t="shared" si="61"/>
        <v>0</v>
      </c>
      <c r="DW65" s="79">
        <f t="shared" si="21"/>
        <v>0</v>
      </c>
      <c r="DX65" s="79">
        <f t="shared" si="62"/>
        <v>0</v>
      </c>
      <c r="DY65" s="79">
        <v>1</v>
      </c>
      <c r="DZ65" s="79">
        <f t="shared" si="22"/>
        <v>0</v>
      </c>
      <c r="EA65" s="79">
        <f t="shared" si="63"/>
        <v>0</v>
      </c>
      <c r="EB65" s="79">
        <f t="shared" si="64"/>
        <v>0</v>
      </c>
      <c r="EC65" s="79">
        <f t="shared" si="65"/>
        <v>0</v>
      </c>
      <c r="ED65" s="79">
        <v>1</v>
      </c>
      <c r="EE65" s="79">
        <v>1</v>
      </c>
      <c r="EF65" s="79">
        <f t="shared" si="66"/>
        <v>0</v>
      </c>
      <c r="EG65" s="79">
        <v>1</v>
      </c>
      <c r="EH65" s="79">
        <v>1</v>
      </c>
      <c r="EI65" s="79">
        <v>1</v>
      </c>
      <c r="EJ65" s="79">
        <v>1</v>
      </c>
      <c r="EK65" s="79">
        <v>1</v>
      </c>
      <c r="EL65" s="79">
        <v>1</v>
      </c>
      <c r="EM65" s="143">
        <f t="shared" si="67"/>
        <v>0</v>
      </c>
      <c r="EN65" s="143">
        <f t="shared" si="68"/>
        <v>0</v>
      </c>
      <c r="EO65" s="82">
        <f t="shared" si="69"/>
        <v>0</v>
      </c>
    </row>
    <row r="66" spans="1:145" s="62" customFormat="1" x14ac:dyDescent="0.25">
      <c r="A66">
        <v>52</v>
      </c>
      <c r="B66" s="173" t="e">
        <f t="shared" si="23"/>
        <v>#N/A</v>
      </c>
      <c r="C66" s="121" t="e">
        <f t="shared" ref="C66:E66" si="140">AJ66-SUM(AB66:AB70)</f>
        <v>#N/A</v>
      </c>
      <c r="D66" s="122" t="e">
        <f t="shared" si="140"/>
        <v>#N/A</v>
      </c>
      <c r="E66" s="122" t="e">
        <f t="shared" si="140"/>
        <v>#N/A</v>
      </c>
      <c r="F66" s="176" t="e">
        <f t="shared" si="0"/>
        <v>#N/A</v>
      </c>
      <c r="G66" s="180">
        <f t="shared" si="25"/>
        <v>208</v>
      </c>
      <c r="H66" s="176" t="e">
        <f t="shared" si="26"/>
        <v>#N/A</v>
      </c>
      <c r="I66" s="63">
        <v>1</v>
      </c>
      <c r="J66" s="39"/>
      <c r="K66" s="350">
        <v>1</v>
      </c>
      <c r="L66" s="34" t="e">
        <f t="shared" si="1"/>
        <v>#N/A</v>
      </c>
      <c r="M66" s="38" t="e">
        <f>(HLOOKUP(J66,'Construction Times'!$B$3:$W$34,L66+2,FALSE)*HLOOKUP("hq modifier",'Construction Times'!$W$3:$W$34,BS66+2,FALSE))*(1-$H$9)</f>
        <v>#N/A</v>
      </c>
      <c r="N66" s="426" t="e">
        <f t="shared" si="27"/>
        <v>#N/A</v>
      </c>
      <c r="O66" s="427"/>
      <c r="P66" s="430" t="e">
        <f t="shared" si="28"/>
        <v>#N/A</v>
      </c>
      <c r="Q66" s="431"/>
      <c r="R66" s="103">
        <f t="shared" si="71"/>
        <v>0</v>
      </c>
      <c r="S66" s="104">
        <f t="shared" si="71"/>
        <v>0</v>
      </c>
      <c r="T66" s="104">
        <f t="shared" si="72"/>
        <v>0</v>
      </c>
      <c r="U66" s="104">
        <f t="shared" si="72"/>
        <v>0</v>
      </c>
      <c r="V66" s="104">
        <f t="shared" si="72"/>
        <v>9.9999999999999995E-8</v>
      </c>
      <c r="W66" s="104">
        <f t="shared" si="72"/>
        <v>0</v>
      </c>
      <c r="X66" s="104">
        <f t="shared" si="116"/>
        <v>0</v>
      </c>
      <c r="Y66" s="104">
        <f t="shared" si="116"/>
        <v>9.9999999999999995E-8</v>
      </c>
      <c r="Z66" s="104">
        <f t="shared" si="116"/>
        <v>9.9999999999999995E-8</v>
      </c>
      <c r="AA66" s="105">
        <f t="shared" si="116"/>
        <v>9.9999999999999995E-8</v>
      </c>
      <c r="AB66" s="102" t="e">
        <f>$DT66*HLOOKUP($J66,'Construction Costs (timber)'!$B$1:$V$32,'Construction Planner'!$L66+2,FALSE)</f>
        <v>#N/A</v>
      </c>
      <c r="AC66" s="66" t="e">
        <f>$DT66*HLOOKUP($J66,'Construction Costs (clay)'!$B$1:$V$32,'Construction Planner'!$L66+2,FALSE)</f>
        <v>#N/A</v>
      </c>
      <c r="AD66" s="66" t="e">
        <f>$DT66*HLOOKUP($J66,'Construction Costs (iron)'!$B$1:$V$32,'Construction Planner'!$L66+2,FALSE)</f>
        <v>#N/A</v>
      </c>
      <c r="AE66" s="67" t="e">
        <f t="shared" si="86"/>
        <v>#N/A</v>
      </c>
      <c r="AF66" s="65" t="e">
        <f t="shared" si="3"/>
        <v>#N/A</v>
      </c>
      <c r="AG66" s="66" t="e">
        <f t="shared" si="4"/>
        <v>#N/A</v>
      </c>
      <c r="AH66" s="66" t="e">
        <f t="shared" si="5"/>
        <v>#N/A</v>
      </c>
      <c r="AI66" s="67" t="e">
        <f t="shared" si="87"/>
        <v>#N/A</v>
      </c>
      <c r="AJ66" s="49" t="e">
        <f t="shared" si="31"/>
        <v>#N/A</v>
      </c>
      <c r="AK66" s="49" t="e">
        <f t="shared" si="32"/>
        <v>#N/A</v>
      </c>
      <c r="AL66" s="49" t="e">
        <f t="shared" si="33"/>
        <v>#N/A</v>
      </c>
      <c r="AM66" s="25">
        <f t="shared" si="6"/>
        <v>30</v>
      </c>
      <c r="AN66" s="25">
        <f t="shared" si="7"/>
        <v>30</v>
      </c>
      <c r="AO66" s="25">
        <f t="shared" si="8"/>
        <v>30</v>
      </c>
      <c r="AP66" s="52" t="e">
        <f t="shared" si="34"/>
        <v>#N/A</v>
      </c>
      <c r="AQ66" s="53" t="e">
        <f t="shared" si="34"/>
        <v>#N/A</v>
      </c>
      <c r="AR66" s="54" t="e">
        <f t="shared" si="34"/>
        <v>#N/A</v>
      </c>
      <c r="AS66" s="316">
        <f t="shared" si="88"/>
        <v>0</v>
      </c>
      <c r="AT66" s="106">
        <f>_xlfn.IFNA($M66/VLOOKUP($BT66,'Unit information'!$A$2:$K$29,2,FALSE)*R66,0)*(1+$E$9)</f>
        <v>0</v>
      </c>
      <c r="AU66" s="107">
        <f>_xlfn.IFNA($M66/VLOOKUP($BT66,'Unit information'!$A$2:$K$29,3,FALSE)*S66,0)*(1+$E$9)</f>
        <v>0</v>
      </c>
      <c r="AV66" s="107">
        <f>_xlfn.IFNA($M66/VLOOKUP($BT66,'Unit information'!$A$2:$K$29,4,FALSE)*T66,0)*(1+$E$9)</f>
        <v>0</v>
      </c>
      <c r="AW66" s="107">
        <f>_xlfn.IFNA($M66/VLOOKUP($BT66,'Unit information'!$A$2:$K$29,5,FALSE)*U66,0)*(1+$E$9)</f>
        <v>0</v>
      </c>
      <c r="AX66" s="107">
        <f>_xlfn.IFNA($M66/VLOOKUP($BU66,'Unit information'!$A$2:$K$29,6,FALSE)*V66,0)*(1+$E$9)</f>
        <v>0</v>
      </c>
      <c r="AY66" s="107">
        <f>_xlfn.IFNA($M66/VLOOKUP($BU66,'Unit information'!$A$2:$K$29,7,FALSE)*W66,0)*(1+$E$9)</f>
        <v>0</v>
      </c>
      <c r="AZ66" s="107">
        <f>_xlfn.IFNA($M66/VLOOKUP($BU66,'Unit information'!$A$2:$K$29,8,FALSE)*X66,0)*(1+$E$9)</f>
        <v>0</v>
      </c>
      <c r="BA66" s="107">
        <f>_xlfn.IFNA($M66/VLOOKUP($BU66,'Unit information'!$A$2:$K$29,9,FALSE)*Y66,0)*(1+$E$9)</f>
        <v>0</v>
      </c>
      <c r="BB66" s="107">
        <f>_xlfn.IFNA($M66/VLOOKUP($BV66,'Unit information'!$A$2:$K$29,10,FALSE)*Z66,0)*(1+$E$9)</f>
        <v>0</v>
      </c>
      <c r="BC66" s="108">
        <f>_xlfn.IFNA($M66/VLOOKUP($BV66,'Unit information'!$A$2:$K$29,11,FALSE)*AA66,0)*(1+$E$9)</f>
        <v>0</v>
      </c>
      <c r="BD66" s="106">
        <f t="shared" si="10"/>
        <v>0</v>
      </c>
      <c r="BE66" s="107">
        <f t="shared" si="11"/>
        <v>0</v>
      </c>
      <c r="BF66" s="108">
        <f t="shared" si="12"/>
        <v>0</v>
      </c>
      <c r="BG66" s="69" t="e">
        <f t="shared" si="13"/>
        <v>#N/A</v>
      </c>
      <c r="BH66" s="69" t="e">
        <f t="shared" si="14"/>
        <v>#N/A</v>
      </c>
      <c r="BI66" s="69" t="e">
        <f t="shared" si="15"/>
        <v>#N/A</v>
      </c>
      <c r="BJ66" s="72" t="e">
        <f t="shared" si="16"/>
        <v>#N/A</v>
      </c>
      <c r="BK66" s="73" t="e">
        <f t="shared" si="17"/>
        <v>#N/A</v>
      </c>
      <c r="BL66" s="73" t="e">
        <f t="shared" si="18"/>
        <v>#N/A</v>
      </c>
      <c r="BM66" s="74" t="e">
        <f t="shared" si="89"/>
        <v>#N/A</v>
      </c>
      <c r="BN66" s="65">
        <f>HLOOKUP("maximum population",Miscelaneous!$C$1:$C$33,CH66+3,FALSE)</f>
        <v>240</v>
      </c>
      <c r="BO66" s="14">
        <f t="shared" si="35"/>
        <v>32</v>
      </c>
      <c r="BP66" s="14">
        <f t="shared" si="36"/>
        <v>0</v>
      </c>
      <c r="BQ66" s="14">
        <f t="shared" si="37"/>
        <v>208</v>
      </c>
      <c r="BR66" s="34" t="e">
        <f>HLOOKUP(J66,Villagers!$B$1:$V$33,L66+3,FALSE)-HLOOKUP(J66,Villagers!$B$1:$V$33,L66+2,FALSE)</f>
        <v>#N/A</v>
      </c>
      <c r="BS66" s="68">
        <f t="shared" si="38"/>
        <v>1</v>
      </c>
      <c r="BT66" s="70">
        <f t="shared" si="39"/>
        <v>0</v>
      </c>
      <c r="BU66" s="70">
        <f t="shared" si="40"/>
        <v>0</v>
      </c>
      <c r="BV66" s="70">
        <f t="shared" si="120"/>
        <v>0</v>
      </c>
      <c r="BW66" s="70">
        <f t="shared" si="121"/>
        <v>0</v>
      </c>
      <c r="BX66" s="70">
        <f t="shared" si="122"/>
        <v>0</v>
      </c>
      <c r="BY66" s="50">
        <f t="shared" si="122"/>
        <v>0</v>
      </c>
      <c r="BZ66" s="70">
        <f t="shared" si="44"/>
        <v>0</v>
      </c>
      <c r="CA66" s="70">
        <f t="shared" si="45"/>
        <v>0</v>
      </c>
      <c r="CB66" s="70">
        <f t="shared" si="46"/>
        <v>1</v>
      </c>
      <c r="CC66" s="70">
        <f t="shared" si="47"/>
        <v>0</v>
      </c>
      <c r="CD66" s="70">
        <f t="shared" si="48"/>
        <v>0</v>
      </c>
      <c r="CE66" s="70">
        <f t="shared" si="49"/>
        <v>1</v>
      </c>
      <c r="CF66" s="70">
        <f t="shared" si="50"/>
        <v>1</v>
      </c>
      <c r="CG66" s="70">
        <f t="shared" si="51"/>
        <v>1</v>
      </c>
      <c r="CH66" s="70">
        <f t="shared" si="52"/>
        <v>1</v>
      </c>
      <c r="CI66" s="70">
        <f t="shared" si="53"/>
        <v>1</v>
      </c>
      <c r="CJ66" s="70">
        <f t="shared" si="54"/>
        <v>1</v>
      </c>
      <c r="CK66" s="70">
        <f t="shared" si="55"/>
        <v>0</v>
      </c>
      <c r="CL66" s="70">
        <f t="shared" si="54"/>
        <v>0</v>
      </c>
      <c r="CM66" s="71">
        <f t="shared" si="56"/>
        <v>0</v>
      </c>
      <c r="CN66" s="33">
        <f>ROUND(IF(BS66=0,0,HLOOKUP(BS$14,Villagers!$B$1:$V$33,BS66+3,FALSE)),)</f>
        <v>5</v>
      </c>
      <c r="CO66" s="14">
        <f>ROUND(IF(BT66=0,0,HLOOKUP(BT$14,Villagers!$B$1:$V$33,BT66+3,FALSE)),)</f>
        <v>0</v>
      </c>
      <c r="CP66" s="14">
        <f>ROUND(IF(BU66=0,0,HLOOKUP(BU$14,Villagers!$B$1:$V$33,BU66+3,FALSE)),)</f>
        <v>0</v>
      </c>
      <c r="CQ66" s="14">
        <f>ROUND(IF(BV66=0,0,HLOOKUP(BV$14,Villagers!$B$1:$V$33,BV66+3,FALSE)),)</f>
        <v>0</v>
      </c>
      <c r="CR66" s="14">
        <f>ROUND(IF(BW66=0,0,HLOOKUP(BW$14,Villagers!$B$1:$V$33,BW66+3,FALSE)),)</f>
        <v>0</v>
      </c>
      <c r="CS66" s="14">
        <f>ROUND(IF(BX66=0,0,HLOOKUP(BX$14,Villagers!$B$1:$V$33,BX66+3,FALSE)),)</f>
        <v>0</v>
      </c>
      <c r="CT66" s="14">
        <f>ROUND(IF(BY66=0,0,HLOOKUP(BY$14,Villagers!$B$1:$V$33,BY66+3,FALSE)),)</f>
        <v>0</v>
      </c>
      <c r="CU66" s="14">
        <f>ROUND(IF(BZ66=0,0,HLOOKUP(BZ$14,Villagers!$B$1:$V$33,BZ66+3,FALSE)),)</f>
        <v>0</v>
      </c>
      <c r="CV66" s="14">
        <f>ROUND(IF(CA66=0,0,HLOOKUP(CA$14,Villagers!$B$1:$V$33,CA66+3,FALSE)),)</f>
        <v>0</v>
      </c>
      <c r="CW66" s="14">
        <f>ROUND(IF(CB66=0,0,HLOOKUP(CB$14,Villagers!$B$1:$V$33,CB66+3,FALSE)),)</f>
        <v>0</v>
      </c>
      <c r="CX66" s="14">
        <f>ROUND(IF(CC66=0,0,HLOOKUP(CC$14,Villagers!$B$1:$V$33,CC66+3,FALSE)),)</f>
        <v>0</v>
      </c>
      <c r="CY66" s="14">
        <f>ROUND(IF(CD66=0,0,HLOOKUP(CD$14,Villagers!$B$1:$V$33,CD66+3,FALSE)),)</f>
        <v>0</v>
      </c>
      <c r="CZ66" s="14">
        <f>ROUND(IF(CE66=0,0,HLOOKUP(CE$14,Villagers!$B$1:$V$33,CE66+3,FALSE)),)</f>
        <v>5</v>
      </c>
      <c r="DA66" s="14">
        <f>ROUND(IF(CF66=0,0,HLOOKUP(CF$14,Villagers!$B$1:$V$33,CF66+3,FALSE)),)</f>
        <v>10</v>
      </c>
      <c r="DB66" s="14">
        <f>ROUND(IF(CG66=0,0,HLOOKUP(CG$14,Villagers!$B$1:$V$33,CG66+3,FALSE)),)</f>
        <v>10</v>
      </c>
      <c r="DC66" s="14">
        <f>ROUND(IF(CH66=0,0,HLOOKUP(CH$14,Villagers!$B$1:$V$33,CH66+3,FALSE)),)</f>
        <v>0</v>
      </c>
      <c r="DD66" s="14">
        <f>ROUND(IF(CI66=0,0,HLOOKUP(CI$14,Villagers!$B$1:$V$33,CI66+3,FALSE)),)</f>
        <v>0</v>
      </c>
      <c r="DE66" s="14">
        <f>ROUND(IF(CJ66=0,0,HLOOKUP(CJ$14,Villagers!$B$1:$V$33,CJ66+3,FALSE)),)</f>
        <v>2</v>
      </c>
      <c r="DF66" s="370">
        <f>ROUND(IF(CK66=0,0,HLOOKUP(CK$14,Villagers!$B$1:$V$33,CK66+3,FALSE)),)</f>
        <v>0</v>
      </c>
      <c r="DG66" s="370">
        <f>ROUND(IF(CL66=0,0,HLOOKUP(CL$14,Villagers!$B$1:$V$33,CL66+3,FALSE)),)</f>
        <v>0</v>
      </c>
      <c r="DH66" s="34">
        <f>ROUND(IF(CM66=0,0,HLOOKUP(CM$14,Villagers!$B$1:$V$33,CM66+3,FALSE)),)</f>
        <v>0</v>
      </c>
      <c r="DI66" s="109">
        <f t="shared" si="74"/>
        <v>0</v>
      </c>
      <c r="DJ66" s="50">
        <f t="shared" si="75"/>
        <v>0</v>
      </c>
      <c r="DK66" s="50">
        <f t="shared" si="76"/>
        <v>0</v>
      </c>
      <c r="DL66" s="50">
        <f t="shared" si="77"/>
        <v>0</v>
      </c>
      <c r="DM66" s="50">
        <f t="shared" si="78"/>
        <v>0</v>
      </c>
      <c r="DN66" s="50">
        <f t="shared" si="79"/>
        <v>0</v>
      </c>
      <c r="DO66" s="50">
        <f t="shared" si="80"/>
        <v>0</v>
      </c>
      <c r="DP66" s="50">
        <f t="shared" si="81"/>
        <v>0</v>
      </c>
      <c r="DQ66" s="50">
        <f t="shared" si="58"/>
        <v>0</v>
      </c>
      <c r="DR66" s="50">
        <f t="shared" si="59"/>
        <v>0</v>
      </c>
      <c r="DS66" s="97">
        <f>Miscelaneous!$D$4*Miscelaneous!$D$2^($CI66-1)</f>
        <v>1000</v>
      </c>
      <c r="DT66" s="334">
        <f t="shared" si="60"/>
        <v>1</v>
      </c>
      <c r="DU66" s="81">
        <v>1</v>
      </c>
      <c r="DV66" s="79">
        <f t="shared" si="61"/>
        <v>0</v>
      </c>
      <c r="DW66" s="79">
        <f t="shared" si="21"/>
        <v>0</v>
      </c>
      <c r="DX66" s="79">
        <f t="shared" si="62"/>
        <v>0</v>
      </c>
      <c r="DY66" s="79">
        <v>1</v>
      </c>
      <c r="DZ66" s="79">
        <f t="shared" si="22"/>
        <v>0</v>
      </c>
      <c r="EA66" s="79">
        <f t="shared" si="63"/>
        <v>0</v>
      </c>
      <c r="EB66" s="79">
        <f t="shared" si="64"/>
        <v>0</v>
      </c>
      <c r="EC66" s="79">
        <f t="shared" si="65"/>
        <v>0</v>
      </c>
      <c r="ED66" s="79">
        <v>1</v>
      </c>
      <c r="EE66" s="79">
        <v>1</v>
      </c>
      <c r="EF66" s="79">
        <f t="shared" si="66"/>
        <v>0</v>
      </c>
      <c r="EG66" s="79">
        <v>1</v>
      </c>
      <c r="EH66" s="79">
        <v>1</v>
      </c>
      <c r="EI66" s="79">
        <v>1</v>
      </c>
      <c r="EJ66" s="79">
        <v>1</v>
      </c>
      <c r="EK66" s="79">
        <v>1</v>
      </c>
      <c r="EL66" s="79">
        <v>1</v>
      </c>
      <c r="EM66" s="143">
        <f t="shared" si="67"/>
        <v>0</v>
      </c>
      <c r="EN66" s="143">
        <f t="shared" si="68"/>
        <v>0</v>
      </c>
      <c r="EO66" s="82">
        <f t="shared" si="69"/>
        <v>0</v>
      </c>
    </row>
    <row r="67" spans="1:145" x14ac:dyDescent="0.25">
      <c r="A67">
        <v>53</v>
      </c>
      <c r="B67" s="172" t="e">
        <f t="shared" si="23"/>
        <v>#N/A</v>
      </c>
      <c r="C67" s="121" t="e">
        <f t="shared" ref="C67:E67" si="141">AJ67-SUM(AB67:AB71)</f>
        <v>#N/A</v>
      </c>
      <c r="D67" s="122" t="e">
        <f t="shared" si="141"/>
        <v>#N/A</v>
      </c>
      <c r="E67" s="122" t="e">
        <f t="shared" si="141"/>
        <v>#N/A</v>
      </c>
      <c r="F67" s="176" t="e">
        <f t="shared" si="0"/>
        <v>#N/A</v>
      </c>
      <c r="G67" s="121">
        <f t="shared" si="25"/>
        <v>208</v>
      </c>
      <c r="H67" s="176" t="e">
        <f t="shared" si="26"/>
        <v>#N/A</v>
      </c>
      <c r="I67" s="48">
        <v>1</v>
      </c>
      <c r="J67" s="39"/>
      <c r="K67" s="350">
        <v>1</v>
      </c>
      <c r="L67" s="34" t="e">
        <f t="shared" si="1"/>
        <v>#N/A</v>
      </c>
      <c r="M67" s="38" t="e">
        <f>(HLOOKUP(J67,'Construction Times'!$B$3:$W$34,L67+2,FALSE)*HLOOKUP("hq modifier",'Construction Times'!$W$3:$W$34,BS67+2,FALSE))*(1-$H$9)</f>
        <v>#N/A</v>
      </c>
      <c r="N67" s="426" t="e">
        <f t="shared" si="27"/>
        <v>#N/A</v>
      </c>
      <c r="O67" s="427"/>
      <c r="P67" s="430" t="e">
        <f t="shared" si="28"/>
        <v>#N/A</v>
      </c>
      <c r="Q67" s="431"/>
      <c r="R67" s="103">
        <f t="shared" si="71"/>
        <v>0</v>
      </c>
      <c r="S67" s="104">
        <f t="shared" si="71"/>
        <v>0</v>
      </c>
      <c r="T67" s="104">
        <f t="shared" si="72"/>
        <v>0</v>
      </c>
      <c r="U67" s="104">
        <f t="shared" si="72"/>
        <v>0</v>
      </c>
      <c r="V67" s="104">
        <f t="shared" si="72"/>
        <v>9.9999999999999995E-8</v>
      </c>
      <c r="W67" s="104">
        <f t="shared" si="72"/>
        <v>0</v>
      </c>
      <c r="X67" s="104">
        <f t="shared" si="116"/>
        <v>0</v>
      </c>
      <c r="Y67" s="104">
        <f t="shared" si="116"/>
        <v>9.9999999999999995E-8</v>
      </c>
      <c r="Z67" s="104">
        <f t="shared" si="116"/>
        <v>9.9999999999999995E-8</v>
      </c>
      <c r="AA67" s="105">
        <f t="shared" si="116"/>
        <v>9.9999999999999995E-8</v>
      </c>
      <c r="AB67" s="101" t="e">
        <f>$DT67*HLOOKUP($J67,'Construction Costs (timber)'!$B$1:$V$32,'Construction Planner'!$L67+2,FALSE)</f>
        <v>#N/A</v>
      </c>
      <c r="AC67" s="14" t="e">
        <f>$DT67*HLOOKUP($J67,'Construction Costs (clay)'!$B$1:$V$32,'Construction Planner'!$L67+2,FALSE)</f>
        <v>#N/A</v>
      </c>
      <c r="AD67" s="14" t="e">
        <f>$DT67*HLOOKUP($J67,'Construction Costs (iron)'!$B$1:$V$32,'Construction Planner'!$L67+2,FALSE)</f>
        <v>#N/A</v>
      </c>
      <c r="AE67" s="34" t="e">
        <f t="shared" si="86"/>
        <v>#N/A</v>
      </c>
      <c r="AF67" s="33" t="e">
        <f t="shared" si="3"/>
        <v>#N/A</v>
      </c>
      <c r="AG67" s="14" t="e">
        <f t="shared" si="4"/>
        <v>#N/A</v>
      </c>
      <c r="AH67" s="14" t="e">
        <f t="shared" si="5"/>
        <v>#N/A</v>
      </c>
      <c r="AI67" s="34" t="e">
        <f t="shared" si="87"/>
        <v>#N/A</v>
      </c>
      <c r="AJ67" s="49" t="e">
        <f t="shared" si="31"/>
        <v>#N/A</v>
      </c>
      <c r="AK67" s="49" t="e">
        <f t="shared" si="32"/>
        <v>#N/A</v>
      </c>
      <c r="AL67" s="49" t="e">
        <f t="shared" si="33"/>
        <v>#N/A</v>
      </c>
      <c r="AM67" s="25">
        <f t="shared" si="6"/>
        <v>30</v>
      </c>
      <c r="AN67" s="25">
        <f t="shared" si="7"/>
        <v>30</v>
      </c>
      <c r="AO67" s="25">
        <f t="shared" si="8"/>
        <v>30</v>
      </c>
      <c r="AP67" s="52" t="e">
        <f t="shared" si="34"/>
        <v>#N/A</v>
      </c>
      <c r="AQ67" s="53" t="e">
        <f t="shared" si="34"/>
        <v>#N/A</v>
      </c>
      <c r="AR67" s="54" t="e">
        <f t="shared" si="34"/>
        <v>#N/A</v>
      </c>
      <c r="AS67" s="316">
        <f t="shared" si="88"/>
        <v>0</v>
      </c>
      <c r="AT67" s="106">
        <f>_xlfn.IFNA($M67/VLOOKUP($BT67,'Unit information'!$A$2:$K$29,2,FALSE)*R67,0)*(1+$E$9)</f>
        <v>0</v>
      </c>
      <c r="AU67" s="107">
        <f>_xlfn.IFNA($M67/VLOOKUP($BT67,'Unit information'!$A$2:$K$29,3,FALSE)*S67,0)*(1+$E$9)</f>
        <v>0</v>
      </c>
      <c r="AV67" s="107">
        <f>_xlfn.IFNA($M67/VLOOKUP($BT67,'Unit information'!$A$2:$K$29,4,FALSE)*T67,0)*(1+$E$9)</f>
        <v>0</v>
      </c>
      <c r="AW67" s="107">
        <f>_xlfn.IFNA($M67/VLOOKUP($BT67,'Unit information'!$A$2:$K$29,5,FALSE)*U67,0)*(1+$E$9)</f>
        <v>0</v>
      </c>
      <c r="AX67" s="107">
        <f>_xlfn.IFNA($M67/VLOOKUP($BU67,'Unit information'!$A$2:$K$29,6,FALSE)*V67,0)*(1+$E$9)</f>
        <v>0</v>
      </c>
      <c r="AY67" s="107">
        <f>_xlfn.IFNA($M67/VLOOKUP($BU67,'Unit information'!$A$2:$K$29,7,FALSE)*W67,0)*(1+$E$9)</f>
        <v>0</v>
      </c>
      <c r="AZ67" s="107">
        <f>_xlfn.IFNA($M67/VLOOKUP($BU67,'Unit information'!$A$2:$K$29,8,FALSE)*X67,0)*(1+$E$9)</f>
        <v>0</v>
      </c>
      <c r="BA67" s="107">
        <f>_xlfn.IFNA($M67/VLOOKUP($BU67,'Unit information'!$A$2:$K$29,9,FALSE)*Y67,0)*(1+$E$9)</f>
        <v>0</v>
      </c>
      <c r="BB67" s="107">
        <f>_xlfn.IFNA($M67/VLOOKUP($BV67,'Unit information'!$A$2:$K$29,10,FALSE)*Z67,0)*(1+$E$9)</f>
        <v>0</v>
      </c>
      <c r="BC67" s="108">
        <f>_xlfn.IFNA($M67/VLOOKUP($BV67,'Unit information'!$A$2:$K$29,11,FALSE)*AA67,0)*(1+$E$9)</f>
        <v>0</v>
      </c>
      <c r="BD67" s="106">
        <f t="shared" si="10"/>
        <v>0</v>
      </c>
      <c r="BE67" s="107">
        <f t="shared" si="11"/>
        <v>0</v>
      </c>
      <c r="BF67" s="108">
        <f t="shared" si="12"/>
        <v>0</v>
      </c>
      <c r="BG67" s="25" t="e">
        <f t="shared" si="13"/>
        <v>#N/A</v>
      </c>
      <c r="BH67" s="25" t="e">
        <f t="shared" si="14"/>
        <v>#N/A</v>
      </c>
      <c r="BI67" s="25" t="e">
        <f t="shared" si="15"/>
        <v>#N/A</v>
      </c>
      <c r="BJ67" s="27" t="e">
        <f t="shared" si="16"/>
        <v>#N/A</v>
      </c>
      <c r="BK67" s="18" t="e">
        <f t="shared" si="17"/>
        <v>#N/A</v>
      </c>
      <c r="BL67" s="18" t="e">
        <f t="shared" si="18"/>
        <v>#N/A</v>
      </c>
      <c r="BM67" s="28" t="e">
        <f t="shared" si="89"/>
        <v>#N/A</v>
      </c>
      <c r="BN67" s="33">
        <f>HLOOKUP("maximum population",Miscelaneous!$C$1:$C$33,CH67+3,FALSE)</f>
        <v>240</v>
      </c>
      <c r="BO67" s="14">
        <f t="shared" si="35"/>
        <v>32</v>
      </c>
      <c r="BP67" s="14">
        <f t="shared" si="36"/>
        <v>0</v>
      </c>
      <c r="BQ67" s="14">
        <f t="shared" si="37"/>
        <v>208</v>
      </c>
      <c r="BR67" s="34" t="e">
        <f>HLOOKUP(J67,Villagers!$B$1:$V$33,L67+3,FALSE)-HLOOKUP(J67,Villagers!$B$1:$V$33,L67+2,FALSE)</f>
        <v>#N/A</v>
      </c>
      <c r="BS67" s="49">
        <f t="shared" si="38"/>
        <v>1</v>
      </c>
      <c r="BT67" s="50">
        <f t="shared" si="39"/>
        <v>0</v>
      </c>
      <c r="BU67" s="50">
        <f t="shared" si="40"/>
        <v>0</v>
      </c>
      <c r="BV67" s="50">
        <f t="shared" si="120"/>
        <v>0</v>
      </c>
      <c r="BW67" s="50">
        <f t="shared" si="121"/>
        <v>0</v>
      </c>
      <c r="BX67" s="50">
        <f t="shared" si="122"/>
        <v>0</v>
      </c>
      <c r="BY67" s="50">
        <f t="shared" si="122"/>
        <v>0</v>
      </c>
      <c r="BZ67" s="50">
        <f t="shared" si="44"/>
        <v>0</v>
      </c>
      <c r="CA67" s="50">
        <f t="shared" si="45"/>
        <v>0</v>
      </c>
      <c r="CB67" s="50">
        <f t="shared" si="46"/>
        <v>1</v>
      </c>
      <c r="CC67" s="50">
        <f t="shared" si="47"/>
        <v>0</v>
      </c>
      <c r="CD67" s="50">
        <f t="shared" si="48"/>
        <v>0</v>
      </c>
      <c r="CE67" s="50">
        <f t="shared" si="49"/>
        <v>1</v>
      </c>
      <c r="CF67" s="50">
        <f t="shared" si="50"/>
        <v>1</v>
      </c>
      <c r="CG67" s="50">
        <f t="shared" si="51"/>
        <v>1</v>
      </c>
      <c r="CH67" s="50">
        <f t="shared" si="52"/>
        <v>1</v>
      </c>
      <c r="CI67" s="50">
        <f t="shared" si="53"/>
        <v>1</v>
      </c>
      <c r="CJ67" s="50">
        <f t="shared" si="54"/>
        <v>1</v>
      </c>
      <c r="CK67" s="50">
        <f t="shared" si="55"/>
        <v>0</v>
      </c>
      <c r="CL67" s="50">
        <f t="shared" si="54"/>
        <v>0</v>
      </c>
      <c r="CM67" s="51">
        <f t="shared" si="56"/>
        <v>0</v>
      </c>
      <c r="CN67" s="33">
        <f>ROUND(IF(BS67=0,0,HLOOKUP(BS$14,Villagers!$B$1:$V$33,BS67+3,FALSE)),)</f>
        <v>5</v>
      </c>
      <c r="CO67" s="14">
        <f>ROUND(IF(BT67=0,0,HLOOKUP(BT$14,Villagers!$B$1:$V$33,BT67+3,FALSE)),)</f>
        <v>0</v>
      </c>
      <c r="CP67" s="14">
        <f>ROUND(IF(BU67=0,0,HLOOKUP(BU$14,Villagers!$B$1:$V$33,BU67+3,FALSE)),)</f>
        <v>0</v>
      </c>
      <c r="CQ67" s="14">
        <f>ROUND(IF(BV67=0,0,HLOOKUP(BV$14,Villagers!$B$1:$V$33,BV67+3,FALSE)),)</f>
        <v>0</v>
      </c>
      <c r="CR67" s="14">
        <f>ROUND(IF(BW67=0,0,HLOOKUP(BW$14,Villagers!$B$1:$V$33,BW67+3,FALSE)),)</f>
        <v>0</v>
      </c>
      <c r="CS67" s="14">
        <f>ROUND(IF(BX67=0,0,HLOOKUP(BX$14,Villagers!$B$1:$V$33,BX67+3,FALSE)),)</f>
        <v>0</v>
      </c>
      <c r="CT67" s="14">
        <f>ROUND(IF(BY67=0,0,HLOOKUP(BY$14,Villagers!$B$1:$V$33,BY67+3,FALSE)),)</f>
        <v>0</v>
      </c>
      <c r="CU67" s="14">
        <f>ROUND(IF(BZ67=0,0,HLOOKUP(BZ$14,Villagers!$B$1:$V$33,BZ67+3,FALSE)),)</f>
        <v>0</v>
      </c>
      <c r="CV67" s="14">
        <f>ROUND(IF(CA67=0,0,HLOOKUP(CA$14,Villagers!$B$1:$V$33,CA67+3,FALSE)),)</f>
        <v>0</v>
      </c>
      <c r="CW67" s="14">
        <f>ROUND(IF(CB67=0,0,HLOOKUP(CB$14,Villagers!$B$1:$V$33,CB67+3,FALSE)),)</f>
        <v>0</v>
      </c>
      <c r="CX67" s="14">
        <f>ROUND(IF(CC67=0,0,HLOOKUP(CC$14,Villagers!$B$1:$V$33,CC67+3,FALSE)),)</f>
        <v>0</v>
      </c>
      <c r="CY67" s="14">
        <f>ROUND(IF(CD67=0,0,HLOOKUP(CD$14,Villagers!$B$1:$V$33,CD67+3,FALSE)),)</f>
        <v>0</v>
      </c>
      <c r="CZ67" s="14">
        <f>ROUND(IF(CE67=0,0,HLOOKUP(CE$14,Villagers!$B$1:$V$33,CE67+3,FALSE)),)</f>
        <v>5</v>
      </c>
      <c r="DA67" s="14">
        <f>ROUND(IF(CF67=0,0,HLOOKUP(CF$14,Villagers!$B$1:$V$33,CF67+3,FALSE)),)</f>
        <v>10</v>
      </c>
      <c r="DB67" s="14">
        <f>ROUND(IF(CG67=0,0,HLOOKUP(CG$14,Villagers!$B$1:$V$33,CG67+3,FALSE)),)</f>
        <v>10</v>
      </c>
      <c r="DC67" s="14">
        <f>ROUND(IF(CH67=0,0,HLOOKUP(CH$14,Villagers!$B$1:$V$33,CH67+3,FALSE)),)</f>
        <v>0</v>
      </c>
      <c r="DD67" s="14">
        <f>ROUND(IF(CI67=0,0,HLOOKUP(CI$14,Villagers!$B$1:$V$33,CI67+3,FALSE)),)</f>
        <v>0</v>
      </c>
      <c r="DE67" s="14">
        <f>ROUND(IF(CJ67=0,0,HLOOKUP(CJ$14,Villagers!$B$1:$V$33,CJ67+3,FALSE)),)</f>
        <v>2</v>
      </c>
      <c r="DF67" s="370">
        <f>ROUND(IF(CK67=0,0,HLOOKUP(CK$14,Villagers!$B$1:$V$33,CK67+3,FALSE)),)</f>
        <v>0</v>
      </c>
      <c r="DG67" s="370">
        <f>ROUND(IF(CL67=0,0,HLOOKUP(CL$14,Villagers!$B$1:$V$33,CL67+3,FALSE)),)</f>
        <v>0</v>
      </c>
      <c r="DH67" s="34">
        <f>ROUND(IF(CM67=0,0,HLOOKUP(CM$14,Villagers!$B$1:$V$33,CM67+3,FALSE)),)</f>
        <v>0</v>
      </c>
      <c r="DI67" s="109">
        <f t="shared" si="74"/>
        <v>0</v>
      </c>
      <c r="DJ67" s="50">
        <f t="shared" si="75"/>
        <v>0</v>
      </c>
      <c r="DK67" s="50">
        <f t="shared" si="76"/>
        <v>0</v>
      </c>
      <c r="DL67" s="50">
        <f t="shared" si="77"/>
        <v>0</v>
      </c>
      <c r="DM67" s="50">
        <f t="shared" si="78"/>
        <v>0</v>
      </c>
      <c r="DN67" s="50">
        <f t="shared" si="79"/>
        <v>0</v>
      </c>
      <c r="DO67" s="50">
        <f t="shared" si="80"/>
        <v>0</v>
      </c>
      <c r="DP67" s="50">
        <f t="shared" si="81"/>
        <v>0</v>
      </c>
      <c r="DQ67" s="50">
        <f t="shared" si="58"/>
        <v>0</v>
      </c>
      <c r="DR67" s="50">
        <f t="shared" si="59"/>
        <v>0</v>
      </c>
      <c r="DS67" s="96">
        <f>Miscelaneous!$D$4*Miscelaneous!$D$2^($CI67-1)</f>
        <v>1000</v>
      </c>
      <c r="DT67" s="333">
        <f t="shared" si="60"/>
        <v>1</v>
      </c>
      <c r="DU67" s="81">
        <v>1</v>
      </c>
      <c r="DV67" s="79">
        <f t="shared" si="61"/>
        <v>0</v>
      </c>
      <c r="DW67" s="79">
        <f t="shared" si="21"/>
        <v>0</v>
      </c>
      <c r="DX67" s="79">
        <f t="shared" si="62"/>
        <v>0</v>
      </c>
      <c r="DY67" s="79">
        <v>1</v>
      </c>
      <c r="DZ67" s="79">
        <f t="shared" si="22"/>
        <v>0</v>
      </c>
      <c r="EA67" s="79">
        <f t="shared" si="63"/>
        <v>0</v>
      </c>
      <c r="EB67" s="79">
        <f t="shared" si="64"/>
        <v>0</v>
      </c>
      <c r="EC67" s="79">
        <f t="shared" si="65"/>
        <v>0</v>
      </c>
      <c r="ED67" s="79">
        <v>1</v>
      </c>
      <c r="EE67" s="79">
        <v>1</v>
      </c>
      <c r="EF67" s="79">
        <f t="shared" si="66"/>
        <v>0</v>
      </c>
      <c r="EG67" s="79">
        <v>1</v>
      </c>
      <c r="EH67" s="79">
        <v>1</v>
      </c>
      <c r="EI67" s="79">
        <v>1</v>
      </c>
      <c r="EJ67" s="79">
        <v>1</v>
      </c>
      <c r="EK67" s="79">
        <v>1</v>
      </c>
      <c r="EL67" s="79">
        <v>1</v>
      </c>
      <c r="EM67" s="143">
        <f t="shared" si="67"/>
        <v>0</v>
      </c>
      <c r="EN67" s="143">
        <f t="shared" si="68"/>
        <v>0</v>
      </c>
      <c r="EO67" s="82">
        <f t="shared" si="69"/>
        <v>0</v>
      </c>
    </row>
    <row r="68" spans="1:145" x14ac:dyDescent="0.25">
      <c r="A68">
        <v>54</v>
      </c>
      <c r="B68" s="172" t="e">
        <f t="shared" si="23"/>
        <v>#N/A</v>
      </c>
      <c r="C68" s="121" t="e">
        <f t="shared" ref="C68:E68" si="142">AJ68-SUM(AB68:AB72)</f>
        <v>#N/A</v>
      </c>
      <c r="D68" s="122" t="e">
        <f t="shared" si="142"/>
        <v>#N/A</v>
      </c>
      <c r="E68" s="122" t="e">
        <f t="shared" si="142"/>
        <v>#N/A</v>
      </c>
      <c r="F68" s="176" t="e">
        <f t="shared" si="0"/>
        <v>#N/A</v>
      </c>
      <c r="G68" s="121">
        <f t="shared" si="25"/>
        <v>208</v>
      </c>
      <c r="H68" s="176" t="e">
        <f t="shared" si="26"/>
        <v>#N/A</v>
      </c>
      <c r="I68" s="48">
        <v>1</v>
      </c>
      <c r="J68" s="39"/>
      <c r="K68" s="350">
        <v>1</v>
      </c>
      <c r="L68" s="34" t="e">
        <f t="shared" si="1"/>
        <v>#N/A</v>
      </c>
      <c r="M68" s="38" t="e">
        <f>(HLOOKUP(J68,'Construction Times'!$B$3:$W$34,L68+2,FALSE)*HLOOKUP("hq modifier",'Construction Times'!$W$3:$W$34,BS68+2,FALSE))*(1-$H$9)</f>
        <v>#N/A</v>
      </c>
      <c r="N68" s="426" t="e">
        <f t="shared" si="27"/>
        <v>#N/A</v>
      </c>
      <c r="O68" s="427"/>
      <c r="P68" s="430" t="e">
        <f t="shared" si="28"/>
        <v>#N/A</v>
      </c>
      <c r="Q68" s="431"/>
      <c r="R68" s="103">
        <f t="shared" si="71"/>
        <v>0</v>
      </c>
      <c r="S68" s="104">
        <f t="shared" si="71"/>
        <v>0</v>
      </c>
      <c r="T68" s="104">
        <f t="shared" si="72"/>
        <v>0</v>
      </c>
      <c r="U68" s="104">
        <f t="shared" si="72"/>
        <v>0</v>
      </c>
      <c r="V68" s="104">
        <f t="shared" si="72"/>
        <v>9.9999999999999995E-8</v>
      </c>
      <c r="W68" s="104">
        <f t="shared" si="72"/>
        <v>0</v>
      </c>
      <c r="X68" s="104">
        <f t="shared" si="116"/>
        <v>0</v>
      </c>
      <c r="Y68" s="104">
        <f t="shared" si="116"/>
        <v>9.9999999999999995E-8</v>
      </c>
      <c r="Z68" s="104">
        <f t="shared" si="116"/>
        <v>9.9999999999999995E-8</v>
      </c>
      <c r="AA68" s="105">
        <f t="shared" si="116"/>
        <v>9.9999999999999995E-8</v>
      </c>
      <c r="AB68" s="101" t="e">
        <f>$DT68*HLOOKUP($J68,'Construction Costs (timber)'!$B$1:$V$32,'Construction Planner'!$L68+2,FALSE)</f>
        <v>#N/A</v>
      </c>
      <c r="AC68" s="14" t="e">
        <f>$DT68*HLOOKUP($J68,'Construction Costs (clay)'!$B$1:$V$32,'Construction Planner'!$L68+2,FALSE)</f>
        <v>#N/A</v>
      </c>
      <c r="AD68" s="14" t="e">
        <f>$DT68*HLOOKUP($J68,'Construction Costs (iron)'!$B$1:$V$32,'Construction Planner'!$L68+2,FALSE)</f>
        <v>#N/A</v>
      </c>
      <c r="AE68" s="34" t="e">
        <f t="shared" si="86"/>
        <v>#N/A</v>
      </c>
      <c r="AF68" s="33" t="e">
        <f t="shared" si="3"/>
        <v>#N/A</v>
      </c>
      <c r="AG68" s="14" t="e">
        <f t="shared" si="4"/>
        <v>#N/A</v>
      </c>
      <c r="AH68" s="14" t="e">
        <f t="shared" si="5"/>
        <v>#N/A</v>
      </c>
      <c r="AI68" s="34" t="e">
        <f t="shared" si="87"/>
        <v>#N/A</v>
      </c>
      <c r="AJ68" s="49" t="e">
        <f t="shared" si="31"/>
        <v>#N/A</v>
      </c>
      <c r="AK68" s="49" t="e">
        <f t="shared" si="32"/>
        <v>#N/A</v>
      </c>
      <c r="AL68" s="49" t="e">
        <f t="shared" si="33"/>
        <v>#N/A</v>
      </c>
      <c r="AM68" s="25">
        <f t="shared" si="6"/>
        <v>30</v>
      </c>
      <c r="AN68" s="25">
        <f t="shared" si="7"/>
        <v>30</v>
      </c>
      <c r="AO68" s="25">
        <f t="shared" si="8"/>
        <v>30</v>
      </c>
      <c r="AP68" s="52" t="e">
        <f t="shared" si="34"/>
        <v>#N/A</v>
      </c>
      <c r="AQ68" s="53" t="e">
        <f t="shared" si="34"/>
        <v>#N/A</v>
      </c>
      <c r="AR68" s="54" t="e">
        <f t="shared" si="34"/>
        <v>#N/A</v>
      </c>
      <c r="AS68" s="316">
        <f t="shared" si="88"/>
        <v>0</v>
      </c>
      <c r="AT68" s="106">
        <f>_xlfn.IFNA($M68/VLOOKUP($BT68,'Unit information'!$A$2:$K$29,2,FALSE)*R68,0)*(1+$E$9)</f>
        <v>0</v>
      </c>
      <c r="AU68" s="107">
        <f>_xlfn.IFNA($M68/VLOOKUP($BT68,'Unit information'!$A$2:$K$29,3,FALSE)*S68,0)*(1+$E$9)</f>
        <v>0</v>
      </c>
      <c r="AV68" s="107">
        <f>_xlfn.IFNA($M68/VLOOKUP($BT68,'Unit information'!$A$2:$K$29,4,FALSE)*T68,0)*(1+$E$9)</f>
        <v>0</v>
      </c>
      <c r="AW68" s="107">
        <f>_xlfn.IFNA($M68/VLOOKUP($BT68,'Unit information'!$A$2:$K$29,5,FALSE)*U68,0)*(1+$E$9)</f>
        <v>0</v>
      </c>
      <c r="AX68" s="107">
        <f>_xlfn.IFNA($M68/VLOOKUP($BU68,'Unit information'!$A$2:$K$29,6,FALSE)*V68,0)*(1+$E$9)</f>
        <v>0</v>
      </c>
      <c r="AY68" s="107">
        <f>_xlfn.IFNA($M68/VLOOKUP($BU68,'Unit information'!$A$2:$K$29,7,FALSE)*W68,0)*(1+$E$9)</f>
        <v>0</v>
      </c>
      <c r="AZ68" s="107">
        <f>_xlfn.IFNA($M68/VLOOKUP($BU68,'Unit information'!$A$2:$K$29,8,FALSE)*X68,0)*(1+$E$9)</f>
        <v>0</v>
      </c>
      <c r="BA68" s="107">
        <f>_xlfn.IFNA($M68/VLOOKUP($BU68,'Unit information'!$A$2:$K$29,9,FALSE)*Y68,0)*(1+$E$9)</f>
        <v>0</v>
      </c>
      <c r="BB68" s="107">
        <f>_xlfn.IFNA($M68/VLOOKUP($BV68,'Unit information'!$A$2:$K$29,10,FALSE)*Z68,0)*(1+$E$9)</f>
        <v>0</v>
      </c>
      <c r="BC68" s="108">
        <f>_xlfn.IFNA($M68/VLOOKUP($BV68,'Unit information'!$A$2:$K$29,11,FALSE)*AA68,0)*(1+$E$9)</f>
        <v>0</v>
      </c>
      <c r="BD68" s="106">
        <f t="shared" si="10"/>
        <v>0</v>
      </c>
      <c r="BE68" s="107">
        <f t="shared" si="11"/>
        <v>0</v>
      </c>
      <c r="BF68" s="108">
        <f t="shared" si="12"/>
        <v>0</v>
      </c>
      <c r="BG68" s="25" t="e">
        <f t="shared" si="13"/>
        <v>#N/A</v>
      </c>
      <c r="BH68" s="25" t="e">
        <f t="shared" si="14"/>
        <v>#N/A</v>
      </c>
      <c r="BI68" s="25" t="e">
        <f t="shared" si="15"/>
        <v>#N/A</v>
      </c>
      <c r="BJ68" s="27" t="e">
        <f t="shared" si="16"/>
        <v>#N/A</v>
      </c>
      <c r="BK68" s="18" t="e">
        <f t="shared" si="17"/>
        <v>#N/A</v>
      </c>
      <c r="BL68" s="18" t="e">
        <f t="shared" si="18"/>
        <v>#N/A</v>
      </c>
      <c r="BM68" s="28" t="e">
        <f t="shared" si="89"/>
        <v>#N/A</v>
      </c>
      <c r="BN68" s="33">
        <f>HLOOKUP("maximum population",Miscelaneous!$C$1:$C$33,CH68+3,FALSE)</f>
        <v>240</v>
      </c>
      <c r="BO68" s="14">
        <f t="shared" si="35"/>
        <v>32</v>
      </c>
      <c r="BP68" s="14">
        <f t="shared" si="36"/>
        <v>0</v>
      </c>
      <c r="BQ68" s="14">
        <f t="shared" si="37"/>
        <v>208</v>
      </c>
      <c r="BR68" s="34" t="e">
        <f>HLOOKUP(J68,Villagers!$B$1:$V$33,L68+3,FALSE)-HLOOKUP(J68,Villagers!$B$1:$V$33,L68+2,FALSE)</f>
        <v>#N/A</v>
      </c>
      <c r="BS68" s="49">
        <f t="shared" si="38"/>
        <v>1</v>
      </c>
      <c r="BT68" s="50">
        <f t="shared" si="39"/>
        <v>0</v>
      </c>
      <c r="BU68" s="50">
        <f t="shared" si="40"/>
        <v>0</v>
      </c>
      <c r="BV68" s="50">
        <f t="shared" si="120"/>
        <v>0</v>
      </c>
      <c r="BW68" s="50">
        <f t="shared" si="121"/>
        <v>0</v>
      </c>
      <c r="BX68" s="50">
        <f t="shared" si="122"/>
        <v>0</v>
      </c>
      <c r="BY68" s="50">
        <f t="shared" si="122"/>
        <v>0</v>
      </c>
      <c r="BZ68" s="50">
        <f t="shared" si="44"/>
        <v>0</v>
      </c>
      <c r="CA68" s="50">
        <f t="shared" si="45"/>
        <v>0</v>
      </c>
      <c r="CB68" s="50">
        <f t="shared" si="46"/>
        <v>1</v>
      </c>
      <c r="CC68" s="50">
        <f t="shared" si="47"/>
        <v>0</v>
      </c>
      <c r="CD68" s="50">
        <f t="shared" si="48"/>
        <v>0</v>
      </c>
      <c r="CE68" s="50">
        <f t="shared" si="49"/>
        <v>1</v>
      </c>
      <c r="CF68" s="50">
        <f t="shared" si="50"/>
        <v>1</v>
      </c>
      <c r="CG68" s="50">
        <f t="shared" si="51"/>
        <v>1</v>
      </c>
      <c r="CH68" s="50">
        <f t="shared" si="52"/>
        <v>1</v>
      </c>
      <c r="CI68" s="50">
        <f t="shared" si="53"/>
        <v>1</v>
      </c>
      <c r="CJ68" s="50">
        <f t="shared" si="54"/>
        <v>1</v>
      </c>
      <c r="CK68" s="50">
        <f t="shared" si="55"/>
        <v>0</v>
      </c>
      <c r="CL68" s="50">
        <f t="shared" si="54"/>
        <v>0</v>
      </c>
      <c r="CM68" s="51">
        <f t="shared" si="56"/>
        <v>0</v>
      </c>
      <c r="CN68" s="33">
        <f>ROUND(IF(BS68=0,0,HLOOKUP(BS$14,Villagers!$B$1:$V$33,BS68+3,FALSE)),)</f>
        <v>5</v>
      </c>
      <c r="CO68" s="14">
        <f>ROUND(IF(BT68=0,0,HLOOKUP(BT$14,Villagers!$B$1:$V$33,BT68+3,FALSE)),)</f>
        <v>0</v>
      </c>
      <c r="CP68" s="14">
        <f>ROUND(IF(BU68=0,0,HLOOKUP(BU$14,Villagers!$B$1:$V$33,BU68+3,FALSE)),)</f>
        <v>0</v>
      </c>
      <c r="CQ68" s="14">
        <f>ROUND(IF(BV68=0,0,HLOOKUP(BV$14,Villagers!$B$1:$V$33,BV68+3,FALSE)),)</f>
        <v>0</v>
      </c>
      <c r="CR68" s="14">
        <f>ROUND(IF(BW68=0,0,HLOOKUP(BW$14,Villagers!$B$1:$V$33,BW68+3,FALSE)),)</f>
        <v>0</v>
      </c>
      <c r="CS68" s="14">
        <f>ROUND(IF(BX68=0,0,HLOOKUP(BX$14,Villagers!$B$1:$V$33,BX68+3,FALSE)),)</f>
        <v>0</v>
      </c>
      <c r="CT68" s="14">
        <f>ROUND(IF(BY68=0,0,HLOOKUP(BY$14,Villagers!$B$1:$V$33,BY68+3,FALSE)),)</f>
        <v>0</v>
      </c>
      <c r="CU68" s="14">
        <f>ROUND(IF(BZ68=0,0,HLOOKUP(BZ$14,Villagers!$B$1:$V$33,BZ68+3,FALSE)),)</f>
        <v>0</v>
      </c>
      <c r="CV68" s="14">
        <f>ROUND(IF(CA68=0,0,HLOOKUP(CA$14,Villagers!$B$1:$V$33,CA68+3,FALSE)),)</f>
        <v>0</v>
      </c>
      <c r="CW68" s="14">
        <f>ROUND(IF(CB68=0,0,HLOOKUP(CB$14,Villagers!$B$1:$V$33,CB68+3,FALSE)),)</f>
        <v>0</v>
      </c>
      <c r="CX68" s="14">
        <f>ROUND(IF(CC68=0,0,HLOOKUP(CC$14,Villagers!$B$1:$V$33,CC68+3,FALSE)),)</f>
        <v>0</v>
      </c>
      <c r="CY68" s="14">
        <f>ROUND(IF(CD68=0,0,HLOOKUP(CD$14,Villagers!$B$1:$V$33,CD68+3,FALSE)),)</f>
        <v>0</v>
      </c>
      <c r="CZ68" s="14">
        <f>ROUND(IF(CE68=0,0,HLOOKUP(CE$14,Villagers!$B$1:$V$33,CE68+3,FALSE)),)</f>
        <v>5</v>
      </c>
      <c r="DA68" s="14">
        <f>ROUND(IF(CF68=0,0,HLOOKUP(CF$14,Villagers!$B$1:$V$33,CF68+3,FALSE)),)</f>
        <v>10</v>
      </c>
      <c r="DB68" s="14">
        <f>ROUND(IF(CG68=0,0,HLOOKUP(CG$14,Villagers!$B$1:$V$33,CG68+3,FALSE)),)</f>
        <v>10</v>
      </c>
      <c r="DC68" s="14">
        <f>ROUND(IF(CH68=0,0,HLOOKUP(CH$14,Villagers!$B$1:$V$33,CH68+3,FALSE)),)</f>
        <v>0</v>
      </c>
      <c r="DD68" s="14">
        <f>ROUND(IF(CI68=0,0,HLOOKUP(CI$14,Villagers!$B$1:$V$33,CI68+3,FALSE)),)</f>
        <v>0</v>
      </c>
      <c r="DE68" s="14">
        <f>ROUND(IF(CJ68=0,0,HLOOKUP(CJ$14,Villagers!$B$1:$V$33,CJ68+3,FALSE)),)</f>
        <v>2</v>
      </c>
      <c r="DF68" s="370">
        <f>ROUND(IF(CK68=0,0,HLOOKUP(CK$14,Villagers!$B$1:$V$33,CK68+3,FALSE)),)</f>
        <v>0</v>
      </c>
      <c r="DG68" s="370">
        <f>ROUND(IF(CL68=0,0,HLOOKUP(CL$14,Villagers!$B$1:$V$33,CL68+3,FALSE)),)</f>
        <v>0</v>
      </c>
      <c r="DH68" s="34">
        <f>ROUND(IF(CM68=0,0,HLOOKUP(CM$14,Villagers!$B$1:$V$33,CM68+3,FALSE)),)</f>
        <v>0</v>
      </c>
      <c r="DI68" s="109">
        <f t="shared" si="74"/>
        <v>0</v>
      </c>
      <c r="DJ68" s="50">
        <f t="shared" si="75"/>
        <v>0</v>
      </c>
      <c r="DK68" s="50">
        <f t="shared" si="76"/>
        <v>0</v>
      </c>
      <c r="DL68" s="50">
        <f t="shared" si="77"/>
        <v>0</v>
      </c>
      <c r="DM68" s="50">
        <f t="shared" si="78"/>
        <v>0</v>
      </c>
      <c r="DN68" s="50">
        <f t="shared" si="79"/>
        <v>0</v>
      </c>
      <c r="DO68" s="50">
        <f t="shared" si="80"/>
        <v>0</v>
      </c>
      <c r="DP68" s="50">
        <f t="shared" si="81"/>
        <v>0</v>
      </c>
      <c r="DQ68" s="50">
        <f t="shared" si="58"/>
        <v>0</v>
      </c>
      <c r="DR68" s="50">
        <f t="shared" si="59"/>
        <v>0</v>
      </c>
      <c r="DS68" s="96">
        <f>Miscelaneous!$D$4*Miscelaneous!$D$2^($CI68-1)</f>
        <v>1000</v>
      </c>
      <c r="DT68" s="333">
        <f t="shared" si="60"/>
        <v>1</v>
      </c>
      <c r="DU68" s="81">
        <v>1</v>
      </c>
      <c r="DV68" s="79">
        <f t="shared" si="61"/>
        <v>0</v>
      </c>
      <c r="DW68" s="79">
        <f t="shared" si="21"/>
        <v>0</v>
      </c>
      <c r="DX68" s="79">
        <f t="shared" si="62"/>
        <v>0</v>
      </c>
      <c r="DY68" s="79">
        <v>1</v>
      </c>
      <c r="DZ68" s="79">
        <f t="shared" si="22"/>
        <v>0</v>
      </c>
      <c r="EA68" s="79">
        <f t="shared" si="63"/>
        <v>0</v>
      </c>
      <c r="EB68" s="79">
        <f t="shared" si="64"/>
        <v>0</v>
      </c>
      <c r="EC68" s="79">
        <f t="shared" si="65"/>
        <v>0</v>
      </c>
      <c r="ED68" s="79">
        <v>1</v>
      </c>
      <c r="EE68" s="79">
        <v>1</v>
      </c>
      <c r="EF68" s="79">
        <f t="shared" si="66"/>
        <v>0</v>
      </c>
      <c r="EG68" s="79">
        <v>1</v>
      </c>
      <c r="EH68" s="79">
        <v>1</v>
      </c>
      <c r="EI68" s="79">
        <v>1</v>
      </c>
      <c r="EJ68" s="79">
        <v>1</v>
      </c>
      <c r="EK68" s="79">
        <v>1</v>
      </c>
      <c r="EL68" s="79">
        <v>1</v>
      </c>
      <c r="EM68" s="143">
        <f t="shared" si="67"/>
        <v>0</v>
      </c>
      <c r="EN68" s="143">
        <f t="shared" si="68"/>
        <v>0</v>
      </c>
      <c r="EO68" s="82">
        <f t="shared" si="69"/>
        <v>0</v>
      </c>
    </row>
    <row r="69" spans="1:145" x14ac:dyDescent="0.25">
      <c r="A69">
        <v>55</v>
      </c>
      <c r="B69" s="172" t="e">
        <f t="shared" si="23"/>
        <v>#N/A</v>
      </c>
      <c r="C69" s="121" t="e">
        <f t="shared" ref="C69:E69" si="143">AJ69-SUM(AB69:AB73)</f>
        <v>#N/A</v>
      </c>
      <c r="D69" s="122" t="e">
        <f t="shared" si="143"/>
        <v>#N/A</v>
      </c>
      <c r="E69" s="122" t="e">
        <f t="shared" si="143"/>
        <v>#N/A</v>
      </c>
      <c r="F69" s="176" t="e">
        <f t="shared" si="0"/>
        <v>#N/A</v>
      </c>
      <c r="G69" s="121">
        <f t="shared" si="25"/>
        <v>208</v>
      </c>
      <c r="H69" s="176" t="e">
        <f t="shared" si="26"/>
        <v>#N/A</v>
      </c>
      <c r="I69" s="48">
        <v>1</v>
      </c>
      <c r="J69" s="39"/>
      <c r="K69" s="350">
        <v>1</v>
      </c>
      <c r="L69" s="34" t="e">
        <f t="shared" si="1"/>
        <v>#N/A</v>
      </c>
      <c r="M69" s="38" t="e">
        <f>(HLOOKUP(J69,'Construction Times'!$B$3:$W$34,L69+2,FALSE)*HLOOKUP("hq modifier",'Construction Times'!$W$3:$W$34,BS69+2,FALSE))*(1-$H$9)</f>
        <v>#N/A</v>
      </c>
      <c r="N69" s="426" t="e">
        <f t="shared" si="27"/>
        <v>#N/A</v>
      </c>
      <c r="O69" s="427"/>
      <c r="P69" s="430" t="e">
        <f t="shared" si="28"/>
        <v>#N/A</v>
      </c>
      <c r="Q69" s="431"/>
      <c r="R69" s="103">
        <f t="shared" si="71"/>
        <v>0</v>
      </c>
      <c r="S69" s="104">
        <f t="shared" si="71"/>
        <v>0</v>
      </c>
      <c r="T69" s="104">
        <f t="shared" si="72"/>
        <v>0</v>
      </c>
      <c r="U69" s="104">
        <f t="shared" si="72"/>
        <v>0</v>
      </c>
      <c r="V69" s="104">
        <f t="shared" si="72"/>
        <v>9.9999999999999995E-8</v>
      </c>
      <c r="W69" s="104">
        <f t="shared" si="72"/>
        <v>0</v>
      </c>
      <c r="X69" s="104">
        <f t="shared" si="116"/>
        <v>0</v>
      </c>
      <c r="Y69" s="104">
        <f t="shared" si="116"/>
        <v>9.9999999999999995E-8</v>
      </c>
      <c r="Z69" s="104">
        <f t="shared" si="116"/>
        <v>9.9999999999999995E-8</v>
      </c>
      <c r="AA69" s="105">
        <f t="shared" si="116"/>
        <v>9.9999999999999995E-8</v>
      </c>
      <c r="AB69" s="101" t="e">
        <f>$DT69*HLOOKUP($J69,'Construction Costs (timber)'!$B$1:$V$32,'Construction Planner'!$L69+2,FALSE)</f>
        <v>#N/A</v>
      </c>
      <c r="AC69" s="14" t="e">
        <f>$DT69*HLOOKUP($J69,'Construction Costs (clay)'!$B$1:$V$32,'Construction Planner'!$L69+2,FALSE)</f>
        <v>#N/A</v>
      </c>
      <c r="AD69" s="14" t="e">
        <f>$DT69*HLOOKUP($J69,'Construction Costs (iron)'!$B$1:$V$32,'Construction Planner'!$L69+2,FALSE)</f>
        <v>#N/A</v>
      </c>
      <c r="AE69" s="34" t="e">
        <f t="shared" si="86"/>
        <v>#N/A</v>
      </c>
      <c r="AF69" s="33" t="e">
        <f t="shared" si="3"/>
        <v>#N/A</v>
      </c>
      <c r="AG69" s="14" t="e">
        <f t="shared" si="4"/>
        <v>#N/A</v>
      </c>
      <c r="AH69" s="14" t="e">
        <f t="shared" si="5"/>
        <v>#N/A</v>
      </c>
      <c r="AI69" s="34" t="e">
        <f t="shared" si="87"/>
        <v>#N/A</v>
      </c>
      <c r="AJ69" s="49" t="e">
        <f t="shared" si="31"/>
        <v>#N/A</v>
      </c>
      <c r="AK69" s="49" t="e">
        <f t="shared" si="32"/>
        <v>#N/A</v>
      </c>
      <c r="AL69" s="49" t="e">
        <f t="shared" si="33"/>
        <v>#N/A</v>
      </c>
      <c r="AM69" s="25">
        <f t="shared" si="6"/>
        <v>30</v>
      </c>
      <c r="AN69" s="25">
        <f t="shared" si="7"/>
        <v>30</v>
      </c>
      <c r="AO69" s="25">
        <f t="shared" si="8"/>
        <v>30</v>
      </c>
      <c r="AP69" s="52" t="e">
        <f t="shared" si="34"/>
        <v>#N/A</v>
      </c>
      <c r="AQ69" s="53" t="e">
        <f t="shared" si="34"/>
        <v>#N/A</v>
      </c>
      <c r="AR69" s="54" t="e">
        <f t="shared" si="34"/>
        <v>#N/A</v>
      </c>
      <c r="AS69" s="316">
        <f t="shared" si="88"/>
        <v>0</v>
      </c>
      <c r="AT69" s="106">
        <f>_xlfn.IFNA($M69/VLOOKUP($BT69,'Unit information'!$A$2:$K$29,2,FALSE)*R69,0)*(1+$E$9)</f>
        <v>0</v>
      </c>
      <c r="AU69" s="107">
        <f>_xlfn.IFNA($M69/VLOOKUP($BT69,'Unit information'!$A$2:$K$29,3,FALSE)*S69,0)*(1+$E$9)</f>
        <v>0</v>
      </c>
      <c r="AV69" s="107">
        <f>_xlfn.IFNA($M69/VLOOKUP($BT69,'Unit information'!$A$2:$K$29,4,FALSE)*T69,0)*(1+$E$9)</f>
        <v>0</v>
      </c>
      <c r="AW69" s="107">
        <f>_xlfn.IFNA($M69/VLOOKUP($BT69,'Unit information'!$A$2:$K$29,5,FALSE)*U69,0)*(1+$E$9)</f>
        <v>0</v>
      </c>
      <c r="AX69" s="107">
        <f>_xlfn.IFNA($M69/VLOOKUP($BU69,'Unit information'!$A$2:$K$29,6,FALSE)*V69,0)*(1+$E$9)</f>
        <v>0</v>
      </c>
      <c r="AY69" s="107">
        <f>_xlfn.IFNA($M69/VLOOKUP($BU69,'Unit information'!$A$2:$K$29,7,FALSE)*W69,0)*(1+$E$9)</f>
        <v>0</v>
      </c>
      <c r="AZ69" s="107">
        <f>_xlfn.IFNA($M69/VLOOKUP($BU69,'Unit information'!$A$2:$K$29,8,FALSE)*X69,0)*(1+$E$9)</f>
        <v>0</v>
      </c>
      <c r="BA69" s="107">
        <f>_xlfn.IFNA($M69/VLOOKUP($BU69,'Unit information'!$A$2:$K$29,9,FALSE)*Y69,0)*(1+$E$9)</f>
        <v>0</v>
      </c>
      <c r="BB69" s="107">
        <f>_xlfn.IFNA($M69/VLOOKUP($BV69,'Unit information'!$A$2:$K$29,10,FALSE)*Z69,0)*(1+$E$9)</f>
        <v>0</v>
      </c>
      <c r="BC69" s="108">
        <f>_xlfn.IFNA($M69/VLOOKUP($BV69,'Unit information'!$A$2:$K$29,11,FALSE)*AA69,0)*(1+$E$9)</f>
        <v>0</v>
      </c>
      <c r="BD69" s="106">
        <f t="shared" si="10"/>
        <v>0</v>
      </c>
      <c r="BE69" s="107">
        <f t="shared" si="11"/>
        <v>0</v>
      </c>
      <c r="BF69" s="108">
        <f t="shared" si="12"/>
        <v>0</v>
      </c>
      <c r="BG69" s="25" t="e">
        <f t="shared" si="13"/>
        <v>#N/A</v>
      </c>
      <c r="BH69" s="25" t="e">
        <f t="shared" si="14"/>
        <v>#N/A</v>
      </c>
      <c r="BI69" s="25" t="e">
        <f t="shared" si="15"/>
        <v>#N/A</v>
      </c>
      <c r="BJ69" s="27" t="e">
        <f t="shared" si="16"/>
        <v>#N/A</v>
      </c>
      <c r="BK69" s="18" t="e">
        <f t="shared" si="17"/>
        <v>#N/A</v>
      </c>
      <c r="BL69" s="18" t="e">
        <f t="shared" si="18"/>
        <v>#N/A</v>
      </c>
      <c r="BM69" s="28" t="e">
        <f t="shared" si="89"/>
        <v>#N/A</v>
      </c>
      <c r="BN69" s="33">
        <f>HLOOKUP("maximum population",Miscelaneous!$C$1:$C$33,CH69+3,FALSE)</f>
        <v>240</v>
      </c>
      <c r="BO69" s="14">
        <f t="shared" si="35"/>
        <v>32</v>
      </c>
      <c r="BP69" s="14">
        <f t="shared" si="36"/>
        <v>0</v>
      </c>
      <c r="BQ69" s="14">
        <f t="shared" si="37"/>
        <v>208</v>
      </c>
      <c r="BR69" s="34" t="e">
        <f>HLOOKUP(J69,Villagers!$B$1:$V$33,L69+3,FALSE)-HLOOKUP(J69,Villagers!$B$1:$V$33,L69+2,FALSE)</f>
        <v>#N/A</v>
      </c>
      <c r="BS69" s="49">
        <f t="shared" si="38"/>
        <v>1</v>
      </c>
      <c r="BT69" s="50">
        <f t="shared" si="39"/>
        <v>0</v>
      </c>
      <c r="BU69" s="50">
        <f t="shared" si="40"/>
        <v>0</v>
      </c>
      <c r="BV69" s="50">
        <f t="shared" si="120"/>
        <v>0</v>
      </c>
      <c r="BW69" s="50">
        <f t="shared" si="121"/>
        <v>0</v>
      </c>
      <c r="BX69" s="50">
        <f t="shared" si="122"/>
        <v>0</v>
      </c>
      <c r="BY69" s="50">
        <f t="shared" si="122"/>
        <v>0</v>
      </c>
      <c r="BZ69" s="50">
        <f t="shared" si="44"/>
        <v>0</v>
      </c>
      <c r="CA69" s="50">
        <f t="shared" si="45"/>
        <v>0</v>
      </c>
      <c r="CB69" s="50">
        <f t="shared" si="46"/>
        <v>1</v>
      </c>
      <c r="CC69" s="50">
        <f t="shared" si="47"/>
        <v>0</v>
      </c>
      <c r="CD69" s="50">
        <f t="shared" si="48"/>
        <v>0</v>
      </c>
      <c r="CE69" s="50">
        <f t="shared" si="49"/>
        <v>1</v>
      </c>
      <c r="CF69" s="50">
        <f t="shared" si="50"/>
        <v>1</v>
      </c>
      <c r="CG69" s="50">
        <f t="shared" si="51"/>
        <v>1</v>
      </c>
      <c r="CH69" s="50">
        <f t="shared" si="52"/>
        <v>1</v>
      </c>
      <c r="CI69" s="50">
        <f t="shared" si="53"/>
        <v>1</v>
      </c>
      <c r="CJ69" s="50">
        <f t="shared" si="54"/>
        <v>1</v>
      </c>
      <c r="CK69" s="50">
        <f t="shared" si="55"/>
        <v>0</v>
      </c>
      <c r="CL69" s="50">
        <f t="shared" si="54"/>
        <v>0</v>
      </c>
      <c r="CM69" s="51">
        <f t="shared" si="56"/>
        <v>0</v>
      </c>
      <c r="CN69" s="33">
        <f>ROUND(IF(BS69=0,0,HLOOKUP(BS$14,Villagers!$B$1:$V$33,BS69+3,FALSE)),)</f>
        <v>5</v>
      </c>
      <c r="CO69" s="14">
        <f>ROUND(IF(BT69=0,0,HLOOKUP(BT$14,Villagers!$B$1:$V$33,BT69+3,FALSE)),)</f>
        <v>0</v>
      </c>
      <c r="CP69" s="14">
        <f>ROUND(IF(BU69=0,0,HLOOKUP(BU$14,Villagers!$B$1:$V$33,BU69+3,FALSE)),)</f>
        <v>0</v>
      </c>
      <c r="CQ69" s="14">
        <f>ROUND(IF(BV69=0,0,HLOOKUP(BV$14,Villagers!$B$1:$V$33,BV69+3,FALSE)),)</f>
        <v>0</v>
      </c>
      <c r="CR69" s="14">
        <f>ROUND(IF(BW69=0,0,HLOOKUP(BW$14,Villagers!$B$1:$V$33,BW69+3,FALSE)),)</f>
        <v>0</v>
      </c>
      <c r="CS69" s="14">
        <f>ROUND(IF(BX69=0,0,HLOOKUP(BX$14,Villagers!$B$1:$V$33,BX69+3,FALSE)),)</f>
        <v>0</v>
      </c>
      <c r="CT69" s="14">
        <f>ROUND(IF(BY69=0,0,HLOOKUP(BY$14,Villagers!$B$1:$V$33,BY69+3,FALSE)),)</f>
        <v>0</v>
      </c>
      <c r="CU69" s="14">
        <f>ROUND(IF(BZ69=0,0,HLOOKUP(BZ$14,Villagers!$B$1:$V$33,BZ69+3,FALSE)),)</f>
        <v>0</v>
      </c>
      <c r="CV69" s="14">
        <f>ROUND(IF(CA69=0,0,HLOOKUP(CA$14,Villagers!$B$1:$V$33,CA69+3,FALSE)),)</f>
        <v>0</v>
      </c>
      <c r="CW69" s="14">
        <f>ROUND(IF(CB69=0,0,HLOOKUP(CB$14,Villagers!$B$1:$V$33,CB69+3,FALSE)),)</f>
        <v>0</v>
      </c>
      <c r="CX69" s="14">
        <f>ROUND(IF(CC69=0,0,HLOOKUP(CC$14,Villagers!$B$1:$V$33,CC69+3,FALSE)),)</f>
        <v>0</v>
      </c>
      <c r="CY69" s="14">
        <f>ROUND(IF(CD69=0,0,HLOOKUP(CD$14,Villagers!$B$1:$V$33,CD69+3,FALSE)),)</f>
        <v>0</v>
      </c>
      <c r="CZ69" s="14">
        <f>ROUND(IF(CE69=0,0,HLOOKUP(CE$14,Villagers!$B$1:$V$33,CE69+3,FALSE)),)</f>
        <v>5</v>
      </c>
      <c r="DA69" s="14">
        <f>ROUND(IF(CF69=0,0,HLOOKUP(CF$14,Villagers!$B$1:$V$33,CF69+3,FALSE)),)</f>
        <v>10</v>
      </c>
      <c r="DB69" s="14">
        <f>ROUND(IF(CG69=0,0,HLOOKUP(CG$14,Villagers!$B$1:$V$33,CG69+3,FALSE)),)</f>
        <v>10</v>
      </c>
      <c r="DC69" s="14">
        <f>ROUND(IF(CH69=0,0,HLOOKUP(CH$14,Villagers!$B$1:$V$33,CH69+3,FALSE)),)</f>
        <v>0</v>
      </c>
      <c r="DD69" s="14">
        <f>ROUND(IF(CI69=0,0,HLOOKUP(CI$14,Villagers!$B$1:$V$33,CI69+3,FALSE)),)</f>
        <v>0</v>
      </c>
      <c r="DE69" s="14">
        <f>ROUND(IF(CJ69=0,0,HLOOKUP(CJ$14,Villagers!$B$1:$V$33,CJ69+3,FALSE)),)</f>
        <v>2</v>
      </c>
      <c r="DF69" s="370">
        <f>ROUND(IF(CK69=0,0,HLOOKUP(CK$14,Villagers!$B$1:$V$33,CK69+3,FALSE)),)</f>
        <v>0</v>
      </c>
      <c r="DG69" s="370">
        <f>ROUND(IF(CL69=0,0,HLOOKUP(CL$14,Villagers!$B$1:$V$33,CL69+3,FALSE)),)</f>
        <v>0</v>
      </c>
      <c r="DH69" s="34">
        <f>ROUND(IF(CM69=0,0,HLOOKUP(CM$14,Villagers!$B$1:$V$33,CM69+3,FALSE)),)</f>
        <v>0</v>
      </c>
      <c r="DI69" s="109">
        <f t="shared" si="74"/>
        <v>0</v>
      </c>
      <c r="DJ69" s="50">
        <f t="shared" si="75"/>
        <v>0</v>
      </c>
      <c r="DK69" s="50">
        <f t="shared" si="76"/>
        <v>0</v>
      </c>
      <c r="DL69" s="50">
        <f t="shared" si="77"/>
        <v>0</v>
      </c>
      <c r="DM69" s="50">
        <f t="shared" si="78"/>
        <v>0</v>
      </c>
      <c r="DN69" s="50">
        <f t="shared" si="79"/>
        <v>0</v>
      </c>
      <c r="DO69" s="50">
        <f t="shared" si="80"/>
        <v>0</v>
      </c>
      <c r="DP69" s="50">
        <f t="shared" si="81"/>
        <v>0</v>
      </c>
      <c r="DQ69" s="50">
        <f t="shared" si="58"/>
        <v>0</v>
      </c>
      <c r="DR69" s="50">
        <f t="shared" si="59"/>
        <v>0</v>
      </c>
      <c r="DS69" s="96">
        <f>Miscelaneous!$D$4*Miscelaneous!$D$2^($CI69-1)</f>
        <v>1000</v>
      </c>
      <c r="DT69" s="333">
        <f t="shared" si="60"/>
        <v>1</v>
      </c>
      <c r="DU69" s="81">
        <v>1</v>
      </c>
      <c r="DV69" s="79">
        <f t="shared" si="61"/>
        <v>0</v>
      </c>
      <c r="DW69" s="79">
        <f t="shared" si="21"/>
        <v>0</v>
      </c>
      <c r="DX69" s="79">
        <f t="shared" si="62"/>
        <v>0</v>
      </c>
      <c r="DY69" s="79">
        <v>1</v>
      </c>
      <c r="DZ69" s="79">
        <f t="shared" si="22"/>
        <v>0</v>
      </c>
      <c r="EA69" s="79">
        <f t="shared" si="63"/>
        <v>0</v>
      </c>
      <c r="EB69" s="79">
        <f t="shared" si="64"/>
        <v>0</v>
      </c>
      <c r="EC69" s="79">
        <f t="shared" si="65"/>
        <v>0</v>
      </c>
      <c r="ED69" s="79">
        <v>1</v>
      </c>
      <c r="EE69" s="79">
        <v>1</v>
      </c>
      <c r="EF69" s="79">
        <f t="shared" si="66"/>
        <v>0</v>
      </c>
      <c r="EG69" s="79">
        <v>1</v>
      </c>
      <c r="EH69" s="79">
        <v>1</v>
      </c>
      <c r="EI69" s="79">
        <v>1</v>
      </c>
      <c r="EJ69" s="79">
        <v>1</v>
      </c>
      <c r="EK69" s="79">
        <v>1</v>
      </c>
      <c r="EL69" s="79">
        <v>1</v>
      </c>
      <c r="EM69" s="143">
        <f t="shared" si="67"/>
        <v>0</v>
      </c>
      <c r="EN69" s="143">
        <f t="shared" si="68"/>
        <v>0</v>
      </c>
      <c r="EO69" s="82">
        <f t="shared" si="69"/>
        <v>0</v>
      </c>
    </row>
    <row r="70" spans="1:145" x14ac:dyDescent="0.25">
      <c r="A70">
        <v>56</v>
      </c>
      <c r="B70" s="172" t="e">
        <f t="shared" si="23"/>
        <v>#N/A</v>
      </c>
      <c r="C70" s="121" t="e">
        <f t="shared" ref="C70:E70" si="144">AJ70-SUM(AB70:AB74)</f>
        <v>#N/A</v>
      </c>
      <c r="D70" s="122" t="e">
        <f t="shared" si="144"/>
        <v>#N/A</v>
      </c>
      <c r="E70" s="122" t="e">
        <f t="shared" si="144"/>
        <v>#N/A</v>
      </c>
      <c r="F70" s="176" t="e">
        <f t="shared" si="0"/>
        <v>#N/A</v>
      </c>
      <c r="G70" s="121">
        <f t="shared" si="25"/>
        <v>208</v>
      </c>
      <c r="H70" s="176" t="e">
        <f t="shared" si="26"/>
        <v>#N/A</v>
      </c>
      <c r="I70" s="48">
        <v>1</v>
      </c>
      <c r="J70" s="39"/>
      <c r="K70" s="350">
        <v>1</v>
      </c>
      <c r="L70" s="34" t="e">
        <f t="shared" si="1"/>
        <v>#N/A</v>
      </c>
      <c r="M70" s="38" t="e">
        <f>(HLOOKUP(J70,'Construction Times'!$B$3:$W$34,L70+2,FALSE)*HLOOKUP("hq modifier",'Construction Times'!$W$3:$W$34,BS70+2,FALSE))*(1-$H$9)</f>
        <v>#N/A</v>
      </c>
      <c r="N70" s="426" t="e">
        <f t="shared" si="27"/>
        <v>#N/A</v>
      </c>
      <c r="O70" s="427"/>
      <c r="P70" s="430" t="e">
        <f t="shared" si="28"/>
        <v>#N/A</v>
      </c>
      <c r="Q70" s="431"/>
      <c r="R70" s="103">
        <f t="shared" si="71"/>
        <v>0</v>
      </c>
      <c r="S70" s="104">
        <f t="shared" si="71"/>
        <v>0</v>
      </c>
      <c r="T70" s="104">
        <f t="shared" si="72"/>
        <v>0</v>
      </c>
      <c r="U70" s="104">
        <f t="shared" si="72"/>
        <v>0</v>
      </c>
      <c r="V70" s="104">
        <f t="shared" si="72"/>
        <v>9.9999999999999995E-8</v>
      </c>
      <c r="W70" s="104">
        <f t="shared" si="72"/>
        <v>0</v>
      </c>
      <c r="X70" s="104">
        <f t="shared" si="116"/>
        <v>0</v>
      </c>
      <c r="Y70" s="104">
        <f t="shared" si="116"/>
        <v>9.9999999999999995E-8</v>
      </c>
      <c r="Z70" s="104">
        <f t="shared" si="116"/>
        <v>9.9999999999999995E-8</v>
      </c>
      <c r="AA70" s="105">
        <f t="shared" si="116"/>
        <v>9.9999999999999995E-8</v>
      </c>
      <c r="AB70" s="101" t="e">
        <f>$DT70*HLOOKUP($J70,'Construction Costs (timber)'!$B$1:$V$32,'Construction Planner'!$L70+2,FALSE)</f>
        <v>#N/A</v>
      </c>
      <c r="AC70" s="14" t="e">
        <f>$DT70*HLOOKUP($J70,'Construction Costs (clay)'!$B$1:$V$32,'Construction Planner'!$L70+2,FALSE)</f>
        <v>#N/A</v>
      </c>
      <c r="AD70" s="14" t="e">
        <f>$DT70*HLOOKUP($J70,'Construction Costs (iron)'!$B$1:$V$32,'Construction Planner'!$L70+2,FALSE)</f>
        <v>#N/A</v>
      </c>
      <c r="AE70" s="34" t="e">
        <f t="shared" si="86"/>
        <v>#N/A</v>
      </c>
      <c r="AF70" s="33" t="e">
        <f t="shared" si="3"/>
        <v>#N/A</v>
      </c>
      <c r="AG70" s="14" t="e">
        <f t="shared" si="4"/>
        <v>#N/A</v>
      </c>
      <c r="AH70" s="14" t="e">
        <f t="shared" si="5"/>
        <v>#N/A</v>
      </c>
      <c r="AI70" s="34" t="e">
        <f t="shared" si="87"/>
        <v>#N/A</v>
      </c>
      <c r="AJ70" s="49" t="e">
        <f t="shared" si="31"/>
        <v>#N/A</v>
      </c>
      <c r="AK70" s="49" t="e">
        <f t="shared" si="32"/>
        <v>#N/A</v>
      </c>
      <c r="AL70" s="49" t="e">
        <f t="shared" si="33"/>
        <v>#N/A</v>
      </c>
      <c r="AM70" s="25">
        <f t="shared" si="6"/>
        <v>30</v>
      </c>
      <c r="AN70" s="25">
        <f t="shared" si="7"/>
        <v>30</v>
      </c>
      <c r="AO70" s="25">
        <f t="shared" si="8"/>
        <v>30</v>
      </c>
      <c r="AP70" s="52" t="e">
        <f t="shared" si="34"/>
        <v>#N/A</v>
      </c>
      <c r="AQ70" s="53" t="e">
        <f t="shared" si="34"/>
        <v>#N/A</v>
      </c>
      <c r="AR70" s="54" t="e">
        <f t="shared" si="34"/>
        <v>#N/A</v>
      </c>
      <c r="AS70" s="316">
        <f t="shared" si="88"/>
        <v>0</v>
      </c>
      <c r="AT70" s="106">
        <f>_xlfn.IFNA($M70/VLOOKUP($BT70,'Unit information'!$A$2:$K$29,2,FALSE)*R70,0)*(1+$E$9)</f>
        <v>0</v>
      </c>
      <c r="AU70" s="107">
        <f>_xlfn.IFNA($M70/VLOOKUP($BT70,'Unit information'!$A$2:$K$29,3,FALSE)*S70,0)*(1+$E$9)</f>
        <v>0</v>
      </c>
      <c r="AV70" s="107">
        <f>_xlfn.IFNA($M70/VLOOKUP($BT70,'Unit information'!$A$2:$K$29,4,FALSE)*T70,0)*(1+$E$9)</f>
        <v>0</v>
      </c>
      <c r="AW70" s="107">
        <f>_xlfn.IFNA($M70/VLOOKUP($BT70,'Unit information'!$A$2:$K$29,5,FALSE)*U70,0)*(1+$E$9)</f>
        <v>0</v>
      </c>
      <c r="AX70" s="107">
        <f>_xlfn.IFNA($M70/VLOOKUP($BU70,'Unit information'!$A$2:$K$29,6,FALSE)*V70,0)*(1+$E$9)</f>
        <v>0</v>
      </c>
      <c r="AY70" s="107">
        <f>_xlfn.IFNA($M70/VLOOKUP($BU70,'Unit information'!$A$2:$K$29,7,FALSE)*W70,0)*(1+$E$9)</f>
        <v>0</v>
      </c>
      <c r="AZ70" s="107">
        <f>_xlfn.IFNA($M70/VLOOKUP($BU70,'Unit information'!$A$2:$K$29,8,FALSE)*X70,0)*(1+$E$9)</f>
        <v>0</v>
      </c>
      <c r="BA70" s="107">
        <f>_xlfn.IFNA($M70/VLOOKUP($BU70,'Unit information'!$A$2:$K$29,9,FALSE)*Y70,0)*(1+$E$9)</f>
        <v>0</v>
      </c>
      <c r="BB70" s="107">
        <f>_xlfn.IFNA($M70/VLOOKUP($BV70,'Unit information'!$A$2:$K$29,10,FALSE)*Z70,0)*(1+$E$9)</f>
        <v>0</v>
      </c>
      <c r="BC70" s="108">
        <f>_xlfn.IFNA($M70/VLOOKUP($BV70,'Unit information'!$A$2:$K$29,11,FALSE)*AA70,0)*(1+$E$9)</f>
        <v>0</v>
      </c>
      <c r="BD70" s="106">
        <f t="shared" si="10"/>
        <v>0</v>
      </c>
      <c r="BE70" s="107">
        <f t="shared" si="11"/>
        <v>0</v>
      </c>
      <c r="BF70" s="108">
        <f t="shared" si="12"/>
        <v>0</v>
      </c>
      <c r="BG70" s="25" t="e">
        <f t="shared" si="13"/>
        <v>#N/A</v>
      </c>
      <c r="BH70" s="25" t="e">
        <f t="shared" si="14"/>
        <v>#N/A</v>
      </c>
      <c r="BI70" s="25" t="e">
        <f t="shared" si="15"/>
        <v>#N/A</v>
      </c>
      <c r="BJ70" s="27" t="e">
        <f t="shared" si="16"/>
        <v>#N/A</v>
      </c>
      <c r="BK70" s="18" t="e">
        <f t="shared" si="17"/>
        <v>#N/A</v>
      </c>
      <c r="BL70" s="18" t="e">
        <f t="shared" si="18"/>
        <v>#N/A</v>
      </c>
      <c r="BM70" s="28" t="e">
        <f t="shared" si="89"/>
        <v>#N/A</v>
      </c>
      <c r="BN70" s="33">
        <f>HLOOKUP("maximum population",Miscelaneous!$C$1:$C$33,CH70+3,FALSE)</f>
        <v>240</v>
      </c>
      <c r="BO70" s="14">
        <f t="shared" si="35"/>
        <v>32</v>
      </c>
      <c r="BP70" s="14">
        <f t="shared" si="36"/>
        <v>0</v>
      </c>
      <c r="BQ70" s="14">
        <f t="shared" si="37"/>
        <v>208</v>
      </c>
      <c r="BR70" s="34" t="e">
        <f>HLOOKUP(J70,Villagers!$B$1:$V$33,L70+3,FALSE)-HLOOKUP(J70,Villagers!$B$1:$V$33,L70+2,FALSE)</f>
        <v>#N/A</v>
      </c>
      <c r="BS70" s="49">
        <f t="shared" si="38"/>
        <v>1</v>
      </c>
      <c r="BT70" s="50">
        <f t="shared" si="39"/>
        <v>0</v>
      </c>
      <c r="BU70" s="50">
        <f t="shared" si="40"/>
        <v>0</v>
      </c>
      <c r="BV70" s="50">
        <f t="shared" si="120"/>
        <v>0</v>
      </c>
      <c r="BW70" s="50">
        <f t="shared" si="121"/>
        <v>0</v>
      </c>
      <c r="BX70" s="50">
        <f t="shared" si="122"/>
        <v>0</v>
      </c>
      <c r="BY70" s="50">
        <f t="shared" si="122"/>
        <v>0</v>
      </c>
      <c r="BZ70" s="50">
        <f t="shared" si="44"/>
        <v>0</v>
      </c>
      <c r="CA70" s="50">
        <f t="shared" si="45"/>
        <v>0</v>
      </c>
      <c r="CB70" s="50">
        <f t="shared" si="46"/>
        <v>1</v>
      </c>
      <c r="CC70" s="50">
        <f t="shared" si="47"/>
        <v>0</v>
      </c>
      <c r="CD70" s="50">
        <f t="shared" si="48"/>
        <v>0</v>
      </c>
      <c r="CE70" s="50">
        <f t="shared" si="49"/>
        <v>1</v>
      </c>
      <c r="CF70" s="50">
        <f t="shared" si="50"/>
        <v>1</v>
      </c>
      <c r="CG70" s="50">
        <f t="shared" si="51"/>
        <v>1</v>
      </c>
      <c r="CH70" s="50">
        <f t="shared" si="52"/>
        <v>1</v>
      </c>
      <c r="CI70" s="50">
        <f t="shared" si="53"/>
        <v>1</v>
      </c>
      <c r="CJ70" s="50">
        <f t="shared" si="54"/>
        <v>1</v>
      </c>
      <c r="CK70" s="50">
        <f t="shared" si="55"/>
        <v>0</v>
      </c>
      <c r="CL70" s="50">
        <f t="shared" si="54"/>
        <v>0</v>
      </c>
      <c r="CM70" s="51">
        <f t="shared" si="56"/>
        <v>0</v>
      </c>
      <c r="CN70" s="33">
        <f>ROUND(IF(BS70=0,0,HLOOKUP(BS$14,Villagers!$B$1:$V$33,BS70+3,FALSE)),)</f>
        <v>5</v>
      </c>
      <c r="CO70" s="14">
        <f>ROUND(IF(BT70=0,0,HLOOKUP(BT$14,Villagers!$B$1:$V$33,BT70+3,FALSE)),)</f>
        <v>0</v>
      </c>
      <c r="CP70" s="14">
        <f>ROUND(IF(BU70=0,0,HLOOKUP(BU$14,Villagers!$B$1:$V$33,BU70+3,FALSE)),)</f>
        <v>0</v>
      </c>
      <c r="CQ70" s="14">
        <f>ROUND(IF(BV70=0,0,HLOOKUP(BV$14,Villagers!$B$1:$V$33,BV70+3,FALSE)),)</f>
        <v>0</v>
      </c>
      <c r="CR70" s="14">
        <f>ROUND(IF(BW70=0,0,HLOOKUP(BW$14,Villagers!$B$1:$V$33,BW70+3,FALSE)),)</f>
        <v>0</v>
      </c>
      <c r="CS70" s="14">
        <f>ROUND(IF(BX70=0,0,HLOOKUP(BX$14,Villagers!$B$1:$V$33,BX70+3,FALSE)),)</f>
        <v>0</v>
      </c>
      <c r="CT70" s="14">
        <f>ROUND(IF(BY70=0,0,HLOOKUP(BY$14,Villagers!$B$1:$V$33,BY70+3,FALSE)),)</f>
        <v>0</v>
      </c>
      <c r="CU70" s="14">
        <f>ROUND(IF(BZ70=0,0,HLOOKUP(BZ$14,Villagers!$B$1:$V$33,BZ70+3,FALSE)),)</f>
        <v>0</v>
      </c>
      <c r="CV70" s="14">
        <f>ROUND(IF(CA70=0,0,HLOOKUP(CA$14,Villagers!$B$1:$V$33,CA70+3,FALSE)),)</f>
        <v>0</v>
      </c>
      <c r="CW70" s="14">
        <f>ROUND(IF(CB70=0,0,HLOOKUP(CB$14,Villagers!$B$1:$V$33,CB70+3,FALSE)),)</f>
        <v>0</v>
      </c>
      <c r="CX70" s="14">
        <f>ROUND(IF(CC70=0,0,HLOOKUP(CC$14,Villagers!$B$1:$V$33,CC70+3,FALSE)),)</f>
        <v>0</v>
      </c>
      <c r="CY70" s="14">
        <f>ROUND(IF(CD70=0,0,HLOOKUP(CD$14,Villagers!$B$1:$V$33,CD70+3,FALSE)),)</f>
        <v>0</v>
      </c>
      <c r="CZ70" s="14">
        <f>ROUND(IF(CE70=0,0,HLOOKUP(CE$14,Villagers!$B$1:$V$33,CE70+3,FALSE)),)</f>
        <v>5</v>
      </c>
      <c r="DA70" s="14">
        <f>ROUND(IF(CF70=0,0,HLOOKUP(CF$14,Villagers!$B$1:$V$33,CF70+3,FALSE)),)</f>
        <v>10</v>
      </c>
      <c r="DB70" s="14">
        <f>ROUND(IF(CG70=0,0,HLOOKUP(CG$14,Villagers!$B$1:$V$33,CG70+3,FALSE)),)</f>
        <v>10</v>
      </c>
      <c r="DC70" s="14">
        <f>ROUND(IF(CH70=0,0,HLOOKUP(CH$14,Villagers!$B$1:$V$33,CH70+3,FALSE)),)</f>
        <v>0</v>
      </c>
      <c r="DD70" s="14">
        <f>ROUND(IF(CI70=0,0,HLOOKUP(CI$14,Villagers!$B$1:$V$33,CI70+3,FALSE)),)</f>
        <v>0</v>
      </c>
      <c r="DE70" s="14">
        <f>ROUND(IF(CJ70=0,0,HLOOKUP(CJ$14,Villagers!$B$1:$V$33,CJ70+3,FALSE)),)</f>
        <v>2</v>
      </c>
      <c r="DF70" s="370">
        <f>ROUND(IF(CK70=0,0,HLOOKUP(CK$14,Villagers!$B$1:$V$33,CK70+3,FALSE)),)</f>
        <v>0</v>
      </c>
      <c r="DG70" s="370">
        <f>ROUND(IF(CL70=0,0,HLOOKUP(CL$14,Villagers!$B$1:$V$33,CL70+3,FALSE)),)</f>
        <v>0</v>
      </c>
      <c r="DH70" s="34">
        <f>ROUND(IF(CM70=0,0,HLOOKUP(CM$14,Villagers!$B$1:$V$33,CM70+3,FALSE)),)</f>
        <v>0</v>
      </c>
      <c r="DI70" s="109">
        <f t="shared" si="74"/>
        <v>0</v>
      </c>
      <c r="DJ70" s="50">
        <f t="shared" si="75"/>
        <v>0</v>
      </c>
      <c r="DK70" s="50">
        <f t="shared" si="76"/>
        <v>0</v>
      </c>
      <c r="DL70" s="50">
        <f t="shared" si="77"/>
        <v>0</v>
      </c>
      <c r="DM70" s="50">
        <f t="shared" si="78"/>
        <v>0</v>
      </c>
      <c r="DN70" s="50">
        <f t="shared" si="79"/>
        <v>0</v>
      </c>
      <c r="DO70" s="50">
        <f t="shared" si="80"/>
        <v>0</v>
      </c>
      <c r="DP70" s="50">
        <f t="shared" si="81"/>
        <v>0</v>
      </c>
      <c r="DQ70" s="50">
        <f t="shared" si="58"/>
        <v>0</v>
      </c>
      <c r="DR70" s="50">
        <f t="shared" si="59"/>
        <v>0</v>
      </c>
      <c r="DS70" s="96">
        <f>Miscelaneous!$D$4*Miscelaneous!$D$2^($CI70-1)</f>
        <v>1000</v>
      </c>
      <c r="DT70" s="333">
        <f t="shared" si="60"/>
        <v>1</v>
      </c>
      <c r="DU70" s="81">
        <v>1</v>
      </c>
      <c r="DV70" s="79">
        <f t="shared" si="61"/>
        <v>0</v>
      </c>
      <c r="DW70" s="79">
        <f t="shared" si="21"/>
        <v>0</v>
      </c>
      <c r="DX70" s="79">
        <f t="shared" si="62"/>
        <v>0</v>
      </c>
      <c r="DY70" s="79">
        <v>1</v>
      </c>
      <c r="DZ70" s="79">
        <f t="shared" si="22"/>
        <v>0</v>
      </c>
      <c r="EA70" s="79">
        <f t="shared" si="63"/>
        <v>0</v>
      </c>
      <c r="EB70" s="79">
        <f t="shared" si="64"/>
        <v>0</v>
      </c>
      <c r="EC70" s="79">
        <f t="shared" si="65"/>
        <v>0</v>
      </c>
      <c r="ED70" s="79">
        <v>1</v>
      </c>
      <c r="EE70" s="79">
        <v>1</v>
      </c>
      <c r="EF70" s="79">
        <f t="shared" si="66"/>
        <v>0</v>
      </c>
      <c r="EG70" s="79">
        <v>1</v>
      </c>
      <c r="EH70" s="79">
        <v>1</v>
      </c>
      <c r="EI70" s="79">
        <v>1</v>
      </c>
      <c r="EJ70" s="79">
        <v>1</v>
      </c>
      <c r="EK70" s="79">
        <v>1</v>
      </c>
      <c r="EL70" s="79">
        <v>1</v>
      </c>
      <c r="EM70" s="143">
        <f t="shared" si="67"/>
        <v>0</v>
      </c>
      <c r="EN70" s="143">
        <f t="shared" si="68"/>
        <v>0</v>
      </c>
      <c r="EO70" s="82">
        <f t="shared" si="69"/>
        <v>0</v>
      </c>
    </row>
    <row r="71" spans="1:145" x14ac:dyDescent="0.25">
      <c r="A71">
        <v>57</v>
      </c>
      <c r="B71" s="172" t="e">
        <f t="shared" si="23"/>
        <v>#N/A</v>
      </c>
      <c r="C71" s="121" t="e">
        <f t="shared" ref="C71:E71" si="145">AJ71-SUM(AB71:AB75)</f>
        <v>#N/A</v>
      </c>
      <c r="D71" s="122" t="e">
        <f t="shared" si="145"/>
        <v>#N/A</v>
      </c>
      <c r="E71" s="122" t="e">
        <f t="shared" si="145"/>
        <v>#N/A</v>
      </c>
      <c r="F71" s="176" t="e">
        <f t="shared" si="0"/>
        <v>#N/A</v>
      </c>
      <c r="G71" s="121">
        <f t="shared" si="25"/>
        <v>208</v>
      </c>
      <c r="H71" s="176" t="e">
        <f t="shared" si="26"/>
        <v>#N/A</v>
      </c>
      <c r="I71" s="48">
        <v>1</v>
      </c>
      <c r="J71" s="39"/>
      <c r="K71" s="350">
        <v>1</v>
      </c>
      <c r="L71" s="34" t="e">
        <f t="shared" si="1"/>
        <v>#N/A</v>
      </c>
      <c r="M71" s="38" t="e">
        <f>(HLOOKUP(J71,'Construction Times'!$B$3:$W$34,L71+2,FALSE)*HLOOKUP("hq modifier",'Construction Times'!$W$3:$W$34,BS71+2,FALSE))*(1-$H$9)</f>
        <v>#N/A</v>
      </c>
      <c r="N71" s="426" t="e">
        <f t="shared" si="27"/>
        <v>#N/A</v>
      </c>
      <c r="O71" s="427"/>
      <c r="P71" s="430" t="e">
        <f t="shared" si="28"/>
        <v>#N/A</v>
      </c>
      <c r="Q71" s="431"/>
      <c r="R71" s="103">
        <f t="shared" si="71"/>
        <v>0</v>
      </c>
      <c r="S71" s="104">
        <f t="shared" si="71"/>
        <v>0</v>
      </c>
      <c r="T71" s="104">
        <f t="shared" si="72"/>
        <v>0</v>
      </c>
      <c r="U71" s="104">
        <f t="shared" si="72"/>
        <v>0</v>
      </c>
      <c r="V71" s="104">
        <f t="shared" si="72"/>
        <v>9.9999999999999995E-8</v>
      </c>
      <c r="W71" s="104">
        <f t="shared" si="72"/>
        <v>0</v>
      </c>
      <c r="X71" s="104">
        <f t="shared" si="116"/>
        <v>0</v>
      </c>
      <c r="Y71" s="104">
        <f t="shared" si="116"/>
        <v>9.9999999999999995E-8</v>
      </c>
      <c r="Z71" s="104">
        <f t="shared" si="116"/>
        <v>9.9999999999999995E-8</v>
      </c>
      <c r="AA71" s="105">
        <f t="shared" si="116"/>
        <v>9.9999999999999995E-8</v>
      </c>
      <c r="AB71" s="101" t="e">
        <f>$DT71*HLOOKUP($J71,'Construction Costs (timber)'!$B$1:$V$32,'Construction Planner'!$L71+2,FALSE)</f>
        <v>#N/A</v>
      </c>
      <c r="AC71" s="14" t="e">
        <f>$DT71*HLOOKUP($J71,'Construction Costs (clay)'!$B$1:$V$32,'Construction Planner'!$L71+2,FALSE)</f>
        <v>#N/A</v>
      </c>
      <c r="AD71" s="14" t="e">
        <f>$DT71*HLOOKUP($J71,'Construction Costs (iron)'!$B$1:$V$32,'Construction Planner'!$L71+2,FALSE)</f>
        <v>#N/A</v>
      </c>
      <c r="AE71" s="34" t="e">
        <f t="shared" si="86"/>
        <v>#N/A</v>
      </c>
      <c r="AF71" s="33" t="e">
        <f t="shared" si="3"/>
        <v>#N/A</v>
      </c>
      <c r="AG71" s="14" t="e">
        <f t="shared" si="4"/>
        <v>#N/A</v>
      </c>
      <c r="AH71" s="14" t="e">
        <f t="shared" si="5"/>
        <v>#N/A</v>
      </c>
      <c r="AI71" s="34" t="e">
        <f t="shared" si="87"/>
        <v>#N/A</v>
      </c>
      <c r="AJ71" s="49" t="e">
        <f t="shared" si="31"/>
        <v>#N/A</v>
      </c>
      <c r="AK71" s="49" t="e">
        <f t="shared" si="32"/>
        <v>#N/A</v>
      </c>
      <c r="AL71" s="49" t="e">
        <f t="shared" si="33"/>
        <v>#N/A</v>
      </c>
      <c r="AM71" s="25">
        <f t="shared" si="6"/>
        <v>30</v>
      </c>
      <c r="AN71" s="25">
        <f t="shared" si="7"/>
        <v>30</v>
      </c>
      <c r="AO71" s="25">
        <f t="shared" si="8"/>
        <v>30</v>
      </c>
      <c r="AP71" s="52" t="e">
        <f t="shared" si="34"/>
        <v>#N/A</v>
      </c>
      <c r="AQ71" s="53" t="e">
        <f t="shared" si="34"/>
        <v>#N/A</v>
      </c>
      <c r="AR71" s="54" t="e">
        <f t="shared" si="34"/>
        <v>#N/A</v>
      </c>
      <c r="AS71" s="316">
        <f t="shared" si="88"/>
        <v>0</v>
      </c>
      <c r="AT71" s="106">
        <f>_xlfn.IFNA($M71/VLOOKUP($BT71,'Unit information'!$A$2:$K$29,2,FALSE)*R71,0)*(1+$E$9)</f>
        <v>0</v>
      </c>
      <c r="AU71" s="107">
        <f>_xlfn.IFNA($M71/VLOOKUP($BT71,'Unit information'!$A$2:$K$29,3,FALSE)*S71,0)*(1+$E$9)</f>
        <v>0</v>
      </c>
      <c r="AV71" s="107">
        <f>_xlfn.IFNA($M71/VLOOKUP($BT71,'Unit information'!$A$2:$K$29,4,FALSE)*T71,0)*(1+$E$9)</f>
        <v>0</v>
      </c>
      <c r="AW71" s="107">
        <f>_xlfn.IFNA($M71/VLOOKUP($BT71,'Unit information'!$A$2:$K$29,5,FALSE)*U71,0)*(1+$E$9)</f>
        <v>0</v>
      </c>
      <c r="AX71" s="107">
        <f>_xlfn.IFNA($M71/VLOOKUP($BU71,'Unit information'!$A$2:$K$29,6,FALSE)*V71,0)*(1+$E$9)</f>
        <v>0</v>
      </c>
      <c r="AY71" s="107">
        <f>_xlfn.IFNA($M71/VLOOKUP($BU71,'Unit information'!$A$2:$K$29,7,FALSE)*W71,0)*(1+$E$9)</f>
        <v>0</v>
      </c>
      <c r="AZ71" s="107">
        <f>_xlfn.IFNA($M71/VLOOKUP($BU71,'Unit information'!$A$2:$K$29,8,FALSE)*X71,0)*(1+$E$9)</f>
        <v>0</v>
      </c>
      <c r="BA71" s="107">
        <f>_xlfn.IFNA($M71/VLOOKUP($BU71,'Unit information'!$A$2:$K$29,9,FALSE)*Y71,0)*(1+$E$9)</f>
        <v>0</v>
      </c>
      <c r="BB71" s="107">
        <f>_xlfn.IFNA($M71/VLOOKUP($BV71,'Unit information'!$A$2:$K$29,10,FALSE)*Z71,0)*(1+$E$9)</f>
        <v>0</v>
      </c>
      <c r="BC71" s="108">
        <f>_xlfn.IFNA($M71/VLOOKUP($BV71,'Unit information'!$A$2:$K$29,11,FALSE)*AA71,0)*(1+$E$9)</f>
        <v>0</v>
      </c>
      <c r="BD71" s="106">
        <f t="shared" si="10"/>
        <v>0</v>
      </c>
      <c r="BE71" s="107">
        <f t="shared" si="11"/>
        <v>0</v>
      </c>
      <c r="BF71" s="108">
        <f t="shared" si="12"/>
        <v>0</v>
      </c>
      <c r="BG71" s="25" t="e">
        <f t="shared" si="13"/>
        <v>#N/A</v>
      </c>
      <c r="BH71" s="25" t="e">
        <f t="shared" si="14"/>
        <v>#N/A</v>
      </c>
      <c r="BI71" s="25" t="e">
        <f t="shared" si="15"/>
        <v>#N/A</v>
      </c>
      <c r="BJ71" s="27" t="e">
        <f t="shared" si="16"/>
        <v>#N/A</v>
      </c>
      <c r="BK71" s="18" t="e">
        <f t="shared" si="17"/>
        <v>#N/A</v>
      </c>
      <c r="BL71" s="18" t="e">
        <f t="shared" si="18"/>
        <v>#N/A</v>
      </c>
      <c r="BM71" s="28" t="e">
        <f t="shared" si="89"/>
        <v>#N/A</v>
      </c>
      <c r="BN71" s="33">
        <f>HLOOKUP("maximum population",Miscelaneous!$C$1:$C$33,CH71+3,FALSE)</f>
        <v>240</v>
      </c>
      <c r="BO71" s="14">
        <f t="shared" si="35"/>
        <v>32</v>
      </c>
      <c r="BP71" s="14">
        <f t="shared" si="36"/>
        <v>0</v>
      </c>
      <c r="BQ71" s="14">
        <f t="shared" si="37"/>
        <v>208</v>
      </c>
      <c r="BR71" s="34" t="e">
        <f>HLOOKUP(J71,Villagers!$B$1:$V$33,L71+3,FALSE)-HLOOKUP(J71,Villagers!$B$1:$V$33,L71+2,FALSE)</f>
        <v>#N/A</v>
      </c>
      <c r="BS71" s="49">
        <f t="shared" si="38"/>
        <v>1</v>
      </c>
      <c r="BT71" s="50">
        <f t="shared" si="39"/>
        <v>0</v>
      </c>
      <c r="BU71" s="50">
        <f t="shared" si="40"/>
        <v>0</v>
      </c>
      <c r="BV71" s="50">
        <f t="shared" si="120"/>
        <v>0</v>
      </c>
      <c r="BW71" s="50">
        <f t="shared" si="121"/>
        <v>0</v>
      </c>
      <c r="BX71" s="50">
        <f t="shared" si="122"/>
        <v>0</v>
      </c>
      <c r="BY71" s="50">
        <f t="shared" si="122"/>
        <v>0</v>
      </c>
      <c r="BZ71" s="50">
        <f t="shared" si="44"/>
        <v>0</v>
      </c>
      <c r="CA71" s="50">
        <f t="shared" si="45"/>
        <v>0</v>
      </c>
      <c r="CB71" s="50">
        <f t="shared" si="46"/>
        <v>1</v>
      </c>
      <c r="CC71" s="50">
        <f t="shared" si="47"/>
        <v>0</v>
      </c>
      <c r="CD71" s="50">
        <f t="shared" si="48"/>
        <v>0</v>
      </c>
      <c r="CE71" s="50">
        <f t="shared" si="49"/>
        <v>1</v>
      </c>
      <c r="CF71" s="50">
        <f t="shared" si="50"/>
        <v>1</v>
      </c>
      <c r="CG71" s="50">
        <f t="shared" si="51"/>
        <v>1</v>
      </c>
      <c r="CH71" s="50">
        <f t="shared" si="52"/>
        <v>1</v>
      </c>
      <c r="CI71" s="50">
        <f t="shared" si="53"/>
        <v>1</v>
      </c>
      <c r="CJ71" s="50">
        <f t="shared" si="54"/>
        <v>1</v>
      </c>
      <c r="CK71" s="50">
        <f t="shared" si="55"/>
        <v>0</v>
      </c>
      <c r="CL71" s="50">
        <f t="shared" si="54"/>
        <v>0</v>
      </c>
      <c r="CM71" s="51">
        <f t="shared" si="56"/>
        <v>0</v>
      </c>
      <c r="CN71" s="33">
        <f>ROUND(IF(BS71=0,0,HLOOKUP(BS$14,Villagers!$B$1:$V$33,BS71+3,FALSE)),)</f>
        <v>5</v>
      </c>
      <c r="CO71" s="14">
        <f>ROUND(IF(BT71=0,0,HLOOKUP(BT$14,Villagers!$B$1:$V$33,BT71+3,FALSE)),)</f>
        <v>0</v>
      </c>
      <c r="CP71" s="14">
        <f>ROUND(IF(BU71=0,0,HLOOKUP(BU$14,Villagers!$B$1:$V$33,BU71+3,FALSE)),)</f>
        <v>0</v>
      </c>
      <c r="CQ71" s="14">
        <f>ROUND(IF(BV71=0,0,HLOOKUP(BV$14,Villagers!$B$1:$V$33,BV71+3,FALSE)),)</f>
        <v>0</v>
      </c>
      <c r="CR71" s="14">
        <f>ROUND(IF(BW71=0,0,HLOOKUP(BW$14,Villagers!$B$1:$V$33,BW71+3,FALSE)),)</f>
        <v>0</v>
      </c>
      <c r="CS71" s="14">
        <f>ROUND(IF(BX71=0,0,HLOOKUP(BX$14,Villagers!$B$1:$V$33,BX71+3,FALSE)),)</f>
        <v>0</v>
      </c>
      <c r="CT71" s="14">
        <f>ROUND(IF(BY71=0,0,HLOOKUP(BY$14,Villagers!$B$1:$V$33,BY71+3,FALSE)),)</f>
        <v>0</v>
      </c>
      <c r="CU71" s="14">
        <f>ROUND(IF(BZ71=0,0,HLOOKUP(BZ$14,Villagers!$B$1:$V$33,BZ71+3,FALSE)),)</f>
        <v>0</v>
      </c>
      <c r="CV71" s="14">
        <f>ROUND(IF(CA71=0,0,HLOOKUP(CA$14,Villagers!$B$1:$V$33,CA71+3,FALSE)),)</f>
        <v>0</v>
      </c>
      <c r="CW71" s="14">
        <f>ROUND(IF(CB71=0,0,HLOOKUP(CB$14,Villagers!$B$1:$V$33,CB71+3,FALSE)),)</f>
        <v>0</v>
      </c>
      <c r="CX71" s="14">
        <f>ROUND(IF(CC71=0,0,HLOOKUP(CC$14,Villagers!$B$1:$V$33,CC71+3,FALSE)),)</f>
        <v>0</v>
      </c>
      <c r="CY71" s="14">
        <f>ROUND(IF(CD71=0,0,HLOOKUP(CD$14,Villagers!$B$1:$V$33,CD71+3,FALSE)),)</f>
        <v>0</v>
      </c>
      <c r="CZ71" s="14">
        <f>ROUND(IF(CE71=0,0,HLOOKUP(CE$14,Villagers!$B$1:$V$33,CE71+3,FALSE)),)</f>
        <v>5</v>
      </c>
      <c r="DA71" s="14">
        <f>ROUND(IF(CF71=0,0,HLOOKUP(CF$14,Villagers!$B$1:$V$33,CF71+3,FALSE)),)</f>
        <v>10</v>
      </c>
      <c r="DB71" s="14">
        <f>ROUND(IF(CG71=0,0,HLOOKUP(CG$14,Villagers!$B$1:$V$33,CG71+3,FALSE)),)</f>
        <v>10</v>
      </c>
      <c r="DC71" s="14">
        <f>ROUND(IF(CH71=0,0,HLOOKUP(CH$14,Villagers!$B$1:$V$33,CH71+3,FALSE)),)</f>
        <v>0</v>
      </c>
      <c r="DD71" s="14">
        <f>ROUND(IF(CI71=0,0,HLOOKUP(CI$14,Villagers!$B$1:$V$33,CI71+3,FALSE)),)</f>
        <v>0</v>
      </c>
      <c r="DE71" s="14">
        <f>ROUND(IF(CJ71=0,0,HLOOKUP(CJ$14,Villagers!$B$1:$V$33,CJ71+3,FALSE)),)</f>
        <v>2</v>
      </c>
      <c r="DF71" s="370">
        <f>ROUND(IF(CK71=0,0,HLOOKUP(CK$14,Villagers!$B$1:$V$33,CK71+3,FALSE)),)</f>
        <v>0</v>
      </c>
      <c r="DG71" s="370">
        <f>ROUND(IF(CL71=0,0,HLOOKUP(CL$14,Villagers!$B$1:$V$33,CL71+3,FALSE)),)</f>
        <v>0</v>
      </c>
      <c r="DH71" s="34">
        <f>ROUND(IF(CM71=0,0,HLOOKUP(CM$14,Villagers!$B$1:$V$33,CM71+3,FALSE)),)</f>
        <v>0</v>
      </c>
      <c r="DI71" s="109">
        <f t="shared" si="74"/>
        <v>0</v>
      </c>
      <c r="DJ71" s="50">
        <f t="shared" si="75"/>
        <v>0</v>
      </c>
      <c r="DK71" s="50">
        <f t="shared" si="76"/>
        <v>0</v>
      </c>
      <c r="DL71" s="50">
        <f t="shared" si="77"/>
        <v>0</v>
      </c>
      <c r="DM71" s="50">
        <f t="shared" si="78"/>
        <v>0</v>
      </c>
      <c r="DN71" s="50">
        <f t="shared" si="79"/>
        <v>0</v>
      </c>
      <c r="DO71" s="50">
        <f t="shared" si="80"/>
        <v>0</v>
      </c>
      <c r="DP71" s="50">
        <f t="shared" si="81"/>
        <v>0</v>
      </c>
      <c r="DQ71" s="50">
        <f t="shared" si="58"/>
        <v>0</v>
      </c>
      <c r="DR71" s="50">
        <f t="shared" si="59"/>
        <v>0</v>
      </c>
      <c r="DS71" s="96">
        <f>Miscelaneous!$D$4*Miscelaneous!$D$2^($CI71-1)</f>
        <v>1000</v>
      </c>
      <c r="DT71" s="333">
        <f t="shared" si="60"/>
        <v>1</v>
      </c>
      <c r="DU71" s="81">
        <v>1</v>
      </c>
      <c r="DV71" s="79">
        <f t="shared" si="61"/>
        <v>0</v>
      </c>
      <c r="DW71" s="79">
        <f t="shared" si="21"/>
        <v>0</v>
      </c>
      <c r="DX71" s="79">
        <f t="shared" si="62"/>
        <v>0</v>
      </c>
      <c r="DY71" s="79">
        <v>1</v>
      </c>
      <c r="DZ71" s="79">
        <f t="shared" si="22"/>
        <v>0</v>
      </c>
      <c r="EA71" s="79">
        <f t="shared" si="63"/>
        <v>0</v>
      </c>
      <c r="EB71" s="79">
        <f t="shared" si="64"/>
        <v>0</v>
      </c>
      <c r="EC71" s="79">
        <f t="shared" si="65"/>
        <v>0</v>
      </c>
      <c r="ED71" s="79">
        <v>1</v>
      </c>
      <c r="EE71" s="79">
        <v>1</v>
      </c>
      <c r="EF71" s="79">
        <f t="shared" si="66"/>
        <v>0</v>
      </c>
      <c r="EG71" s="79">
        <v>1</v>
      </c>
      <c r="EH71" s="79">
        <v>1</v>
      </c>
      <c r="EI71" s="79">
        <v>1</v>
      </c>
      <c r="EJ71" s="79">
        <v>1</v>
      </c>
      <c r="EK71" s="79">
        <v>1</v>
      </c>
      <c r="EL71" s="79">
        <v>1</v>
      </c>
      <c r="EM71" s="143">
        <f t="shared" si="67"/>
        <v>0</v>
      </c>
      <c r="EN71" s="143">
        <f t="shared" si="68"/>
        <v>0</v>
      </c>
      <c r="EO71" s="82">
        <f t="shared" si="69"/>
        <v>0</v>
      </c>
    </row>
    <row r="72" spans="1:145" x14ac:dyDescent="0.25">
      <c r="A72">
        <v>58</v>
      </c>
      <c r="B72" s="172" t="e">
        <f t="shared" si="23"/>
        <v>#N/A</v>
      </c>
      <c r="C72" s="121" t="e">
        <f t="shared" ref="C72:E72" si="146">AJ72-SUM(AB72:AB76)</f>
        <v>#N/A</v>
      </c>
      <c r="D72" s="122" t="e">
        <f t="shared" si="146"/>
        <v>#N/A</v>
      </c>
      <c r="E72" s="122" t="e">
        <f t="shared" si="146"/>
        <v>#N/A</v>
      </c>
      <c r="F72" s="176" t="e">
        <f t="shared" si="0"/>
        <v>#N/A</v>
      </c>
      <c r="G72" s="121">
        <f t="shared" si="25"/>
        <v>208</v>
      </c>
      <c r="H72" s="176" t="e">
        <f t="shared" si="26"/>
        <v>#N/A</v>
      </c>
      <c r="I72" s="48">
        <v>1</v>
      </c>
      <c r="J72" s="39"/>
      <c r="K72" s="350">
        <v>1</v>
      </c>
      <c r="L72" s="34" t="e">
        <f t="shared" si="1"/>
        <v>#N/A</v>
      </c>
      <c r="M72" s="38" t="e">
        <f>(HLOOKUP(J72,'Construction Times'!$B$3:$W$34,L72+2,FALSE)*HLOOKUP("hq modifier",'Construction Times'!$W$3:$W$34,BS72+2,FALSE))*(1-$H$9)</f>
        <v>#N/A</v>
      </c>
      <c r="N72" s="426" t="e">
        <f t="shared" si="27"/>
        <v>#N/A</v>
      </c>
      <c r="O72" s="427"/>
      <c r="P72" s="430" t="e">
        <f t="shared" si="28"/>
        <v>#N/A</v>
      </c>
      <c r="Q72" s="431"/>
      <c r="R72" s="103">
        <f t="shared" si="71"/>
        <v>0</v>
      </c>
      <c r="S72" s="104">
        <f t="shared" si="71"/>
        <v>0</v>
      </c>
      <c r="T72" s="104">
        <f t="shared" si="72"/>
        <v>0</v>
      </c>
      <c r="U72" s="104">
        <f t="shared" si="72"/>
        <v>0</v>
      </c>
      <c r="V72" s="104">
        <f t="shared" si="72"/>
        <v>9.9999999999999995E-8</v>
      </c>
      <c r="W72" s="104">
        <f t="shared" si="72"/>
        <v>0</v>
      </c>
      <c r="X72" s="104">
        <f t="shared" si="116"/>
        <v>0</v>
      </c>
      <c r="Y72" s="104">
        <f t="shared" si="116"/>
        <v>9.9999999999999995E-8</v>
      </c>
      <c r="Z72" s="104">
        <f t="shared" si="116"/>
        <v>9.9999999999999995E-8</v>
      </c>
      <c r="AA72" s="105">
        <f t="shared" si="116"/>
        <v>9.9999999999999995E-8</v>
      </c>
      <c r="AB72" s="101" t="e">
        <f>$DT72*HLOOKUP($J72,'Construction Costs (timber)'!$B$1:$V$32,'Construction Planner'!$L72+2,FALSE)</f>
        <v>#N/A</v>
      </c>
      <c r="AC72" s="14" t="e">
        <f>$DT72*HLOOKUP($J72,'Construction Costs (clay)'!$B$1:$V$32,'Construction Planner'!$L72+2,FALSE)</f>
        <v>#N/A</v>
      </c>
      <c r="AD72" s="14" t="e">
        <f>$DT72*HLOOKUP($J72,'Construction Costs (iron)'!$B$1:$V$32,'Construction Planner'!$L72+2,FALSE)</f>
        <v>#N/A</v>
      </c>
      <c r="AE72" s="34" t="e">
        <f t="shared" si="86"/>
        <v>#N/A</v>
      </c>
      <c r="AF72" s="33" t="e">
        <f t="shared" si="3"/>
        <v>#N/A</v>
      </c>
      <c r="AG72" s="14" t="e">
        <f t="shared" si="4"/>
        <v>#N/A</v>
      </c>
      <c r="AH72" s="14" t="e">
        <f t="shared" si="5"/>
        <v>#N/A</v>
      </c>
      <c r="AI72" s="34" t="e">
        <f t="shared" si="87"/>
        <v>#N/A</v>
      </c>
      <c r="AJ72" s="49" t="e">
        <f t="shared" si="31"/>
        <v>#N/A</v>
      </c>
      <c r="AK72" s="49" t="e">
        <f t="shared" si="32"/>
        <v>#N/A</v>
      </c>
      <c r="AL72" s="49" t="e">
        <f t="shared" si="33"/>
        <v>#N/A</v>
      </c>
      <c r="AM72" s="25">
        <f t="shared" si="6"/>
        <v>30</v>
      </c>
      <c r="AN72" s="25">
        <f t="shared" si="7"/>
        <v>30</v>
      </c>
      <c r="AO72" s="25">
        <f t="shared" si="8"/>
        <v>30</v>
      </c>
      <c r="AP72" s="52" t="e">
        <f t="shared" si="34"/>
        <v>#N/A</v>
      </c>
      <c r="AQ72" s="53" t="e">
        <f t="shared" si="34"/>
        <v>#N/A</v>
      </c>
      <c r="AR72" s="54" t="e">
        <f t="shared" si="34"/>
        <v>#N/A</v>
      </c>
      <c r="AS72" s="316">
        <f t="shared" si="88"/>
        <v>0</v>
      </c>
      <c r="AT72" s="106">
        <f>_xlfn.IFNA($M72/VLOOKUP($BT72,'Unit information'!$A$2:$K$29,2,FALSE)*R72,0)*(1+$E$9)</f>
        <v>0</v>
      </c>
      <c r="AU72" s="107">
        <f>_xlfn.IFNA($M72/VLOOKUP($BT72,'Unit information'!$A$2:$K$29,3,FALSE)*S72,0)*(1+$E$9)</f>
        <v>0</v>
      </c>
      <c r="AV72" s="107">
        <f>_xlfn.IFNA($M72/VLOOKUP($BT72,'Unit information'!$A$2:$K$29,4,FALSE)*T72,0)*(1+$E$9)</f>
        <v>0</v>
      </c>
      <c r="AW72" s="107">
        <f>_xlfn.IFNA($M72/VLOOKUP($BT72,'Unit information'!$A$2:$K$29,5,FALSE)*U72,0)*(1+$E$9)</f>
        <v>0</v>
      </c>
      <c r="AX72" s="107">
        <f>_xlfn.IFNA($M72/VLOOKUP($BU72,'Unit information'!$A$2:$K$29,6,FALSE)*V72,0)*(1+$E$9)</f>
        <v>0</v>
      </c>
      <c r="AY72" s="107">
        <f>_xlfn.IFNA($M72/VLOOKUP($BU72,'Unit information'!$A$2:$K$29,7,FALSE)*W72,0)*(1+$E$9)</f>
        <v>0</v>
      </c>
      <c r="AZ72" s="107">
        <f>_xlfn.IFNA($M72/VLOOKUP($BU72,'Unit information'!$A$2:$K$29,8,FALSE)*X72,0)*(1+$E$9)</f>
        <v>0</v>
      </c>
      <c r="BA72" s="107">
        <f>_xlfn.IFNA($M72/VLOOKUP($BU72,'Unit information'!$A$2:$K$29,9,FALSE)*Y72,0)*(1+$E$9)</f>
        <v>0</v>
      </c>
      <c r="BB72" s="107">
        <f>_xlfn.IFNA($M72/VLOOKUP($BV72,'Unit information'!$A$2:$K$29,10,FALSE)*Z72,0)*(1+$E$9)</f>
        <v>0</v>
      </c>
      <c r="BC72" s="108">
        <f>_xlfn.IFNA($M72/VLOOKUP($BV72,'Unit information'!$A$2:$K$29,11,FALSE)*AA72,0)*(1+$E$9)</f>
        <v>0</v>
      </c>
      <c r="BD72" s="106">
        <f t="shared" si="10"/>
        <v>0</v>
      </c>
      <c r="BE72" s="107">
        <f t="shared" si="11"/>
        <v>0</v>
      </c>
      <c r="BF72" s="108">
        <f t="shared" si="12"/>
        <v>0</v>
      </c>
      <c r="BG72" s="25" t="e">
        <f t="shared" si="13"/>
        <v>#N/A</v>
      </c>
      <c r="BH72" s="25" t="e">
        <f t="shared" si="14"/>
        <v>#N/A</v>
      </c>
      <c r="BI72" s="25" t="e">
        <f t="shared" si="15"/>
        <v>#N/A</v>
      </c>
      <c r="BJ72" s="27" t="e">
        <f t="shared" si="16"/>
        <v>#N/A</v>
      </c>
      <c r="BK72" s="18" t="e">
        <f t="shared" si="17"/>
        <v>#N/A</v>
      </c>
      <c r="BL72" s="18" t="e">
        <f t="shared" si="18"/>
        <v>#N/A</v>
      </c>
      <c r="BM72" s="28" t="e">
        <f t="shared" si="89"/>
        <v>#N/A</v>
      </c>
      <c r="BN72" s="33">
        <f>HLOOKUP("maximum population",Miscelaneous!$C$1:$C$33,CH72+3,FALSE)</f>
        <v>240</v>
      </c>
      <c r="BO72" s="14">
        <f t="shared" si="35"/>
        <v>32</v>
      </c>
      <c r="BP72" s="14">
        <f t="shared" si="36"/>
        <v>0</v>
      </c>
      <c r="BQ72" s="14">
        <f t="shared" si="37"/>
        <v>208</v>
      </c>
      <c r="BR72" s="34" t="e">
        <f>HLOOKUP(J72,Villagers!$B$1:$V$33,L72+3,FALSE)-HLOOKUP(J72,Villagers!$B$1:$V$33,L72+2,FALSE)</f>
        <v>#N/A</v>
      </c>
      <c r="BS72" s="49">
        <f t="shared" si="38"/>
        <v>1</v>
      </c>
      <c r="BT72" s="50">
        <f t="shared" si="39"/>
        <v>0</v>
      </c>
      <c r="BU72" s="50">
        <f t="shared" si="40"/>
        <v>0</v>
      </c>
      <c r="BV72" s="50">
        <f t="shared" si="120"/>
        <v>0</v>
      </c>
      <c r="BW72" s="50">
        <f t="shared" si="121"/>
        <v>0</v>
      </c>
      <c r="BX72" s="50">
        <f t="shared" si="122"/>
        <v>0</v>
      </c>
      <c r="BY72" s="50">
        <f t="shared" si="122"/>
        <v>0</v>
      </c>
      <c r="BZ72" s="50">
        <f t="shared" si="44"/>
        <v>0</v>
      </c>
      <c r="CA72" s="50">
        <f t="shared" si="45"/>
        <v>0</v>
      </c>
      <c r="CB72" s="50">
        <f t="shared" si="46"/>
        <v>1</v>
      </c>
      <c r="CC72" s="50">
        <f t="shared" si="47"/>
        <v>0</v>
      </c>
      <c r="CD72" s="50">
        <f t="shared" si="48"/>
        <v>0</v>
      </c>
      <c r="CE72" s="50">
        <f t="shared" si="49"/>
        <v>1</v>
      </c>
      <c r="CF72" s="50">
        <f t="shared" si="50"/>
        <v>1</v>
      </c>
      <c r="CG72" s="50">
        <f t="shared" si="51"/>
        <v>1</v>
      </c>
      <c r="CH72" s="50">
        <f t="shared" si="52"/>
        <v>1</v>
      </c>
      <c r="CI72" s="50">
        <f t="shared" si="53"/>
        <v>1</v>
      </c>
      <c r="CJ72" s="50">
        <f t="shared" si="54"/>
        <v>1</v>
      </c>
      <c r="CK72" s="50">
        <f t="shared" si="55"/>
        <v>0</v>
      </c>
      <c r="CL72" s="50">
        <f t="shared" si="54"/>
        <v>0</v>
      </c>
      <c r="CM72" s="51">
        <f t="shared" si="56"/>
        <v>0</v>
      </c>
      <c r="CN72" s="33">
        <f>ROUND(IF(BS72=0,0,HLOOKUP(BS$14,Villagers!$B$1:$V$33,BS72+3,FALSE)),)</f>
        <v>5</v>
      </c>
      <c r="CO72" s="14">
        <f>ROUND(IF(BT72=0,0,HLOOKUP(BT$14,Villagers!$B$1:$V$33,BT72+3,FALSE)),)</f>
        <v>0</v>
      </c>
      <c r="CP72" s="14">
        <f>ROUND(IF(BU72=0,0,HLOOKUP(BU$14,Villagers!$B$1:$V$33,BU72+3,FALSE)),)</f>
        <v>0</v>
      </c>
      <c r="CQ72" s="14">
        <f>ROUND(IF(BV72=0,0,HLOOKUP(BV$14,Villagers!$B$1:$V$33,BV72+3,FALSE)),)</f>
        <v>0</v>
      </c>
      <c r="CR72" s="14">
        <f>ROUND(IF(BW72=0,0,HLOOKUP(BW$14,Villagers!$B$1:$V$33,BW72+3,FALSE)),)</f>
        <v>0</v>
      </c>
      <c r="CS72" s="14">
        <f>ROUND(IF(BX72=0,0,HLOOKUP(BX$14,Villagers!$B$1:$V$33,BX72+3,FALSE)),)</f>
        <v>0</v>
      </c>
      <c r="CT72" s="14">
        <f>ROUND(IF(BY72=0,0,HLOOKUP(BY$14,Villagers!$B$1:$V$33,BY72+3,FALSE)),)</f>
        <v>0</v>
      </c>
      <c r="CU72" s="14">
        <f>ROUND(IF(BZ72=0,0,HLOOKUP(BZ$14,Villagers!$B$1:$V$33,BZ72+3,FALSE)),)</f>
        <v>0</v>
      </c>
      <c r="CV72" s="14">
        <f>ROUND(IF(CA72=0,0,HLOOKUP(CA$14,Villagers!$B$1:$V$33,CA72+3,FALSE)),)</f>
        <v>0</v>
      </c>
      <c r="CW72" s="14">
        <f>ROUND(IF(CB72=0,0,HLOOKUP(CB$14,Villagers!$B$1:$V$33,CB72+3,FALSE)),)</f>
        <v>0</v>
      </c>
      <c r="CX72" s="14">
        <f>ROUND(IF(CC72=0,0,HLOOKUP(CC$14,Villagers!$B$1:$V$33,CC72+3,FALSE)),)</f>
        <v>0</v>
      </c>
      <c r="CY72" s="14">
        <f>ROUND(IF(CD72=0,0,HLOOKUP(CD$14,Villagers!$B$1:$V$33,CD72+3,FALSE)),)</f>
        <v>0</v>
      </c>
      <c r="CZ72" s="14">
        <f>ROUND(IF(CE72=0,0,HLOOKUP(CE$14,Villagers!$B$1:$V$33,CE72+3,FALSE)),)</f>
        <v>5</v>
      </c>
      <c r="DA72" s="14">
        <f>ROUND(IF(CF72=0,0,HLOOKUP(CF$14,Villagers!$B$1:$V$33,CF72+3,FALSE)),)</f>
        <v>10</v>
      </c>
      <c r="DB72" s="14">
        <f>ROUND(IF(CG72=0,0,HLOOKUP(CG$14,Villagers!$B$1:$V$33,CG72+3,FALSE)),)</f>
        <v>10</v>
      </c>
      <c r="DC72" s="14">
        <f>ROUND(IF(CH72=0,0,HLOOKUP(CH$14,Villagers!$B$1:$V$33,CH72+3,FALSE)),)</f>
        <v>0</v>
      </c>
      <c r="DD72" s="14">
        <f>ROUND(IF(CI72=0,0,HLOOKUP(CI$14,Villagers!$B$1:$V$33,CI72+3,FALSE)),)</f>
        <v>0</v>
      </c>
      <c r="DE72" s="14">
        <f>ROUND(IF(CJ72=0,0,HLOOKUP(CJ$14,Villagers!$B$1:$V$33,CJ72+3,FALSE)),)</f>
        <v>2</v>
      </c>
      <c r="DF72" s="370">
        <f>ROUND(IF(CK72=0,0,HLOOKUP(CK$14,Villagers!$B$1:$V$33,CK72+3,FALSE)),)</f>
        <v>0</v>
      </c>
      <c r="DG72" s="370">
        <f>ROUND(IF(CL72=0,0,HLOOKUP(CL$14,Villagers!$B$1:$V$33,CL72+3,FALSE)),)</f>
        <v>0</v>
      </c>
      <c r="DH72" s="34">
        <f>ROUND(IF(CM72=0,0,HLOOKUP(CM$14,Villagers!$B$1:$V$33,CM72+3,FALSE)),)</f>
        <v>0</v>
      </c>
      <c r="DI72" s="109">
        <f t="shared" si="74"/>
        <v>0</v>
      </c>
      <c r="DJ72" s="50">
        <f t="shared" si="75"/>
        <v>0</v>
      </c>
      <c r="DK72" s="50">
        <f t="shared" si="76"/>
        <v>0</v>
      </c>
      <c r="DL72" s="50">
        <f t="shared" si="77"/>
        <v>0</v>
      </c>
      <c r="DM72" s="50">
        <f t="shared" si="78"/>
        <v>0</v>
      </c>
      <c r="DN72" s="50">
        <f t="shared" si="79"/>
        <v>0</v>
      </c>
      <c r="DO72" s="50">
        <f t="shared" si="80"/>
        <v>0</v>
      </c>
      <c r="DP72" s="50">
        <f t="shared" si="81"/>
        <v>0</v>
      </c>
      <c r="DQ72" s="50">
        <f t="shared" si="58"/>
        <v>0</v>
      </c>
      <c r="DR72" s="50">
        <f t="shared" si="59"/>
        <v>0</v>
      </c>
      <c r="DS72" s="96">
        <f>Miscelaneous!$D$4*Miscelaneous!$D$2^($CI72-1)</f>
        <v>1000</v>
      </c>
      <c r="DT72" s="333">
        <f t="shared" si="60"/>
        <v>1</v>
      </c>
      <c r="DU72" s="81">
        <v>1</v>
      </c>
      <c r="DV72" s="79">
        <f t="shared" si="61"/>
        <v>0</v>
      </c>
      <c r="DW72" s="79">
        <f t="shared" si="21"/>
        <v>0</v>
      </c>
      <c r="DX72" s="79">
        <f t="shared" si="62"/>
        <v>0</v>
      </c>
      <c r="DY72" s="79">
        <v>1</v>
      </c>
      <c r="DZ72" s="79">
        <f t="shared" si="22"/>
        <v>0</v>
      </c>
      <c r="EA72" s="79">
        <f t="shared" si="63"/>
        <v>0</v>
      </c>
      <c r="EB72" s="79">
        <f t="shared" si="64"/>
        <v>0</v>
      </c>
      <c r="EC72" s="79">
        <f t="shared" si="65"/>
        <v>0</v>
      </c>
      <c r="ED72" s="79">
        <v>1</v>
      </c>
      <c r="EE72" s="79">
        <v>1</v>
      </c>
      <c r="EF72" s="79">
        <f t="shared" si="66"/>
        <v>0</v>
      </c>
      <c r="EG72" s="79">
        <v>1</v>
      </c>
      <c r="EH72" s="79">
        <v>1</v>
      </c>
      <c r="EI72" s="79">
        <v>1</v>
      </c>
      <c r="EJ72" s="79">
        <v>1</v>
      </c>
      <c r="EK72" s="79">
        <v>1</v>
      </c>
      <c r="EL72" s="79">
        <v>1</v>
      </c>
      <c r="EM72" s="143">
        <f t="shared" si="67"/>
        <v>0</v>
      </c>
      <c r="EN72" s="143">
        <f t="shared" si="68"/>
        <v>0</v>
      </c>
      <c r="EO72" s="82">
        <f t="shared" si="69"/>
        <v>0</v>
      </c>
    </row>
    <row r="73" spans="1:145" x14ac:dyDescent="0.25">
      <c r="A73">
        <v>59</v>
      </c>
      <c r="B73" s="172" t="e">
        <f t="shared" si="23"/>
        <v>#N/A</v>
      </c>
      <c r="C73" s="121" t="e">
        <f t="shared" ref="C73:E73" si="147">AJ73-SUM(AB73:AB77)</f>
        <v>#N/A</v>
      </c>
      <c r="D73" s="122" t="e">
        <f t="shared" si="147"/>
        <v>#N/A</v>
      </c>
      <c r="E73" s="122" t="e">
        <f t="shared" si="147"/>
        <v>#N/A</v>
      </c>
      <c r="F73" s="176" t="e">
        <f t="shared" si="0"/>
        <v>#N/A</v>
      </c>
      <c r="G73" s="121">
        <f t="shared" si="25"/>
        <v>208</v>
      </c>
      <c r="H73" s="176" t="e">
        <f t="shared" si="26"/>
        <v>#N/A</v>
      </c>
      <c r="I73" s="48">
        <v>1</v>
      </c>
      <c r="J73" s="39"/>
      <c r="K73" s="350">
        <v>1</v>
      </c>
      <c r="L73" s="34" t="e">
        <f t="shared" si="1"/>
        <v>#N/A</v>
      </c>
      <c r="M73" s="38" t="e">
        <f>(HLOOKUP(J73,'Construction Times'!$B$3:$W$34,L73+2,FALSE)*HLOOKUP("hq modifier",'Construction Times'!$W$3:$W$34,BS73+2,FALSE))*(1-$H$9)</f>
        <v>#N/A</v>
      </c>
      <c r="N73" s="426" t="e">
        <f t="shared" si="27"/>
        <v>#N/A</v>
      </c>
      <c r="O73" s="427"/>
      <c r="P73" s="430" t="e">
        <f t="shared" si="28"/>
        <v>#N/A</v>
      </c>
      <c r="Q73" s="431"/>
      <c r="R73" s="103">
        <f t="shared" si="71"/>
        <v>0</v>
      </c>
      <c r="S73" s="104">
        <f t="shared" si="71"/>
        <v>0</v>
      </c>
      <c r="T73" s="104">
        <f t="shared" si="72"/>
        <v>0</v>
      </c>
      <c r="U73" s="104">
        <f t="shared" si="72"/>
        <v>0</v>
      </c>
      <c r="V73" s="104">
        <f t="shared" si="72"/>
        <v>9.9999999999999995E-8</v>
      </c>
      <c r="W73" s="104">
        <f t="shared" si="72"/>
        <v>0</v>
      </c>
      <c r="X73" s="104">
        <f t="shared" si="116"/>
        <v>0</v>
      </c>
      <c r="Y73" s="104">
        <f t="shared" si="116"/>
        <v>9.9999999999999995E-8</v>
      </c>
      <c r="Z73" s="104">
        <f t="shared" si="116"/>
        <v>9.9999999999999995E-8</v>
      </c>
      <c r="AA73" s="105">
        <f t="shared" si="116"/>
        <v>9.9999999999999995E-8</v>
      </c>
      <c r="AB73" s="101" t="e">
        <f>$DT73*HLOOKUP($J73,'Construction Costs (timber)'!$B$1:$V$32,'Construction Planner'!$L73+2,FALSE)</f>
        <v>#N/A</v>
      </c>
      <c r="AC73" s="14" t="e">
        <f>$DT73*HLOOKUP($J73,'Construction Costs (clay)'!$B$1:$V$32,'Construction Planner'!$L73+2,FALSE)</f>
        <v>#N/A</v>
      </c>
      <c r="AD73" s="14" t="e">
        <f>$DT73*HLOOKUP($J73,'Construction Costs (iron)'!$B$1:$V$32,'Construction Planner'!$L73+2,FALSE)</f>
        <v>#N/A</v>
      </c>
      <c r="AE73" s="34" t="e">
        <f t="shared" si="86"/>
        <v>#N/A</v>
      </c>
      <c r="AF73" s="33" t="e">
        <f t="shared" si="3"/>
        <v>#N/A</v>
      </c>
      <c r="AG73" s="14" t="e">
        <f t="shared" si="4"/>
        <v>#N/A</v>
      </c>
      <c r="AH73" s="14" t="e">
        <f t="shared" si="5"/>
        <v>#N/A</v>
      </c>
      <c r="AI73" s="34" t="e">
        <f t="shared" si="87"/>
        <v>#N/A</v>
      </c>
      <c r="AJ73" s="49" t="e">
        <f t="shared" si="31"/>
        <v>#N/A</v>
      </c>
      <c r="AK73" s="49" t="e">
        <f t="shared" si="32"/>
        <v>#N/A</v>
      </c>
      <c r="AL73" s="49" t="e">
        <f t="shared" si="33"/>
        <v>#N/A</v>
      </c>
      <c r="AM73" s="25">
        <f t="shared" si="6"/>
        <v>30</v>
      </c>
      <c r="AN73" s="25">
        <f t="shared" si="7"/>
        <v>30</v>
      </c>
      <c r="AO73" s="25">
        <f t="shared" si="8"/>
        <v>30</v>
      </c>
      <c r="AP73" s="52" t="e">
        <f t="shared" si="34"/>
        <v>#N/A</v>
      </c>
      <c r="AQ73" s="53" t="e">
        <f t="shared" si="34"/>
        <v>#N/A</v>
      </c>
      <c r="AR73" s="54" t="e">
        <f t="shared" si="34"/>
        <v>#N/A</v>
      </c>
      <c r="AS73" s="316">
        <f t="shared" si="88"/>
        <v>0</v>
      </c>
      <c r="AT73" s="106">
        <f>_xlfn.IFNA($M73/VLOOKUP($BT73,'Unit information'!$A$2:$K$29,2,FALSE)*R73,0)*(1+$E$9)</f>
        <v>0</v>
      </c>
      <c r="AU73" s="107">
        <f>_xlfn.IFNA($M73/VLOOKUP($BT73,'Unit information'!$A$2:$K$29,3,FALSE)*S73,0)*(1+$E$9)</f>
        <v>0</v>
      </c>
      <c r="AV73" s="107">
        <f>_xlfn.IFNA($M73/VLOOKUP($BT73,'Unit information'!$A$2:$K$29,4,FALSE)*T73,0)*(1+$E$9)</f>
        <v>0</v>
      </c>
      <c r="AW73" s="107">
        <f>_xlfn.IFNA($M73/VLOOKUP($BT73,'Unit information'!$A$2:$K$29,5,FALSE)*U73,0)*(1+$E$9)</f>
        <v>0</v>
      </c>
      <c r="AX73" s="107">
        <f>_xlfn.IFNA($M73/VLOOKUP($BU73,'Unit information'!$A$2:$K$29,6,FALSE)*V73,0)*(1+$E$9)</f>
        <v>0</v>
      </c>
      <c r="AY73" s="107">
        <f>_xlfn.IFNA($M73/VLOOKUP($BU73,'Unit information'!$A$2:$K$29,7,FALSE)*W73,0)*(1+$E$9)</f>
        <v>0</v>
      </c>
      <c r="AZ73" s="107">
        <f>_xlfn.IFNA($M73/VLOOKUP($BU73,'Unit information'!$A$2:$K$29,8,FALSE)*X73,0)*(1+$E$9)</f>
        <v>0</v>
      </c>
      <c r="BA73" s="107">
        <f>_xlfn.IFNA($M73/VLOOKUP($BU73,'Unit information'!$A$2:$K$29,9,FALSE)*Y73,0)*(1+$E$9)</f>
        <v>0</v>
      </c>
      <c r="BB73" s="107">
        <f>_xlfn.IFNA($M73/VLOOKUP($BV73,'Unit information'!$A$2:$K$29,10,FALSE)*Z73,0)*(1+$E$9)</f>
        <v>0</v>
      </c>
      <c r="BC73" s="108">
        <f>_xlfn.IFNA($M73/VLOOKUP($BV73,'Unit information'!$A$2:$K$29,11,FALSE)*AA73,0)*(1+$E$9)</f>
        <v>0</v>
      </c>
      <c r="BD73" s="106">
        <f t="shared" si="10"/>
        <v>0</v>
      </c>
      <c r="BE73" s="107">
        <f t="shared" si="11"/>
        <v>0</v>
      </c>
      <c r="BF73" s="108">
        <f t="shared" si="12"/>
        <v>0</v>
      </c>
      <c r="BG73" s="25" t="e">
        <f t="shared" si="13"/>
        <v>#N/A</v>
      </c>
      <c r="BH73" s="25" t="e">
        <f t="shared" si="14"/>
        <v>#N/A</v>
      </c>
      <c r="BI73" s="25" t="e">
        <f t="shared" si="15"/>
        <v>#N/A</v>
      </c>
      <c r="BJ73" s="27" t="e">
        <f t="shared" si="16"/>
        <v>#N/A</v>
      </c>
      <c r="BK73" s="18" t="e">
        <f t="shared" si="17"/>
        <v>#N/A</v>
      </c>
      <c r="BL73" s="18" t="e">
        <f t="shared" si="18"/>
        <v>#N/A</v>
      </c>
      <c r="BM73" s="28" t="e">
        <f t="shared" si="89"/>
        <v>#N/A</v>
      </c>
      <c r="BN73" s="33">
        <f>HLOOKUP("maximum population",Miscelaneous!$C$1:$C$33,CH73+3,FALSE)</f>
        <v>240</v>
      </c>
      <c r="BO73" s="14">
        <f t="shared" si="35"/>
        <v>32</v>
      </c>
      <c r="BP73" s="14">
        <f t="shared" si="36"/>
        <v>0</v>
      </c>
      <c r="BQ73" s="14">
        <f t="shared" si="37"/>
        <v>208</v>
      </c>
      <c r="BR73" s="34" t="e">
        <f>HLOOKUP(J73,Villagers!$B$1:$V$33,L73+3,FALSE)-HLOOKUP(J73,Villagers!$B$1:$V$33,L73+2,FALSE)</f>
        <v>#N/A</v>
      </c>
      <c r="BS73" s="49">
        <f t="shared" si="38"/>
        <v>1</v>
      </c>
      <c r="BT73" s="50">
        <f t="shared" si="39"/>
        <v>0</v>
      </c>
      <c r="BU73" s="50">
        <f t="shared" si="40"/>
        <v>0</v>
      </c>
      <c r="BV73" s="50">
        <f t="shared" si="120"/>
        <v>0</v>
      </c>
      <c r="BW73" s="50">
        <f t="shared" si="121"/>
        <v>0</v>
      </c>
      <c r="BX73" s="50">
        <f t="shared" si="122"/>
        <v>0</v>
      </c>
      <c r="BY73" s="50">
        <f t="shared" si="122"/>
        <v>0</v>
      </c>
      <c r="BZ73" s="50">
        <f t="shared" si="44"/>
        <v>0</v>
      </c>
      <c r="CA73" s="50">
        <f t="shared" si="45"/>
        <v>0</v>
      </c>
      <c r="CB73" s="50">
        <f t="shared" si="46"/>
        <v>1</v>
      </c>
      <c r="CC73" s="50">
        <f t="shared" si="47"/>
        <v>0</v>
      </c>
      <c r="CD73" s="50">
        <f t="shared" si="48"/>
        <v>0</v>
      </c>
      <c r="CE73" s="50">
        <f t="shared" si="49"/>
        <v>1</v>
      </c>
      <c r="CF73" s="50">
        <f t="shared" si="50"/>
        <v>1</v>
      </c>
      <c r="CG73" s="50">
        <f t="shared" si="51"/>
        <v>1</v>
      </c>
      <c r="CH73" s="50">
        <f t="shared" si="52"/>
        <v>1</v>
      </c>
      <c r="CI73" s="50">
        <f t="shared" si="53"/>
        <v>1</v>
      </c>
      <c r="CJ73" s="50">
        <f t="shared" si="54"/>
        <v>1</v>
      </c>
      <c r="CK73" s="50">
        <f t="shared" si="55"/>
        <v>0</v>
      </c>
      <c r="CL73" s="50">
        <f t="shared" si="54"/>
        <v>0</v>
      </c>
      <c r="CM73" s="51">
        <f t="shared" si="56"/>
        <v>0</v>
      </c>
      <c r="CN73" s="33">
        <f>ROUND(IF(BS73=0,0,HLOOKUP(BS$14,Villagers!$B$1:$V$33,BS73+3,FALSE)),)</f>
        <v>5</v>
      </c>
      <c r="CO73" s="14">
        <f>ROUND(IF(BT73=0,0,HLOOKUP(BT$14,Villagers!$B$1:$V$33,BT73+3,FALSE)),)</f>
        <v>0</v>
      </c>
      <c r="CP73" s="14">
        <f>ROUND(IF(BU73=0,0,HLOOKUP(BU$14,Villagers!$B$1:$V$33,BU73+3,FALSE)),)</f>
        <v>0</v>
      </c>
      <c r="CQ73" s="14">
        <f>ROUND(IF(BV73=0,0,HLOOKUP(BV$14,Villagers!$B$1:$V$33,BV73+3,FALSE)),)</f>
        <v>0</v>
      </c>
      <c r="CR73" s="14">
        <f>ROUND(IF(BW73=0,0,HLOOKUP(BW$14,Villagers!$B$1:$V$33,BW73+3,FALSE)),)</f>
        <v>0</v>
      </c>
      <c r="CS73" s="14">
        <f>ROUND(IF(BX73=0,0,HLOOKUP(BX$14,Villagers!$B$1:$V$33,BX73+3,FALSE)),)</f>
        <v>0</v>
      </c>
      <c r="CT73" s="14">
        <f>ROUND(IF(BY73=0,0,HLOOKUP(BY$14,Villagers!$B$1:$V$33,BY73+3,FALSE)),)</f>
        <v>0</v>
      </c>
      <c r="CU73" s="14">
        <f>ROUND(IF(BZ73=0,0,HLOOKUP(BZ$14,Villagers!$B$1:$V$33,BZ73+3,FALSE)),)</f>
        <v>0</v>
      </c>
      <c r="CV73" s="14">
        <f>ROUND(IF(CA73=0,0,HLOOKUP(CA$14,Villagers!$B$1:$V$33,CA73+3,FALSE)),)</f>
        <v>0</v>
      </c>
      <c r="CW73" s="14">
        <f>ROUND(IF(CB73=0,0,HLOOKUP(CB$14,Villagers!$B$1:$V$33,CB73+3,FALSE)),)</f>
        <v>0</v>
      </c>
      <c r="CX73" s="14">
        <f>ROUND(IF(CC73=0,0,HLOOKUP(CC$14,Villagers!$B$1:$V$33,CC73+3,FALSE)),)</f>
        <v>0</v>
      </c>
      <c r="CY73" s="14">
        <f>ROUND(IF(CD73=0,0,HLOOKUP(CD$14,Villagers!$B$1:$V$33,CD73+3,FALSE)),)</f>
        <v>0</v>
      </c>
      <c r="CZ73" s="14">
        <f>ROUND(IF(CE73=0,0,HLOOKUP(CE$14,Villagers!$B$1:$V$33,CE73+3,FALSE)),)</f>
        <v>5</v>
      </c>
      <c r="DA73" s="14">
        <f>ROUND(IF(CF73=0,0,HLOOKUP(CF$14,Villagers!$B$1:$V$33,CF73+3,FALSE)),)</f>
        <v>10</v>
      </c>
      <c r="DB73" s="14">
        <f>ROUND(IF(CG73=0,0,HLOOKUP(CG$14,Villagers!$B$1:$V$33,CG73+3,FALSE)),)</f>
        <v>10</v>
      </c>
      <c r="DC73" s="14">
        <f>ROUND(IF(CH73=0,0,HLOOKUP(CH$14,Villagers!$B$1:$V$33,CH73+3,FALSE)),)</f>
        <v>0</v>
      </c>
      <c r="DD73" s="14">
        <f>ROUND(IF(CI73=0,0,HLOOKUP(CI$14,Villagers!$B$1:$V$33,CI73+3,FALSE)),)</f>
        <v>0</v>
      </c>
      <c r="DE73" s="14">
        <f>ROUND(IF(CJ73=0,0,HLOOKUP(CJ$14,Villagers!$B$1:$V$33,CJ73+3,FALSE)),)</f>
        <v>2</v>
      </c>
      <c r="DF73" s="370">
        <f>ROUND(IF(CK73=0,0,HLOOKUP(CK$14,Villagers!$B$1:$V$33,CK73+3,FALSE)),)</f>
        <v>0</v>
      </c>
      <c r="DG73" s="370">
        <f>ROUND(IF(CL73=0,0,HLOOKUP(CL$14,Villagers!$B$1:$V$33,CL73+3,FALSE)),)</f>
        <v>0</v>
      </c>
      <c r="DH73" s="34">
        <f>ROUND(IF(CM73=0,0,HLOOKUP(CM$14,Villagers!$B$1:$V$33,CM73+3,FALSE)),)</f>
        <v>0</v>
      </c>
      <c r="DI73" s="109">
        <f t="shared" si="74"/>
        <v>0</v>
      </c>
      <c r="DJ73" s="50">
        <f t="shared" si="75"/>
        <v>0</v>
      </c>
      <c r="DK73" s="50">
        <f t="shared" si="76"/>
        <v>0</v>
      </c>
      <c r="DL73" s="50">
        <f t="shared" si="77"/>
        <v>0</v>
      </c>
      <c r="DM73" s="50">
        <f t="shared" si="78"/>
        <v>0</v>
      </c>
      <c r="DN73" s="50">
        <f t="shared" si="79"/>
        <v>0</v>
      </c>
      <c r="DO73" s="50">
        <f t="shared" si="80"/>
        <v>0</v>
      </c>
      <c r="DP73" s="50">
        <f t="shared" si="81"/>
        <v>0</v>
      </c>
      <c r="DQ73" s="50">
        <f t="shared" si="58"/>
        <v>0</v>
      </c>
      <c r="DR73" s="50">
        <f t="shared" si="59"/>
        <v>0</v>
      </c>
      <c r="DS73" s="96">
        <f>Miscelaneous!$D$4*Miscelaneous!$D$2^($CI73-1)</f>
        <v>1000</v>
      </c>
      <c r="DT73" s="333">
        <f t="shared" si="60"/>
        <v>1</v>
      </c>
      <c r="DU73" s="81">
        <v>1</v>
      </c>
      <c r="DV73" s="79">
        <f t="shared" si="61"/>
        <v>0</v>
      </c>
      <c r="DW73" s="79">
        <f t="shared" si="21"/>
        <v>0</v>
      </c>
      <c r="DX73" s="79">
        <f t="shared" si="62"/>
        <v>0</v>
      </c>
      <c r="DY73" s="79">
        <v>1</v>
      </c>
      <c r="DZ73" s="79">
        <f t="shared" si="22"/>
        <v>0</v>
      </c>
      <c r="EA73" s="79">
        <f t="shared" si="63"/>
        <v>0</v>
      </c>
      <c r="EB73" s="79">
        <f t="shared" si="64"/>
        <v>0</v>
      </c>
      <c r="EC73" s="79">
        <f t="shared" si="65"/>
        <v>0</v>
      </c>
      <c r="ED73" s="79">
        <v>1</v>
      </c>
      <c r="EE73" s="79">
        <v>1</v>
      </c>
      <c r="EF73" s="79">
        <f t="shared" si="66"/>
        <v>0</v>
      </c>
      <c r="EG73" s="79">
        <v>1</v>
      </c>
      <c r="EH73" s="79">
        <v>1</v>
      </c>
      <c r="EI73" s="79">
        <v>1</v>
      </c>
      <c r="EJ73" s="79">
        <v>1</v>
      </c>
      <c r="EK73" s="79">
        <v>1</v>
      </c>
      <c r="EL73" s="79">
        <v>1</v>
      </c>
      <c r="EM73" s="143">
        <f t="shared" si="67"/>
        <v>0</v>
      </c>
      <c r="EN73" s="143">
        <f t="shared" si="68"/>
        <v>0</v>
      </c>
      <c r="EO73" s="82">
        <f t="shared" si="69"/>
        <v>0</v>
      </c>
    </row>
    <row r="74" spans="1:145" x14ac:dyDescent="0.25">
      <c r="A74">
        <v>60</v>
      </c>
      <c r="B74" s="172" t="e">
        <f t="shared" si="23"/>
        <v>#N/A</v>
      </c>
      <c r="C74" s="121" t="e">
        <f t="shared" ref="C74:E74" si="148">AJ74-SUM(AB74:AB78)</f>
        <v>#N/A</v>
      </c>
      <c r="D74" s="122" t="e">
        <f t="shared" si="148"/>
        <v>#N/A</v>
      </c>
      <c r="E74" s="122" t="e">
        <f t="shared" si="148"/>
        <v>#N/A</v>
      </c>
      <c r="F74" s="176" t="e">
        <f t="shared" si="0"/>
        <v>#N/A</v>
      </c>
      <c r="G74" s="121">
        <f t="shared" si="25"/>
        <v>208</v>
      </c>
      <c r="H74" s="176" t="e">
        <f t="shared" si="26"/>
        <v>#N/A</v>
      </c>
      <c r="I74" s="48">
        <v>1</v>
      </c>
      <c r="J74" s="39"/>
      <c r="K74" s="350">
        <v>1</v>
      </c>
      <c r="L74" s="34" t="e">
        <f t="shared" si="1"/>
        <v>#N/A</v>
      </c>
      <c r="M74" s="38" t="e">
        <f>(HLOOKUP(J74,'Construction Times'!$B$3:$W$34,L74+2,FALSE)*HLOOKUP("hq modifier",'Construction Times'!$W$3:$W$34,BS74+2,FALSE))*(1-$H$9)</f>
        <v>#N/A</v>
      </c>
      <c r="N74" s="426" t="e">
        <f t="shared" si="27"/>
        <v>#N/A</v>
      </c>
      <c r="O74" s="427"/>
      <c r="P74" s="430" t="e">
        <f t="shared" si="28"/>
        <v>#N/A</v>
      </c>
      <c r="Q74" s="431"/>
      <c r="R74" s="103">
        <f t="shared" si="71"/>
        <v>0</v>
      </c>
      <c r="S74" s="104">
        <f t="shared" si="71"/>
        <v>0</v>
      </c>
      <c r="T74" s="104">
        <f t="shared" si="72"/>
        <v>0</v>
      </c>
      <c r="U74" s="104">
        <f t="shared" si="72"/>
        <v>0</v>
      </c>
      <c r="V74" s="104">
        <f t="shared" si="72"/>
        <v>9.9999999999999995E-8</v>
      </c>
      <c r="W74" s="104">
        <f t="shared" si="72"/>
        <v>0</v>
      </c>
      <c r="X74" s="104">
        <f t="shared" si="116"/>
        <v>0</v>
      </c>
      <c r="Y74" s="104">
        <f t="shared" si="116"/>
        <v>9.9999999999999995E-8</v>
      </c>
      <c r="Z74" s="104">
        <f t="shared" si="116"/>
        <v>9.9999999999999995E-8</v>
      </c>
      <c r="AA74" s="105">
        <f t="shared" si="116"/>
        <v>9.9999999999999995E-8</v>
      </c>
      <c r="AB74" s="101" t="e">
        <f>$DT74*HLOOKUP($J74,'Construction Costs (timber)'!$B$1:$V$32,'Construction Planner'!$L74+2,FALSE)</f>
        <v>#N/A</v>
      </c>
      <c r="AC74" s="14" t="e">
        <f>$DT74*HLOOKUP($J74,'Construction Costs (clay)'!$B$1:$V$32,'Construction Planner'!$L74+2,FALSE)</f>
        <v>#N/A</v>
      </c>
      <c r="AD74" s="14" t="e">
        <f>$DT74*HLOOKUP($J74,'Construction Costs (iron)'!$B$1:$V$32,'Construction Planner'!$L74+2,FALSE)</f>
        <v>#N/A</v>
      </c>
      <c r="AE74" s="34" t="e">
        <f t="shared" si="86"/>
        <v>#N/A</v>
      </c>
      <c r="AF74" s="33" t="e">
        <f t="shared" si="3"/>
        <v>#N/A</v>
      </c>
      <c r="AG74" s="14" t="e">
        <f t="shared" si="4"/>
        <v>#N/A</v>
      </c>
      <c r="AH74" s="14" t="e">
        <f t="shared" si="5"/>
        <v>#N/A</v>
      </c>
      <c r="AI74" s="34" t="e">
        <f t="shared" si="87"/>
        <v>#N/A</v>
      </c>
      <c r="AJ74" s="49" t="e">
        <f t="shared" si="31"/>
        <v>#N/A</v>
      </c>
      <c r="AK74" s="49" t="e">
        <f t="shared" si="32"/>
        <v>#N/A</v>
      </c>
      <c r="AL74" s="49" t="e">
        <f t="shared" si="33"/>
        <v>#N/A</v>
      </c>
      <c r="AM74" s="25">
        <f t="shared" si="6"/>
        <v>30</v>
      </c>
      <c r="AN74" s="25">
        <f t="shared" si="7"/>
        <v>30</v>
      </c>
      <c r="AO74" s="25">
        <f t="shared" si="8"/>
        <v>30</v>
      </c>
      <c r="AP74" s="52" t="e">
        <f t="shared" si="34"/>
        <v>#N/A</v>
      </c>
      <c r="AQ74" s="53" t="e">
        <f t="shared" si="34"/>
        <v>#N/A</v>
      </c>
      <c r="AR74" s="54" t="e">
        <f t="shared" si="34"/>
        <v>#N/A</v>
      </c>
      <c r="AS74" s="316">
        <f t="shared" si="88"/>
        <v>0</v>
      </c>
      <c r="AT74" s="106">
        <f>_xlfn.IFNA($M74/VLOOKUP($BT74,'Unit information'!$A$2:$K$29,2,FALSE)*R74,0)*(1+$E$9)</f>
        <v>0</v>
      </c>
      <c r="AU74" s="107">
        <f>_xlfn.IFNA($M74/VLOOKUP($BT74,'Unit information'!$A$2:$K$29,3,FALSE)*S74,0)*(1+$E$9)</f>
        <v>0</v>
      </c>
      <c r="AV74" s="107">
        <f>_xlfn.IFNA($M74/VLOOKUP($BT74,'Unit information'!$A$2:$K$29,4,FALSE)*T74,0)*(1+$E$9)</f>
        <v>0</v>
      </c>
      <c r="AW74" s="107">
        <f>_xlfn.IFNA($M74/VLOOKUP($BT74,'Unit information'!$A$2:$K$29,5,FALSE)*U74,0)*(1+$E$9)</f>
        <v>0</v>
      </c>
      <c r="AX74" s="107">
        <f>_xlfn.IFNA($M74/VLOOKUP($BU74,'Unit information'!$A$2:$K$29,6,FALSE)*V74,0)*(1+$E$9)</f>
        <v>0</v>
      </c>
      <c r="AY74" s="107">
        <f>_xlfn.IFNA($M74/VLOOKUP($BU74,'Unit information'!$A$2:$K$29,7,FALSE)*W74,0)*(1+$E$9)</f>
        <v>0</v>
      </c>
      <c r="AZ74" s="107">
        <f>_xlfn.IFNA($M74/VLOOKUP($BU74,'Unit information'!$A$2:$K$29,8,FALSE)*X74,0)*(1+$E$9)</f>
        <v>0</v>
      </c>
      <c r="BA74" s="107">
        <f>_xlfn.IFNA($M74/VLOOKUP($BU74,'Unit information'!$A$2:$K$29,9,FALSE)*Y74,0)*(1+$E$9)</f>
        <v>0</v>
      </c>
      <c r="BB74" s="107">
        <f>_xlfn.IFNA($M74/VLOOKUP($BV74,'Unit information'!$A$2:$K$29,10,FALSE)*Z74,0)*(1+$E$9)</f>
        <v>0</v>
      </c>
      <c r="BC74" s="108">
        <f>_xlfn.IFNA($M74/VLOOKUP($BV74,'Unit information'!$A$2:$K$29,11,FALSE)*AA74,0)*(1+$E$9)</f>
        <v>0</v>
      </c>
      <c r="BD74" s="106">
        <f t="shared" si="10"/>
        <v>0</v>
      </c>
      <c r="BE74" s="107">
        <f t="shared" si="11"/>
        <v>0</v>
      </c>
      <c r="BF74" s="108">
        <f t="shared" si="12"/>
        <v>0</v>
      </c>
      <c r="BG74" s="25" t="e">
        <f t="shared" si="13"/>
        <v>#N/A</v>
      </c>
      <c r="BH74" s="25" t="e">
        <f t="shared" si="14"/>
        <v>#N/A</v>
      </c>
      <c r="BI74" s="25" t="e">
        <f t="shared" si="15"/>
        <v>#N/A</v>
      </c>
      <c r="BJ74" s="27" t="e">
        <f t="shared" si="16"/>
        <v>#N/A</v>
      </c>
      <c r="BK74" s="18" t="e">
        <f t="shared" si="17"/>
        <v>#N/A</v>
      </c>
      <c r="BL74" s="18" t="e">
        <f t="shared" si="18"/>
        <v>#N/A</v>
      </c>
      <c r="BM74" s="28" t="e">
        <f t="shared" si="89"/>
        <v>#N/A</v>
      </c>
      <c r="BN74" s="33">
        <f>HLOOKUP("maximum population",Miscelaneous!$C$1:$C$33,CH74+3,FALSE)</f>
        <v>240</v>
      </c>
      <c r="BO74" s="14">
        <f t="shared" si="35"/>
        <v>32</v>
      </c>
      <c r="BP74" s="14">
        <f t="shared" si="36"/>
        <v>0</v>
      </c>
      <c r="BQ74" s="14">
        <f t="shared" si="37"/>
        <v>208</v>
      </c>
      <c r="BR74" s="34" t="e">
        <f>HLOOKUP(J74,Villagers!$B$1:$V$33,L74+3,FALSE)-HLOOKUP(J74,Villagers!$B$1:$V$33,L74+2,FALSE)</f>
        <v>#N/A</v>
      </c>
      <c r="BS74" s="49">
        <f t="shared" si="38"/>
        <v>1</v>
      </c>
      <c r="BT74" s="50">
        <f t="shared" si="39"/>
        <v>0</v>
      </c>
      <c r="BU74" s="50">
        <f t="shared" si="40"/>
        <v>0</v>
      </c>
      <c r="BV74" s="50">
        <f t="shared" si="120"/>
        <v>0</v>
      </c>
      <c r="BW74" s="50">
        <f t="shared" si="121"/>
        <v>0</v>
      </c>
      <c r="BX74" s="50">
        <f t="shared" si="122"/>
        <v>0</v>
      </c>
      <c r="BY74" s="50">
        <f t="shared" si="122"/>
        <v>0</v>
      </c>
      <c r="BZ74" s="50">
        <f t="shared" si="44"/>
        <v>0</v>
      </c>
      <c r="CA74" s="50">
        <f t="shared" si="45"/>
        <v>0</v>
      </c>
      <c r="CB74" s="50">
        <f t="shared" si="46"/>
        <v>1</v>
      </c>
      <c r="CC74" s="50">
        <f t="shared" si="47"/>
        <v>0</v>
      </c>
      <c r="CD74" s="50">
        <f t="shared" si="48"/>
        <v>0</v>
      </c>
      <c r="CE74" s="50">
        <f t="shared" si="49"/>
        <v>1</v>
      </c>
      <c r="CF74" s="50">
        <f t="shared" si="50"/>
        <v>1</v>
      </c>
      <c r="CG74" s="50">
        <f t="shared" si="51"/>
        <v>1</v>
      </c>
      <c r="CH74" s="50">
        <f t="shared" si="52"/>
        <v>1</v>
      </c>
      <c r="CI74" s="50">
        <f t="shared" si="53"/>
        <v>1</v>
      </c>
      <c r="CJ74" s="50">
        <f t="shared" si="54"/>
        <v>1</v>
      </c>
      <c r="CK74" s="50">
        <f t="shared" si="55"/>
        <v>0</v>
      </c>
      <c r="CL74" s="50">
        <f t="shared" si="54"/>
        <v>0</v>
      </c>
      <c r="CM74" s="51">
        <f t="shared" si="56"/>
        <v>0</v>
      </c>
      <c r="CN74" s="33">
        <f>ROUND(IF(BS74=0,0,HLOOKUP(BS$14,Villagers!$B$1:$V$33,BS74+3,FALSE)),)</f>
        <v>5</v>
      </c>
      <c r="CO74" s="14">
        <f>ROUND(IF(BT74=0,0,HLOOKUP(BT$14,Villagers!$B$1:$V$33,BT74+3,FALSE)),)</f>
        <v>0</v>
      </c>
      <c r="CP74" s="14">
        <f>ROUND(IF(BU74=0,0,HLOOKUP(BU$14,Villagers!$B$1:$V$33,BU74+3,FALSE)),)</f>
        <v>0</v>
      </c>
      <c r="CQ74" s="14">
        <f>ROUND(IF(BV74=0,0,HLOOKUP(BV$14,Villagers!$B$1:$V$33,BV74+3,FALSE)),)</f>
        <v>0</v>
      </c>
      <c r="CR74" s="14">
        <f>ROUND(IF(BW74=0,0,HLOOKUP(BW$14,Villagers!$B$1:$V$33,BW74+3,FALSE)),)</f>
        <v>0</v>
      </c>
      <c r="CS74" s="14">
        <f>ROUND(IF(BX74=0,0,HLOOKUP(BX$14,Villagers!$B$1:$V$33,BX74+3,FALSE)),)</f>
        <v>0</v>
      </c>
      <c r="CT74" s="14">
        <f>ROUND(IF(BY74=0,0,HLOOKUP(BY$14,Villagers!$B$1:$V$33,BY74+3,FALSE)),)</f>
        <v>0</v>
      </c>
      <c r="CU74" s="14">
        <f>ROUND(IF(BZ74=0,0,HLOOKUP(BZ$14,Villagers!$B$1:$V$33,BZ74+3,FALSE)),)</f>
        <v>0</v>
      </c>
      <c r="CV74" s="14">
        <f>ROUND(IF(CA74=0,0,HLOOKUP(CA$14,Villagers!$B$1:$V$33,CA74+3,FALSE)),)</f>
        <v>0</v>
      </c>
      <c r="CW74" s="14">
        <f>ROUND(IF(CB74=0,0,HLOOKUP(CB$14,Villagers!$B$1:$V$33,CB74+3,FALSE)),)</f>
        <v>0</v>
      </c>
      <c r="CX74" s="14">
        <f>ROUND(IF(CC74=0,0,HLOOKUP(CC$14,Villagers!$B$1:$V$33,CC74+3,FALSE)),)</f>
        <v>0</v>
      </c>
      <c r="CY74" s="14">
        <f>ROUND(IF(CD74=0,0,HLOOKUP(CD$14,Villagers!$B$1:$V$33,CD74+3,FALSE)),)</f>
        <v>0</v>
      </c>
      <c r="CZ74" s="14">
        <f>ROUND(IF(CE74=0,0,HLOOKUP(CE$14,Villagers!$B$1:$V$33,CE74+3,FALSE)),)</f>
        <v>5</v>
      </c>
      <c r="DA74" s="14">
        <f>ROUND(IF(CF74=0,0,HLOOKUP(CF$14,Villagers!$B$1:$V$33,CF74+3,FALSE)),)</f>
        <v>10</v>
      </c>
      <c r="DB74" s="14">
        <f>ROUND(IF(CG74=0,0,HLOOKUP(CG$14,Villagers!$B$1:$V$33,CG74+3,FALSE)),)</f>
        <v>10</v>
      </c>
      <c r="DC74" s="14">
        <f>ROUND(IF(CH74=0,0,HLOOKUP(CH$14,Villagers!$B$1:$V$33,CH74+3,FALSE)),)</f>
        <v>0</v>
      </c>
      <c r="DD74" s="14">
        <f>ROUND(IF(CI74=0,0,HLOOKUP(CI$14,Villagers!$B$1:$V$33,CI74+3,FALSE)),)</f>
        <v>0</v>
      </c>
      <c r="DE74" s="14">
        <f>ROUND(IF(CJ74=0,0,HLOOKUP(CJ$14,Villagers!$B$1:$V$33,CJ74+3,FALSE)),)</f>
        <v>2</v>
      </c>
      <c r="DF74" s="370">
        <f>ROUND(IF(CK74=0,0,HLOOKUP(CK$14,Villagers!$B$1:$V$33,CK74+3,FALSE)),)</f>
        <v>0</v>
      </c>
      <c r="DG74" s="370">
        <f>ROUND(IF(CL74=0,0,HLOOKUP(CL$14,Villagers!$B$1:$V$33,CL74+3,FALSE)),)</f>
        <v>0</v>
      </c>
      <c r="DH74" s="34">
        <f>ROUND(IF(CM74=0,0,HLOOKUP(CM$14,Villagers!$B$1:$V$33,CM74+3,FALSE)),)</f>
        <v>0</v>
      </c>
      <c r="DI74" s="109">
        <f t="shared" si="74"/>
        <v>0</v>
      </c>
      <c r="DJ74" s="50">
        <f t="shared" si="75"/>
        <v>0</v>
      </c>
      <c r="DK74" s="50">
        <f t="shared" si="76"/>
        <v>0</v>
      </c>
      <c r="DL74" s="50">
        <f t="shared" si="77"/>
        <v>0</v>
      </c>
      <c r="DM74" s="50">
        <f t="shared" si="78"/>
        <v>0</v>
      </c>
      <c r="DN74" s="50">
        <f t="shared" si="79"/>
        <v>0</v>
      </c>
      <c r="DO74" s="50">
        <f t="shared" si="80"/>
        <v>0</v>
      </c>
      <c r="DP74" s="50">
        <f t="shared" si="81"/>
        <v>0</v>
      </c>
      <c r="DQ74" s="50">
        <f t="shared" si="58"/>
        <v>0</v>
      </c>
      <c r="DR74" s="50">
        <f t="shared" si="59"/>
        <v>0</v>
      </c>
      <c r="DS74" s="96">
        <f>Miscelaneous!$D$4*Miscelaneous!$D$2^($CI74-1)</f>
        <v>1000</v>
      </c>
      <c r="DT74" s="333">
        <f t="shared" si="60"/>
        <v>1</v>
      </c>
      <c r="DU74" s="81">
        <v>1</v>
      </c>
      <c r="DV74" s="79">
        <f t="shared" si="61"/>
        <v>0</v>
      </c>
      <c r="DW74" s="79">
        <f t="shared" si="21"/>
        <v>0</v>
      </c>
      <c r="DX74" s="79">
        <f t="shared" si="62"/>
        <v>0</v>
      </c>
      <c r="DY74" s="79">
        <v>1</v>
      </c>
      <c r="DZ74" s="79">
        <f t="shared" si="22"/>
        <v>0</v>
      </c>
      <c r="EA74" s="79">
        <f t="shared" si="63"/>
        <v>0</v>
      </c>
      <c r="EB74" s="79">
        <f t="shared" si="64"/>
        <v>0</v>
      </c>
      <c r="EC74" s="79">
        <f t="shared" si="65"/>
        <v>0</v>
      </c>
      <c r="ED74" s="79">
        <v>1</v>
      </c>
      <c r="EE74" s="79">
        <v>1</v>
      </c>
      <c r="EF74" s="79">
        <f t="shared" si="66"/>
        <v>0</v>
      </c>
      <c r="EG74" s="79">
        <v>1</v>
      </c>
      <c r="EH74" s="79">
        <v>1</v>
      </c>
      <c r="EI74" s="79">
        <v>1</v>
      </c>
      <c r="EJ74" s="79">
        <v>1</v>
      </c>
      <c r="EK74" s="79">
        <v>1</v>
      </c>
      <c r="EL74" s="79">
        <v>1</v>
      </c>
      <c r="EM74" s="143">
        <f t="shared" si="67"/>
        <v>0</v>
      </c>
      <c r="EN74" s="143">
        <f t="shared" si="68"/>
        <v>0</v>
      </c>
      <c r="EO74" s="82">
        <f t="shared" si="69"/>
        <v>0</v>
      </c>
    </row>
    <row r="75" spans="1:145" x14ac:dyDescent="0.25">
      <c r="A75">
        <v>61</v>
      </c>
      <c r="B75" s="172" t="e">
        <f t="shared" si="23"/>
        <v>#N/A</v>
      </c>
      <c r="C75" s="121" t="e">
        <f t="shared" ref="C75:E75" si="149">AJ75-SUM(AB75:AB79)</f>
        <v>#N/A</v>
      </c>
      <c r="D75" s="122" t="e">
        <f t="shared" si="149"/>
        <v>#N/A</v>
      </c>
      <c r="E75" s="122" t="e">
        <f t="shared" si="149"/>
        <v>#N/A</v>
      </c>
      <c r="F75" s="176" t="e">
        <f t="shared" si="0"/>
        <v>#N/A</v>
      </c>
      <c r="G75" s="121">
        <f t="shared" si="25"/>
        <v>208</v>
      </c>
      <c r="H75" s="176" t="e">
        <f t="shared" si="26"/>
        <v>#N/A</v>
      </c>
      <c r="I75" s="48">
        <v>1</v>
      </c>
      <c r="J75" s="39"/>
      <c r="K75" s="350">
        <v>1</v>
      </c>
      <c r="L75" s="34" t="e">
        <f t="shared" si="1"/>
        <v>#N/A</v>
      </c>
      <c r="M75" s="38" t="e">
        <f>(HLOOKUP(J75,'Construction Times'!$B$3:$W$34,L75+2,FALSE)*HLOOKUP("hq modifier",'Construction Times'!$W$3:$W$34,BS75+2,FALSE))*(1-$H$9)</f>
        <v>#N/A</v>
      </c>
      <c r="N75" s="426" t="e">
        <f t="shared" si="27"/>
        <v>#N/A</v>
      </c>
      <c r="O75" s="427"/>
      <c r="P75" s="430" t="e">
        <f t="shared" si="28"/>
        <v>#N/A</v>
      </c>
      <c r="Q75" s="431"/>
      <c r="R75" s="103">
        <f t="shared" si="71"/>
        <v>0</v>
      </c>
      <c r="S75" s="104">
        <f t="shared" si="71"/>
        <v>0</v>
      </c>
      <c r="T75" s="104">
        <f t="shared" si="72"/>
        <v>0</v>
      </c>
      <c r="U75" s="104">
        <f t="shared" si="72"/>
        <v>0</v>
      </c>
      <c r="V75" s="104">
        <f t="shared" si="72"/>
        <v>9.9999999999999995E-8</v>
      </c>
      <c r="W75" s="104">
        <f t="shared" si="72"/>
        <v>0</v>
      </c>
      <c r="X75" s="104">
        <f t="shared" si="116"/>
        <v>0</v>
      </c>
      <c r="Y75" s="104">
        <f t="shared" si="116"/>
        <v>9.9999999999999995E-8</v>
      </c>
      <c r="Z75" s="104">
        <f t="shared" si="116"/>
        <v>9.9999999999999995E-8</v>
      </c>
      <c r="AA75" s="105">
        <f t="shared" si="116"/>
        <v>9.9999999999999995E-8</v>
      </c>
      <c r="AB75" s="101" t="e">
        <f>$DT75*HLOOKUP($J75,'Construction Costs (timber)'!$B$1:$V$32,'Construction Planner'!$L75+2,FALSE)</f>
        <v>#N/A</v>
      </c>
      <c r="AC75" s="14" t="e">
        <f>$DT75*HLOOKUP($J75,'Construction Costs (clay)'!$B$1:$V$32,'Construction Planner'!$L75+2,FALSE)</f>
        <v>#N/A</v>
      </c>
      <c r="AD75" s="14" t="e">
        <f>$DT75*HLOOKUP($J75,'Construction Costs (iron)'!$B$1:$V$32,'Construction Planner'!$L75+2,FALSE)</f>
        <v>#N/A</v>
      </c>
      <c r="AE75" s="34" t="e">
        <f t="shared" si="86"/>
        <v>#N/A</v>
      </c>
      <c r="AF75" s="33" t="e">
        <f t="shared" si="3"/>
        <v>#N/A</v>
      </c>
      <c r="AG75" s="14" t="e">
        <f t="shared" si="4"/>
        <v>#N/A</v>
      </c>
      <c r="AH75" s="14" t="e">
        <f t="shared" si="5"/>
        <v>#N/A</v>
      </c>
      <c r="AI75" s="34" t="e">
        <f t="shared" si="87"/>
        <v>#N/A</v>
      </c>
      <c r="AJ75" s="49" t="e">
        <f t="shared" si="31"/>
        <v>#N/A</v>
      </c>
      <c r="AK75" s="49" t="e">
        <f t="shared" si="32"/>
        <v>#N/A</v>
      </c>
      <c r="AL75" s="49" t="e">
        <f t="shared" si="33"/>
        <v>#N/A</v>
      </c>
      <c r="AM75" s="25">
        <f t="shared" si="6"/>
        <v>30</v>
      </c>
      <c r="AN75" s="25">
        <f t="shared" si="7"/>
        <v>30</v>
      </c>
      <c r="AO75" s="25">
        <f t="shared" si="8"/>
        <v>30</v>
      </c>
      <c r="AP75" s="52" t="e">
        <f t="shared" si="34"/>
        <v>#N/A</v>
      </c>
      <c r="AQ75" s="53" t="e">
        <f t="shared" si="34"/>
        <v>#N/A</v>
      </c>
      <c r="AR75" s="54" t="e">
        <f t="shared" si="34"/>
        <v>#N/A</v>
      </c>
      <c r="AS75" s="316">
        <f t="shared" si="88"/>
        <v>0</v>
      </c>
      <c r="AT75" s="106">
        <f>_xlfn.IFNA($M75/VLOOKUP($BT75,'Unit information'!$A$2:$K$29,2,FALSE)*R75,0)*(1+$E$9)</f>
        <v>0</v>
      </c>
      <c r="AU75" s="107">
        <f>_xlfn.IFNA($M75/VLOOKUP($BT75,'Unit information'!$A$2:$K$29,3,FALSE)*S75,0)*(1+$E$9)</f>
        <v>0</v>
      </c>
      <c r="AV75" s="107">
        <f>_xlfn.IFNA($M75/VLOOKUP($BT75,'Unit information'!$A$2:$K$29,4,FALSE)*T75,0)*(1+$E$9)</f>
        <v>0</v>
      </c>
      <c r="AW75" s="107">
        <f>_xlfn.IFNA($M75/VLOOKUP($BT75,'Unit information'!$A$2:$K$29,5,FALSE)*U75,0)*(1+$E$9)</f>
        <v>0</v>
      </c>
      <c r="AX75" s="107">
        <f>_xlfn.IFNA($M75/VLOOKUP($BU75,'Unit information'!$A$2:$K$29,6,FALSE)*V75,0)*(1+$E$9)</f>
        <v>0</v>
      </c>
      <c r="AY75" s="107">
        <f>_xlfn.IFNA($M75/VLOOKUP($BU75,'Unit information'!$A$2:$K$29,7,FALSE)*W75,0)*(1+$E$9)</f>
        <v>0</v>
      </c>
      <c r="AZ75" s="107">
        <f>_xlfn.IFNA($M75/VLOOKUP($BU75,'Unit information'!$A$2:$K$29,8,FALSE)*X75,0)*(1+$E$9)</f>
        <v>0</v>
      </c>
      <c r="BA75" s="107">
        <f>_xlfn.IFNA($M75/VLOOKUP($BU75,'Unit information'!$A$2:$K$29,9,FALSE)*Y75,0)*(1+$E$9)</f>
        <v>0</v>
      </c>
      <c r="BB75" s="107">
        <f>_xlfn.IFNA($M75/VLOOKUP($BV75,'Unit information'!$A$2:$K$29,10,FALSE)*Z75,0)*(1+$E$9)</f>
        <v>0</v>
      </c>
      <c r="BC75" s="108">
        <f>_xlfn.IFNA($M75/VLOOKUP($BV75,'Unit information'!$A$2:$K$29,11,FALSE)*AA75,0)*(1+$E$9)</f>
        <v>0</v>
      </c>
      <c r="BD75" s="106">
        <f t="shared" si="10"/>
        <v>0</v>
      </c>
      <c r="BE75" s="107">
        <f t="shared" si="11"/>
        <v>0</v>
      </c>
      <c r="BF75" s="108">
        <f t="shared" si="12"/>
        <v>0</v>
      </c>
      <c r="BG75" s="25" t="e">
        <f t="shared" si="13"/>
        <v>#N/A</v>
      </c>
      <c r="BH75" s="25" t="e">
        <f t="shared" si="14"/>
        <v>#N/A</v>
      </c>
      <c r="BI75" s="25" t="e">
        <f t="shared" si="15"/>
        <v>#N/A</v>
      </c>
      <c r="BJ75" s="27" t="e">
        <f t="shared" si="16"/>
        <v>#N/A</v>
      </c>
      <c r="BK75" s="18" t="e">
        <f t="shared" si="17"/>
        <v>#N/A</v>
      </c>
      <c r="BL75" s="18" t="e">
        <f t="shared" si="18"/>
        <v>#N/A</v>
      </c>
      <c r="BM75" s="28" t="e">
        <f t="shared" si="89"/>
        <v>#N/A</v>
      </c>
      <c r="BN75" s="33">
        <f>HLOOKUP("maximum population",Miscelaneous!$C$1:$C$33,CH75+3,FALSE)</f>
        <v>240</v>
      </c>
      <c r="BO75" s="14">
        <f t="shared" si="35"/>
        <v>32</v>
      </c>
      <c r="BP75" s="14">
        <f t="shared" si="36"/>
        <v>0</v>
      </c>
      <c r="BQ75" s="14">
        <f t="shared" si="37"/>
        <v>208</v>
      </c>
      <c r="BR75" s="34" t="e">
        <f>HLOOKUP(J75,Villagers!$B$1:$V$33,L75+3,FALSE)-HLOOKUP(J75,Villagers!$B$1:$V$33,L75+2,FALSE)</f>
        <v>#N/A</v>
      </c>
      <c r="BS75" s="49">
        <f t="shared" si="38"/>
        <v>1</v>
      </c>
      <c r="BT75" s="50">
        <f t="shared" si="39"/>
        <v>0</v>
      </c>
      <c r="BU75" s="50">
        <f t="shared" si="40"/>
        <v>0</v>
      </c>
      <c r="BV75" s="50">
        <f t="shared" si="120"/>
        <v>0</v>
      </c>
      <c r="BW75" s="50">
        <f t="shared" si="121"/>
        <v>0</v>
      </c>
      <c r="BX75" s="50">
        <f t="shared" si="122"/>
        <v>0</v>
      </c>
      <c r="BY75" s="50">
        <f t="shared" si="122"/>
        <v>0</v>
      </c>
      <c r="BZ75" s="50">
        <f t="shared" si="44"/>
        <v>0</v>
      </c>
      <c r="CA75" s="50">
        <f t="shared" si="45"/>
        <v>0</v>
      </c>
      <c r="CB75" s="50">
        <f t="shared" si="46"/>
        <v>1</v>
      </c>
      <c r="CC75" s="50">
        <f t="shared" si="47"/>
        <v>0</v>
      </c>
      <c r="CD75" s="50">
        <f t="shared" si="48"/>
        <v>0</v>
      </c>
      <c r="CE75" s="50">
        <f t="shared" si="49"/>
        <v>1</v>
      </c>
      <c r="CF75" s="50">
        <f t="shared" si="50"/>
        <v>1</v>
      </c>
      <c r="CG75" s="50">
        <f t="shared" si="51"/>
        <v>1</v>
      </c>
      <c r="CH75" s="50">
        <f t="shared" si="52"/>
        <v>1</v>
      </c>
      <c r="CI75" s="50">
        <f t="shared" si="53"/>
        <v>1</v>
      </c>
      <c r="CJ75" s="50">
        <f t="shared" si="54"/>
        <v>1</v>
      </c>
      <c r="CK75" s="50">
        <f t="shared" si="55"/>
        <v>0</v>
      </c>
      <c r="CL75" s="50">
        <f t="shared" si="54"/>
        <v>0</v>
      </c>
      <c r="CM75" s="51">
        <f t="shared" si="56"/>
        <v>0</v>
      </c>
      <c r="CN75" s="33">
        <f>ROUND(IF(BS75=0,0,HLOOKUP(BS$14,Villagers!$B$1:$V$33,BS75+3,FALSE)),)</f>
        <v>5</v>
      </c>
      <c r="CO75" s="14">
        <f>ROUND(IF(BT75=0,0,HLOOKUP(BT$14,Villagers!$B$1:$V$33,BT75+3,FALSE)),)</f>
        <v>0</v>
      </c>
      <c r="CP75" s="14">
        <f>ROUND(IF(BU75=0,0,HLOOKUP(BU$14,Villagers!$B$1:$V$33,BU75+3,FALSE)),)</f>
        <v>0</v>
      </c>
      <c r="CQ75" s="14">
        <f>ROUND(IF(BV75=0,0,HLOOKUP(BV$14,Villagers!$B$1:$V$33,BV75+3,FALSE)),)</f>
        <v>0</v>
      </c>
      <c r="CR75" s="14">
        <f>ROUND(IF(BW75=0,0,HLOOKUP(BW$14,Villagers!$B$1:$V$33,BW75+3,FALSE)),)</f>
        <v>0</v>
      </c>
      <c r="CS75" s="14">
        <f>ROUND(IF(BX75=0,0,HLOOKUP(BX$14,Villagers!$B$1:$V$33,BX75+3,FALSE)),)</f>
        <v>0</v>
      </c>
      <c r="CT75" s="14">
        <f>ROUND(IF(BY75=0,0,HLOOKUP(BY$14,Villagers!$B$1:$V$33,BY75+3,FALSE)),)</f>
        <v>0</v>
      </c>
      <c r="CU75" s="14">
        <f>ROUND(IF(BZ75=0,0,HLOOKUP(BZ$14,Villagers!$B$1:$V$33,BZ75+3,FALSE)),)</f>
        <v>0</v>
      </c>
      <c r="CV75" s="14">
        <f>ROUND(IF(CA75=0,0,HLOOKUP(CA$14,Villagers!$B$1:$V$33,CA75+3,FALSE)),)</f>
        <v>0</v>
      </c>
      <c r="CW75" s="14">
        <f>ROUND(IF(CB75=0,0,HLOOKUP(CB$14,Villagers!$B$1:$V$33,CB75+3,FALSE)),)</f>
        <v>0</v>
      </c>
      <c r="CX75" s="14">
        <f>ROUND(IF(CC75=0,0,HLOOKUP(CC$14,Villagers!$B$1:$V$33,CC75+3,FALSE)),)</f>
        <v>0</v>
      </c>
      <c r="CY75" s="14">
        <f>ROUND(IF(CD75=0,0,HLOOKUP(CD$14,Villagers!$B$1:$V$33,CD75+3,FALSE)),)</f>
        <v>0</v>
      </c>
      <c r="CZ75" s="14">
        <f>ROUND(IF(CE75=0,0,HLOOKUP(CE$14,Villagers!$B$1:$V$33,CE75+3,FALSE)),)</f>
        <v>5</v>
      </c>
      <c r="DA75" s="14">
        <f>ROUND(IF(CF75=0,0,HLOOKUP(CF$14,Villagers!$B$1:$V$33,CF75+3,FALSE)),)</f>
        <v>10</v>
      </c>
      <c r="DB75" s="14">
        <f>ROUND(IF(CG75=0,0,HLOOKUP(CG$14,Villagers!$B$1:$V$33,CG75+3,FALSE)),)</f>
        <v>10</v>
      </c>
      <c r="DC75" s="14">
        <f>ROUND(IF(CH75=0,0,HLOOKUP(CH$14,Villagers!$B$1:$V$33,CH75+3,FALSE)),)</f>
        <v>0</v>
      </c>
      <c r="DD75" s="14">
        <f>ROUND(IF(CI75=0,0,HLOOKUP(CI$14,Villagers!$B$1:$V$33,CI75+3,FALSE)),)</f>
        <v>0</v>
      </c>
      <c r="DE75" s="14">
        <f>ROUND(IF(CJ75=0,0,HLOOKUP(CJ$14,Villagers!$B$1:$V$33,CJ75+3,FALSE)),)</f>
        <v>2</v>
      </c>
      <c r="DF75" s="370">
        <f>ROUND(IF(CK75=0,0,HLOOKUP(CK$14,Villagers!$B$1:$V$33,CK75+3,FALSE)),)</f>
        <v>0</v>
      </c>
      <c r="DG75" s="370">
        <f>ROUND(IF(CL75=0,0,HLOOKUP(CL$14,Villagers!$B$1:$V$33,CL75+3,FALSE)),)</f>
        <v>0</v>
      </c>
      <c r="DH75" s="34">
        <f>ROUND(IF(CM75=0,0,HLOOKUP(CM$14,Villagers!$B$1:$V$33,CM75+3,FALSE)),)</f>
        <v>0</v>
      </c>
      <c r="DI75" s="109">
        <f t="shared" si="74"/>
        <v>0</v>
      </c>
      <c r="DJ75" s="50">
        <f t="shared" si="75"/>
        <v>0</v>
      </c>
      <c r="DK75" s="50">
        <f t="shared" si="76"/>
        <v>0</v>
      </c>
      <c r="DL75" s="50">
        <f t="shared" si="77"/>
        <v>0</v>
      </c>
      <c r="DM75" s="50">
        <f t="shared" si="78"/>
        <v>0</v>
      </c>
      <c r="DN75" s="50">
        <f t="shared" si="79"/>
        <v>0</v>
      </c>
      <c r="DO75" s="50">
        <f t="shared" si="80"/>
        <v>0</v>
      </c>
      <c r="DP75" s="50">
        <f t="shared" si="81"/>
        <v>0</v>
      </c>
      <c r="DQ75" s="50">
        <f t="shared" si="58"/>
        <v>0</v>
      </c>
      <c r="DR75" s="50">
        <f t="shared" si="59"/>
        <v>0</v>
      </c>
      <c r="DS75" s="96">
        <f>Miscelaneous!$D$4*Miscelaneous!$D$2^($CI75-1)</f>
        <v>1000</v>
      </c>
      <c r="DT75" s="333">
        <f t="shared" si="60"/>
        <v>1</v>
      </c>
      <c r="DU75" s="81">
        <v>1</v>
      </c>
      <c r="DV75" s="79">
        <f t="shared" si="61"/>
        <v>0</v>
      </c>
      <c r="DW75" s="79">
        <f t="shared" si="21"/>
        <v>0</v>
      </c>
      <c r="DX75" s="79">
        <f t="shared" si="62"/>
        <v>0</v>
      </c>
      <c r="DY75" s="79">
        <v>1</v>
      </c>
      <c r="DZ75" s="79">
        <f t="shared" si="22"/>
        <v>0</v>
      </c>
      <c r="EA75" s="79">
        <f t="shared" si="63"/>
        <v>0</v>
      </c>
      <c r="EB75" s="79">
        <f t="shared" si="64"/>
        <v>0</v>
      </c>
      <c r="EC75" s="79">
        <f t="shared" si="65"/>
        <v>0</v>
      </c>
      <c r="ED75" s="79">
        <v>1</v>
      </c>
      <c r="EE75" s="79">
        <v>1</v>
      </c>
      <c r="EF75" s="79">
        <f t="shared" si="66"/>
        <v>0</v>
      </c>
      <c r="EG75" s="79">
        <v>1</v>
      </c>
      <c r="EH75" s="79">
        <v>1</v>
      </c>
      <c r="EI75" s="79">
        <v>1</v>
      </c>
      <c r="EJ75" s="79">
        <v>1</v>
      </c>
      <c r="EK75" s="79">
        <v>1</v>
      </c>
      <c r="EL75" s="79">
        <v>1</v>
      </c>
      <c r="EM75" s="143">
        <f t="shared" si="67"/>
        <v>0</v>
      </c>
      <c r="EN75" s="143">
        <f t="shared" si="68"/>
        <v>0</v>
      </c>
      <c r="EO75" s="82">
        <f t="shared" si="69"/>
        <v>0</v>
      </c>
    </row>
    <row r="76" spans="1:145" x14ac:dyDescent="0.25">
      <c r="A76">
        <v>62</v>
      </c>
      <c r="B76" s="172" t="e">
        <f t="shared" si="23"/>
        <v>#N/A</v>
      </c>
      <c r="C76" s="121" t="e">
        <f t="shared" ref="C76:E76" si="150">AJ76-SUM(AB76:AB80)</f>
        <v>#N/A</v>
      </c>
      <c r="D76" s="122" t="e">
        <f t="shared" si="150"/>
        <v>#N/A</v>
      </c>
      <c r="E76" s="122" t="e">
        <f t="shared" si="150"/>
        <v>#N/A</v>
      </c>
      <c r="F76" s="176" t="e">
        <f t="shared" si="0"/>
        <v>#N/A</v>
      </c>
      <c r="G76" s="121">
        <f t="shared" si="25"/>
        <v>208</v>
      </c>
      <c r="H76" s="176" t="e">
        <f t="shared" si="26"/>
        <v>#N/A</v>
      </c>
      <c r="I76" s="48">
        <v>1</v>
      </c>
      <c r="J76" s="39"/>
      <c r="K76" s="350">
        <v>1</v>
      </c>
      <c r="L76" s="34" t="e">
        <f t="shared" si="1"/>
        <v>#N/A</v>
      </c>
      <c r="M76" s="38" t="e">
        <f>(HLOOKUP(J76,'Construction Times'!$B$3:$W$34,L76+2,FALSE)*HLOOKUP("hq modifier",'Construction Times'!$W$3:$W$34,BS76+2,FALSE))*(1-$H$9)</f>
        <v>#N/A</v>
      </c>
      <c r="N76" s="426" t="e">
        <f t="shared" si="27"/>
        <v>#N/A</v>
      </c>
      <c r="O76" s="427"/>
      <c r="P76" s="430" t="e">
        <f t="shared" si="28"/>
        <v>#N/A</v>
      </c>
      <c r="Q76" s="431"/>
      <c r="R76" s="103">
        <f t="shared" si="71"/>
        <v>0</v>
      </c>
      <c r="S76" s="104">
        <f t="shared" si="71"/>
        <v>0</v>
      </c>
      <c r="T76" s="104">
        <f t="shared" si="72"/>
        <v>0</v>
      </c>
      <c r="U76" s="104">
        <f t="shared" si="72"/>
        <v>0</v>
      </c>
      <c r="V76" s="104">
        <f t="shared" si="72"/>
        <v>9.9999999999999995E-8</v>
      </c>
      <c r="W76" s="104">
        <f t="shared" si="72"/>
        <v>0</v>
      </c>
      <c r="X76" s="104">
        <f t="shared" si="116"/>
        <v>0</v>
      </c>
      <c r="Y76" s="104">
        <f t="shared" si="116"/>
        <v>9.9999999999999995E-8</v>
      </c>
      <c r="Z76" s="104">
        <f t="shared" si="116"/>
        <v>9.9999999999999995E-8</v>
      </c>
      <c r="AA76" s="105">
        <f t="shared" si="116"/>
        <v>9.9999999999999995E-8</v>
      </c>
      <c r="AB76" s="101" t="e">
        <f>$DT76*HLOOKUP($J76,'Construction Costs (timber)'!$B$1:$V$32,'Construction Planner'!$L76+2,FALSE)</f>
        <v>#N/A</v>
      </c>
      <c r="AC76" s="14" t="e">
        <f>$DT76*HLOOKUP($J76,'Construction Costs (clay)'!$B$1:$V$32,'Construction Planner'!$L76+2,FALSE)</f>
        <v>#N/A</v>
      </c>
      <c r="AD76" s="14" t="e">
        <f>$DT76*HLOOKUP($J76,'Construction Costs (iron)'!$B$1:$V$32,'Construction Planner'!$L76+2,FALSE)</f>
        <v>#N/A</v>
      </c>
      <c r="AE76" s="34" t="e">
        <f t="shared" si="86"/>
        <v>#N/A</v>
      </c>
      <c r="AF76" s="33" t="e">
        <f t="shared" si="3"/>
        <v>#N/A</v>
      </c>
      <c r="AG76" s="14" t="e">
        <f t="shared" si="4"/>
        <v>#N/A</v>
      </c>
      <c r="AH76" s="14" t="e">
        <f t="shared" si="5"/>
        <v>#N/A</v>
      </c>
      <c r="AI76" s="34" t="e">
        <f t="shared" si="87"/>
        <v>#N/A</v>
      </c>
      <c r="AJ76" s="49" t="e">
        <f t="shared" si="31"/>
        <v>#N/A</v>
      </c>
      <c r="AK76" s="49" t="e">
        <f t="shared" si="32"/>
        <v>#N/A</v>
      </c>
      <c r="AL76" s="49" t="e">
        <f t="shared" si="33"/>
        <v>#N/A</v>
      </c>
      <c r="AM76" s="25">
        <f t="shared" si="6"/>
        <v>30</v>
      </c>
      <c r="AN76" s="25">
        <f t="shared" si="7"/>
        <v>30</v>
      </c>
      <c r="AO76" s="25">
        <f t="shared" si="8"/>
        <v>30</v>
      </c>
      <c r="AP76" s="52" t="e">
        <f t="shared" si="34"/>
        <v>#N/A</v>
      </c>
      <c r="AQ76" s="53" t="e">
        <f t="shared" si="34"/>
        <v>#N/A</v>
      </c>
      <c r="AR76" s="54" t="e">
        <f t="shared" si="34"/>
        <v>#N/A</v>
      </c>
      <c r="AS76" s="316">
        <f t="shared" si="88"/>
        <v>0</v>
      </c>
      <c r="AT76" s="106">
        <f>_xlfn.IFNA($M76/VLOOKUP($BT76,'Unit information'!$A$2:$K$29,2,FALSE)*R76,0)*(1+$E$9)</f>
        <v>0</v>
      </c>
      <c r="AU76" s="107">
        <f>_xlfn.IFNA($M76/VLOOKUP($BT76,'Unit information'!$A$2:$K$29,3,FALSE)*S76,0)*(1+$E$9)</f>
        <v>0</v>
      </c>
      <c r="AV76" s="107">
        <f>_xlfn.IFNA($M76/VLOOKUP($BT76,'Unit information'!$A$2:$K$29,4,FALSE)*T76,0)*(1+$E$9)</f>
        <v>0</v>
      </c>
      <c r="AW76" s="107">
        <f>_xlfn.IFNA($M76/VLOOKUP($BT76,'Unit information'!$A$2:$K$29,5,FALSE)*U76,0)*(1+$E$9)</f>
        <v>0</v>
      </c>
      <c r="AX76" s="107">
        <f>_xlfn.IFNA($M76/VLOOKUP($BU76,'Unit information'!$A$2:$K$29,6,FALSE)*V76,0)*(1+$E$9)</f>
        <v>0</v>
      </c>
      <c r="AY76" s="107">
        <f>_xlfn.IFNA($M76/VLOOKUP($BU76,'Unit information'!$A$2:$K$29,7,FALSE)*W76,0)*(1+$E$9)</f>
        <v>0</v>
      </c>
      <c r="AZ76" s="107">
        <f>_xlfn.IFNA($M76/VLOOKUP($BU76,'Unit information'!$A$2:$K$29,8,FALSE)*X76,0)*(1+$E$9)</f>
        <v>0</v>
      </c>
      <c r="BA76" s="107">
        <f>_xlfn.IFNA($M76/VLOOKUP($BU76,'Unit information'!$A$2:$K$29,9,FALSE)*Y76,0)*(1+$E$9)</f>
        <v>0</v>
      </c>
      <c r="BB76" s="107">
        <f>_xlfn.IFNA($M76/VLOOKUP($BV76,'Unit information'!$A$2:$K$29,10,FALSE)*Z76,0)*(1+$E$9)</f>
        <v>0</v>
      </c>
      <c r="BC76" s="108">
        <f>_xlfn.IFNA($M76/VLOOKUP($BV76,'Unit information'!$A$2:$K$29,11,FALSE)*AA76,0)*(1+$E$9)</f>
        <v>0</v>
      </c>
      <c r="BD76" s="106">
        <f t="shared" si="10"/>
        <v>0</v>
      </c>
      <c r="BE76" s="107">
        <f t="shared" si="11"/>
        <v>0</v>
      </c>
      <c r="BF76" s="108">
        <f t="shared" si="12"/>
        <v>0</v>
      </c>
      <c r="BG76" s="25" t="e">
        <f t="shared" si="13"/>
        <v>#N/A</v>
      </c>
      <c r="BH76" s="25" t="e">
        <f t="shared" si="14"/>
        <v>#N/A</v>
      </c>
      <c r="BI76" s="25" t="e">
        <f t="shared" si="15"/>
        <v>#N/A</v>
      </c>
      <c r="BJ76" s="27" t="e">
        <f t="shared" si="16"/>
        <v>#N/A</v>
      </c>
      <c r="BK76" s="18" t="e">
        <f t="shared" si="17"/>
        <v>#N/A</v>
      </c>
      <c r="BL76" s="18" t="e">
        <f t="shared" si="18"/>
        <v>#N/A</v>
      </c>
      <c r="BM76" s="28" t="e">
        <f t="shared" si="89"/>
        <v>#N/A</v>
      </c>
      <c r="BN76" s="33">
        <f>HLOOKUP("maximum population",Miscelaneous!$C$1:$C$33,CH76+3,FALSE)</f>
        <v>240</v>
      </c>
      <c r="BO76" s="14">
        <f t="shared" si="35"/>
        <v>32</v>
      </c>
      <c r="BP76" s="14">
        <f t="shared" si="36"/>
        <v>0</v>
      </c>
      <c r="BQ76" s="14">
        <f t="shared" si="37"/>
        <v>208</v>
      </c>
      <c r="BR76" s="34" t="e">
        <f>HLOOKUP(J76,Villagers!$B$1:$V$33,L76+3,FALSE)-HLOOKUP(J76,Villagers!$B$1:$V$33,L76+2,FALSE)</f>
        <v>#N/A</v>
      </c>
      <c r="BS76" s="49">
        <f t="shared" si="38"/>
        <v>1</v>
      </c>
      <c r="BT76" s="50">
        <f t="shared" si="39"/>
        <v>0</v>
      </c>
      <c r="BU76" s="50">
        <f t="shared" si="40"/>
        <v>0</v>
      </c>
      <c r="BV76" s="50">
        <f t="shared" si="120"/>
        <v>0</v>
      </c>
      <c r="BW76" s="50">
        <f t="shared" si="121"/>
        <v>0</v>
      </c>
      <c r="BX76" s="50">
        <f t="shared" si="122"/>
        <v>0</v>
      </c>
      <c r="BY76" s="50">
        <f t="shared" si="122"/>
        <v>0</v>
      </c>
      <c r="BZ76" s="50">
        <f t="shared" si="44"/>
        <v>0</v>
      </c>
      <c r="CA76" s="50">
        <f t="shared" si="45"/>
        <v>0</v>
      </c>
      <c r="CB76" s="50">
        <f t="shared" si="46"/>
        <v>1</v>
      </c>
      <c r="CC76" s="50">
        <f t="shared" si="47"/>
        <v>0</v>
      </c>
      <c r="CD76" s="50">
        <f t="shared" si="48"/>
        <v>0</v>
      </c>
      <c r="CE76" s="50">
        <f t="shared" si="49"/>
        <v>1</v>
      </c>
      <c r="CF76" s="50">
        <f t="shared" si="50"/>
        <v>1</v>
      </c>
      <c r="CG76" s="50">
        <f t="shared" si="51"/>
        <v>1</v>
      </c>
      <c r="CH76" s="50">
        <f t="shared" si="52"/>
        <v>1</v>
      </c>
      <c r="CI76" s="50">
        <f t="shared" si="53"/>
        <v>1</v>
      </c>
      <c r="CJ76" s="50">
        <f t="shared" si="54"/>
        <v>1</v>
      </c>
      <c r="CK76" s="50">
        <f t="shared" si="55"/>
        <v>0</v>
      </c>
      <c r="CL76" s="50">
        <f t="shared" si="54"/>
        <v>0</v>
      </c>
      <c r="CM76" s="51">
        <f t="shared" si="56"/>
        <v>0</v>
      </c>
      <c r="CN76" s="33">
        <f>ROUND(IF(BS76=0,0,HLOOKUP(BS$14,Villagers!$B$1:$V$33,BS76+3,FALSE)),)</f>
        <v>5</v>
      </c>
      <c r="CO76" s="14">
        <f>ROUND(IF(BT76=0,0,HLOOKUP(BT$14,Villagers!$B$1:$V$33,BT76+3,FALSE)),)</f>
        <v>0</v>
      </c>
      <c r="CP76" s="14">
        <f>ROUND(IF(BU76=0,0,HLOOKUP(BU$14,Villagers!$B$1:$V$33,BU76+3,FALSE)),)</f>
        <v>0</v>
      </c>
      <c r="CQ76" s="14">
        <f>ROUND(IF(BV76=0,0,HLOOKUP(BV$14,Villagers!$B$1:$V$33,BV76+3,FALSE)),)</f>
        <v>0</v>
      </c>
      <c r="CR76" s="14">
        <f>ROUND(IF(BW76=0,0,HLOOKUP(BW$14,Villagers!$B$1:$V$33,BW76+3,FALSE)),)</f>
        <v>0</v>
      </c>
      <c r="CS76" s="14">
        <f>ROUND(IF(BX76=0,0,HLOOKUP(BX$14,Villagers!$B$1:$V$33,BX76+3,FALSE)),)</f>
        <v>0</v>
      </c>
      <c r="CT76" s="14">
        <f>ROUND(IF(BY76=0,0,HLOOKUP(BY$14,Villagers!$B$1:$V$33,BY76+3,FALSE)),)</f>
        <v>0</v>
      </c>
      <c r="CU76" s="14">
        <f>ROUND(IF(BZ76=0,0,HLOOKUP(BZ$14,Villagers!$B$1:$V$33,BZ76+3,FALSE)),)</f>
        <v>0</v>
      </c>
      <c r="CV76" s="14">
        <f>ROUND(IF(CA76=0,0,HLOOKUP(CA$14,Villagers!$B$1:$V$33,CA76+3,FALSE)),)</f>
        <v>0</v>
      </c>
      <c r="CW76" s="14">
        <f>ROUND(IF(CB76=0,0,HLOOKUP(CB$14,Villagers!$B$1:$V$33,CB76+3,FALSE)),)</f>
        <v>0</v>
      </c>
      <c r="CX76" s="14">
        <f>ROUND(IF(CC76=0,0,HLOOKUP(CC$14,Villagers!$B$1:$V$33,CC76+3,FALSE)),)</f>
        <v>0</v>
      </c>
      <c r="CY76" s="14">
        <f>ROUND(IF(CD76=0,0,HLOOKUP(CD$14,Villagers!$B$1:$V$33,CD76+3,FALSE)),)</f>
        <v>0</v>
      </c>
      <c r="CZ76" s="14">
        <f>ROUND(IF(CE76=0,0,HLOOKUP(CE$14,Villagers!$B$1:$V$33,CE76+3,FALSE)),)</f>
        <v>5</v>
      </c>
      <c r="DA76" s="14">
        <f>ROUND(IF(CF76=0,0,HLOOKUP(CF$14,Villagers!$B$1:$V$33,CF76+3,FALSE)),)</f>
        <v>10</v>
      </c>
      <c r="DB76" s="14">
        <f>ROUND(IF(CG76=0,0,HLOOKUP(CG$14,Villagers!$B$1:$V$33,CG76+3,FALSE)),)</f>
        <v>10</v>
      </c>
      <c r="DC76" s="14">
        <f>ROUND(IF(CH76=0,0,HLOOKUP(CH$14,Villagers!$B$1:$V$33,CH76+3,FALSE)),)</f>
        <v>0</v>
      </c>
      <c r="DD76" s="14">
        <f>ROUND(IF(CI76=0,0,HLOOKUP(CI$14,Villagers!$B$1:$V$33,CI76+3,FALSE)),)</f>
        <v>0</v>
      </c>
      <c r="DE76" s="14">
        <f>ROUND(IF(CJ76=0,0,HLOOKUP(CJ$14,Villagers!$B$1:$V$33,CJ76+3,FALSE)),)</f>
        <v>2</v>
      </c>
      <c r="DF76" s="370">
        <f>ROUND(IF(CK76=0,0,HLOOKUP(CK$14,Villagers!$B$1:$V$33,CK76+3,FALSE)),)</f>
        <v>0</v>
      </c>
      <c r="DG76" s="370">
        <f>ROUND(IF(CL76=0,0,HLOOKUP(CL$14,Villagers!$B$1:$V$33,CL76+3,FALSE)),)</f>
        <v>0</v>
      </c>
      <c r="DH76" s="34">
        <f>ROUND(IF(CM76=0,0,HLOOKUP(CM$14,Villagers!$B$1:$V$33,CM76+3,FALSE)),)</f>
        <v>0</v>
      </c>
      <c r="DI76" s="109">
        <f t="shared" si="74"/>
        <v>0</v>
      </c>
      <c r="DJ76" s="50">
        <f t="shared" si="75"/>
        <v>0</v>
      </c>
      <c r="DK76" s="50">
        <f t="shared" si="76"/>
        <v>0</v>
      </c>
      <c r="DL76" s="50">
        <f t="shared" si="77"/>
        <v>0</v>
      </c>
      <c r="DM76" s="50">
        <f t="shared" si="78"/>
        <v>0</v>
      </c>
      <c r="DN76" s="50">
        <f t="shared" si="79"/>
        <v>0</v>
      </c>
      <c r="DO76" s="50">
        <f t="shared" si="80"/>
        <v>0</v>
      </c>
      <c r="DP76" s="50">
        <f t="shared" si="81"/>
        <v>0</v>
      </c>
      <c r="DQ76" s="50">
        <f t="shared" si="58"/>
        <v>0</v>
      </c>
      <c r="DR76" s="50">
        <f t="shared" si="59"/>
        <v>0</v>
      </c>
      <c r="DS76" s="96">
        <f>Miscelaneous!$D$4*Miscelaneous!$D$2^($CI76-1)</f>
        <v>1000</v>
      </c>
      <c r="DT76" s="333">
        <f t="shared" si="60"/>
        <v>1</v>
      </c>
      <c r="DU76" s="81">
        <v>1</v>
      </c>
      <c r="DV76" s="79">
        <f t="shared" si="61"/>
        <v>0</v>
      </c>
      <c r="DW76" s="79">
        <f t="shared" si="21"/>
        <v>0</v>
      </c>
      <c r="DX76" s="79">
        <f t="shared" si="62"/>
        <v>0</v>
      </c>
      <c r="DY76" s="79">
        <v>1</v>
      </c>
      <c r="DZ76" s="79">
        <f t="shared" si="22"/>
        <v>0</v>
      </c>
      <c r="EA76" s="79">
        <f t="shared" si="63"/>
        <v>0</v>
      </c>
      <c r="EB76" s="79">
        <f t="shared" si="64"/>
        <v>0</v>
      </c>
      <c r="EC76" s="79">
        <f t="shared" si="65"/>
        <v>0</v>
      </c>
      <c r="ED76" s="79">
        <v>1</v>
      </c>
      <c r="EE76" s="79">
        <v>1</v>
      </c>
      <c r="EF76" s="79">
        <f t="shared" si="66"/>
        <v>0</v>
      </c>
      <c r="EG76" s="79">
        <v>1</v>
      </c>
      <c r="EH76" s="79">
        <v>1</v>
      </c>
      <c r="EI76" s="79">
        <v>1</v>
      </c>
      <c r="EJ76" s="79">
        <v>1</v>
      </c>
      <c r="EK76" s="79">
        <v>1</v>
      </c>
      <c r="EL76" s="79">
        <v>1</v>
      </c>
      <c r="EM76" s="143">
        <f t="shared" si="67"/>
        <v>0</v>
      </c>
      <c r="EN76" s="143">
        <f t="shared" si="68"/>
        <v>0</v>
      </c>
      <c r="EO76" s="82">
        <f t="shared" si="69"/>
        <v>0</v>
      </c>
    </row>
    <row r="77" spans="1:145" x14ac:dyDescent="0.25">
      <c r="A77">
        <v>63</v>
      </c>
      <c r="B77" s="172" t="e">
        <f t="shared" si="23"/>
        <v>#N/A</v>
      </c>
      <c r="C77" s="121" t="e">
        <f t="shared" ref="C77:E77" si="151">AJ77-SUM(AB77:AB81)</f>
        <v>#N/A</v>
      </c>
      <c r="D77" s="122" t="e">
        <f t="shared" si="151"/>
        <v>#N/A</v>
      </c>
      <c r="E77" s="122" t="e">
        <f t="shared" si="151"/>
        <v>#N/A</v>
      </c>
      <c r="F77" s="176" t="e">
        <f t="shared" si="0"/>
        <v>#N/A</v>
      </c>
      <c r="G77" s="121">
        <f t="shared" si="25"/>
        <v>208</v>
      </c>
      <c r="H77" s="176" t="e">
        <f t="shared" si="26"/>
        <v>#N/A</v>
      </c>
      <c r="I77" s="48">
        <v>1</v>
      </c>
      <c r="J77" s="39"/>
      <c r="K77" s="350">
        <v>1</v>
      </c>
      <c r="L77" s="34" t="e">
        <f t="shared" si="1"/>
        <v>#N/A</v>
      </c>
      <c r="M77" s="38" t="e">
        <f>(HLOOKUP(J77,'Construction Times'!$B$3:$W$34,L77+2,FALSE)*HLOOKUP("hq modifier",'Construction Times'!$W$3:$W$34,BS77+2,FALSE))*(1-$H$9)</f>
        <v>#N/A</v>
      </c>
      <c r="N77" s="426" t="e">
        <f t="shared" si="27"/>
        <v>#N/A</v>
      </c>
      <c r="O77" s="427"/>
      <c r="P77" s="430" t="e">
        <f t="shared" si="28"/>
        <v>#N/A</v>
      </c>
      <c r="Q77" s="431"/>
      <c r="R77" s="103">
        <f t="shared" si="71"/>
        <v>0</v>
      </c>
      <c r="S77" s="104">
        <f t="shared" si="71"/>
        <v>0</v>
      </c>
      <c r="T77" s="104">
        <f t="shared" si="72"/>
        <v>0</v>
      </c>
      <c r="U77" s="104">
        <f t="shared" si="72"/>
        <v>0</v>
      </c>
      <c r="V77" s="104">
        <f t="shared" si="72"/>
        <v>9.9999999999999995E-8</v>
      </c>
      <c r="W77" s="104">
        <f t="shared" si="72"/>
        <v>0</v>
      </c>
      <c r="X77" s="104">
        <f t="shared" si="116"/>
        <v>0</v>
      </c>
      <c r="Y77" s="104">
        <f t="shared" si="116"/>
        <v>9.9999999999999995E-8</v>
      </c>
      <c r="Z77" s="104">
        <f t="shared" si="116"/>
        <v>9.9999999999999995E-8</v>
      </c>
      <c r="AA77" s="105">
        <f t="shared" si="116"/>
        <v>9.9999999999999995E-8</v>
      </c>
      <c r="AB77" s="101" t="e">
        <f>$DT77*HLOOKUP($J77,'Construction Costs (timber)'!$B$1:$V$32,'Construction Planner'!$L77+2,FALSE)</f>
        <v>#N/A</v>
      </c>
      <c r="AC77" s="14" t="e">
        <f>$DT77*HLOOKUP($J77,'Construction Costs (clay)'!$B$1:$V$32,'Construction Planner'!$L77+2,FALSE)</f>
        <v>#N/A</v>
      </c>
      <c r="AD77" s="14" t="e">
        <f>$DT77*HLOOKUP($J77,'Construction Costs (iron)'!$B$1:$V$32,'Construction Planner'!$L77+2,FALSE)</f>
        <v>#N/A</v>
      </c>
      <c r="AE77" s="34" t="e">
        <f t="shared" si="86"/>
        <v>#N/A</v>
      </c>
      <c r="AF77" s="33" t="e">
        <f t="shared" si="3"/>
        <v>#N/A</v>
      </c>
      <c r="AG77" s="14" t="e">
        <f t="shared" si="4"/>
        <v>#N/A</v>
      </c>
      <c r="AH77" s="14" t="e">
        <f t="shared" si="5"/>
        <v>#N/A</v>
      </c>
      <c r="AI77" s="34" t="e">
        <f t="shared" si="87"/>
        <v>#N/A</v>
      </c>
      <c r="AJ77" s="49" t="e">
        <f t="shared" si="31"/>
        <v>#N/A</v>
      </c>
      <c r="AK77" s="49" t="e">
        <f t="shared" si="32"/>
        <v>#N/A</v>
      </c>
      <c r="AL77" s="49" t="e">
        <f t="shared" si="33"/>
        <v>#N/A</v>
      </c>
      <c r="AM77" s="25">
        <f t="shared" si="6"/>
        <v>30</v>
      </c>
      <c r="AN77" s="25">
        <f t="shared" si="7"/>
        <v>30</v>
      </c>
      <c r="AO77" s="25">
        <f t="shared" si="8"/>
        <v>30</v>
      </c>
      <c r="AP77" s="52" t="e">
        <f t="shared" si="34"/>
        <v>#N/A</v>
      </c>
      <c r="AQ77" s="53" t="e">
        <f t="shared" si="34"/>
        <v>#N/A</v>
      </c>
      <c r="AR77" s="54" t="e">
        <f t="shared" si="34"/>
        <v>#N/A</v>
      </c>
      <c r="AS77" s="316">
        <f t="shared" si="88"/>
        <v>0</v>
      </c>
      <c r="AT77" s="106">
        <f>_xlfn.IFNA($M77/VLOOKUP($BT77,'Unit information'!$A$2:$K$29,2,FALSE)*R77,0)*(1+$E$9)</f>
        <v>0</v>
      </c>
      <c r="AU77" s="107">
        <f>_xlfn.IFNA($M77/VLOOKUP($BT77,'Unit information'!$A$2:$K$29,3,FALSE)*S77,0)*(1+$E$9)</f>
        <v>0</v>
      </c>
      <c r="AV77" s="107">
        <f>_xlfn.IFNA($M77/VLOOKUP($BT77,'Unit information'!$A$2:$K$29,4,FALSE)*T77,0)*(1+$E$9)</f>
        <v>0</v>
      </c>
      <c r="AW77" s="107">
        <f>_xlfn.IFNA($M77/VLOOKUP($BT77,'Unit information'!$A$2:$K$29,5,FALSE)*U77,0)*(1+$E$9)</f>
        <v>0</v>
      </c>
      <c r="AX77" s="107">
        <f>_xlfn.IFNA($M77/VLOOKUP($BU77,'Unit information'!$A$2:$K$29,6,FALSE)*V77,0)*(1+$E$9)</f>
        <v>0</v>
      </c>
      <c r="AY77" s="107">
        <f>_xlfn.IFNA($M77/VLOOKUP($BU77,'Unit information'!$A$2:$K$29,7,FALSE)*W77,0)*(1+$E$9)</f>
        <v>0</v>
      </c>
      <c r="AZ77" s="107">
        <f>_xlfn.IFNA($M77/VLOOKUP($BU77,'Unit information'!$A$2:$K$29,8,FALSE)*X77,0)*(1+$E$9)</f>
        <v>0</v>
      </c>
      <c r="BA77" s="107">
        <f>_xlfn.IFNA($M77/VLOOKUP($BU77,'Unit information'!$A$2:$K$29,9,FALSE)*Y77,0)*(1+$E$9)</f>
        <v>0</v>
      </c>
      <c r="BB77" s="107">
        <f>_xlfn.IFNA($M77/VLOOKUP($BV77,'Unit information'!$A$2:$K$29,10,FALSE)*Z77,0)*(1+$E$9)</f>
        <v>0</v>
      </c>
      <c r="BC77" s="108">
        <f>_xlfn.IFNA($M77/VLOOKUP($BV77,'Unit information'!$A$2:$K$29,11,FALSE)*AA77,0)*(1+$E$9)</f>
        <v>0</v>
      </c>
      <c r="BD77" s="106">
        <f t="shared" si="10"/>
        <v>0</v>
      </c>
      <c r="BE77" s="107">
        <f t="shared" si="11"/>
        <v>0</v>
      </c>
      <c r="BF77" s="108">
        <f t="shared" si="12"/>
        <v>0</v>
      </c>
      <c r="BG77" s="25" t="e">
        <f t="shared" si="13"/>
        <v>#N/A</v>
      </c>
      <c r="BH77" s="25" t="e">
        <f t="shared" si="14"/>
        <v>#N/A</v>
      </c>
      <c r="BI77" s="25" t="e">
        <f t="shared" si="15"/>
        <v>#N/A</v>
      </c>
      <c r="BJ77" s="27" t="e">
        <f t="shared" si="16"/>
        <v>#N/A</v>
      </c>
      <c r="BK77" s="18" t="e">
        <f t="shared" si="17"/>
        <v>#N/A</v>
      </c>
      <c r="BL77" s="18" t="e">
        <f t="shared" si="18"/>
        <v>#N/A</v>
      </c>
      <c r="BM77" s="28" t="e">
        <f t="shared" si="89"/>
        <v>#N/A</v>
      </c>
      <c r="BN77" s="33">
        <f>HLOOKUP("maximum population",Miscelaneous!$C$1:$C$33,CH77+3,FALSE)</f>
        <v>240</v>
      </c>
      <c r="BO77" s="14">
        <f t="shared" si="35"/>
        <v>32</v>
      </c>
      <c r="BP77" s="14">
        <f t="shared" si="36"/>
        <v>0</v>
      </c>
      <c r="BQ77" s="14">
        <f t="shared" si="37"/>
        <v>208</v>
      </c>
      <c r="BR77" s="34" t="e">
        <f>HLOOKUP(J77,Villagers!$B$1:$V$33,L77+3,FALSE)-HLOOKUP(J77,Villagers!$B$1:$V$33,L77+2,FALSE)</f>
        <v>#N/A</v>
      </c>
      <c r="BS77" s="49">
        <f t="shared" si="38"/>
        <v>1</v>
      </c>
      <c r="BT77" s="50">
        <f t="shared" si="39"/>
        <v>0</v>
      </c>
      <c r="BU77" s="50">
        <f t="shared" si="40"/>
        <v>0</v>
      </c>
      <c r="BV77" s="50">
        <f t="shared" si="120"/>
        <v>0</v>
      </c>
      <c r="BW77" s="50">
        <f t="shared" si="121"/>
        <v>0</v>
      </c>
      <c r="BX77" s="50">
        <f t="shared" si="122"/>
        <v>0</v>
      </c>
      <c r="BY77" s="50">
        <f t="shared" si="122"/>
        <v>0</v>
      </c>
      <c r="BZ77" s="50">
        <f t="shared" si="44"/>
        <v>0</v>
      </c>
      <c r="CA77" s="50">
        <f t="shared" si="45"/>
        <v>0</v>
      </c>
      <c r="CB77" s="50">
        <f t="shared" si="46"/>
        <v>1</v>
      </c>
      <c r="CC77" s="50">
        <f t="shared" si="47"/>
        <v>0</v>
      </c>
      <c r="CD77" s="50">
        <f t="shared" si="48"/>
        <v>0</v>
      </c>
      <c r="CE77" s="50">
        <f t="shared" si="49"/>
        <v>1</v>
      </c>
      <c r="CF77" s="50">
        <f t="shared" si="50"/>
        <v>1</v>
      </c>
      <c r="CG77" s="50">
        <f t="shared" si="51"/>
        <v>1</v>
      </c>
      <c r="CH77" s="50">
        <f t="shared" si="52"/>
        <v>1</v>
      </c>
      <c r="CI77" s="50">
        <f t="shared" si="53"/>
        <v>1</v>
      </c>
      <c r="CJ77" s="50">
        <f t="shared" si="54"/>
        <v>1</v>
      </c>
      <c r="CK77" s="50">
        <f t="shared" si="55"/>
        <v>0</v>
      </c>
      <c r="CL77" s="50">
        <f t="shared" si="54"/>
        <v>0</v>
      </c>
      <c r="CM77" s="51">
        <f t="shared" si="56"/>
        <v>0</v>
      </c>
      <c r="CN77" s="33">
        <f>ROUND(IF(BS77=0,0,HLOOKUP(BS$14,Villagers!$B$1:$V$33,BS77+3,FALSE)),)</f>
        <v>5</v>
      </c>
      <c r="CO77" s="14">
        <f>ROUND(IF(BT77=0,0,HLOOKUP(BT$14,Villagers!$B$1:$V$33,BT77+3,FALSE)),)</f>
        <v>0</v>
      </c>
      <c r="CP77" s="14">
        <f>ROUND(IF(BU77=0,0,HLOOKUP(BU$14,Villagers!$B$1:$V$33,BU77+3,FALSE)),)</f>
        <v>0</v>
      </c>
      <c r="CQ77" s="14">
        <f>ROUND(IF(BV77=0,0,HLOOKUP(BV$14,Villagers!$B$1:$V$33,BV77+3,FALSE)),)</f>
        <v>0</v>
      </c>
      <c r="CR77" s="14">
        <f>ROUND(IF(BW77=0,0,HLOOKUP(BW$14,Villagers!$B$1:$V$33,BW77+3,FALSE)),)</f>
        <v>0</v>
      </c>
      <c r="CS77" s="14">
        <f>ROUND(IF(BX77=0,0,HLOOKUP(BX$14,Villagers!$B$1:$V$33,BX77+3,FALSE)),)</f>
        <v>0</v>
      </c>
      <c r="CT77" s="14">
        <f>ROUND(IF(BY77=0,0,HLOOKUP(BY$14,Villagers!$B$1:$V$33,BY77+3,FALSE)),)</f>
        <v>0</v>
      </c>
      <c r="CU77" s="14">
        <f>ROUND(IF(BZ77=0,0,HLOOKUP(BZ$14,Villagers!$B$1:$V$33,BZ77+3,FALSE)),)</f>
        <v>0</v>
      </c>
      <c r="CV77" s="14">
        <f>ROUND(IF(CA77=0,0,HLOOKUP(CA$14,Villagers!$B$1:$V$33,CA77+3,FALSE)),)</f>
        <v>0</v>
      </c>
      <c r="CW77" s="14">
        <f>ROUND(IF(CB77=0,0,HLOOKUP(CB$14,Villagers!$B$1:$V$33,CB77+3,FALSE)),)</f>
        <v>0</v>
      </c>
      <c r="CX77" s="14">
        <f>ROUND(IF(CC77=0,0,HLOOKUP(CC$14,Villagers!$B$1:$V$33,CC77+3,FALSE)),)</f>
        <v>0</v>
      </c>
      <c r="CY77" s="14">
        <f>ROUND(IF(CD77=0,0,HLOOKUP(CD$14,Villagers!$B$1:$V$33,CD77+3,FALSE)),)</f>
        <v>0</v>
      </c>
      <c r="CZ77" s="14">
        <f>ROUND(IF(CE77=0,0,HLOOKUP(CE$14,Villagers!$B$1:$V$33,CE77+3,FALSE)),)</f>
        <v>5</v>
      </c>
      <c r="DA77" s="14">
        <f>ROUND(IF(CF77=0,0,HLOOKUP(CF$14,Villagers!$B$1:$V$33,CF77+3,FALSE)),)</f>
        <v>10</v>
      </c>
      <c r="DB77" s="14">
        <f>ROUND(IF(CG77=0,0,HLOOKUP(CG$14,Villagers!$B$1:$V$33,CG77+3,FALSE)),)</f>
        <v>10</v>
      </c>
      <c r="DC77" s="14">
        <f>ROUND(IF(CH77=0,0,HLOOKUP(CH$14,Villagers!$B$1:$V$33,CH77+3,FALSE)),)</f>
        <v>0</v>
      </c>
      <c r="DD77" s="14">
        <f>ROUND(IF(CI77=0,0,HLOOKUP(CI$14,Villagers!$B$1:$V$33,CI77+3,FALSE)),)</f>
        <v>0</v>
      </c>
      <c r="DE77" s="14">
        <f>ROUND(IF(CJ77=0,0,HLOOKUP(CJ$14,Villagers!$B$1:$V$33,CJ77+3,FALSE)),)</f>
        <v>2</v>
      </c>
      <c r="DF77" s="370">
        <f>ROUND(IF(CK77=0,0,HLOOKUP(CK$14,Villagers!$B$1:$V$33,CK77+3,FALSE)),)</f>
        <v>0</v>
      </c>
      <c r="DG77" s="370">
        <f>ROUND(IF(CL77=0,0,HLOOKUP(CL$14,Villagers!$B$1:$V$33,CL77+3,FALSE)),)</f>
        <v>0</v>
      </c>
      <c r="DH77" s="34">
        <f>ROUND(IF(CM77=0,0,HLOOKUP(CM$14,Villagers!$B$1:$V$33,CM77+3,FALSE)),)</f>
        <v>0</v>
      </c>
      <c r="DI77" s="109">
        <f t="shared" si="74"/>
        <v>0</v>
      </c>
      <c r="DJ77" s="50">
        <f t="shared" si="75"/>
        <v>0</v>
      </c>
      <c r="DK77" s="50">
        <f t="shared" si="76"/>
        <v>0</v>
      </c>
      <c r="DL77" s="50">
        <f t="shared" si="77"/>
        <v>0</v>
      </c>
      <c r="DM77" s="50">
        <f t="shared" si="78"/>
        <v>0</v>
      </c>
      <c r="DN77" s="50">
        <f t="shared" si="79"/>
        <v>0</v>
      </c>
      <c r="DO77" s="50">
        <f t="shared" si="80"/>
        <v>0</v>
      </c>
      <c r="DP77" s="50">
        <f t="shared" si="81"/>
        <v>0</v>
      </c>
      <c r="DQ77" s="50">
        <f t="shared" si="58"/>
        <v>0</v>
      </c>
      <c r="DR77" s="50">
        <f t="shared" si="59"/>
        <v>0</v>
      </c>
      <c r="DS77" s="96">
        <f>Miscelaneous!$D$4*Miscelaneous!$D$2^($CI77-1)</f>
        <v>1000</v>
      </c>
      <c r="DT77" s="333">
        <f t="shared" si="60"/>
        <v>1</v>
      </c>
      <c r="DU77" s="81">
        <v>1</v>
      </c>
      <c r="DV77" s="79">
        <f t="shared" si="61"/>
        <v>0</v>
      </c>
      <c r="DW77" s="79">
        <f t="shared" si="21"/>
        <v>0</v>
      </c>
      <c r="DX77" s="79">
        <f t="shared" si="62"/>
        <v>0</v>
      </c>
      <c r="DY77" s="79">
        <v>1</v>
      </c>
      <c r="DZ77" s="79">
        <f t="shared" si="22"/>
        <v>0</v>
      </c>
      <c r="EA77" s="79">
        <f t="shared" si="63"/>
        <v>0</v>
      </c>
      <c r="EB77" s="79">
        <f t="shared" si="64"/>
        <v>0</v>
      </c>
      <c r="EC77" s="79">
        <f t="shared" si="65"/>
        <v>0</v>
      </c>
      <c r="ED77" s="79">
        <v>1</v>
      </c>
      <c r="EE77" s="79">
        <v>1</v>
      </c>
      <c r="EF77" s="79">
        <f t="shared" si="66"/>
        <v>0</v>
      </c>
      <c r="EG77" s="79">
        <v>1</v>
      </c>
      <c r="EH77" s="79">
        <v>1</v>
      </c>
      <c r="EI77" s="79">
        <v>1</v>
      </c>
      <c r="EJ77" s="79">
        <v>1</v>
      </c>
      <c r="EK77" s="79">
        <v>1</v>
      </c>
      <c r="EL77" s="79">
        <v>1</v>
      </c>
      <c r="EM77" s="143">
        <f t="shared" si="67"/>
        <v>0</v>
      </c>
      <c r="EN77" s="143">
        <f t="shared" si="68"/>
        <v>0</v>
      </c>
      <c r="EO77" s="82">
        <f t="shared" si="69"/>
        <v>0</v>
      </c>
    </row>
    <row r="78" spans="1:145" x14ac:dyDescent="0.25">
      <c r="A78">
        <v>64</v>
      </c>
      <c r="B78" s="172" t="e">
        <f t="shared" si="23"/>
        <v>#N/A</v>
      </c>
      <c r="C78" s="121" t="e">
        <f t="shared" ref="C78:E78" si="152">AJ78-SUM(AB78:AB82)</f>
        <v>#N/A</v>
      </c>
      <c r="D78" s="122" t="e">
        <f t="shared" si="152"/>
        <v>#N/A</v>
      </c>
      <c r="E78" s="122" t="e">
        <f t="shared" si="152"/>
        <v>#N/A</v>
      </c>
      <c r="F78" s="176" t="e">
        <f t="shared" si="0"/>
        <v>#N/A</v>
      </c>
      <c r="G78" s="121">
        <f t="shared" si="25"/>
        <v>208</v>
      </c>
      <c r="H78" s="176" t="e">
        <f t="shared" si="26"/>
        <v>#N/A</v>
      </c>
      <c r="I78" s="48">
        <v>1</v>
      </c>
      <c r="J78" s="39"/>
      <c r="K78" s="350">
        <v>1</v>
      </c>
      <c r="L78" s="34" t="e">
        <f t="shared" si="1"/>
        <v>#N/A</v>
      </c>
      <c r="M78" s="38" t="e">
        <f>(HLOOKUP(J78,'Construction Times'!$B$3:$W$34,L78+2,FALSE)*HLOOKUP("hq modifier",'Construction Times'!$W$3:$W$34,BS78+2,FALSE))*(1-$H$9)</f>
        <v>#N/A</v>
      </c>
      <c r="N78" s="426" t="e">
        <f t="shared" si="27"/>
        <v>#N/A</v>
      </c>
      <c r="O78" s="427"/>
      <c r="P78" s="430" t="e">
        <f t="shared" si="28"/>
        <v>#N/A</v>
      </c>
      <c r="Q78" s="431"/>
      <c r="R78" s="103">
        <f t="shared" si="71"/>
        <v>0</v>
      </c>
      <c r="S78" s="104">
        <f t="shared" si="71"/>
        <v>0</v>
      </c>
      <c r="T78" s="104">
        <f t="shared" si="72"/>
        <v>0</v>
      </c>
      <c r="U78" s="104">
        <f t="shared" si="72"/>
        <v>0</v>
      </c>
      <c r="V78" s="104">
        <f t="shared" si="72"/>
        <v>9.9999999999999995E-8</v>
      </c>
      <c r="W78" s="104">
        <f t="shared" si="72"/>
        <v>0</v>
      </c>
      <c r="X78" s="104">
        <f t="shared" si="116"/>
        <v>0</v>
      </c>
      <c r="Y78" s="104">
        <f t="shared" si="116"/>
        <v>9.9999999999999995E-8</v>
      </c>
      <c r="Z78" s="104">
        <f t="shared" si="116"/>
        <v>9.9999999999999995E-8</v>
      </c>
      <c r="AA78" s="105">
        <f t="shared" si="116"/>
        <v>9.9999999999999995E-8</v>
      </c>
      <c r="AB78" s="101" t="e">
        <f>$DT78*HLOOKUP($J78,'Construction Costs (timber)'!$B$1:$V$32,'Construction Planner'!$L78+2,FALSE)</f>
        <v>#N/A</v>
      </c>
      <c r="AC78" s="14" t="e">
        <f>$DT78*HLOOKUP($J78,'Construction Costs (clay)'!$B$1:$V$32,'Construction Planner'!$L78+2,FALSE)</f>
        <v>#N/A</v>
      </c>
      <c r="AD78" s="14" t="e">
        <f>$DT78*HLOOKUP($J78,'Construction Costs (iron)'!$B$1:$V$32,'Construction Planner'!$L78+2,FALSE)</f>
        <v>#N/A</v>
      </c>
      <c r="AE78" s="34" t="e">
        <f t="shared" si="86"/>
        <v>#N/A</v>
      </c>
      <c r="AF78" s="33" t="e">
        <f t="shared" si="3"/>
        <v>#N/A</v>
      </c>
      <c r="AG78" s="14" t="e">
        <f t="shared" si="4"/>
        <v>#N/A</v>
      </c>
      <c r="AH78" s="14" t="e">
        <f t="shared" si="5"/>
        <v>#N/A</v>
      </c>
      <c r="AI78" s="34" t="e">
        <f t="shared" si="87"/>
        <v>#N/A</v>
      </c>
      <c r="AJ78" s="49" t="e">
        <f t="shared" si="31"/>
        <v>#N/A</v>
      </c>
      <c r="AK78" s="49" t="e">
        <f t="shared" si="32"/>
        <v>#N/A</v>
      </c>
      <c r="AL78" s="49" t="e">
        <f t="shared" si="33"/>
        <v>#N/A</v>
      </c>
      <c r="AM78" s="25">
        <f t="shared" si="6"/>
        <v>30</v>
      </c>
      <c r="AN78" s="25">
        <f t="shared" si="7"/>
        <v>30</v>
      </c>
      <c r="AO78" s="25">
        <f t="shared" si="8"/>
        <v>30</v>
      </c>
      <c r="AP78" s="52" t="e">
        <f t="shared" si="34"/>
        <v>#N/A</v>
      </c>
      <c r="AQ78" s="53" t="e">
        <f t="shared" si="34"/>
        <v>#N/A</v>
      </c>
      <c r="AR78" s="54" t="e">
        <f t="shared" si="34"/>
        <v>#N/A</v>
      </c>
      <c r="AS78" s="316">
        <f t="shared" si="88"/>
        <v>0</v>
      </c>
      <c r="AT78" s="106">
        <f>_xlfn.IFNA($M78/VLOOKUP($BT78,'Unit information'!$A$2:$K$29,2,FALSE)*R78,0)*(1+$E$9)</f>
        <v>0</v>
      </c>
      <c r="AU78" s="107">
        <f>_xlfn.IFNA($M78/VLOOKUP($BT78,'Unit information'!$A$2:$K$29,3,FALSE)*S78,0)*(1+$E$9)</f>
        <v>0</v>
      </c>
      <c r="AV78" s="107">
        <f>_xlfn.IFNA($M78/VLOOKUP($BT78,'Unit information'!$A$2:$K$29,4,FALSE)*T78,0)*(1+$E$9)</f>
        <v>0</v>
      </c>
      <c r="AW78" s="107">
        <f>_xlfn.IFNA($M78/VLOOKUP($BT78,'Unit information'!$A$2:$K$29,5,FALSE)*U78,0)*(1+$E$9)</f>
        <v>0</v>
      </c>
      <c r="AX78" s="107">
        <f>_xlfn.IFNA($M78/VLOOKUP($BU78,'Unit information'!$A$2:$K$29,6,FALSE)*V78,0)*(1+$E$9)</f>
        <v>0</v>
      </c>
      <c r="AY78" s="107">
        <f>_xlfn.IFNA($M78/VLOOKUP($BU78,'Unit information'!$A$2:$K$29,7,FALSE)*W78,0)*(1+$E$9)</f>
        <v>0</v>
      </c>
      <c r="AZ78" s="107">
        <f>_xlfn.IFNA($M78/VLOOKUP($BU78,'Unit information'!$A$2:$K$29,8,FALSE)*X78,0)*(1+$E$9)</f>
        <v>0</v>
      </c>
      <c r="BA78" s="107">
        <f>_xlfn.IFNA($M78/VLOOKUP($BU78,'Unit information'!$A$2:$K$29,9,FALSE)*Y78,0)*(1+$E$9)</f>
        <v>0</v>
      </c>
      <c r="BB78" s="107">
        <f>_xlfn.IFNA($M78/VLOOKUP($BV78,'Unit information'!$A$2:$K$29,10,FALSE)*Z78,0)*(1+$E$9)</f>
        <v>0</v>
      </c>
      <c r="BC78" s="108">
        <f>_xlfn.IFNA($M78/VLOOKUP($BV78,'Unit information'!$A$2:$K$29,11,FALSE)*AA78,0)*(1+$E$9)</f>
        <v>0</v>
      </c>
      <c r="BD78" s="106">
        <f t="shared" si="10"/>
        <v>0</v>
      </c>
      <c r="BE78" s="107">
        <f t="shared" si="11"/>
        <v>0</v>
      </c>
      <c r="BF78" s="108">
        <f t="shared" si="12"/>
        <v>0</v>
      </c>
      <c r="BG78" s="25" t="e">
        <f t="shared" si="13"/>
        <v>#N/A</v>
      </c>
      <c r="BH78" s="25" t="e">
        <f t="shared" si="14"/>
        <v>#N/A</v>
      </c>
      <c r="BI78" s="25" t="e">
        <f t="shared" si="15"/>
        <v>#N/A</v>
      </c>
      <c r="BJ78" s="27" t="e">
        <f t="shared" si="16"/>
        <v>#N/A</v>
      </c>
      <c r="BK78" s="18" t="e">
        <f t="shared" si="17"/>
        <v>#N/A</v>
      </c>
      <c r="BL78" s="18" t="e">
        <f t="shared" si="18"/>
        <v>#N/A</v>
      </c>
      <c r="BM78" s="28" t="e">
        <f t="shared" si="89"/>
        <v>#N/A</v>
      </c>
      <c r="BN78" s="33">
        <f>HLOOKUP("maximum population",Miscelaneous!$C$1:$C$33,CH78+3,FALSE)</f>
        <v>240</v>
      </c>
      <c r="BO78" s="14">
        <f t="shared" si="35"/>
        <v>32</v>
      </c>
      <c r="BP78" s="14">
        <f t="shared" si="36"/>
        <v>0</v>
      </c>
      <c r="BQ78" s="14">
        <f t="shared" si="37"/>
        <v>208</v>
      </c>
      <c r="BR78" s="34" t="e">
        <f>HLOOKUP(J78,Villagers!$B$1:$V$33,L78+3,FALSE)-HLOOKUP(J78,Villagers!$B$1:$V$33,L78+2,FALSE)</f>
        <v>#N/A</v>
      </c>
      <c r="BS78" s="49">
        <f t="shared" si="38"/>
        <v>1</v>
      </c>
      <c r="BT78" s="50">
        <f t="shared" si="39"/>
        <v>0</v>
      </c>
      <c r="BU78" s="50">
        <f t="shared" si="40"/>
        <v>0</v>
      </c>
      <c r="BV78" s="50">
        <f t="shared" si="120"/>
        <v>0</v>
      </c>
      <c r="BW78" s="50">
        <f t="shared" si="121"/>
        <v>0</v>
      </c>
      <c r="BX78" s="50">
        <f t="shared" si="122"/>
        <v>0</v>
      </c>
      <c r="BY78" s="50">
        <f t="shared" si="122"/>
        <v>0</v>
      </c>
      <c r="BZ78" s="50">
        <f t="shared" si="44"/>
        <v>0</v>
      </c>
      <c r="CA78" s="50">
        <f t="shared" si="45"/>
        <v>0</v>
      </c>
      <c r="CB78" s="50">
        <f t="shared" si="46"/>
        <v>1</v>
      </c>
      <c r="CC78" s="50">
        <f t="shared" si="47"/>
        <v>0</v>
      </c>
      <c r="CD78" s="50">
        <f t="shared" si="48"/>
        <v>0</v>
      </c>
      <c r="CE78" s="50">
        <f t="shared" si="49"/>
        <v>1</v>
      </c>
      <c r="CF78" s="50">
        <f t="shared" si="50"/>
        <v>1</v>
      </c>
      <c r="CG78" s="50">
        <f t="shared" si="51"/>
        <v>1</v>
      </c>
      <c r="CH78" s="50">
        <f t="shared" si="52"/>
        <v>1</v>
      </c>
      <c r="CI78" s="50">
        <f t="shared" si="53"/>
        <v>1</v>
      </c>
      <c r="CJ78" s="50">
        <f t="shared" si="54"/>
        <v>1</v>
      </c>
      <c r="CK78" s="50">
        <f t="shared" si="55"/>
        <v>0</v>
      </c>
      <c r="CL78" s="50">
        <f t="shared" si="54"/>
        <v>0</v>
      </c>
      <c r="CM78" s="51">
        <f t="shared" si="56"/>
        <v>0</v>
      </c>
      <c r="CN78" s="33">
        <f>ROUND(IF(BS78=0,0,HLOOKUP(BS$14,Villagers!$B$1:$V$33,BS78+3,FALSE)),)</f>
        <v>5</v>
      </c>
      <c r="CO78" s="14">
        <f>ROUND(IF(BT78=0,0,HLOOKUP(BT$14,Villagers!$B$1:$V$33,BT78+3,FALSE)),)</f>
        <v>0</v>
      </c>
      <c r="CP78" s="14">
        <f>ROUND(IF(BU78=0,0,HLOOKUP(BU$14,Villagers!$B$1:$V$33,BU78+3,FALSE)),)</f>
        <v>0</v>
      </c>
      <c r="CQ78" s="14">
        <f>ROUND(IF(BV78=0,0,HLOOKUP(BV$14,Villagers!$B$1:$V$33,BV78+3,FALSE)),)</f>
        <v>0</v>
      </c>
      <c r="CR78" s="14">
        <f>ROUND(IF(BW78=0,0,HLOOKUP(BW$14,Villagers!$B$1:$V$33,BW78+3,FALSE)),)</f>
        <v>0</v>
      </c>
      <c r="CS78" s="14">
        <f>ROUND(IF(BX78=0,0,HLOOKUP(BX$14,Villagers!$B$1:$V$33,BX78+3,FALSE)),)</f>
        <v>0</v>
      </c>
      <c r="CT78" s="14">
        <f>ROUND(IF(BY78=0,0,HLOOKUP(BY$14,Villagers!$B$1:$V$33,BY78+3,FALSE)),)</f>
        <v>0</v>
      </c>
      <c r="CU78" s="14">
        <f>ROUND(IF(BZ78=0,0,HLOOKUP(BZ$14,Villagers!$B$1:$V$33,BZ78+3,FALSE)),)</f>
        <v>0</v>
      </c>
      <c r="CV78" s="14">
        <f>ROUND(IF(CA78=0,0,HLOOKUP(CA$14,Villagers!$B$1:$V$33,CA78+3,FALSE)),)</f>
        <v>0</v>
      </c>
      <c r="CW78" s="14">
        <f>ROUND(IF(CB78=0,0,HLOOKUP(CB$14,Villagers!$B$1:$V$33,CB78+3,FALSE)),)</f>
        <v>0</v>
      </c>
      <c r="CX78" s="14">
        <f>ROUND(IF(CC78=0,0,HLOOKUP(CC$14,Villagers!$B$1:$V$33,CC78+3,FALSE)),)</f>
        <v>0</v>
      </c>
      <c r="CY78" s="14">
        <f>ROUND(IF(CD78=0,0,HLOOKUP(CD$14,Villagers!$B$1:$V$33,CD78+3,FALSE)),)</f>
        <v>0</v>
      </c>
      <c r="CZ78" s="14">
        <f>ROUND(IF(CE78=0,0,HLOOKUP(CE$14,Villagers!$B$1:$V$33,CE78+3,FALSE)),)</f>
        <v>5</v>
      </c>
      <c r="DA78" s="14">
        <f>ROUND(IF(CF78=0,0,HLOOKUP(CF$14,Villagers!$B$1:$V$33,CF78+3,FALSE)),)</f>
        <v>10</v>
      </c>
      <c r="DB78" s="14">
        <f>ROUND(IF(CG78=0,0,HLOOKUP(CG$14,Villagers!$B$1:$V$33,CG78+3,FALSE)),)</f>
        <v>10</v>
      </c>
      <c r="DC78" s="14">
        <f>ROUND(IF(CH78=0,0,HLOOKUP(CH$14,Villagers!$B$1:$V$33,CH78+3,FALSE)),)</f>
        <v>0</v>
      </c>
      <c r="DD78" s="14">
        <f>ROUND(IF(CI78=0,0,HLOOKUP(CI$14,Villagers!$B$1:$V$33,CI78+3,FALSE)),)</f>
        <v>0</v>
      </c>
      <c r="DE78" s="14">
        <f>ROUND(IF(CJ78=0,0,HLOOKUP(CJ$14,Villagers!$B$1:$V$33,CJ78+3,FALSE)),)</f>
        <v>2</v>
      </c>
      <c r="DF78" s="370">
        <f>ROUND(IF(CK78=0,0,HLOOKUP(CK$14,Villagers!$B$1:$V$33,CK78+3,FALSE)),)</f>
        <v>0</v>
      </c>
      <c r="DG78" s="370">
        <f>ROUND(IF(CL78=0,0,HLOOKUP(CL$14,Villagers!$B$1:$V$33,CL78+3,FALSE)),)</f>
        <v>0</v>
      </c>
      <c r="DH78" s="34">
        <f>ROUND(IF(CM78=0,0,HLOOKUP(CM$14,Villagers!$B$1:$V$33,CM78+3,FALSE)),)</f>
        <v>0</v>
      </c>
      <c r="DI78" s="109">
        <f t="shared" si="74"/>
        <v>0</v>
      </c>
      <c r="DJ78" s="50">
        <f t="shared" si="75"/>
        <v>0</v>
      </c>
      <c r="DK78" s="50">
        <f t="shared" si="76"/>
        <v>0</v>
      </c>
      <c r="DL78" s="50">
        <f t="shared" si="77"/>
        <v>0</v>
      </c>
      <c r="DM78" s="50">
        <f t="shared" si="78"/>
        <v>0</v>
      </c>
      <c r="DN78" s="50">
        <f t="shared" si="79"/>
        <v>0</v>
      </c>
      <c r="DO78" s="50">
        <f t="shared" si="80"/>
        <v>0</v>
      </c>
      <c r="DP78" s="50">
        <f t="shared" si="81"/>
        <v>0</v>
      </c>
      <c r="DQ78" s="50">
        <f t="shared" si="58"/>
        <v>0</v>
      </c>
      <c r="DR78" s="50">
        <f t="shared" si="59"/>
        <v>0</v>
      </c>
      <c r="DS78" s="96">
        <f>Miscelaneous!$D$4*Miscelaneous!$D$2^($CI78-1)</f>
        <v>1000</v>
      </c>
      <c r="DT78" s="333">
        <f t="shared" si="60"/>
        <v>1</v>
      </c>
      <c r="DU78" s="81">
        <v>1</v>
      </c>
      <c r="DV78" s="79">
        <f t="shared" si="61"/>
        <v>0</v>
      </c>
      <c r="DW78" s="79">
        <f t="shared" si="21"/>
        <v>0</v>
      </c>
      <c r="DX78" s="79">
        <f t="shared" si="62"/>
        <v>0</v>
      </c>
      <c r="DY78" s="79">
        <v>1</v>
      </c>
      <c r="DZ78" s="79">
        <f t="shared" si="22"/>
        <v>0</v>
      </c>
      <c r="EA78" s="79">
        <f t="shared" si="63"/>
        <v>0</v>
      </c>
      <c r="EB78" s="79">
        <f t="shared" si="64"/>
        <v>0</v>
      </c>
      <c r="EC78" s="79">
        <f t="shared" si="65"/>
        <v>0</v>
      </c>
      <c r="ED78" s="79">
        <v>1</v>
      </c>
      <c r="EE78" s="79">
        <v>1</v>
      </c>
      <c r="EF78" s="79">
        <f t="shared" si="66"/>
        <v>0</v>
      </c>
      <c r="EG78" s="79">
        <v>1</v>
      </c>
      <c r="EH78" s="79">
        <v>1</v>
      </c>
      <c r="EI78" s="79">
        <v>1</v>
      </c>
      <c r="EJ78" s="79">
        <v>1</v>
      </c>
      <c r="EK78" s="79">
        <v>1</v>
      </c>
      <c r="EL78" s="79">
        <v>1</v>
      </c>
      <c r="EM78" s="143">
        <f t="shared" si="67"/>
        <v>0</v>
      </c>
      <c r="EN78" s="143">
        <f t="shared" si="68"/>
        <v>0</v>
      </c>
      <c r="EO78" s="82">
        <f t="shared" si="69"/>
        <v>0</v>
      </c>
    </row>
    <row r="79" spans="1:145" x14ac:dyDescent="0.25">
      <c r="A79">
        <v>65</v>
      </c>
      <c r="B79" s="172" t="e">
        <f t="shared" si="23"/>
        <v>#N/A</v>
      </c>
      <c r="C79" s="121" t="e">
        <f t="shared" ref="C79:E79" si="153">AJ79-SUM(AB79:AB83)</f>
        <v>#N/A</v>
      </c>
      <c r="D79" s="122" t="e">
        <f t="shared" si="153"/>
        <v>#N/A</v>
      </c>
      <c r="E79" s="122" t="e">
        <f t="shared" si="153"/>
        <v>#N/A</v>
      </c>
      <c r="F79" s="176" t="e">
        <f t="shared" ref="F79:F142" si="154">IF(AND(MAX(C79:E79)&gt;0,DS79-MAX(C79:E79)&lt;DS79),DS79-MAX(C79:E79),DS79)</f>
        <v>#N/A</v>
      </c>
      <c r="G79" s="121">
        <f t="shared" si="25"/>
        <v>208</v>
      </c>
      <c r="H79" s="176" t="e">
        <f t="shared" si="26"/>
        <v>#N/A</v>
      </c>
      <c r="I79" s="48">
        <v>1</v>
      </c>
      <c r="J79" s="39"/>
      <c r="K79" s="350">
        <v>1</v>
      </c>
      <c r="L79" s="34" t="e">
        <f t="shared" ref="L79:L142" si="155">HLOOKUP(J79,$BS$14:$CM$508,A80,FALSE)+K79</f>
        <v>#N/A</v>
      </c>
      <c r="M79" s="38" t="e">
        <f>(HLOOKUP(J79,'Construction Times'!$B$3:$W$34,L79+2,FALSE)*HLOOKUP("hq modifier",'Construction Times'!$W$3:$W$34,BS79+2,FALSE))*(1-$H$9)</f>
        <v>#N/A</v>
      </c>
      <c r="N79" s="426" t="e">
        <f t="shared" si="27"/>
        <v>#N/A</v>
      </c>
      <c r="O79" s="427"/>
      <c r="P79" s="430" t="e">
        <f t="shared" si="28"/>
        <v>#N/A</v>
      </c>
      <c r="Q79" s="431"/>
      <c r="R79" s="103">
        <f t="shared" si="71"/>
        <v>0</v>
      </c>
      <c r="S79" s="104">
        <f t="shared" si="71"/>
        <v>0</v>
      </c>
      <c r="T79" s="104">
        <f t="shared" si="72"/>
        <v>0</v>
      </c>
      <c r="U79" s="104">
        <f t="shared" si="72"/>
        <v>0</v>
      </c>
      <c r="V79" s="104">
        <f t="shared" si="72"/>
        <v>9.9999999999999995E-8</v>
      </c>
      <c r="W79" s="104">
        <f t="shared" si="72"/>
        <v>0</v>
      </c>
      <c r="X79" s="104">
        <f t="shared" si="116"/>
        <v>0</v>
      </c>
      <c r="Y79" s="104">
        <f t="shared" si="116"/>
        <v>9.9999999999999995E-8</v>
      </c>
      <c r="Z79" s="104">
        <f t="shared" si="116"/>
        <v>9.9999999999999995E-8</v>
      </c>
      <c r="AA79" s="105">
        <f t="shared" si="116"/>
        <v>9.9999999999999995E-8</v>
      </c>
      <c r="AB79" s="101" t="e">
        <f>$DT79*HLOOKUP($J79,'Construction Costs (timber)'!$B$1:$V$32,'Construction Planner'!$L79+2,FALSE)</f>
        <v>#N/A</v>
      </c>
      <c r="AC79" s="14" t="e">
        <f>$DT79*HLOOKUP($J79,'Construction Costs (clay)'!$B$1:$V$32,'Construction Planner'!$L79+2,FALSE)</f>
        <v>#N/A</v>
      </c>
      <c r="AD79" s="14" t="e">
        <f>$DT79*HLOOKUP($J79,'Construction Costs (iron)'!$B$1:$V$32,'Construction Planner'!$L79+2,FALSE)</f>
        <v>#N/A</v>
      </c>
      <c r="AE79" s="34" t="e">
        <f t="shared" si="86"/>
        <v>#N/A</v>
      </c>
      <c r="AF79" s="33" t="e">
        <f t="shared" ref="AF79:AF142" si="156">AB79*($AH$3/$M79)</f>
        <v>#N/A</v>
      </c>
      <c r="AG79" s="14" t="e">
        <f t="shared" ref="AG79:AG142" si="157">AC79*($AH$3/$M79)</f>
        <v>#N/A</v>
      </c>
      <c r="AH79" s="14" t="e">
        <f t="shared" ref="AH79:AH142" si="158">AD79*($AH$3/$M79)</f>
        <v>#N/A</v>
      </c>
      <c r="AI79" s="34" t="e">
        <f t="shared" si="87"/>
        <v>#N/A</v>
      </c>
      <c r="AJ79" s="49" t="e">
        <f t="shared" si="31"/>
        <v>#N/A</v>
      </c>
      <c r="AK79" s="49" t="e">
        <f t="shared" si="32"/>
        <v>#N/A</v>
      </c>
      <c r="AL79" s="49" t="e">
        <f t="shared" si="33"/>
        <v>#N/A</v>
      </c>
      <c r="AM79" s="25">
        <f t="shared" ref="AM79:AM142" si="159">IF(CE79 = 0,$E$3*5,$E$3*30*1.163118^(CE79-1))*(1+$B$10)</f>
        <v>30</v>
      </c>
      <c r="AN79" s="25">
        <f t="shared" ref="AN79:AN142" si="160">IF(CF79 = 0,$E$3*5,$E$3*30*1.163118^(CF79-1))*(1+$B$10)</f>
        <v>30</v>
      </c>
      <c r="AO79" s="25">
        <f t="shared" ref="AO79:AO142" si="161">IF(CG79 = 0,$E$3*5,$E$3*30*1.163118^(CG79-1))*(1+$B$10)</f>
        <v>30</v>
      </c>
      <c r="AP79" s="52" t="e">
        <f t="shared" si="34"/>
        <v>#N/A</v>
      </c>
      <c r="AQ79" s="53" t="e">
        <f t="shared" si="34"/>
        <v>#N/A</v>
      </c>
      <c r="AR79" s="54" t="e">
        <f t="shared" si="34"/>
        <v>#N/A</v>
      </c>
      <c r="AS79" s="316">
        <f t="shared" si="88"/>
        <v>0</v>
      </c>
      <c r="AT79" s="106">
        <f>_xlfn.IFNA($M79/VLOOKUP($BT79,'Unit information'!$A$2:$K$29,2,FALSE)*R79,0)*(1+$E$9)</f>
        <v>0</v>
      </c>
      <c r="AU79" s="107">
        <f>_xlfn.IFNA($M79/VLOOKUP($BT79,'Unit information'!$A$2:$K$29,3,FALSE)*S79,0)*(1+$E$9)</f>
        <v>0</v>
      </c>
      <c r="AV79" s="107">
        <f>_xlfn.IFNA($M79/VLOOKUP($BT79,'Unit information'!$A$2:$K$29,4,FALSE)*T79,0)*(1+$E$9)</f>
        <v>0</v>
      </c>
      <c r="AW79" s="107">
        <f>_xlfn.IFNA($M79/VLOOKUP($BT79,'Unit information'!$A$2:$K$29,5,FALSE)*U79,0)*(1+$E$9)</f>
        <v>0</v>
      </c>
      <c r="AX79" s="107">
        <f>_xlfn.IFNA($M79/VLOOKUP($BU79,'Unit information'!$A$2:$K$29,6,FALSE)*V79,0)*(1+$E$9)</f>
        <v>0</v>
      </c>
      <c r="AY79" s="107">
        <f>_xlfn.IFNA($M79/VLOOKUP($BU79,'Unit information'!$A$2:$K$29,7,FALSE)*W79,0)*(1+$E$9)</f>
        <v>0</v>
      </c>
      <c r="AZ79" s="107">
        <f>_xlfn.IFNA($M79/VLOOKUP($BU79,'Unit information'!$A$2:$K$29,8,FALSE)*X79,0)*(1+$E$9)</f>
        <v>0</v>
      </c>
      <c r="BA79" s="107">
        <f>_xlfn.IFNA($M79/VLOOKUP($BU79,'Unit information'!$A$2:$K$29,9,FALSE)*Y79,0)*(1+$E$9)</f>
        <v>0</v>
      </c>
      <c r="BB79" s="107">
        <f>_xlfn.IFNA($M79/VLOOKUP($BV79,'Unit information'!$A$2:$K$29,10,FALSE)*Z79,0)*(1+$E$9)</f>
        <v>0</v>
      </c>
      <c r="BC79" s="108">
        <f>_xlfn.IFNA($M79/VLOOKUP($BV79,'Unit information'!$A$2:$K$29,11,FALSE)*AA79,0)*(1+$E$9)</f>
        <v>0</v>
      </c>
      <c r="BD79" s="106">
        <f t="shared" ref="BD79:BD142" si="162">$AT79*50+$AU79*30+$AV79*60+$AX79*50+$AY79*125+$BA79*200+$BB79*300+$BC79*320</f>
        <v>0</v>
      </c>
      <c r="BE79" s="107">
        <f t="shared" ref="BE79:BE142" si="163">$AT79*30+$AU79*30+$AV79*30+$AX79*50+$AY79*100+$BA79*150+$BB79*200+$BC79*400</f>
        <v>0</v>
      </c>
      <c r="BF79" s="108">
        <f t="shared" ref="BF79:BF142" si="164">$AT79*10+$AU79*70+$AV79*40+$AX79*20+$AY79*250+$BA79*600+$BB79*200+$BC79*100</f>
        <v>0</v>
      </c>
      <c r="BG79" s="25" t="e">
        <f t="shared" ref="BG79:BG142" si="165">AM79+AP79</f>
        <v>#N/A</v>
      </c>
      <c r="BH79" s="25" t="e">
        <f t="shared" ref="BH79:BH142" si="166">AN79+AQ79</f>
        <v>#N/A</v>
      </c>
      <c r="BI79" s="25" t="e">
        <f t="shared" ref="BI79:BI142" si="167">AO79+AR79</f>
        <v>#N/A</v>
      </c>
      <c r="BJ79" s="27" t="e">
        <f t="shared" ref="BJ79:BJ142" si="168">IF(AJ79&gt;AB79,0,(AB79-AJ79)/BG79*$AK$3)</f>
        <v>#N/A</v>
      </c>
      <c r="BK79" s="18" t="e">
        <f t="shared" ref="BK79:BK142" si="169">IF(AK79&gt;AC79,0,(AC79-AK79)/BH79*$AK$3)</f>
        <v>#N/A</v>
      </c>
      <c r="BL79" s="18" t="e">
        <f t="shared" ref="BL79:BL142" si="170">IF(AL79&gt;AD79,0,(AD79-AL79)/BI79*$AK$3)</f>
        <v>#N/A</v>
      </c>
      <c r="BM79" s="28" t="e">
        <f t="shared" si="89"/>
        <v>#N/A</v>
      </c>
      <c r="BN79" s="33">
        <f>HLOOKUP("maximum population",Miscelaneous!$C$1:$C$33,CH79+3,FALSE)</f>
        <v>240</v>
      </c>
      <c r="BO79" s="14">
        <f t="shared" si="35"/>
        <v>32</v>
      </c>
      <c r="BP79" s="14">
        <f t="shared" si="36"/>
        <v>0</v>
      </c>
      <c r="BQ79" s="14">
        <f t="shared" si="37"/>
        <v>208</v>
      </c>
      <c r="BR79" s="34" t="e">
        <f>HLOOKUP(J79,Villagers!$B$1:$V$33,L79+3,FALSE)-HLOOKUP(J79,Villagers!$B$1:$V$33,L79+2,FALSE)</f>
        <v>#N/A</v>
      </c>
      <c r="BS79" s="49">
        <f t="shared" si="38"/>
        <v>1</v>
      </c>
      <c r="BT79" s="50">
        <f t="shared" si="39"/>
        <v>0</v>
      </c>
      <c r="BU79" s="50">
        <f t="shared" si="40"/>
        <v>0</v>
      </c>
      <c r="BV79" s="50">
        <f t="shared" si="120"/>
        <v>0</v>
      </c>
      <c r="BW79" s="50">
        <f t="shared" si="121"/>
        <v>0</v>
      </c>
      <c r="BX79" s="50">
        <f t="shared" si="122"/>
        <v>0</v>
      </c>
      <c r="BY79" s="50">
        <f t="shared" si="122"/>
        <v>0</v>
      </c>
      <c r="BZ79" s="50">
        <f t="shared" si="44"/>
        <v>0</v>
      </c>
      <c r="CA79" s="50">
        <f t="shared" si="45"/>
        <v>0</v>
      </c>
      <c r="CB79" s="50">
        <f t="shared" si="46"/>
        <v>1</v>
      </c>
      <c r="CC79" s="50">
        <f t="shared" si="47"/>
        <v>0</v>
      </c>
      <c r="CD79" s="50">
        <f t="shared" si="48"/>
        <v>0</v>
      </c>
      <c r="CE79" s="50">
        <f t="shared" si="49"/>
        <v>1</v>
      </c>
      <c r="CF79" s="50">
        <f t="shared" si="50"/>
        <v>1</v>
      </c>
      <c r="CG79" s="50">
        <f t="shared" si="51"/>
        <v>1</v>
      </c>
      <c r="CH79" s="50">
        <f t="shared" si="52"/>
        <v>1</v>
      </c>
      <c r="CI79" s="50">
        <f t="shared" si="53"/>
        <v>1</v>
      </c>
      <c r="CJ79" s="50">
        <f t="shared" si="54"/>
        <v>1</v>
      </c>
      <c r="CK79" s="50">
        <f t="shared" si="55"/>
        <v>0</v>
      </c>
      <c r="CL79" s="50">
        <f t="shared" si="54"/>
        <v>0</v>
      </c>
      <c r="CM79" s="51">
        <f t="shared" si="56"/>
        <v>0</v>
      </c>
      <c r="CN79" s="33">
        <f>ROUND(IF(BS79=0,0,HLOOKUP(BS$14,Villagers!$B$1:$V$33,BS79+3,FALSE)),)</f>
        <v>5</v>
      </c>
      <c r="CO79" s="14">
        <f>ROUND(IF(BT79=0,0,HLOOKUP(BT$14,Villagers!$B$1:$V$33,BT79+3,FALSE)),)</f>
        <v>0</v>
      </c>
      <c r="CP79" s="14">
        <f>ROUND(IF(BU79=0,0,HLOOKUP(BU$14,Villagers!$B$1:$V$33,BU79+3,FALSE)),)</f>
        <v>0</v>
      </c>
      <c r="CQ79" s="14">
        <f>ROUND(IF(BV79=0,0,HLOOKUP(BV$14,Villagers!$B$1:$V$33,BV79+3,FALSE)),)</f>
        <v>0</v>
      </c>
      <c r="CR79" s="14">
        <f>ROUND(IF(BW79=0,0,HLOOKUP(BW$14,Villagers!$B$1:$V$33,BW79+3,FALSE)),)</f>
        <v>0</v>
      </c>
      <c r="CS79" s="14">
        <f>ROUND(IF(BX79=0,0,HLOOKUP(BX$14,Villagers!$B$1:$V$33,BX79+3,FALSE)),)</f>
        <v>0</v>
      </c>
      <c r="CT79" s="14">
        <f>ROUND(IF(BY79=0,0,HLOOKUP(BY$14,Villagers!$B$1:$V$33,BY79+3,FALSE)),)</f>
        <v>0</v>
      </c>
      <c r="CU79" s="14">
        <f>ROUND(IF(BZ79=0,0,HLOOKUP(BZ$14,Villagers!$B$1:$V$33,BZ79+3,FALSE)),)</f>
        <v>0</v>
      </c>
      <c r="CV79" s="14">
        <f>ROUND(IF(CA79=0,0,HLOOKUP(CA$14,Villagers!$B$1:$V$33,CA79+3,FALSE)),)</f>
        <v>0</v>
      </c>
      <c r="CW79" s="14">
        <f>ROUND(IF(CB79=0,0,HLOOKUP(CB$14,Villagers!$B$1:$V$33,CB79+3,FALSE)),)</f>
        <v>0</v>
      </c>
      <c r="CX79" s="14">
        <f>ROUND(IF(CC79=0,0,HLOOKUP(CC$14,Villagers!$B$1:$V$33,CC79+3,FALSE)),)</f>
        <v>0</v>
      </c>
      <c r="CY79" s="14">
        <f>ROUND(IF(CD79=0,0,HLOOKUP(CD$14,Villagers!$B$1:$V$33,CD79+3,FALSE)),)</f>
        <v>0</v>
      </c>
      <c r="CZ79" s="14">
        <f>ROUND(IF(CE79=0,0,HLOOKUP(CE$14,Villagers!$B$1:$V$33,CE79+3,FALSE)),)</f>
        <v>5</v>
      </c>
      <c r="DA79" s="14">
        <f>ROUND(IF(CF79=0,0,HLOOKUP(CF$14,Villagers!$B$1:$V$33,CF79+3,FALSE)),)</f>
        <v>10</v>
      </c>
      <c r="DB79" s="14">
        <f>ROUND(IF(CG79=0,0,HLOOKUP(CG$14,Villagers!$B$1:$V$33,CG79+3,FALSE)),)</f>
        <v>10</v>
      </c>
      <c r="DC79" s="14">
        <f>ROUND(IF(CH79=0,0,HLOOKUP(CH$14,Villagers!$B$1:$V$33,CH79+3,FALSE)),)</f>
        <v>0</v>
      </c>
      <c r="DD79" s="14">
        <f>ROUND(IF(CI79=0,0,HLOOKUP(CI$14,Villagers!$B$1:$V$33,CI79+3,FALSE)),)</f>
        <v>0</v>
      </c>
      <c r="DE79" s="14">
        <f>ROUND(IF(CJ79=0,0,HLOOKUP(CJ$14,Villagers!$B$1:$V$33,CJ79+3,FALSE)),)</f>
        <v>2</v>
      </c>
      <c r="DF79" s="370">
        <f>ROUND(IF(CK79=0,0,HLOOKUP(CK$14,Villagers!$B$1:$V$33,CK79+3,FALSE)),)</f>
        <v>0</v>
      </c>
      <c r="DG79" s="370">
        <f>ROUND(IF(CL79=0,0,HLOOKUP(CL$14,Villagers!$B$1:$V$33,CL79+3,FALSE)),)</f>
        <v>0</v>
      </c>
      <c r="DH79" s="34">
        <f>ROUND(IF(CM79=0,0,HLOOKUP(CM$14,Villagers!$B$1:$V$33,CM79+3,FALSE)),)</f>
        <v>0</v>
      </c>
      <c r="DI79" s="109">
        <f t="shared" si="74"/>
        <v>0</v>
      </c>
      <c r="DJ79" s="50">
        <f t="shared" si="75"/>
        <v>0</v>
      </c>
      <c r="DK79" s="50">
        <f t="shared" si="76"/>
        <v>0</v>
      </c>
      <c r="DL79" s="50">
        <f t="shared" si="77"/>
        <v>0</v>
      </c>
      <c r="DM79" s="50">
        <f t="shared" si="78"/>
        <v>0</v>
      </c>
      <c r="DN79" s="50">
        <f t="shared" si="79"/>
        <v>0</v>
      </c>
      <c r="DO79" s="50">
        <f t="shared" si="80"/>
        <v>0</v>
      </c>
      <c r="DP79" s="50">
        <f t="shared" si="81"/>
        <v>0</v>
      </c>
      <c r="DQ79" s="50">
        <f t="shared" si="58"/>
        <v>0</v>
      </c>
      <c r="DR79" s="50">
        <f t="shared" si="59"/>
        <v>0</v>
      </c>
      <c r="DS79" s="96">
        <f>Miscelaneous!$D$4*Miscelaneous!$D$2^($CI79-1)</f>
        <v>1000</v>
      </c>
      <c r="DT79" s="333">
        <f t="shared" ref="DT79:DT142" si="171">IF(I79&lt;3,1,1.125^(I79-3))</f>
        <v>1</v>
      </c>
      <c r="DU79" s="81">
        <v>1</v>
      </c>
      <c r="DV79" s="79">
        <f t="shared" si="61"/>
        <v>0</v>
      </c>
      <c r="DW79" s="79">
        <f t="shared" si="21"/>
        <v>0</v>
      </c>
      <c r="DX79" s="79">
        <f t="shared" si="62"/>
        <v>0</v>
      </c>
      <c r="DY79" s="79">
        <v>1</v>
      </c>
      <c r="DZ79" s="79">
        <f t="shared" si="22"/>
        <v>0</v>
      </c>
      <c r="EA79" s="79">
        <f t="shared" si="63"/>
        <v>0</v>
      </c>
      <c r="EB79" s="79">
        <f t="shared" si="64"/>
        <v>0</v>
      </c>
      <c r="EC79" s="79">
        <f t="shared" si="65"/>
        <v>0</v>
      </c>
      <c r="ED79" s="79">
        <v>1</v>
      </c>
      <c r="EE79" s="79">
        <v>1</v>
      </c>
      <c r="EF79" s="79">
        <f t="shared" si="66"/>
        <v>0</v>
      </c>
      <c r="EG79" s="79">
        <v>1</v>
      </c>
      <c r="EH79" s="79">
        <v>1</v>
      </c>
      <c r="EI79" s="79">
        <v>1</v>
      </c>
      <c r="EJ79" s="79">
        <v>1</v>
      </c>
      <c r="EK79" s="79">
        <v>1</v>
      </c>
      <c r="EL79" s="79">
        <v>1</v>
      </c>
      <c r="EM79" s="143">
        <f t="shared" si="67"/>
        <v>0</v>
      </c>
      <c r="EN79" s="143">
        <f t="shared" si="68"/>
        <v>0</v>
      </c>
      <c r="EO79" s="82">
        <f t="shared" si="69"/>
        <v>0</v>
      </c>
    </row>
    <row r="80" spans="1:145" x14ac:dyDescent="0.25">
      <c r="A80">
        <v>66</v>
      </c>
      <c r="B80" s="172" t="e">
        <f t="shared" ref="B80:B143" si="172">BM80</f>
        <v>#N/A</v>
      </c>
      <c r="C80" s="121" t="e">
        <f t="shared" ref="C80:E80" si="173">AJ80-SUM(AB80:AB84)</f>
        <v>#N/A</v>
      </c>
      <c r="D80" s="122" t="e">
        <f t="shared" si="173"/>
        <v>#N/A</v>
      </c>
      <c r="E80" s="122" t="e">
        <f t="shared" si="173"/>
        <v>#N/A</v>
      </c>
      <c r="F80" s="176" t="e">
        <f t="shared" si="154"/>
        <v>#N/A</v>
      </c>
      <c r="G80" s="121">
        <f t="shared" ref="G80:G143" si="174">BQ80</f>
        <v>208</v>
      </c>
      <c r="H80" s="176" t="e">
        <f t="shared" ref="H80:H143" si="175">BQ80-SUM(BR80:BR84)</f>
        <v>#N/A</v>
      </c>
      <c r="I80" s="48">
        <v>1</v>
      </c>
      <c r="J80" s="39"/>
      <c r="K80" s="350">
        <v>1</v>
      </c>
      <c r="L80" s="34" t="e">
        <f t="shared" si="155"/>
        <v>#N/A</v>
      </c>
      <c r="M80" s="38" t="e">
        <f>(HLOOKUP(J80,'Construction Times'!$B$3:$W$34,L80+2,FALSE)*HLOOKUP("hq modifier",'Construction Times'!$W$3:$W$34,BS80+2,FALSE))*(1-$H$9)</f>
        <v>#N/A</v>
      </c>
      <c r="N80" s="426" t="e">
        <f t="shared" ref="N80:N143" si="176">P79+M79</f>
        <v>#N/A</v>
      </c>
      <c r="O80" s="427"/>
      <c r="P80" s="430" t="e">
        <f t="shared" ref="P80:P143" si="177">IF(MAX(AB80:AD80)&gt;DS80,"Speicher zu klein",IF(HLOOKUP(J80,$DU$14:$EO$509,A80+2,FALSE)=0,"Gebäude Vor. nicht erfüllt",N80+BM80))</f>
        <v>#N/A</v>
      </c>
      <c r="Q80" s="431"/>
      <c r="R80" s="103">
        <f t="shared" si="71"/>
        <v>0</v>
      </c>
      <c r="S80" s="104">
        <f t="shared" si="71"/>
        <v>0</v>
      </c>
      <c r="T80" s="104">
        <f t="shared" si="72"/>
        <v>0</v>
      </c>
      <c r="U80" s="104">
        <f t="shared" si="72"/>
        <v>0</v>
      </c>
      <c r="V80" s="104">
        <f t="shared" si="72"/>
        <v>9.9999999999999995E-8</v>
      </c>
      <c r="W80" s="104">
        <f t="shared" si="72"/>
        <v>0</v>
      </c>
      <c r="X80" s="104">
        <f t="shared" si="116"/>
        <v>0</v>
      </c>
      <c r="Y80" s="104">
        <f t="shared" si="116"/>
        <v>9.9999999999999995E-8</v>
      </c>
      <c r="Z80" s="104">
        <f t="shared" si="116"/>
        <v>9.9999999999999995E-8</v>
      </c>
      <c r="AA80" s="105">
        <f t="shared" si="116"/>
        <v>9.9999999999999995E-8</v>
      </c>
      <c r="AB80" s="101" t="e">
        <f>$DT80*HLOOKUP($J80,'Construction Costs (timber)'!$B$1:$V$32,'Construction Planner'!$L80+2,FALSE)</f>
        <v>#N/A</v>
      </c>
      <c r="AC80" s="14" t="e">
        <f>$DT80*HLOOKUP($J80,'Construction Costs (clay)'!$B$1:$V$32,'Construction Planner'!$L80+2,FALSE)</f>
        <v>#N/A</v>
      </c>
      <c r="AD80" s="14" t="e">
        <f>$DT80*HLOOKUP($J80,'Construction Costs (iron)'!$B$1:$V$32,'Construction Planner'!$L80+2,FALSE)</f>
        <v>#N/A</v>
      </c>
      <c r="AE80" s="34" t="e">
        <f t="shared" si="86"/>
        <v>#N/A</v>
      </c>
      <c r="AF80" s="33" t="e">
        <f t="shared" si="156"/>
        <v>#N/A</v>
      </c>
      <c r="AG80" s="14" t="e">
        <f t="shared" si="157"/>
        <v>#N/A</v>
      </c>
      <c r="AH80" s="14" t="e">
        <f t="shared" si="158"/>
        <v>#N/A</v>
      </c>
      <c r="AI80" s="34" t="e">
        <f t="shared" si="87"/>
        <v>#N/A</v>
      </c>
      <c r="AJ80" s="49" t="e">
        <f t="shared" ref="AJ80:AJ143" si="178">(($N80-$N79)/$AK$3)*BG79+AJ79-AB79-BD79</f>
        <v>#N/A</v>
      </c>
      <c r="AK80" s="49" t="e">
        <f t="shared" ref="AK80:AK143" si="179">(($N80-$N79)/$AK$3)*BH79+AK79-AC79-BE79</f>
        <v>#N/A</v>
      </c>
      <c r="AL80" s="49" t="e">
        <f t="shared" ref="AL80:AL143" si="180">(($N80-$N79)/$AK$3)*BI79+AL79-AD79-BF79</f>
        <v>#N/A</v>
      </c>
      <c r="AM80" s="25">
        <f t="shared" si="159"/>
        <v>30</v>
      </c>
      <c r="AN80" s="25">
        <f t="shared" si="160"/>
        <v>30</v>
      </c>
      <c r="AO80" s="25">
        <f t="shared" si="161"/>
        <v>30</v>
      </c>
      <c r="AP80" s="52" t="e">
        <f t="shared" ref="AP80:AR143" si="181">($N80-$AK$6+$AK$9+1)*$AK$5/24/3*$AS80</f>
        <v>#N/A</v>
      </c>
      <c r="AQ80" s="53" t="e">
        <f t="shared" si="181"/>
        <v>#N/A</v>
      </c>
      <c r="AR80" s="54" t="e">
        <f t="shared" si="181"/>
        <v>#N/A</v>
      </c>
      <c r="AS80" s="316">
        <f t="shared" si="88"/>
        <v>0</v>
      </c>
      <c r="AT80" s="106">
        <f>_xlfn.IFNA($M80/VLOOKUP($BT80,'Unit information'!$A$2:$K$29,2,FALSE)*R80,0)*(1+$E$9)</f>
        <v>0</v>
      </c>
      <c r="AU80" s="107">
        <f>_xlfn.IFNA($M80/VLOOKUP($BT80,'Unit information'!$A$2:$K$29,3,FALSE)*S80,0)*(1+$E$9)</f>
        <v>0</v>
      </c>
      <c r="AV80" s="107">
        <f>_xlfn.IFNA($M80/VLOOKUP($BT80,'Unit information'!$A$2:$K$29,4,FALSE)*T80,0)*(1+$E$9)</f>
        <v>0</v>
      </c>
      <c r="AW80" s="107">
        <f>_xlfn.IFNA($M80/VLOOKUP($BT80,'Unit information'!$A$2:$K$29,5,FALSE)*U80,0)*(1+$E$9)</f>
        <v>0</v>
      </c>
      <c r="AX80" s="107">
        <f>_xlfn.IFNA($M80/VLOOKUP($BU80,'Unit information'!$A$2:$K$29,6,FALSE)*V80,0)*(1+$E$9)</f>
        <v>0</v>
      </c>
      <c r="AY80" s="107">
        <f>_xlfn.IFNA($M80/VLOOKUP($BU80,'Unit information'!$A$2:$K$29,7,FALSE)*W80,0)*(1+$E$9)</f>
        <v>0</v>
      </c>
      <c r="AZ80" s="107">
        <f>_xlfn.IFNA($M80/VLOOKUP($BU80,'Unit information'!$A$2:$K$29,8,FALSE)*X80,0)*(1+$E$9)</f>
        <v>0</v>
      </c>
      <c r="BA80" s="107">
        <f>_xlfn.IFNA($M80/VLOOKUP($BU80,'Unit information'!$A$2:$K$29,9,FALSE)*Y80,0)*(1+$E$9)</f>
        <v>0</v>
      </c>
      <c r="BB80" s="107">
        <f>_xlfn.IFNA($M80/VLOOKUP($BV80,'Unit information'!$A$2:$K$29,10,FALSE)*Z80,0)*(1+$E$9)</f>
        <v>0</v>
      </c>
      <c r="BC80" s="108">
        <f>_xlfn.IFNA($M80/VLOOKUP($BV80,'Unit information'!$A$2:$K$29,11,FALSE)*AA80,0)*(1+$E$9)</f>
        <v>0</v>
      </c>
      <c r="BD80" s="106">
        <f t="shared" si="162"/>
        <v>0</v>
      </c>
      <c r="BE80" s="107">
        <f t="shared" si="163"/>
        <v>0</v>
      </c>
      <c r="BF80" s="108">
        <f t="shared" si="164"/>
        <v>0</v>
      </c>
      <c r="BG80" s="25" t="e">
        <f t="shared" si="165"/>
        <v>#N/A</v>
      </c>
      <c r="BH80" s="25" t="e">
        <f t="shared" si="166"/>
        <v>#N/A</v>
      </c>
      <c r="BI80" s="25" t="e">
        <f t="shared" si="167"/>
        <v>#N/A</v>
      </c>
      <c r="BJ80" s="27" t="e">
        <f t="shared" si="168"/>
        <v>#N/A</v>
      </c>
      <c r="BK80" s="18" t="e">
        <f t="shared" si="169"/>
        <v>#N/A</v>
      </c>
      <c r="BL80" s="18" t="e">
        <f t="shared" si="170"/>
        <v>#N/A</v>
      </c>
      <c r="BM80" s="28" t="e">
        <f t="shared" si="89"/>
        <v>#N/A</v>
      </c>
      <c r="BN80" s="33">
        <f>HLOOKUP("maximum population",Miscelaneous!$C$1:$C$33,CH80+3,FALSE)</f>
        <v>240</v>
      </c>
      <c r="BO80" s="14">
        <f t="shared" ref="BO80:BO143" si="182">SUM(CN81:DH81)</f>
        <v>32</v>
      </c>
      <c r="BP80" s="14">
        <f t="shared" ref="BP80:BP143" si="183">SUM(DI80:DL80)+DM80*2+DN80*4+DO80*5+DP80*6+DQ80*5+DR80*8</f>
        <v>0</v>
      </c>
      <c r="BQ80" s="14">
        <f t="shared" ref="BQ80:BQ143" si="184">BN80-BO80-BP80</f>
        <v>208</v>
      </c>
      <c r="BR80" s="34" t="e">
        <f>HLOOKUP(J80,Villagers!$B$1:$V$33,L80+3,FALSE)-HLOOKUP(J80,Villagers!$B$1:$V$33,L80+2,FALSE)</f>
        <v>#N/A</v>
      </c>
      <c r="BS80" s="49">
        <f t="shared" ref="BS80:BS143" si="185">IF($J79=BS$14,$L79,BS79)</f>
        <v>1</v>
      </c>
      <c r="BT80" s="50">
        <f t="shared" ref="BT80:BT143" si="186">IF($J79=BT$14,$L79,BT79)</f>
        <v>0</v>
      </c>
      <c r="BU80" s="50">
        <f t="shared" ref="BU80:BU143" si="187">IF($J79=BU$14,$L79,BU79)</f>
        <v>0</v>
      </c>
      <c r="BV80" s="50">
        <f t="shared" ref="BV80:BV143" si="188">IF($J79=BV$14,$L79,BV79)</f>
        <v>0</v>
      </c>
      <c r="BW80" s="50">
        <f t="shared" ref="BW80:BW95" si="189">IF($J79=BW$14,$L79,BW79)</f>
        <v>0</v>
      </c>
      <c r="BX80" s="50">
        <f t="shared" ref="BX80:BY95" si="190">IF($J79=BX$14,$L79,BX79)</f>
        <v>0</v>
      </c>
      <c r="BY80" s="50">
        <f t="shared" si="190"/>
        <v>0</v>
      </c>
      <c r="BZ80" s="50">
        <f t="shared" ref="BZ80:BZ94" si="191">IF($J79=BZ$14,$L79,BZ79)</f>
        <v>0</v>
      </c>
      <c r="CA80" s="50">
        <f t="shared" ref="CA80:CA94" si="192">IF($J79=CA$14,$L79,CA79)</f>
        <v>0</v>
      </c>
      <c r="CB80" s="50">
        <f t="shared" ref="CB80:CB94" si="193">IF($J79=CB$14,$L79,CB79)</f>
        <v>1</v>
      </c>
      <c r="CC80" s="50">
        <f t="shared" ref="CC80:CC94" si="194">IF($J79=CC$14,$L79,CC79)</f>
        <v>0</v>
      </c>
      <c r="CD80" s="50">
        <f t="shared" ref="CD80:CD94" si="195">IF($J79=CD$14,$L79,CD79)</f>
        <v>0</v>
      </c>
      <c r="CE80" s="50">
        <f t="shared" ref="CE80:CE94" si="196">IF($J79=CE$14,$L79,CE79)</f>
        <v>1</v>
      </c>
      <c r="CF80" s="50">
        <f t="shared" ref="CF80:CF94" si="197">IF($J79=CF$14,$L79,CF79)</f>
        <v>1</v>
      </c>
      <c r="CG80" s="50">
        <f t="shared" ref="CG80:CG94" si="198">IF($J79=CG$14,$L79,CG79)</f>
        <v>1</v>
      </c>
      <c r="CH80" s="50">
        <f t="shared" ref="CH80:CH94" si="199">IF($J79=CH$14,$L79,CH79)</f>
        <v>1</v>
      </c>
      <c r="CI80" s="50">
        <f t="shared" ref="CI80:CI94" si="200">IF($J79=CI$14,$L79,CI79)</f>
        <v>1</v>
      </c>
      <c r="CJ80" s="50">
        <f t="shared" ref="CJ80:CL94" si="201">IF($J79=CJ$14,$L79,CJ79)</f>
        <v>1</v>
      </c>
      <c r="CK80" s="50">
        <f t="shared" si="201"/>
        <v>0</v>
      </c>
      <c r="CL80" s="50">
        <f t="shared" si="201"/>
        <v>0</v>
      </c>
      <c r="CM80" s="51">
        <f t="shared" ref="CM80:CM94" si="202">IF($J79=CM$14,$L79,CM79)</f>
        <v>0</v>
      </c>
      <c r="CN80" s="33">
        <f>ROUND(IF(BS80=0,0,HLOOKUP(BS$14,Villagers!$B$1:$V$33,BS80+3,FALSE)),)</f>
        <v>5</v>
      </c>
      <c r="CO80" s="14">
        <f>ROUND(IF(BT80=0,0,HLOOKUP(BT$14,Villagers!$B$1:$V$33,BT80+3,FALSE)),)</f>
        <v>0</v>
      </c>
      <c r="CP80" s="14">
        <f>ROUND(IF(BU80=0,0,HLOOKUP(BU$14,Villagers!$B$1:$V$33,BU80+3,FALSE)),)</f>
        <v>0</v>
      </c>
      <c r="CQ80" s="14">
        <f>ROUND(IF(BV80=0,0,HLOOKUP(BV$14,Villagers!$B$1:$V$33,BV80+3,FALSE)),)</f>
        <v>0</v>
      </c>
      <c r="CR80" s="14">
        <f>ROUND(IF(BW80=0,0,HLOOKUP(BW$14,Villagers!$B$1:$V$33,BW80+3,FALSE)),)</f>
        <v>0</v>
      </c>
      <c r="CS80" s="14">
        <f>ROUND(IF(BX80=0,0,HLOOKUP(BX$14,Villagers!$B$1:$V$33,BX80+3,FALSE)),)</f>
        <v>0</v>
      </c>
      <c r="CT80" s="14">
        <f>ROUND(IF(BY80=0,0,HLOOKUP(BY$14,Villagers!$B$1:$V$33,BY80+3,FALSE)),)</f>
        <v>0</v>
      </c>
      <c r="CU80" s="14">
        <f>ROUND(IF(BZ80=0,0,HLOOKUP(BZ$14,Villagers!$B$1:$V$33,BZ80+3,FALSE)),)</f>
        <v>0</v>
      </c>
      <c r="CV80" s="14">
        <f>ROUND(IF(CA80=0,0,HLOOKUP(CA$14,Villagers!$B$1:$V$33,CA80+3,FALSE)),)</f>
        <v>0</v>
      </c>
      <c r="CW80" s="14">
        <f>ROUND(IF(CB80=0,0,HLOOKUP(CB$14,Villagers!$B$1:$V$33,CB80+3,FALSE)),)</f>
        <v>0</v>
      </c>
      <c r="CX80" s="14">
        <f>ROUND(IF(CC80=0,0,HLOOKUP(CC$14,Villagers!$B$1:$V$33,CC80+3,FALSE)),)</f>
        <v>0</v>
      </c>
      <c r="CY80" s="14">
        <f>ROUND(IF(CD80=0,0,HLOOKUP(CD$14,Villagers!$B$1:$V$33,CD80+3,FALSE)),)</f>
        <v>0</v>
      </c>
      <c r="CZ80" s="14">
        <f>ROUND(IF(CE80=0,0,HLOOKUP(CE$14,Villagers!$B$1:$V$33,CE80+3,FALSE)),)</f>
        <v>5</v>
      </c>
      <c r="DA80" s="14">
        <f>ROUND(IF(CF80=0,0,HLOOKUP(CF$14,Villagers!$B$1:$V$33,CF80+3,FALSE)),)</f>
        <v>10</v>
      </c>
      <c r="DB80" s="14">
        <f>ROUND(IF(CG80=0,0,HLOOKUP(CG$14,Villagers!$B$1:$V$33,CG80+3,FALSE)),)</f>
        <v>10</v>
      </c>
      <c r="DC80" s="14">
        <f>ROUND(IF(CH80=0,0,HLOOKUP(CH$14,Villagers!$B$1:$V$33,CH80+3,FALSE)),)</f>
        <v>0</v>
      </c>
      <c r="DD80" s="14">
        <f>ROUND(IF(CI80=0,0,HLOOKUP(CI$14,Villagers!$B$1:$V$33,CI80+3,FALSE)),)</f>
        <v>0</v>
      </c>
      <c r="DE80" s="14">
        <f>ROUND(IF(CJ80=0,0,HLOOKUP(CJ$14,Villagers!$B$1:$V$33,CJ80+3,FALSE)),)</f>
        <v>2</v>
      </c>
      <c r="DF80" s="370">
        <f>ROUND(IF(CK80=0,0,HLOOKUP(CK$14,Villagers!$B$1:$V$33,CK80+3,FALSE)),)</f>
        <v>0</v>
      </c>
      <c r="DG80" s="370">
        <f>ROUND(IF(CL80=0,0,HLOOKUP(CL$14,Villagers!$B$1:$V$33,CL80+3,FALSE)),)</f>
        <v>0</v>
      </c>
      <c r="DH80" s="34">
        <f>ROUND(IF(CM80=0,0,HLOOKUP(CM$14,Villagers!$B$1:$V$33,CM80+3,FALSE)),)</f>
        <v>0</v>
      </c>
      <c r="DI80" s="109">
        <f t="shared" si="74"/>
        <v>0</v>
      </c>
      <c r="DJ80" s="50">
        <f t="shared" si="75"/>
        <v>0</v>
      </c>
      <c r="DK80" s="50">
        <f t="shared" si="76"/>
        <v>0</v>
      </c>
      <c r="DL80" s="50">
        <f t="shared" si="77"/>
        <v>0</v>
      </c>
      <c r="DM80" s="50">
        <f t="shared" si="78"/>
        <v>0</v>
      </c>
      <c r="DN80" s="50">
        <f t="shared" si="79"/>
        <v>0</v>
      </c>
      <c r="DO80" s="50">
        <f t="shared" si="80"/>
        <v>0</v>
      </c>
      <c r="DP80" s="50">
        <f t="shared" si="81"/>
        <v>0</v>
      </c>
      <c r="DQ80" s="50">
        <f t="shared" ref="DQ80:DQ143" si="203">ROUND(_xlfn.IFNA(DQ79+BB80,DQ79),0)</f>
        <v>0</v>
      </c>
      <c r="DR80" s="50">
        <f t="shared" ref="DR80:DR143" si="204">ROUND(_xlfn.IFNA(DR79+BC80,DR79),0)</f>
        <v>0</v>
      </c>
      <c r="DS80" s="96">
        <f>Miscelaneous!$D$4*Miscelaneous!$D$2^($CI80-1)</f>
        <v>1000</v>
      </c>
      <c r="DT80" s="333">
        <f t="shared" si="171"/>
        <v>1</v>
      </c>
      <c r="DU80" s="81">
        <v>1</v>
      </c>
      <c r="DV80" s="79">
        <f t="shared" ref="DV80:DV143" si="205">IF(BS80&gt;2,1,0)</f>
        <v>0</v>
      </c>
      <c r="DW80" s="79">
        <f t="shared" ref="DW80:DW143" si="206">IF(AND(BS80&gt;9,CA80&gt;4,BT80&gt;4)=TRUE,1,0)</f>
        <v>0</v>
      </c>
      <c r="DX80" s="79">
        <f t="shared" ref="DX80:DX143" si="207">IF(AND(BS80&gt;9,CA80&gt;9)=TRUE,1,0)</f>
        <v>0</v>
      </c>
      <c r="DY80" s="79">
        <v>1</v>
      </c>
      <c r="DZ80" s="79">
        <f t="shared" ref="DZ80:DZ143" si="208">IF(AND(BS80&gt;4,CH80&gt;4),1,0)</f>
        <v>0</v>
      </c>
      <c r="EA80" s="79">
        <f t="shared" ref="EA80:EA143" si="209">IF(AND(BS80&gt;4,CH80&gt;4),1,0)</f>
        <v>0</v>
      </c>
      <c r="EB80" s="79">
        <f t="shared" ref="EB80:EB143" si="210">IF(AND(BS80&gt;19,CA80&gt;19,CD80&gt;9)=TRUE,1,0)</f>
        <v>0</v>
      </c>
      <c r="EC80" s="79">
        <f t="shared" ref="EC80:EC143" si="211">IF(AND(BS80&gt;4,BT80&gt;0)=TRUE,1,0)</f>
        <v>0</v>
      </c>
      <c r="ED80" s="79">
        <v>1</v>
      </c>
      <c r="EE80" s="79">
        <v>1</v>
      </c>
      <c r="EF80" s="79">
        <f t="shared" ref="EF80:EF143" si="212">IF(AND(BS80&gt;2,CI80&gt;1),1,0)</f>
        <v>0</v>
      </c>
      <c r="EG80" s="79">
        <v>1</v>
      </c>
      <c r="EH80" s="79">
        <v>1</v>
      </c>
      <c r="EI80" s="79">
        <v>1</v>
      </c>
      <c r="EJ80" s="79">
        <v>1</v>
      </c>
      <c r="EK80" s="79">
        <v>1</v>
      </c>
      <c r="EL80" s="79">
        <v>1</v>
      </c>
      <c r="EM80" s="143">
        <f t="shared" ref="EM80:EM143" si="213">IF(CL80&gt;0,1,0)</f>
        <v>0</v>
      </c>
      <c r="EN80" s="143">
        <f t="shared" ref="EN80:EN143" si="214">IF(BZ80&gt;0,1,0)</f>
        <v>0</v>
      </c>
      <c r="EO80" s="82">
        <f t="shared" ref="EO80:EO143" si="215">IF(BT80&gt;0,1,0)</f>
        <v>0</v>
      </c>
    </row>
    <row r="81" spans="1:145" x14ac:dyDescent="0.25">
      <c r="A81">
        <v>67</v>
      </c>
      <c r="B81" s="172" t="e">
        <f t="shared" si="172"/>
        <v>#N/A</v>
      </c>
      <c r="C81" s="121" t="e">
        <f t="shared" ref="C81:E81" si="216">AJ81-SUM(AB81:AB85)</f>
        <v>#N/A</v>
      </c>
      <c r="D81" s="122" t="e">
        <f t="shared" si="216"/>
        <v>#N/A</v>
      </c>
      <c r="E81" s="122" t="e">
        <f t="shared" si="216"/>
        <v>#N/A</v>
      </c>
      <c r="F81" s="176" t="e">
        <f t="shared" si="154"/>
        <v>#N/A</v>
      </c>
      <c r="G81" s="121">
        <f t="shared" si="174"/>
        <v>208</v>
      </c>
      <c r="H81" s="176" t="e">
        <f t="shared" si="175"/>
        <v>#N/A</v>
      </c>
      <c r="I81" s="48">
        <v>1</v>
      </c>
      <c r="J81" s="39"/>
      <c r="K81" s="350">
        <v>1</v>
      </c>
      <c r="L81" s="34" t="e">
        <f t="shared" si="155"/>
        <v>#N/A</v>
      </c>
      <c r="M81" s="38" t="e">
        <f>(HLOOKUP(J81,'Construction Times'!$B$3:$W$34,L81+2,FALSE)*HLOOKUP("hq modifier",'Construction Times'!$W$3:$W$34,BS81+2,FALSE))*(1-$H$9)</f>
        <v>#N/A</v>
      </c>
      <c r="N81" s="426" t="e">
        <f t="shared" si="176"/>
        <v>#N/A</v>
      </c>
      <c r="O81" s="427"/>
      <c r="P81" s="430" t="e">
        <f t="shared" si="177"/>
        <v>#N/A</v>
      </c>
      <c r="Q81" s="431"/>
      <c r="R81" s="103">
        <f t="shared" ref="R81:S144" si="217">R80</f>
        <v>0</v>
      </c>
      <c r="S81" s="104">
        <f t="shared" si="217"/>
        <v>0</v>
      </c>
      <c r="T81" s="104">
        <f t="shared" ref="T81:W144" si="218">T80</f>
        <v>0</v>
      </c>
      <c r="U81" s="104">
        <f t="shared" si="218"/>
        <v>0</v>
      </c>
      <c r="V81" s="104">
        <f t="shared" si="218"/>
        <v>9.9999999999999995E-8</v>
      </c>
      <c r="W81" s="104">
        <f t="shared" si="218"/>
        <v>0</v>
      </c>
      <c r="X81" s="104">
        <f t="shared" si="116"/>
        <v>0</v>
      </c>
      <c r="Y81" s="104">
        <f t="shared" si="116"/>
        <v>9.9999999999999995E-8</v>
      </c>
      <c r="Z81" s="104">
        <f t="shared" si="116"/>
        <v>9.9999999999999995E-8</v>
      </c>
      <c r="AA81" s="105">
        <f t="shared" si="116"/>
        <v>9.9999999999999995E-8</v>
      </c>
      <c r="AB81" s="101" t="e">
        <f>$DT81*HLOOKUP($J81,'Construction Costs (timber)'!$B$1:$V$32,'Construction Planner'!$L81+2,FALSE)</f>
        <v>#N/A</v>
      </c>
      <c r="AC81" s="14" t="e">
        <f>$DT81*HLOOKUP($J81,'Construction Costs (clay)'!$B$1:$V$32,'Construction Planner'!$L81+2,FALSE)</f>
        <v>#N/A</v>
      </c>
      <c r="AD81" s="14" t="e">
        <f>$DT81*HLOOKUP($J81,'Construction Costs (iron)'!$B$1:$V$32,'Construction Planner'!$L81+2,FALSE)</f>
        <v>#N/A</v>
      </c>
      <c r="AE81" s="34" t="e">
        <f t="shared" si="86"/>
        <v>#N/A</v>
      </c>
      <c r="AF81" s="33" t="e">
        <f t="shared" si="156"/>
        <v>#N/A</v>
      </c>
      <c r="AG81" s="14" t="e">
        <f t="shared" si="157"/>
        <v>#N/A</v>
      </c>
      <c r="AH81" s="14" t="e">
        <f t="shared" si="158"/>
        <v>#N/A</v>
      </c>
      <c r="AI81" s="34" t="e">
        <f t="shared" si="87"/>
        <v>#N/A</v>
      </c>
      <c r="AJ81" s="49" t="e">
        <f t="shared" si="178"/>
        <v>#N/A</v>
      </c>
      <c r="AK81" s="49" t="e">
        <f t="shared" si="179"/>
        <v>#N/A</v>
      </c>
      <c r="AL81" s="49" t="e">
        <f t="shared" si="180"/>
        <v>#N/A</v>
      </c>
      <c r="AM81" s="25">
        <f t="shared" si="159"/>
        <v>30</v>
      </c>
      <c r="AN81" s="25">
        <f t="shared" si="160"/>
        <v>30</v>
      </c>
      <c r="AO81" s="25">
        <f t="shared" si="161"/>
        <v>30</v>
      </c>
      <c r="AP81" s="52" t="e">
        <f t="shared" si="181"/>
        <v>#N/A</v>
      </c>
      <c r="AQ81" s="53" t="e">
        <f t="shared" si="181"/>
        <v>#N/A</v>
      </c>
      <c r="AR81" s="54" t="e">
        <f t="shared" si="181"/>
        <v>#N/A</v>
      </c>
      <c r="AS81" s="316">
        <f t="shared" si="88"/>
        <v>0</v>
      </c>
      <c r="AT81" s="106">
        <f>_xlfn.IFNA($M81/VLOOKUP($BT81,'Unit information'!$A$2:$K$29,2,FALSE)*R81,0)*(1+$E$9)</f>
        <v>0</v>
      </c>
      <c r="AU81" s="107">
        <f>_xlfn.IFNA($M81/VLOOKUP($BT81,'Unit information'!$A$2:$K$29,3,FALSE)*S81,0)*(1+$E$9)</f>
        <v>0</v>
      </c>
      <c r="AV81" s="107">
        <f>_xlfn.IFNA($M81/VLOOKUP($BT81,'Unit information'!$A$2:$K$29,4,FALSE)*T81,0)*(1+$E$9)</f>
        <v>0</v>
      </c>
      <c r="AW81" s="107">
        <f>_xlfn.IFNA($M81/VLOOKUP($BT81,'Unit information'!$A$2:$K$29,5,FALSE)*U81,0)*(1+$E$9)</f>
        <v>0</v>
      </c>
      <c r="AX81" s="107">
        <f>_xlfn.IFNA($M81/VLOOKUP($BU81,'Unit information'!$A$2:$K$29,6,FALSE)*V81,0)*(1+$E$9)</f>
        <v>0</v>
      </c>
      <c r="AY81" s="107">
        <f>_xlfn.IFNA($M81/VLOOKUP($BU81,'Unit information'!$A$2:$K$29,7,FALSE)*W81,0)*(1+$E$9)</f>
        <v>0</v>
      </c>
      <c r="AZ81" s="107">
        <f>_xlfn.IFNA($M81/VLOOKUP($BU81,'Unit information'!$A$2:$K$29,8,FALSE)*X81,0)*(1+$E$9)</f>
        <v>0</v>
      </c>
      <c r="BA81" s="107">
        <f>_xlfn.IFNA($M81/VLOOKUP($BU81,'Unit information'!$A$2:$K$29,9,FALSE)*Y81,0)*(1+$E$9)</f>
        <v>0</v>
      </c>
      <c r="BB81" s="107">
        <f>_xlfn.IFNA($M81/VLOOKUP($BV81,'Unit information'!$A$2:$K$29,10,FALSE)*Z81,0)*(1+$E$9)</f>
        <v>0</v>
      </c>
      <c r="BC81" s="108">
        <f>_xlfn.IFNA($M81/VLOOKUP($BV81,'Unit information'!$A$2:$K$29,11,FALSE)*AA81,0)*(1+$E$9)</f>
        <v>0</v>
      </c>
      <c r="BD81" s="106">
        <f t="shared" si="162"/>
        <v>0</v>
      </c>
      <c r="BE81" s="107">
        <f t="shared" si="163"/>
        <v>0</v>
      </c>
      <c r="BF81" s="108">
        <f t="shared" si="164"/>
        <v>0</v>
      </c>
      <c r="BG81" s="25" t="e">
        <f t="shared" si="165"/>
        <v>#N/A</v>
      </c>
      <c r="BH81" s="25" t="e">
        <f t="shared" si="166"/>
        <v>#N/A</v>
      </c>
      <c r="BI81" s="25" t="e">
        <f t="shared" si="167"/>
        <v>#N/A</v>
      </c>
      <c r="BJ81" s="27" t="e">
        <f t="shared" si="168"/>
        <v>#N/A</v>
      </c>
      <c r="BK81" s="18" t="e">
        <f t="shared" si="169"/>
        <v>#N/A</v>
      </c>
      <c r="BL81" s="18" t="e">
        <f t="shared" si="170"/>
        <v>#N/A</v>
      </c>
      <c r="BM81" s="28" t="e">
        <f t="shared" si="89"/>
        <v>#N/A</v>
      </c>
      <c r="BN81" s="33">
        <f>HLOOKUP("maximum population",Miscelaneous!$C$1:$C$33,CH81+3,FALSE)</f>
        <v>240</v>
      </c>
      <c r="BO81" s="14">
        <f t="shared" si="182"/>
        <v>32</v>
      </c>
      <c r="BP81" s="14">
        <f t="shared" si="183"/>
        <v>0</v>
      </c>
      <c r="BQ81" s="14">
        <f t="shared" si="184"/>
        <v>208</v>
      </c>
      <c r="BR81" s="34" t="e">
        <f>HLOOKUP(J81,Villagers!$B$1:$V$33,L81+3,FALSE)-HLOOKUP(J81,Villagers!$B$1:$V$33,L81+2,FALSE)</f>
        <v>#N/A</v>
      </c>
      <c r="BS81" s="49">
        <f t="shared" si="185"/>
        <v>1</v>
      </c>
      <c r="BT81" s="50">
        <f t="shared" si="186"/>
        <v>0</v>
      </c>
      <c r="BU81" s="50">
        <f t="shared" si="187"/>
        <v>0</v>
      </c>
      <c r="BV81" s="50">
        <f t="shared" si="188"/>
        <v>0</v>
      </c>
      <c r="BW81" s="50">
        <f t="shared" si="189"/>
        <v>0</v>
      </c>
      <c r="BX81" s="50">
        <f t="shared" si="190"/>
        <v>0</v>
      </c>
      <c r="BY81" s="50">
        <f t="shared" si="190"/>
        <v>0</v>
      </c>
      <c r="BZ81" s="50">
        <f t="shared" si="191"/>
        <v>0</v>
      </c>
      <c r="CA81" s="50">
        <f t="shared" si="192"/>
        <v>0</v>
      </c>
      <c r="CB81" s="50">
        <f t="shared" si="193"/>
        <v>1</v>
      </c>
      <c r="CC81" s="50">
        <f t="shared" si="194"/>
        <v>0</v>
      </c>
      <c r="CD81" s="50">
        <f t="shared" si="195"/>
        <v>0</v>
      </c>
      <c r="CE81" s="50">
        <f t="shared" si="196"/>
        <v>1</v>
      </c>
      <c r="CF81" s="50">
        <f t="shared" si="197"/>
        <v>1</v>
      </c>
      <c r="CG81" s="50">
        <f t="shared" si="198"/>
        <v>1</v>
      </c>
      <c r="CH81" s="50">
        <f t="shared" si="199"/>
        <v>1</v>
      </c>
      <c r="CI81" s="50">
        <f t="shared" si="200"/>
        <v>1</v>
      </c>
      <c r="CJ81" s="50">
        <f t="shared" si="201"/>
        <v>1</v>
      </c>
      <c r="CK81" s="50">
        <f t="shared" si="201"/>
        <v>0</v>
      </c>
      <c r="CL81" s="50">
        <f t="shared" si="201"/>
        <v>0</v>
      </c>
      <c r="CM81" s="51">
        <f t="shared" si="202"/>
        <v>0</v>
      </c>
      <c r="CN81" s="33">
        <f>ROUND(IF(BS81=0,0,HLOOKUP(BS$14,Villagers!$B$1:$V$33,BS81+3,FALSE)),)</f>
        <v>5</v>
      </c>
      <c r="CO81" s="14">
        <f>ROUND(IF(BT81=0,0,HLOOKUP(BT$14,Villagers!$B$1:$V$33,BT81+3,FALSE)),)</f>
        <v>0</v>
      </c>
      <c r="CP81" s="14">
        <f>ROUND(IF(BU81=0,0,HLOOKUP(BU$14,Villagers!$B$1:$V$33,BU81+3,FALSE)),)</f>
        <v>0</v>
      </c>
      <c r="CQ81" s="14">
        <f>ROUND(IF(BV81=0,0,HLOOKUP(BV$14,Villagers!$B$1:$V$33,BV81+3,FALSE)),)</f>
        <v>0</v>
      </c>
      <c r="CR81" s="14">
        <f>ROUND(IF(BW81=0,0,HLOOKUP(BW$14,Villagers!$B$1:$V$33,BW81+3,FALSE)),)</f>
        <v>0</v>
      </c>
      <c r="CS81" s="14">
        <f>ROUND(IF(BX81=0,0,HLOOKUP(BX$14,Villagers!$B$1:$V$33,BX81+3,FALSE)),)</f>
        <v>0</v>
      </c>
      <c r="CT81" s="14">
        <f>ROUND(IF(BY81=0,0,HLOOKUP(BY$14,Villagers!$B$1:$V$33,BY81+3,FALSE)),)</f>
        <v>0</v>
      </c>
      <c r="CU81" s="14">
        <f>ROUND(IF(BZ81=0,0,HLOOKUP(BZ$14,Villagers!$B$1:$V$33,BZ81+3,FALSE)),)</f>
        <v>0</v>
      </c>
      <c r="CV81" s="14">
        <f>ROUND(IF(CA81=0,0,HLOOKUP(CA$14,Villagers!$B$1:$V$33,CA81+3,FALSE)),)</f>
        <v>0</v>
      </c>
      <c r="CW81" s="14">
        <f>ROUND(IF(CB81=0,0,HLOOKUP(CB$14,Villagers!$B$1:$V$33,CB81+3,FALSE)),)</f>
        <v>0</v>
      </c>
      <c r="CX81" s="14">
        <f>ROUND(IF(CC81=0,0,HLOOKUP(CC$14,Villagers!$B$1:$V$33,CC81+3,FALSE)),)</f>
        <v>0</v>
      </c>
      <c r="CY81" s="14">
        <f>ROUND(IF(CD81=0,0,HLOOKUP(CD$14,Villagers!$B$1:$V$33,CD81+3,FALSE)),)</f>
        <v>0</v>
      </c>
      <c r="CZ81" s="14">
        <f>ROUND(IF(CE81=0,0,HLOOKUP(CE$14,Villagers!$B$1:$V$33,CE81+3,FALSE)),)</f>
        <v>5</v>
      </c>
      <c r="DA81" s="14">
        <f>ROUND(IF(CF81=0,0,HLOOKUP(CF$14,Villagers!$B$1:$V$33,CF81+3,FALSE)),)</f>
        <v>10</v>
      </c>
      <c r="DB81" s="14">
        <f>ROUND(IF(CG81=0,0,HLOOKUP(CG$14,Villagers!$B$1:$V$33,CG81+3,FALSE)),)</f>
        <v>10</v>
      </c>
      <c r="DC81" s="14">
        <f>ROUND(IF(CH81=0,0,HLOOKUP(CH$14,Villagers!$B$1:$V$33,CH81+3,FALSE)),)</f>
        <v>0</v>
      </c>
      <c r="DD81" s="14">
        <f>ROUND(IF(CI81=0,0,HLOOKUP(CI$14,Villagers!$B$1:$V$33,CI81+3,FALSE)),)</f>
        <v>0</v>
      </c>
      <c r="DE81" s="14">
        <f>ROUND(IF(CJ81=0,0,HLOOKUP(CJ$14,Villagers!$B$1:$V$33,CJ81+3,FALSE)),)</f>
        <v>2</v>
      </c>
      <c r="DF81" s="370">
        <f>ROUND(IF(CK81=0,0,HLOOKUP(CK$14,Villagers!$B$1:$V$33,CK81+3,FALSE)),)</f>
        <v>0</v>
      </c>
      <c r="DG81" s="370">
        <f>ROUND(IF(CL81=0,0,HLOOKUP(CL$14,Villagers!$B$1:$V$33,CL81+3,FALSE)),)</f>
        <v>0</v>
      </c>
      <c r="DH81" s="34">
        <f>ROUND(IF(CM81=0,0,HLOOKUP(CM$14,Villagers!$B$1:$V$33,CM81+3,FALSE)),)</f>
        <v>0</v>
      </c>
      <c r="DI81" s="109">
        <f t="shared" ref="DI81:DI144" si="219">ROUND(_xlfn.IFNA(DI80+AT81,DI80),0)</f>
        <v>0</v>
      </c>
      <c r="DJ81" s="50">
        <f t="shared" ref="DJ81:DJ144" si="220">ROUND(_xlfn.IFNA(DJ80+AU81,DJ80),0)</f>
        <v>0</v>
      </c>
      <c r="DK81" s="50">
        <f t="shared" ref="DK81:DK144" si="221">ROUND(_xlfn.IFNA(DK80+AV81,DK80),0)</f>
        <v>0</v>
      </c>
      <c r="DL81" s="50">
        <f t="shared" ref="DL81:DL144" si="222">ROUND(_xlfn.IFNA(DL80+AW81,DL80),0)</f>
        <v>0</v>
      </c>
      <c r="DM81" s="50">
        <f t="shared" ref="DM81:DM144" si="223">ROUND(_xlfn.IFNA(DM80+AX81,DM80),0)</f>
        <v>0</v>
      </c>
      <c r="DN81" s="50">
        <f t="shared" ref="DN81:DN144" si="224">ROUND(_xlfn.IFNA(DN80+AY81,DN80),0)</f>
        <v>0</v>
      </c>
      <c r="DO81" s="50">
        <f t="shared" ref="DO81:DO144" si="225">ROUND(_xlfn.IFNA(DO80+AZ81,DO80),0)</f>
        <v>0</v>
      </c>
      <c r="DP81" s="50">
        <f t="shared" ref="DP81:DP144" si="226">ROUND(_xlfn.IFNA(DP80+BA81,DP80),0)</f>
        <v>0</v>
      </c>
      <c r="DQ81" s="50">
        <f t="shared" si="203"/>
        <v>0</v>
      </c>
      <c r="DR81" s="50">
        <f t="shared" si="204"/>
        <v>0</v>
      </c>
      <c r="DS81" s="96">
        <f>Miscelaneous!$D$4*Miscelaneous!$D$2^($CI81-1)</f>
        <v>1000</v>
      </c>
      <c r="DT81" s="333">
        <f t="shared" si="171"/>
        <v>1</v>
      </c>
      <c r="DU81" s="81">
        <v>1</v>
      </c>
      <c r="DV81" s="79">
        <f t="shared" si="205"/>
        <v>0</v>
      </c>
      <c r="DW81" s="79">
        <f t="shared" si="206"/>
        <v>0</v>
      </c>
      <c r="DX81" s="79">
        <f t="shared" si="207"/>
        <v>0</v>
      </c>
      <c r="DY81" s="79">
        <v>1</v>
      </c>
      <c r="DZ81" s="79">
        <f t="shared" si="208"/>
        <v>0</v>
      </c>
      <c r="EA81" s="79">
        <f t="shared" si="209"/>
        <v>0</v>
      </c>
      <c r="EB81" s="79">
        <f t="shared" si="210"/>
        <v>0</v>
      </c>
      <c r="EC81" s="79">
        <f t="shared" si="211"/>
        <v>0</v>
      </c>
      <c r="ED81" s="79">
        <v>1</v>
      </c>
      <c r="EE81" s="79">
        <v>1</v>
      </c>
      <c r="EF81" s="79">
        <f t="shared" si="212"/>
        <v>0</v>
      </c>
      <c r="EG81" s="79">
        <v>1</v>
      </c>
      <c r="EH81" s="79">
        <v>1</v>
      </c>
      <c r="EI81" s="79">
        <v>1</v>
      </c>
      <c r="EJ81" s="79">
        <v>1</v>
      </c>
      <c r="EK81" s="79">
        <v>1</v>
      </c>
      <c r="EL81" s="79">
        <v>1</v>
      </c>
      <c r="EM81" s="143">
        <f t="shared" si="213"/>
        <v>0</v>
      </c>
      <c r="EN81" s="143">
        <f t="shared" si="214"/>
        <v>0</v>
      </c>
      <c r="EO81" s="82">
        <f t="shared" si="215"/>
        <v>0</v>
      </c>
    </row>
    <row r="82" spans="1:145" x14ac:dyDescent="0.25">
      <c r="A82">
        <v>68</v>
      </c>
      <c r="B82" s="172" t="e">
        <f t="shared" si="172"/>
        <v>#N/A</v>
      </c>
      <c r="C82" s="121" t="e">
        <f t="shared" ref="C82:E82" si="227">AJ82-SUM(AB82:AB86)</f>
        <v>#N/A</v>
      </c>
      <c r="D82" s="122" t="e">
        <f t="shared" si="227"/>
        <v>#N/A</v>
      </c>
      <c r="E82" s="122" t="e">
        <f t="shared" si="227"/>
        <v>#N/A</v>
      </c>
      <c r="F82" s="176" t="e">
        <f t="shared" si="154"/>
        <v>#N/A</v>
      </c>
      <c r="G82" s="121">
        <f t="shared" si="174"/>
        <v>208</v>
      </c>
      <c r="H82" s="176" t="e">
        <f t="shared" si="175"/>
        <v>#N/A</v>
      </c>
      <c r="I82" s="48">
        <v>1</v>
      </c>
      <c r="J82" s="39"/>
      <c r="K82" s="350">
        <v>1</v>
      </c>
      <c r="L82" s="34" t="e">
        <f t="shared" si="155"/>
        <v>#N/A</v>
      </c>
      <c r="M82" s="38" t="e">
        <f>(HLOOKUP(J82,'Construction Times'!$B$3:$W$34,L82+2,FALSE)*HLOOKUP("hq modifier",'Construction Times'!$W$3:$W$34,BS82+2,FALSE))*(1-$H$9)</f>
        <v>#N/A</v>
      </c>
      <c r="N82" s="426" t="e">
        <f t="shared" si="176"/>
        <v>#N/A</v>
      </c>
      <c r="O82" s="427"/>
      <c r="P82" s="430" t="e">
        <f t="shared" si="177"/>
        <v>#N/A</v>
      </c>
      <c r="Q82" s="431"/>
      <c r="R82" s="103">
        <f t="shared" si="217"/>
        <v>0</v>
      </c>
      <c r="S82" s="104">
        <f t="shared" si="217"/>
        <v>0</v>
      </c>
      <c r="T82" s="104">
        <f t="shared" si="218"/>
        <v>0</v>
      </c>
      <c r="U82" s="104">
        <f t="shared" si="218"/>
        <v>0</v>
      </c>
      <c r="V82" s="104">
        <f t="shared" si="218"/>
        <v>9.9999999999999995E-8</v>
      </c>
      <c r="W82" s="104">
        <f t="shared" si="218"/>
        <v>0</v>
      </c>
      <c r="X82" s="104">
        <f t="shared" si="116"/>
        <v>0</v>
      </c>
      <c r="Y82" s="104">
        <f t="shared" si="116"/>
        <v>9.9999999999999995E-8</v>
      </c>
      <c r="Z82" s="104">
        <f t="shared" si="116"/>
        <v>9.9999999999999995E-8</v>
      </c>
      <c r="AA82" s="105">
        <f t="shared" si="116"/>
        <v>9.9999999999999995E-8</v>
      </c>
      <c r="AB82" s="101" t="e">
        <f>$DT82*HLOOKUP($J82,'Construction Costs (timber)'!$B$1:$V$32,'Construction Planner'!$L82+2,FALSE)</f>
        <v>#N/A</v>
      </c>
      <c r="AC82" s="14" t="e">
        <f>$DT82*HLOOKUP($J82,'Construction Costs (clay)'!$B$1:$V$32,'Construction Planner'!$L82+2,FALSE)</f>
        <v>#N/A</v>
      </c>
      <c r="AD82" s="14" t="e">
        <f>$DT82*HLOOKUP($J82,'Construction Costs (iron)'!$B$1:$V$32,'Construction Planner'!$L82+2,FALSE)</f>
        <v>#N/A</v>
      </c>
      <c r="AE82" s="34" t="e">
        <f t="shared" si="86"/>
        <v>#N/A</v>
      </c>
      <c r="AF82" s="33" t="e">
        <f t="shared" si="156"/>
        <v>#N/A</v>
      </c>
      <c r="AG82" s="14" t="e">
        <f t="shared" si="157"/>
        <v>#N/A</v>
      </c>
      <c r="AH82" s="14" t="e">
        <f t="shared" si="158"/>
        <v>#N/A</v>
      </c>
      <c r="AI82" s="34" t="e">
        <f t="shared" si="87"/>
        <v>#N/A</v>
      </c>
      <c r="AJ82" s="49" t="e">
        <f t="shared" si="178"/>
        <v>#N/A</v>
      </c>
      <c r="AK82" s="49" t="e">
        <f t="shared" si="179"/>
        <v>#N/A</v>
      </c>
      <c r="AL82" s="49" t="e">
        <f t="shared" si="180"/>
        <v>#N/A</v>
      </c>
      <c r="AM82" s="25">
        <f t="shared" si="159"/>
        <v>30</v>
      </c>
      <c r="AN82" s="25">
        <f t="shared" si="160"/>
        <v>30</v>
      </c>
      <c r="AO82" s="25">
        <f t="shared" si="161"/>
        <v>30</v>
      </c>
      <c r="AP82" s="52" t="e">
        <f t="shared" si="181"/>
        <v>#N/A</v>
      </c>
      <c r="AQ82" s="53" t="e">
        <f t="shared" si="181"/>
        <v>#N/A</v>
      </c>
      <c r="AR82" s="54" t="e">
        <f t="shared" si="181"/>
        <v>#N/A</v>
      </c>
      <c r="AS82" s="316">
        <f t="shared" si="88"/>
        <v>0</v>
      </c>
      <c r="AT82" s="106">
        <f>_xlfn.IFNA($M82/VLOOKUP($BT82,'Unit information'!$A$2:$K$29,2,FALSE)*R82,0)*(1+$E$9)</f>
        <v>0</v>
      </c>
      <c r="AU82" s="107">
        <f>_xlfn.IFNA($M82/VLOOKUP($BT82,'Unit information'!$A$2:$K$29,3,FALSE)*S82,0)*(1+$E$9)</f>
        <v>0</v>
      </c>
      <c r="AV82" s="107">
        <f>_xlfn.IFNA($M82/VLOOKUP($BT82,'Unit information'!$A$2:$K$29,4,FALSE)*T82,0)*(1+$E$9)</f>
        <v>0</v>
      </c>
      <c r="AW82" s="107">
        <f>_xlfn.IFNA($M82/VLOOKUP($BT82,'Unit information'!$A$2:$K$29,5,FALSE)*U82,0)*(1+$E$9)</f>
        <v>0</v>
      </c>
      <c r="AX82" s="107">
        <f>_xlfn.IFNA($M82/VLOOKUP($BU82,'Unit information'!$A$2:$K$29,6,FALSE)*V82,0)*(1+$E$9)</f>
        <v>0</v>
      </c>
      <c r="AY82" s="107">
        <f>_xlfn.IFNA($M82/VLOOKUP($BU82,'Unit information'!$A$2:$K$29,7,FALSE)*W82,0)*(1+$E$9)</f>
        <v>0</v>
      </c>
      <c r="AZ82" s="107">
        <f>_xlfn.IFNA($M82/VLOOKUP($BU82,'Unit information'!$A$2:$K$29,8,FALSE)*X82,0)*(1+$E$9)</f>
        <v>0</v>
      </c>
      <c r="BA82" s="107">
        <f>_xlfn.IFNA($M82/VLOOKUP($BU82,'Unit information'!$A$2:$K$29,9,FALSE)*Y82,0)*(1+$E$9)</f>
        <v>0</v>
      </c>
      <c r="BB82" s="107">
        <f>_xlfn.IFNA($M82/VLOOKUP($BV82,'Unit information'!$A$2:$K$29,10,FALSE)*Z82,0)*(1+$E$9)</f>
        <v>0</v>
      </c>
      <c r="BC82" s="108">
        <f>_xlfn.IFNA($M82/VLOOKUP($BV82,'Unit information'!$A$2:$K$29,11,FALSE)*AA82,0)*(1+$E$9)</f>
        <v>0</v>
      </c>
      <c r="BD82" s="106">
        <f t="shared" si="162"/>
        <v>0</v>
      </c>
      <c r="BE82" s="107">
        <f t="shared" si="163"/>
        <v>0</v>
      </c>
      <c r="BF82" s="108">
        <f t="shared" si="164"/>
        <v>0</v>
      </c>
      <c r="BG82" s="25" t="e">
        <f t="shared" si="165"/>
        <v>#N/A</v>
      </c>
      <c r="BH82" s="25" t="e">
        <f t="shared" si="166"/>
        <v>#N/A</v>
      </c>
      <c r="BI82" s="25" t="e">
        <f t="shared" si="167"/>
        <v>#N/A</v>
      </c>
      <c r="BJ82" s="27" t="e">
        <f t="shared" si="168"/>
        <v>#N/A</v>
      </c>
      <c r="BK82" s="18" t="e">
        <f t="shared" si="169"/>
        <v>#N/A</v>
      </c>
      <c r="BL82" s="18" t="e">
        <f t="shared" si="170"/>
        <v>#N/A</v>
      </c>
      <c r="BM82" s="28" t="e">
        <f t="shared" si="89"/>
        <v>#N/A</v>
      </c>
      <c r="BN82" s="33">
        <f>HLOOKUP("maximum population",Miscelaneous!$C$1:$C$33,CH82+3,FALSE)</f>
        <v>240</v>
      </c>
      <c r="BO82" s="14">
        <f t="shared" si="182"/>
        <v>32</v>
      </c>
      <c r="BP82" s="14">
        <f t="shared" si="183"/>
        <v>0</v>
      </c>
      <c r="BQ82" s="14">
        <f t="shared" si="184"/>
        <v>208</v>
      </c>
      <c r="BR82" s="34" t="e">
        <f>HLOOKUP(J82,Villagers!$B$1:$V$33,L82+3,FALSE)-HLOOKUP(J82,Villagers!$B$1:$V$33,L82+2,FALSE)</f>
        <v>#N/A</v>
      </c>
      <c r="BS82" s="49">
        <f t="shared" si="185"/>
        <v>1</v>
      </c>
      <c r="BT82" s="50">
        <f t="shared" si="186"/>
        <v>0</v>
      </c>
      <c r="BU82" s="50">
        <f t="shared" si="187"/>
        <v>0</v>
      </c>
      <c r="BV82" s="50">
        <f t="shared" si="188"/>
        <v>0</v>
      </c>
      <c r="BW82" s="50">
        <f t="shared" si="189"/>
        <v>0</v>
      </c>
      <c r="BX82" s="50">
        <f t="shared" si="190"/>
        <v>0</v>
      </c>
      <c r="BY82" s="50">
        <f t="shared" si="190"/>
        <v>0</v>
      </c>
      <c r="BZ82" s="50">
        <f t="shared" si="191"/>
        <v>0</v>
      </c>
      <c r="CA82" s="50">
        <f t="shared" si="192"/>
        <v>0</v>
      </c>
      <c r="CB82" s="50">
        <f t="shared" si="193"/>
        <v>1</v>
      </c>
      <c r="CC82" s="50">
        <f t="shared" si="194"/>
        <v>0</v>
      </c>
      <c r="CD82" s="50">
        <f t="shared" si="195"/>
        <v>0</v>
      </c>
      <c r="CE82" s="50">
        <f t="shared" si="196"/>
        <v>1</v>
      </c>
      <c r="CF82" s="50">
        <f t="shared" si="197"/>
        <v>1</v>
      </c>
      <c r="CG82" s="50">
        <f t="shared" si="198"/>
        <v>1</v>
      </c>
      <c r="CH82" s="50">
        <f t="shared" si="199"/>
        <v>1</v>
      </c>
      <c r="CI82" s="50">
        <f t="shared" si="200"/>
        <v>1</v>
      </c>
      <c r="CJ82" s="50">
        <f t="shared" si="201"/>
        <v>1</v>
      </c>
      <c r="CK82" s="50">
        <f t="shared" si="201"/>
        <v>0</v>
      </c>
      <c r="CL82" s="50">
        <f t="shared" si="201"/>
        <v>0</v>
      </c>
      <c r="CM82" s="51">
        <f t="shared" si="202"/>
        <v>0</v>
      </c>
      <c r="CN82" s="33">
        <f>ROUND(IF(BS82=0,0,HLOOKUP(BS$14,Villagers!$B$1:$V$33,BS82+3,FALSE)),)</f>
        <v>5</v>
      </c>
      <c r="CO82" s="14">
        <f>ROUND(IF(BT82=0,0,HLOOKUP(BT$14,Villagers!$B$1:$V$33,BT82+3,FALSE)),)</f>
        <v>0</v>
      </c>
      <c r="CP82" s="14">
        <f>ROUND(IF(BU82=0,0,HLOOKUP(BU$14,Villagers!$B$1:$V$33,BU82+3,FALSE)),)</f>
        <v>0</v>
      </c>
      <c r="CQ82" s="14">
        <f>ROUND(IF(BV82=0,0,HLOOKUP(BV$14,Villagers!$B$1:$V$33,BV82+3,FALSE)),)</f>
        <v>0</v>
      </c>
      <c r="CR82" s="14">
        <f>ROUND(IF(BW82=0,0,HLOOKUP(BW$14,Villagers!$B$1:$V$33,BW82+3,FALSE)),)</f>
        <v>0</v>
      </c>
      <c r="CS82" s="14">
        <f>ROUND(IF(BX82=0,0,HLOOKUP(BX$14,Villagers!$B$1:$V$33,BX82+3,FALSE)),)</f>
        <v>0</v>
      </c>
      <c r="CT82" s="14">
        <f>ROUND(IF(BY82=0,0,HLOOKUP(BY$14,Villagers!$B$1:$V$33,BY82+3,FALSE)),)</f>
        <v>0</v>
      </c>
      <c r="CU82" s="14">
        <f>ROUND(IF(BZ82=0,0,HLOOKUP(BZ$14,Villagers!$B$1:$V$33,BZ82+3,FALSE)),)</f>
        <v>0</v>
      </c>
      <c r="CV82" s="14">
        <f>ROUND(IF(CA82=0,0,HLOOKUP(CA$14,Villagers!$B$1:$V$33,CA82+3,FALSE)),)</f>
        <v>0</v>
      </c>
      <c r="CW82" s="14">
        <f>ROUND(IF(CB82=0,0,HLOOKUP(CB$14,Villagers!$B$1:$V$33,CB82+3,FALSE)),)</f>
        <v>0</v>
      </c>
      <c r="CX82" s="14">
        <f>ROUND(IF(CC82=0,0,HLOOKUP(CC$14,Villagers!$B$1:$V$33,CC82+3,FALSE)),)</f>
        <v>0</v>
      </c>
      <c r="CY82" s="14">
        <f>ROUND(IF(CD82=0,0,HLOOKUP(CD$14,Villagers!$B$1:$V$33,CD82+3,FALSE)),)</f>
        <v>0</v>
      </c>
      <c r="CZ82" s="14">
        <f>ROUND(IF(CE82=0,0,HLOOKUP(CE$14,Villagers!$B$1:$V$33,CE82+3,FALSE)),)</f>
        <v>5</v>
      </c>
      <c r="DA82" s="14">
        <f>ROUND(IF(CF82=0,0,HLOOKUP(CF$14,Villagers!$B$1:$V$33,CF82+3,FALSE)),)</f>
        <v>10</v>
      </c>
      <c r="DB82" s="14">
        <f>ROUND(IF(CG82=0,0,HLOOKUP(CG$14,Villagers!$B$1:$V$33,CG82+3,FALSE)),)</f>
        <v>10</v>
      </c>
      <c r="DC82" s="14">
        <f>ROUND(IF(CH82=0,0,HLOOKUP(CH$14,Villagers!$B$1:$V$33,CH82+3,FALSE)),)</f>
        <v>0</v>
      </c>
      <c r="DD82" s="14">
        <f>ROUND(IF(CI82=0,0,HLOOKUP(CI$14,Villagers!$B$1:$V$33,CI82+3,FALSE)),)</f>
        <v>0</v>
      </c>
      <c r="DE82" s="14">
        <f>ROUND(IF(CJ82=0,0,HLOOKUP(CJ$14,Villagers!$B$1:$V$33,CJ82+3,FALSE)),)</f>
        <v>2</v>
      </c>
      <c r="DF82" s="370">
        <f>ROUND(IF(CK82=0,0,HLOOKUP(CK$14,Villagers!$B$1:$V$33,CK82+3,FALSE)),)</f>
        <v>0</v>
      </c>
      <c r="DG82" s="370">
        <f>ROUND(IF(CL82=0,0,HLOOKUP(CL$14,Villagers!$B$1:$V$33,CL82+3,FALSE)),)</f>
        <v>0</v>
      </c>
      <c r="DH82" s="34">
        <f>ROUND(IF(CM82=0,0,HLOOKUP(CM$14,Villagers!$B$1:$V$33,CM82+3,FALSE)),)</f>
        <v>0</v>
      </c>
      <c r="DI82" s="109">
        <f t="shared" si="219"/>
        <v>0</v>
      </c>
      <c r="DJ82" s="50">
        <f t="shared" si="220"/>
        <v>0</v>
      </c>
      <c r="DK82" s="50">
        <f t="shared" si="221"/>
        <v>0</v>
      </c>
      <c r="DL82" s="50">
        <f t="shared" si="222"/>
        <v>0</v>
      </c>
      <c r="DM82" s="50">
        <f t="shared" si="223"/>
        <v>0</v>
      </c>
      <c r="DN82" s="50">
        <f t="shared" si="224"/>
        <v>0</v>
      </c>
      <c r="DO82" s="50">
        <f t="shared" si="225"/>
        <v>0</v>
      </c>
      <c r="DP82" s="50">
        <f t="shared" si="226"/>
        <v>0</v>
      </c>
      <c r="DQ82" s="50">
        <f t="shared" si="203"/>
        <v>0</v>
      </c>
      <c r="DR82" s="50">
        <f t="shared" si="204"/>
        <v>0</v>
      </c>
      <c r="DS82" s="96">
        <f>Miscelaneous!$D$4*Miscelaneous!$D$2^($CI82-1)</f>
        <v>1000</v>
      </c>
      <c r="DT82" s="333">
        <f t="shared" si="171"/>
        <v>1</v>
      </c>
      <c r="DU82" s="81">
        <v>1</v>
      </c>
      <c r="DV82" s="79">
        <f t="shared" si="205"/>
        <v>0</v>
      </c>
      <c r="DW82" s="79">
        <f t="shared" si="206"/>
        <v>0</v>
      </c>
      <c r="DX82" s="79">
        <f t="shared" si="207"/>
        <v>0</v>
      </c>
      <c r="DY82" s="79">
        <v>1</v>
      </c>
      <c r="DZ82" s="79">
        <f t="shared" si="208"/>
        <v>0</v>
      </c>
      <c r="EA82" s="79">
        <f t="shared" si="209"/>
        <v>0</v>
      </c>
      <c r="EB82" s="79">
        <f t="shared" si="210"/>
        <v>0</v>
      </c>
      <c r="EC82" s="79">
        <f t="shared" si="211"/>
        <v>0</v>
      </c>
      <c r="ED82" s="79">
        <v>1</v>
      </c>
      <c r="EE82" s="79">
        <v>1</v>
      </c>
      <c r="EF82" s="79">
        <f t="shared" si="212"/>
        <v>0</v>
      </c>
      <c r="EG82" s="79">
        <v>1</v>
      </c>
      <c r="EH82" s="79">
        <v>1</v>
      </c>
      <c r="EI82" s="79">
        <v>1</v>
      </c>
      <c r="EJ82" s="79">
        <v>1</v>
      </c>
      <c r="EK82" s="79">
        <v>1</v>
      </c>
      <c r="EL82" s="79">
        <v>1</v>
      </c>
      <c r="EM82" s="143">
        <f t="shared" si="213"/>
        <v>0</v>
      </c>
      <c r="EN82" s="143">
        <f t="shared" si="214"/>
        <v>0</v>
      </c>
      <c r="EO82" s="82">
        <f t="shared" si="215"/>
        <v>0</v>
      </c>
    </row>
    <row r="83" spans="1:145" x14ac:dyDescent="0.25">
      <c r="A83">
        <v>69</v>
      </c>
      <c r="B83" s="172" t="e">
        <f t="shared" si="172"/>
        <v>#N/A</v>
      </c>
      <c r="C83" s="121" t="e">
        <f t="shared" ref="C83:E83" si="228">AJ83-SUM(AB83:AB87)</f>
        <v>#N/A</v>
      </c>
      <c r="D83" s="122" t="e">
        <f t="shared" si="228"/>
        <v>#N/A</v>
      </c>
      <c r="E83" s="122" t="e">
        <f t="shared" si="228"/>
        <v>#N/A</v>
      </c>
      <c r="F83" s="176" t="e">
        <f t="shared" si="154"/>
        <v>#N/A</v>
      </c>
      <c r="G83" s="121">
        <f t="shared" si="174"/>
        <v>208</v>
      </c>
      <c r="H83" s="176" t="e">
        <f t="shared" si="175"/>
        <v>#N/A</v>
      </c>
      <c r="I83" s="48">
        <v>1</v>
      </c>
      <c r="J83" s="39"/>
      <c r="K83" s="350">
        <v>1</v>
      </c>
      <c r="L83" s="34" t="e">
        <f t="shared" si="155"/>
        <v>#N/A</v>
      </c>
      <c r="M83" s="38" t="e">
        <f>(HLOOKUP(J83,'Construction Times'!$B$3:$W$34,L83+2,FALSE)*HLOOKUP("hq modifier",'Construction Times'!$W$3:$W$34,BS83+2,FALSE))*(1-$H$9)</f>
        <v>#N/A</v>
      </c>
      <c r="N83" s="426" t="e">
        <f t="shared" si="176"/>
        <v>#N/A</v>
      </c>
      <c r="O83" s="427"/>
      <c r="P83" s="430" t="e">
        <f t="shared" si="177"/>
        <v>#N/A</v>
      </c>
      <c r="Q83" s="431"/>
      <c r="R83" s="103">
        <f t="shared" si="217"/>
        <v>0</v>
      </c>
      <c r="S83" s="104">
        <f t="shared" si="217"/>
        <v>0</v>
      </c>
      <c r="T83" s="104">
        <f t="shared" si="218"/>
        <v>0</v>
      </c>
      <c r="U83" s="104">
        <f t="shared" si="218"/>
        <v>0</v>
      </c>
      <c r="V83" s="104">
        <f t="shared" si="218"/>
        <v>9.9999999999999995E-8</v>
      </c>
      <c r="W83" s="104">
        <f t="shared" si="218"/>
        <v>0</v>
      </c>
      <c r="X83" s="104">
        <f t="shared" si="116"/>
        <v>0</v>
      </c>
      <c r="Y83" s="104">
        <f t="shared" si="116"/>
        <v>9.9999999999999995E-8</v>
      </c>
      <c r="Z83" s="104">
        <f t="shared" si="116"/>
        <v>9.9999999999999995E-8</v>
      </c>
      <c r="AA83" s="105">
        <f t="shared" si="116"/>
        <v>9.9999999999999995E-8</v>
      </c>
      <c r="AB83" s="101" t="e">
        <f>$DT83*HLOOKUP($J83,'Construction Costs (timber)'!$B$1:$V$32,'Construction Planner'!$L83+2,FALSE)</f>
        <v>#N/A</v>
      </c>
      <c r="AC83" s="14" t="e">
        <f>$DT83*HLOOKUP($J83,'Construction Costs (clay)'!$B$1:$V$32,'Construction Planner'!$L83+2,FALSE)</f>
        <v>#N/A</v>
      </c>
      <c r="AD83" s="14" t="e">
        <f>$DT83*HLOOKUP($J83,'Construction Costs (iron)'!$B$1:$V$32,'Construction Planner'!$L83+2,FALSE)</f>
        <v>#N/A</v>
      </c>
      <c r="AE83" s="34" t="e">
        <f t="shared" si="86"/>
        <v>#N/A</v>
      </c>
      <c r="AF83" s="33" t="e">
        <f t="shared" si="156"/>
        <v>#N/A</v>
      </c>
      <c r="AG83" s="14" t="e">
        <f t="shared" si="157"/>
        <v>#N/A</v>
      </c>
      <c r="AH83" s="14" t="e">
        <f t="shared" si="158"/>
        <v>#N/A</v>
      </c>
      <c r="AI83" s="34" t="e">
        <f t="shared" si="87"/>
        <v>#N/A</v>
      </c>
      <c r="AJ83" s="49" t="e">
        <f t="shared" si="178"/>
        <v>#N/A</v>
      </c>
      <c r="AK83" s="49" t="e">
        <f t="shared" si="179"/>
        <v>#N/A</v>
      </c>
      <c r="AL83" s="49" t="e">
        <f t="shared" si="180"/>
        <v>#N/A</v>
      </c>
      <c r="AM83" s="25">
        <f t="shared" si="159"/>
        <v>30</v>
      </c>
      <c r="AN83" s="25">
        <f t="shared" si="160"/>
        <v>30</v>
      </c>
      <c r="AO83" s="25">
        <f t="shared" si="161"/>
        <v>30</v>
      </c>
      <c r="AP83" s="52" t="e">
        <f t="shared" si="181"/>
        <v>#N/A</v>
      </c>
      <c r="AQ83" s="53" t="e">
        <f t="shared" si="181"/>
        <v>#N/A</v>
      </c>
      <c r="AR83" s="54" t="e">
        <f t="shared" si="181"/>
        <v>#N/A</v>
      </c>
      <c r="AS83" s="316">
        <f t="shared" si="88"/>
        <v>0</v>
      </c>
      <c r="AT83" s="106">
        <f>_xlfn.IFNA($M83/VLOOKUP($BT83,'Unit information'!$A$2:$K$29,2,FALSE)*R83,0)*(1+$E$9)</f>
        <v>0</v>
      </c>
      <c r="AU83" s="107">
        <f>_xlfn.IFNA($M83/VLOOKUP($BT83,'Unit information'!$A$2:$K$29,3,FALSE)*S83,0)*(1+$E$9)</f>
        <v>0</v>
      </c>
      <c r="AV83" s="107">
        <f>_xlfn.IFNA($M83/VLOOKUP($BT83,'Unit information'!$A$2:$K$29,4,FALSE)*T83,0)*(1+$E$9)</f>
        <v>0</v>
      </c>
      <c r="AW83" s="107">
        <f>_xlfn.IFNA($M83/VLOOKUP($BT83,'Unit information'!$A$2:$K$29,5,FALSE)*U83,0)*(1+$E$9)</f>
        <v>0</v>
      </c>
      <c r="AX83" s="107">
        <f>_xlfn.IFNA($M83/VLOOKUP($BU83,'Unit information'!$A$2:$K$29,6,FALSE)*V83,0)*(1+$E$9)</f>
        <v>0</v>
      </c>
      <c r="AY83" s="107">
        <f>_xlfn.IFNA($M83/VLOOKUP($BU83,'Unit information'!$A$2:$K$29,7,FALSE)*W83,0)*(1+$E$9)</f>
        <v>0</v>
      </c>
      <c r="AZ83" s="107">
        <f>_xlfn.IFNA($M83/VLOOKUP($BU83,'Unit information'!$A$2:$K$29,8,FALSE)*X83,0)*(1+$E$9)</f>
        <v>0</v>
      </c>
      <c r="BA83" s="107">
        <f>_xlfn.IFNA($M83/VLOOKUP($BU83,'Unit information'!$A$2:$K$29,9,FALSE)*Y83,0)*(1+$E$9)</f>
        <v>0</v>
      </c>
      <c r="BB83" s="107">
        <f>_xlfn.IFNA($M83/VLOOKUP($BV83,'Unit information'!$A$2:$K$29,10,FALSE)*Z83,0)*(1+$E$9)</f>
        <v>0</v>
      </c>
      <c r="BC83" s="108">
        <f>_xlfn.IFNA($M83/VLOOKUP($BV83,'Unit information'!$A$2:$K$29,11,FALSE)*AA83,0)*(1+$E$9)</f>
        <v>0</v>
      </c>
      <c r="BD83" s="106">
        <f t="shared" si="162"/>
        <v>0</v>
      </c>
      <c r="BE83" s="107">
        <f t="shared" si="163"/>
        <v>0</v>
      </c>
      <c r="BF83" s="108">
        <f t="shared" si="164"/>
        <v>0</v>
      </c>
      <c r="BG83" s="25" t="e">
        <f t="shared" si="165"/>
        <v>#N/A</v>
      </c>
      <c r="BH83" s="25" t="e">
        <f t="shared" si="166"/>
        <v>#N/A</v>
      </c>
      <c r="BI83" s="25" t="e">
        <f t="shared" si="167"/>
        <v>#N/A</v>
      </c>
      <c r="BJ83" s="27" t="e">
        <f t="shared" si="168"/>
        <v>#N/A</v>
      </c>
      <c r="BK83" s="18" t="e">
        <f t="shared" si="169"/>
        <v>#N/A</v>
      </c>
      <c r="BL83" s="18" t="e">
        <f t="shared" si="170"/>
        <v>#N/A</v>
      </c>
      <c r="BM83" s="28" t="e">
        <f t="shared" si="89"/>
        <v>#N/A</v>
      </c>
      <c r="BN83" s="33">
        <f>HLOOKUP("maximum population",Miscelaneous!$C$1:$C$33,CH83+3,FALSE)</f>
        <v>240</v>
      </c>
      <c r="BO83" s="14">
        <f t="shared" si="182"/>
        <v>32</v>
      </c>
      <c r="BP83" s="14">
        <f t="shared" si="183"/>
        <v>0</v>
      </c>
      <c r="BQ83" s="14">
        <f t="shared" si="184"/>
        <v>208</v>
      </c>
      <c r="BR83" s="34" t="e">
        <f>HLOOKUP(J83,Villagers!$B$1:$V$33,L83+3,FALSE)-HLOOKUP(J83,Villagers!$B$1:$V$33,L83+2,FALSE)</f>
        <v>#N/A</v>
      </c>
      <c r="BS83" s="49">
        <f t="shared" si="185"/>
        <v>1</v>
      </c>
      <c r="BT83" s="50">
        <f t="shared" si="186"/>
        <v>0</v>
      </c>
      <c r="BU83" s="50">
        <f t="shared" si="187"/>
        <v>0</v>
      </c>
      <c r="BV83" s="50">
        <f t="shared" si="188"/>
        <v>0</v>
      </c>
      <c r="BW83" s="50">
        <f t="shared" si="189"/>
        <v>0</v>
      </c>
      <c r="BX83" s="50">
        <f t="shared" si="190"/>
        <v>0</v>
      </c>
      <c r="BY83" s="50">
        <f t="shared" si="190"/>
        <v>0</v>
      </c>
      <c r="BZ83" s="50">
        <f t="shared" si="191"/>
        <v>0</v>
      </c>
      <c r="CA83" s="50">
        <f t="shared" si="192"/>
        <v>0</v>
      </c>
      <c r="CB83" s="50">
        <f t="shared" si="193"/>
        <v>1</v>
      </c>
      <c r="CC83" s="50">
        <f t="shared" si="194"/>
        <v>0</v>
      </c>
      <c r="CD83" s="50">
        <f t="shared" si="195"/>
        <v>0</v>
      </c>
      <c r="CE83" s="50">
        <f t="shared" si="196"/>
        <v>1</v>
      </c>
      <c r="CF83" s="50">
        <f t="shared" si="197"/>
        <v>1</v>
      </c>
      <c r="CG83" s="50">
        <f t="shared" si="198"/>
        <v>1</v>
      </c>
      <c r="CH83" s="50">
        <f t="shared" si="199"/>
        <v>1</v>
      </c>
      <c r="CI83" s="50">
        <f t="shared" si="200"/>
        <v>1</v>
      </c>
      <c r="CJ83" s="50">
        <f t="shared" si="201"/>
        <v>1</v>
      </c>
      <c r="CK83" s="50">
        <f t="shared" si="201"/>
        <v>0</v>
      </c>
      <c r="CL83" s="50">
        <f t="shared" si="201"/>
        <v>0</v>
      </c>
      <c r="CM83" s="51">
        <f t="shared" si="202"/>
        <v>0</v>
      </c>
      <c r="CN83" s="33">
        <f>ROUND(IF(BS83=0,0,HLOOKUP(BS$14,Villagers!$B$1:$V$33,BS83+3,FALSE)),)</f>
        <v>5</v>
      </c>
      <c r="CO83" s="14">
        <f>ROUND(IF(BT83=0,0,HLOOKUP(BT$14,Villagers!$B$1:$V$33,BT83+3,FALSE)),)</f>
        <v>0</v>
      </c>
      <c r="CP83" s="14">
        <f>ROUND(IF(BU83=0,0,HLOOKUP(BU$14,Villagers!$B$1:$V$33,BU83+3,FALSE)),)</f>
        <v>0</v>
      </c>
      <c r="CQ83" s="14">
        <f>ROUND(IF(BV83=0,0,HLOOKUP(BV$14,Villagers!$B$1:$V$33,BV83+3,FALSE)),)</f>
        <v>0</v>
      </c>
      <c r="CR83" s="14">
        <f>ROUND(IF(BW83=0,0,HLOOKUP(BW$14,Villagers!$B$1:$V$33,BW83+3,FALSE)),)</f>
        <v>0</v>
      </c>
      <c r="CS83" s="14">
        <f>ROUND(IF(BX83=0,0,HLOOKUP(BX$14,Villagers!$B$1:$V$33,BX83+3,FALSE)),)</f>
        <v>0</v>
      </c>
      <c r="CT83" s="14">
        <f>ROUND(IF(BY83=0,0,HLOOKUP(BY$14,Villagers!$B$1:$V$33,BY83+3,FALSE)),)</f>
        <v>0</v>
      </c>
      <c r="CU83" s="14">
        <f>ROUND(IF(BZ83=0,0,HLOOKUP(BZ$14,Villagers!$B$1:$V$33,BZ83+3,FALSE)),)</f>
        <v>0</v>
      </c>
      <c r="CV83" s="14">
        <f>ROUND(IF(CA83=0,0,HLOOKUP(CA$14,Villagers!$B$1:$V$33,CA83+3,FALSE)),)</f>
        <v>0</v>
      </c>
      <c r="CW83" s="14">
        <f>ROUND(IF(CB83=0,0,HLOOKUP(CB$14,Villagers!$B$1:$V$33,CB83+3,FALSE)),)</f>
        <v>0</v>
      </c>
      <c r="CX83" s="14">
        <f>ROUND(IF(CC83=0,0,HLOOKUP(CC$14,Villagers!$B$1:$V$33,CC83+3,FALSE)),)</f>
        <v>0</v>
      </c>
      <c r="CY83" s="14">
        <f>ROUND(IF(CD83=0,0,HLOOKUP(CD$14,Villagers!$B$1:$V$33,CD83+3,FALSE)),)</f>
        <v>0</v>
      </c>
      <c r="CZ83" s="14">
        <f>ROUND(IF(CE83=0,0,HLOOKUP(CE$14,Villagers!$B$1:$V$33,CE83+3,FALSE)),)</f>
        <v>5</v>
      </c>
      <c r="DA83" s="14">
        <f>ROUND(IF(CF83=0,0,HLOOKUP(CF$14,Villagers!$B$1:$V$33,CF83+3,FALSE)),)</f>
        <v>10</v>
      </c>
      <c r="DB83" s="14">
        <f>ROUND(IF(CG83=0,0,HLOOKUP(CG$14,Villagers!$B$1:$V$33,CG83+3,FALSE)),)</f>
        <v>10</v>
      </c>
      <c r="DC83" s="14">
        <f>ROUND(IF(CH83=0,0,HLOOKUP(CH$14,Villagers!$B$1:$V$33,CH83+3,FALSE)),)</f>
        <v>0</v>
      </c>
      <c r="DD83" s="14">
        <f>ROUND(IF(CI83=0,0,HLOOKUP(CI$14,Villagers!$B$1:$V$33,CI83+3,FALSE)),)</f>
        <v>0</v>
      </c>
      <c r="DE83" s="14">
        <f>ROUND(IF(CJ83=0,0,HLOOKUP(CJ$14,Villagers!$B$1:$V$33,CJ83+3,FALSE)),)</f>
        <v>2</v>
      </c>
      <c r="DF83" s="370">
        <f>ROUND(IF(CK83=0,0,HLOOKUP(CK$14,Villagers!$B$1:$V$33,CK83+3,FALSE)),)</f>
        <v>0</v>
      </c>
      <c r="DG83" s="370">
        <f>ROUND(IF(CL83=0,0,HLOOKUP(CL$14,Villagers!$B$1:$V$33,CL83+3,FALSE)),)</f>
        <v>0</v>
      </c>
      <c r="DH83" s="34">
        <f>ROUND(IF(CM83=0,0,HLOOKUP(CM$14,Villagers!$B$1:$V$33,CM83+3,FALSE)),)</f>
        <v>0</v>
      </c>
      <c r="DI83" s="109">
        <f t="shared" si="219"/>
        <v>0</v>
      </c>
      <c r="DJ83" s="50">
        <f t="shared" si="220"/>
        <v>0</v>
      </c>
      <c r="DK83" s="50">
        <f t="shared" si="221"/>
        <v>0</v>
      </c>
      <c r="DL83" s="50">
        <f t="shared" si="222"/>
        <v>0</v>
      </c>
      <c r="DM83" s="50">
        <f t="shared" si="223"/>
        <v>0</v>
      </c>
      <c r="DN83" s="50">
        <f t="shared" si="224"/>
        <v>0</v>
      </c>
      <c r="DO83" s="50">
        <f t="shared" si="225"/>
        <v>0</v>
      </c>
      <c r="DP83" s="50">
        <f t="shared" si="226"/>
        <v>0</v>
      </c>
      <c r="DQ83" s="50">
        <f t="shared" si="203"/>
        <v>0</v>
      </c>
      <c r="DR83" s="50">
        <f t="shared" si="204"/>
        <v>0</v>
      </c>
      <c r="DS83" s="96">
        <f>Miscelaneous!$D$4*Miscelaneous!$D$2^($CI83-1)</f>
        <v>1000</v>
      </c>
      <c r="DT83" s="333">
        <f t="shared" si="171"/>
        <v>1</v>
      </c>
      <c r="DU83" s="81">
        <v>1</v>
      </c>
      <c r="DV83" s="79">
        <f t="shared" si="205"/>
        <v>0</v>
      </c>
      <c r="DW83" s="79">
        <f t="shared" si="206"/>
        <v>0</v>
      </c>
      <c r="DX83" s="79">
        <f t="shared" si="207"/>
        <v>0</v>
      </c>
      <c r="DY83" s="79">
        <v>1</v>
      </c>
      <c r="DZ83" s="79">
        <f t="shared" si="208"/>
        <v>0</v>
      </c>
      <c r="EA83" s="79">
        <f t="shared" si="209"/>
        <v>0</v>
      </c>
      <c r="EB83" s="79">
        <f t="shared" si="210"/>
        <v>0</v>
      </c>
      <c r="EC83" s="79">
        <f t="shared" si="211"/>
        <v>0</v>
      </c>
      <c r="ED83" s="79">
        <v>1</v>
      </c>
      <c r="EE83" s="79">
        <v>1</v>
      </c>
      <c r="EF83" s="79">
        <f t="shared" si="212"/>
        <v>0</v>
      </c>
      <c r="EG83" s="79">
        <v>1</v>
      </c>
      <c r="EH83" s="79">
        <v>1</v>
      </c>
      <c r="EI83" s="79">
        <v>1</v>
      </c>
      <c r="EJ83" s="79">
        <v>1</v>
      </c>
      <c r="EK83" s="79">
        <v>1</v>
      </c>
      <c r="EL83" s="79">
        <v>1</v>
      </c>
      <c r="EM83" s="143">
        <f t="shared" si="213"/>
        <v>0</v>
      </c>
      <c r="EN83" s="143">
        <f t="shared" si="214"/>
        <v>0</v>
      </c>
      <c r="EO83" s="82">
        <f t="shared" si="215"/>
        <v>0</v>
      </c>
    </row>
    <row r="84" spans="1:145" x14ac:dyDescent="0.25">
      <c r="A84">
        <v>70</v>
      </c>
      <c r="B84" s="172" t="e">
        <f t="shared" si="172"/>
        <v>#N/A</v>
      </c>
      <c r="C84" s="121" t="e">
        <f t="shared" ref="C84:E84" si="229">AJ84-SUM(AB84:AB88)</f>
        <v>#N/A</v>
      </c>
      <c r="D84" s="122" t="e">
        <f t="shared" si="229"/>
        <v>#N/A</v>
      </c>
      <c r="E84" s="122" t="e">
        <f t="shared" si="229"/>
        <v>#N/A</v>
      </c>
      <c r="F84" s="176" t="e">
        <f t="shared" si="154"/>
        <v>#N/A</v>
      </c>
      <c r="G84" s="121">
        <f t="shared" si="174"/>
        <v>208</v>
      </c>
      <c r="H84" s="176" t="e">
        <f t="shared" si="175"/>
        <v>#N/A</v>
      </c>
      <c r="I84" s="48">
        <v>1</v>
      </c>
      <c r="J84" s="39"/>
      <c r="K84" s="350">
        <v>1</v>
      </c>
      <c r="L84" s="34" t="e">
        <f t="shared" si="155"/>
        <v>#N/A</v>
      </c>
      <c r="M84" s="38" t="e">
        <f>(HLOOKUP(J84,'Construction Times'!$B$3:$W$34,L84+2,FALSE)*HLOOKUP("hq modifier",'Construction Times'!$W$3:$W$34,BS84+2,FALSE))*(1-$H$9)</f>
        <v>#N/A</v>
      </c>
      <c r="N84" s="426" t="e">
        <f t="shared" si="176"/>
        <v>#N/A</v>
      </c>
      <c r="O84" s="427"/>
      <c r="P84" s="430" t="e">
        <f t="shared" si="177"/>
        <v>#N/A</v>
      </c>
      <c r="Q84" s="431"/>
      <c r="R84" s="103">
        <f t="shared" si="217"/>
        <v>0</v>
      </c>
      <c r="S84" s="104">
        <f t="shared" si="217"/>
        <v>0</v>
      </c>
      <c r="T84" s="104">
        <f t="shared" si="218"/>
        <v>0</v>
      </c>
      <c r="U84" s="104">
        <f t="shared" si="218"/>
        <v>0</v>
      </c>
      <c r="V84" s="104">
        <f t="shared" si="218"/>
        <v>9.9999999999999995E-8</v>
      </c>
      <c r="W84" s="104">
        <f t="shared" si="218"/>
        <v>0</v>
      </c>
      <c r="X84" s="104">
        <f t="shared" si="116"/>
        <v>0</v>
      </c>
      <c r="Y84" s="104">
        <f t="shared" si="116"/>
        <v>9.9999999999999995E-8</v>
      </c>
      <c r="Z84" s="104">
        <f t="shared" si="116"/>
        <v>9.9999999999999995E-8</v>
      </c>
      <c r="AA84" s="105">
        <f t="shared" si="116"/>
        <v>9.9999999999999995E-8</v>
      </c>
      <c r="AB84" s="101" t="e">
        <f>$DT84*HLOOKUP($J84,'Construction Costs (timber)'!$B$1:$V$32,'Construction Planner'!$L84+2,FALSE)</f>
        <v>#N/A</v>
      </c>
      <c r="AC84" s="14" t="e">
        <f>$DT84*HLOOKUP($J84,'Construction Costs (clay)'!$B$1:$V$32,'Construction Planner'!$L84+2,FALSE)</f>
        <v>#N/A</v>
      </c>
      <c r="AD84" s="14" t="e">
        <f>$DT84*HLOOKUP($J84,'Construction Costs (iron)'!$B$1:$V$32,'Construction Planner'!$L84+2,FALSE)</f>
        <v>#N/A</v>
      </c>
      <c r="AE84" s="34" t="e">
        <f t="shared" ref="AE84:AE147" si="230">SUM(AB84:AD84)</f>
        <v>#N/A</v>
      </c>
      <c r="AF84" s="33" t="e">
        <f t="shared" si="156"/>
        <v>#N/A</v>
      </c>
      <c r="AG84" s="14" t="e">
        <f t="shared" si="157"/>
        <v>#N/A</v>
      </c>
      <c r="AH84" s="14" t="e">
        <f t="shared" si="158"/>
        <v>#N/A</v>
      </c>
      <c r="AI84" s="34" t="e">
        <f t="shared" ref="AI84:AI147" si="231">SUM(AF84:AH84)</f>
        <v>#N/A</v>
      </c>
      <c r="AJ84" s="49" t="e">
        <f t="shared" si="178"/>
        <v>#N/A</v>
      </c>
      <c r="AK84" s="49" t="e">
        <f t="shared" si="179"/>
        <v>#N/A</v>
      </c>
      <c r="AL84" s="49" t="e">
        <f t="shared" si="180"/>
        <v>#N/A</v>
      </c>
      <c r="AM84" s="25">
        <f t="shared" si="159"/>
        <v>30</v>
      </c>
      <c r="AN84" s="25">
        <f t="shared" si="160"/>
        <v>30</v>
      </c>
      <c r="AO84" s="25">
        <f t="shared" si="161"/>
        <v>30</v>
      </c>
      <c r="AP84" s="52" t="e">
        <f t="shared" si="181"/>
        <v>#N/A</v>
      </c>
      <c r="AQ84" s="53" t="e">
        <f t="shared" si="181"/>
        <v>#N/A</v>
      </c>
      <c r="AR84" s="54" t="e">
        <f t="shared" si="181"/>
        <v>#N/A</v>
      </c>
      <c r="AS84" s="316">
        <f t="shared" ref="AS84:AS99" si="232">AS83</f>
        <v>0</v>
      </c>
      <c r="AT84" s="106">
        <f>_xlfn.IFNA($M84/VLOOKUP($BT84,'Unit information'!$A$2:$K$29,2,FALSE)*R84,0)*(1+$E$9)</f>
        <v>0</v>
      </c>
      <c r="AU84" s="107">
        <f>_xlfn.IFNA($M84/VLOOKUP($BT84,'Unit information'!$A$2:$K$29,3,FALSE)*S84,0)*(1+$E$9)</f>
        <v>0</v>
      </c>
      <c r="AV84" s="107">
        <f>_xlfn.IFNA($M84/VLOOKUP($BT84,'Unit information'!$A$2:$K$29,4,FALSE)*T84,0)*(1+$E$9)</f>
        <v>0</v>
      </c>
      <c r="AW84" s="107">
        <f>_xlfn.IFNA($M84/VLOOKUP($BT84,'Unit information'!$A$2:$K$29,5,FALSE)*U84,0)*(1+$E$9)</f>
        <v>0</v>
      </c>
      <c r="AX84" s="107">
        <f>_xlfn.IFNA($M84/VLOOKUP($BU84,'Unit information'!$A$2:$K$29,6,FALSE)*V84,0)*(1+$E$9)</f>
        <v>0</v>
      </c>
      <c r="AY84" s="107">
        <f>_xlfn.IFNA($M84/VLOOKUP($BU84,'Unit information'!$A$2:$K$29,7,FALSE)*W84,0)*(1+$E$9)</f>
        <v>0</v>
      </c>
      <c r="AZ84" s="107">
        <f>_xlfn.IFNA($M84/VLOOKUP($BU84,'Unit information'!$A$2:$K$29,8,FALSE)*X84,0)*(1+$E$9)</f>
        <v>0</v>
      </c>
      <c r="BA84" s="107">
        <f>_xlfn.IFNA($M84/VLOOKUP($BU84,'Unit information'!$A$2:$K$29,9,FALSE)*Y84,0)*(1+$E$9)</f>
        <v>0</v>
      </c>
      <c r="BB84" s="107">
        <f>_xlfn.IFNA($M84/VLOOKUP($BV84,'Unit information'!$A$2:$K$29,10,FALSE)*Z84,0)*(1+$E$9)</f>
        <v>0</v>
      </c>
      <c r="BC84" s="108">
        <f>_xlfn.IFNA($M84/VLOOKUP($BV84,'Unit information'!$A$2:$K$29,11,FALSE)*AA84,0)*(1+$E$9)</f>
        <v>0</v>
      </c>
      <c r="BD84" s="106">
        <f t="shared" si="162"/>
        <v>0</v>
      </c>
      <c r="BE84" s="107">
        <f t="shared" si="163"/>
        <v>0</v>
      </c>
      <c r="BF84" s="108">
        <f t="shared" si="164"/>
        <v>0</v>
      </c>
      <c r="BG84" s="25" t="e">
        <f t="shared" si="165"/>
        <v>#N/A</v>
      </c>
      <c r="BH84" s="25" t="e">
        <f t="shared" si="166"/>
        <v>#N/A</v>
      </c>
      <c r="BI84" s="25" t="e">
        <f t="shared" si="167"/>
        <v>#N/A</v>
      </c>
      <c r="BJ84" s="27" t="e">
        <f t="shared" si="168"/>
        <v>#N/A</v>
      </c>
      <c r="BK84" s="18" t="e">
        <f t="shared" si="169"/>
        <v>#N/A</v>
      </c>
      <c r="BL84" s="18" t="e">
        <f t="shared" si="170"/>
        <v>#N/A</v>
      </c>
      <c r="BM84" s="28" t="e">
        <f t="shared" ref="BM84:BM147" si="233">MAX(BJ84:BL84)</f>
        <v>#N/A</v>
      </c>
      <c r="BN84" s="33">
        <f>HLOOKUP("maximum population",Miscelaneous!$C$1:$C$33,CH84+3,FALSE)</f>
        <v>240</v>
      </c>
      <c r="BO84" s="14">
        <f t="shared" si="182"/>
        <v>32</v>
      </c>
      <c r="BP84" s="14">
        <f t="shared" si="183"/>
        <v>0</v>
      </c>
      <c r="BQ84" s="14">
        <f t="shared" si="184"/>
        <v>208</v>
      </c>
      <c r="BR84" s="34" t="e">
        <f>HLOOKUP(J84,Villagers!$B$1:$V$33,L84+3,FALSE)-HLOOKUP(J84,Villagers!$B$1:$V$33,L84+2,FALSE)</f>
        <v>#N/A</v>
      </c>
      <c r="BS84" s="49">
        <f t="shared" si="185"/>
        <v>1</v>
      </c>
      <c r="BT84" s="50">
        <f t="shared" si="186"/>
        <v>0</v>
      </c>
      <c r="BU84" s="50">
        <f t="shared" si="187"/>
        <v>0</v>
      </c>
      <c r="BV84" s="50">
        <f t="shared" si="188"/>
        <v>0</v>
      </c>
      <c r="BW84" s="50">
        <f t="shared" si="189"/>
        <v>0</v>
      </c>
      <c r="BX84" s="50">
        <f t="shared" si="190"/>
        <v>0</v>
      </c>
      <c r="BY84" s="50">
        <f t="shared" si="190"/>
        <v>0</v>
      </c>
      <c r="BZ84" s="50">
        <f t="shared" si="191"/>
        <v>0</v>
      </c>
      <c r="CA84" s="50">
        <f t="shared" si="192"/>
        <v>0</v>
      </c>
      <c r="CB84" s="50">
        <f t="shared" si="193"/>
        <v>1</v>
      </c>
      <c r="CC84" s="50">
        <f t="shared" si="194"/>
        <v>0</v>
      </c>
      <c r="CD84" s="50">
        <f t="shared" si="195"/>
        <v>0</v>
      </c>
      <c r="CE84" s="50">
        <f t="shared" si="196"/>
        <v>1</v>
      </c>
      <c r="CF84" s="50">
        <f t="shared" si="197"/>
        <v>1</v>
      </c>
      <c r="CG84" s="50">
        <f t="shared" si="198"/>
        <v>1</v>
      </c>
      <c r="CH84" s="50">
        <f t="shared" si="199"/>
        <v>1</v>
      </c>
      <c r="CI84" s="50">
        <f t="shared" si="200"/>
        <v>1</v>
      </c>
      <c r="CJ84" s="50">
        <f t="shared" si="201"/>
        <v>1</v>
      </c>
      <c r="CK84" s="50">
        <f t="shared" si="201"/>
        <v>0</v>
      </c>
      <c r="CL84" s="50">
        <f t="shared" si="201"/>
        <v>0</v>
      </c>
      <c r="CM84" s="51">
        <f t="shared" si="202"/>
        <v>0</v>
      </c>
      <c r="CN84" s="33">
        <f>ROUND(IF(BS84=0,0,HLOOKUP(BS$14,Villagers!$B$1:$V$33,BS84+3,FALSE)),)</f>
        <v>5</v>
      </c>
      <c r="CO84" s="14">
        <f>ROUND(IF(BT84=0,0,HLOOKUP(BT$14,Villagers!$B$1:$V$33,BT84+3,FALSE)),)</f>
        <v>0</v>
      </c>
      <c r="CP84" s="14">
        <f>ROUND(IF(BU84=0,0,HLOOKUP(BU$14,Villagers!$B$1:$V$33,BU84+3,FALSE)),)</f>
        <v>0</v>
      </c>
      <c r="CQ84" s="14">
        <f>ROUND(IF(BV84=0,0,HLOOKUP(BV$14,Villagers!$B$1:$V$33,BV84+3,FALSE)),)</f>
        <v>0</v>
      </c>
      <c r="CR84" s="14">
        <f>ROUND(IF(BW84=0,0,HLOOKUP(BW$14,Villagers!$B$1:$V$33,BW84+3,FALSE)),)</f>
        <v>0</v>
      </c>
      <c r="CS84" s="14">
        <f>ROUND(IF(BX84=0,0,HLOOKUP(BX$14,Villagers!$B$1:$V$33,BX84+3,FALSE)),)</f>
        <v>0</v>
      </c>
      <c r="CT84" s="14">
        <f>ROUND(IF(BY84=0,0,HLOOKUP(BY$14,Villagers!$B$1:$V$33,BY84+3,FALSE)),)</f>
        <v>0</v>
      </c>
      <c r="CU84" s="14">
        <f>ROUND(IF(BZ84=0,0,HLOOKUP(BZ$14,Villagers!$B$1:$V$33,BZ84+3,FALSE)),)</f>
        <v>0</v>
      </c>
      <c r="CV84" s="14">
        <f>ROUND(IF(CA84=0,0,HLOOKUP(CA$14,Villagers!$B$1:$V$33,CA84+3,FALSE)),)</f>
        <v>0</v>
      </c>
      <c r="CW84" s="14">
        <f>ROUND(IF(CB84=0,0,HLOOKUP(CB$14,Villagers!$B$1:$V$33,CB84+3,FALSE)),)</f>
        <v>0</v>
      </c>
      <c r="CX84" s="14">
        <f>ROUND(IF(CC84=0,0,HLOOKUP(CC$14,Villagers!$B$1:$V$33,CC84+3,FALSE)),)</f>
        <v>0</v>
      </c>
      <c r="CY84" s="14">
        <f>ROUND(IF(CD84=0,0,HLOOKUP(CD$14,Villagers!$B$1:$V$33,CD84+3,FALSE)),)</f>
        <v>0</v>
      </c>
      <c r="CZ84" s="14">
        <f>ROUND(IF(CE84=0,0,HLOOKUP(CE$14,Villagers!$B$1:$V$33,CE84+3,FALSE)),)</f>
        <v>5</v>
      </c>
      <c r="DA84" s="14">
        <f>ROUND(IF(CF84=0,0,HLOOKUP(CF$14,Villagers!$B$1:$V$33,CF84+3,FALSE)),)</f>
        <v>10</v>
      </c>
      <c r="DB84" s="14">
        <f>ROUND(IF(CG84=0,0,HLOOKUP(CG$14,Villagers!$B$1:$V$33,CG84+3,FALSE)),)</f>
        <v>10</v>
      </c>
      <c r="DC84" s="14">
        <f>ROUND(IF(CH84=0,0,HLOOKUP(CH$14,Villagers!$B$1:$V$33,CH84+3,FALSE)),)</f>
        <v>0</v>
      </c>
      <c r="DD84" s="14">
        <f>ROUND(IF(CI84=0,0,HLOOKUP(CI$14,Villagers!$B$1:$V$33,CI84+3,FALSE)),)</f>
        <v>0</v>
      </c>
      <c r="DE84" s="14">
        <f>ROUND(IF(CJ84=0,0,HLOOKUP(CJ$14,Villagers!$B$1:$V$33,CJ84+3,FALSE)),)</f>
        <v>2</v>
      </c>
      <c r="DF84" s="370">
        <f>ROUND(IF(CK84=0,0,HLOOKUP(CK$14,Villagers!$B$1:$V$33,CK84+3,FALSE)),)</f>
        <v>0</v>
      </c>
      <c r="DG84" s="370">
        <f>ROUND(IF(CL84=0,0,HLOOKUP(CL$14,Villagers!$B$1:$V$33,CL84+3,FALSE)),)</f>
        <v>0</v>
      </c>
      <c r="DH84" s="34">
        <f>ROUND(IF(CM84=0,0,HLOOKUP(CM$14,Villagers!$B$1:$V$33,CM84+3,FALSE)),)</f>
        <v>0</v>
      </c>
      <c r="DI84" s="109">
        <f t="shared" si="219"/>
        <v>0</v>
      </c>
      <c r="DJ84" s="50">
        <f t="shared" si="220"/>
        <v>0</v>
      </c>
      <c r="DK84" s="50">
        <f t="shared" si="221"/>
        <v>0</v>
      </c>
      <c r="DL84" s="50">
        <f t="shared" si="222"/>
        <v>0</v>
      </c>
      <c r="DM84" s="50">
        <f t="shared" si="223"/>
        <v>0</v>
      </c>
      <c r="DN84" s="50">
        <f t="shared" si="224"/>
        <v>0</v>
      </c>
      <c r="DO84" s="50">
        <f t="shared" si="225"/>
        <v>0</v>
      </c>
      <c r="DP84" s="50">
        <f t="shared" si="226"/>
        <v>0</v>
      </c>
      <c r="DQ84" s="50">
        <f t="shared" si="203"/>
        <v>0</v>
      </c>
      <c r="DR84" s="50">
        <f t="shared" si="204"/>
        <v>0</v>
      </c>
      <c r="DS84" s="96">
        <f>Miscelaneous!$D$4*Miscelaneous!$D$2^($CI84-1)</f>
        <v>1000</v>
      </c>
      <c r="DT84" s="333">
        <f t="shared" si="171"/>
        <v>1</v>
      </c>
      <c r="DU84" s="81">
        <v>1</v>
      </c>
      <c r="DV84" s="79">
        <f t="shared" si="205"/>
        <v>0</v>
      </c>
      <c r="DW84" s="79">
        <f t="shared" si="206"/>
        <v>0</v>
      </c>
      <c r="DX84" s="79">
        <f t="shared" si="207"/>
        <v>0</v>
      </c>
      <c r="DY84" s="79">
        <v>1</v>
      </c>
      <c r="DZ84" s="79">
        <f t="shared" si="208"/>
        <v>0</v>
      </c>
      <c r="EA84" s="79">
        <f t="shared" si="209"/>
        <v>0</v>
      </c>
      <c r="EB84" s="79">
        <f t="shared" si="210"/>
        <v>0</v>
      </c>
      <c r="EC84" s="79">
        <f t="shared" si="211"/>
        <v>0</v>
      </c>
      <c r="ED84" s="79">
        <v>1</v>
      </c>
      <c r="EE84" s="79">
        <v>1</v>
      </c>
      <c r="EF84" s="79">
        <f t="shared" si="212"/>
        <v>0</v>
      </c>
      <c r="EG84" s="79">
        <v>1</v>
      </c>
      <c r="EH84" s="79">
        <v>1</v>
      </c>
      <c r="EI84" s="79">
        <v>1</v>
      </c>
      <c r="EJ84" s="79">
        <v>1</v>
      </c>
      <c r="EK84" s="79">
        <v>1</v>
      </c>
      <c r="EL84" s="79">
        <v>1</v>
      </c>
      <c r="EM84" s="143">
        <f t="shared" si="213"/>
        <v>0</v>
      </c>
      <c r="EN84" s="143">
        <f t="shared" si="214"/>
        <v>0</v>
      </c>
      <c r="EO84" s="82">
        <f t="shared" si="215"/>
        <v>0</v>
      </c>
    </row>
    <row r="85" spans="1:145" x14ac:dyDescent="0.25">
      <c r="A85">
        <v>71</v>
      </c>
      <c r="B85" s="172" t="e">
        <f t="shared" si="172"/>
        <v>#N/A</v>
      </c>
      <c r="C85" s="121" t="e">
        <f t="shared" ref="C85:E85" si="234">AJ85-SUM(AB85:AB89)</f>
        <v>#N/A</v>
      </c>
      <c r="D85" s="122" t="e">
        <f t="shared" si="234"/>
        <v>#N/A</v>
      </c>
      <c r="E85" s="122" t="e">
        <f t="shared" si="234"/>
        <v>#N/A</v>
      </c>
      <c r="F85" s="176" t="e">
        <f t="shared" si="154"/>
        <v>#N/A</v>
      </c>
      <c r="G85" s="121">
        <f t="shared" si="174"/>
        <v>208</v>
      </c>
      <c r="H85" s="176" t="e">
        <f t="shared" si="175"/>
        <v>#N/A</v>
      </c>
      <c r="I85" s="48">
        <v>1</v>
      </c>
      <c r="J85" s="39"/>
      <c r="K85" s="350">
        <v>1</v>
      </c>
      <c r="L85" s="34" t="e">
        <f t="shared" si="155"/>
        <v>#N/A</v>
      </c>
      <c r="M85" s="38" t="e">
        <f>(HLOOKUP(J85,'Construction Times'!$B$3:$W$34,L85+2,FALSE)*HLOOKUP("hq modifier",'Construction Times'!$W$3:$W$34,BS85+2,FALSE))*(1-$H$9)</f>
        <v>#N/A</v>
      </c>
      <c r="N85" s="426" t="e">
        <f t="shared" si="176"/>
        <v>#N/A</v>
      </c>
      <c r="O85" s="427"/>
      <c r="P85" s="430" t="e">
        <f t="shared" si="177"/>
        <v>#N/A</v>
      </c>
      <c r="Q85" s="431"/>
      <c r="R85" s="103">
        <f t="shared" si="217"/>
        <v>0</v>
      </c>
      <c r="S85" s="104">
        <f t="shared" si="217"/>
        <v>0</v>
      </c>
      <c r="T85" s="104">
        <f t="shared" si="218"/>
        <v>0</v>
      </c>
      <c r="U85" s="104">
        <f t="shared" si="218"/>
        <v>0</v>
      </c>
      <c r="V85" s="104">
        <f t="shared" si="218"/>
        <v>9.9999999999999995E-8</v>
      </c>
      <c r="W85" s="104">
        <f t="shared" si="218"/>
        <v>0</v>
      </c>
      <c r="X85" s="104">
        <f t="shared" si="116"/>
        <v>0</v>
      </c>
      <c r="Y85" s="104">
        <f t="shared" si="116"/>
        <v>9.9999999999999995E-8</v>
      </c>
      <c r="Z85" s="104">
        <f t="shared" si="116"/>
        <v>9.9999999999999995E-8</v>
      </c>
      <c r="AA85" s="105">
        <f t="shared" si="116"/>
        <v>9.9999999999999995E-8</v>
      </c>
      <c r="AB85" s="101" t="e">
        <f>$DT85*HLOOKUP($J85,'Construction Costs (timber)'!$B$1:$V$32,'Construction Planner'!$L85+2,FALSE)</f>
        <v>#N/A</v>
      </c>
      <c r="AC85" s="14" t="e">
        <f>$DT85*HLOOKUP($J85,'Construction Costs (clay)'!$B$1:$V$32,'Construction Planner'!$L85+2,FALSE)</f>
        <v>#N/A</v>
      </c>
      <c r="AD85" s="14" t="e">
        <f>$DT85*HLOOKUP($J85,'Construction Costs (iron)'!$B$1:$V$32,'Construction Planner'!$L85+2,FALSE)</f>
        <v>#N/A</v>
      </c>
      <c r="AE85" s="34" t="e">
        <f t="shared" si="230"/>
        <v>#N/A</v>
      </c>
      <c r="AF85" s="33" t="e">
        <f t="shared" si="156"/>
        <v>#N/A</v>
      </c>
      <c r="AG85" s="14" t="e">
        <f t="shared" si="157"/>
        <v>#N/A</v>
      </c>
      <c r="AH85" s="14" t="e">
        <f t="shared" si="158"/>
        <v>#N/A</v>
      </c>
      <c r="AI85" s="34" t="e">
        <f t="shared" si="231"/>
        <v>#N/A</v>
      </c>
      <c r="AJ85" s="49" t="e">
        <f t="shared" si="178"/>
        <v>#N/A</v>
      </c>
      <c r="AK85" s="49" t="e">
        <f t="shared" si="179"/>
        <v>#N/A</v>
      </c>
      <c r="AL85" s="49" t="e">
        <f t="shared" si="180"/>
        <v>#N/A</v>
      </c>
      <c r="AM85" s="25">
        <f t="shared" si="159"/>
        <v>30</v>
      </c>
      <c r="AN85" s="25">
        <f t="shared" si="160"/>
        <v>30</v>
      </c>
      <c r="AO85" s="25">
        <f t="shared" si="161"/>
        <v>30</v>
      </c>
      <c r="AP85" s="52" t="e">
        <f t="shared" si="181"/>
        <v>#N/A</v>
      </c>
      <c r="AQ85" s="53" t="e">
        <f t="shared" si="181"/>
        <v>#N/A</v>
      </c>
      <c r="AR85" s="54" t="e">
        <f t="shared" si="181"/>
        <v>#N/A</v>
      </c>
      <c r="AS85" s="316">
        <f t="shared" si="232"/>
        <v>0</v>
      </c>
      <c r="AT85" s="106">
        <f>_xlfn.IFNA($M85/VLOOKUP($BT85,'Unit information'!$A$2:$K$29,2,FALSE)*R85,0)*(1+$E$9)</f>
        <v>0</v>
      </c>
      <c r="AU85" s="107">
        <f>_xlfn.IFNA($M85/VLOOKUP($BT85,'Unit information'!$A$2:$K$29,3,FALSE)*S85,0)*(1+$E$9)</f>
        <v>0</v>
      </c>
      <c r="AV85" s="107">
        <f>_xlfn.IFNA($M85/VLOOKUP($BT85,'Unit information'!$A$2:$K$29,4,FALSE)*T85,0)*(1+$E$9)</f>
        <v>0</v>
      </c>
      <c r="AW85" s="107">
        <f>_xlfn.IFNA($M85/VLOOKUP($BT85,'Unit information'!$A$2:$K$29,5,FALSE)*U85,0)*(1+$E$9)</f>
        <v>0</v>
      </c>
      <c r="AX85" s="107">
        <f>_xlfn.IFNA($M85/VLOOKUP($BU85,'Unit information'!$A$2:$K$29,6,FALSE)*V85,0)*(1+$E$9)</f>
        <v>0</v>
      </c>
      <c r="AY85" s="107">
        <f>_xlfn.IFNA($M85/VLOOKUP($BU85,'Unit information'!$A$2:$K$29,7,FALSE)*W85,0)*(1+$E$9)</f>
        <v>0</v>
      </c>
      <c r="AZ85" s="107">
        <f>_xlfn.IFNA($M85/VLOOKUP($BU85,'Unit information'!$A$2:$K$29,8,FALSE)*X85,0)*(1+$E$9)</f>
        <v>0</v>
      </c>
      <c r="BA85" s="107">
        <f>_xlfn.IFNA($M85/VLOOKUP($BU85,'Unit information'!$A$2:$K$29,9,FALSE)*Y85,0)*(1+$E$9)</f>
        <v>0</v>
      </c>
      <c r="BB85" s="107">
        <f>_xlfn.IFNA($M85/VLOOKUP($BV85,'Unit information'!$A$2:$K$29,10,FALSE)*Z85,0)*(1+$E$9)</f>
        <v>0</v>
      </c>
      <c r="BC85" s="108">
        <f>_xlfn.IFNA($M85/VLOOKUP($BV85,'Unit information'!$A$2:$K$29,11,FALSE)*AA85,0)*(1+$E$9)</f>
        <v>0</v>
      </c>
      <c r="BD85" s="106">
        <f t="shared" si="162"/>
        <v>0</v>
      </c>
      <c r="BE85" s="107">
        <f t="shared" si="163"/>
        <v>0</v>
      </c>
      <c r="BF85" s="108">
        <f t="shared" si="164"/>
        <v>0</v>
      </c>
      <c r="BG85" s="25" t="e">
        <f t="shared" si="165"/>
        <v>#N/A</v>
      </c>
      <c r="BH85" s="25" t="e">
        <f t="shared" si="166"/>
        <v>#N/A</v>
      </c>
      <c r="BI85" s="25" t="e">
        <f t="shared" si="167"/>
        <v>#N/A</v>
      </c>
      <c r="BJ85" s="27" t="e">
        <f t="shared" si="168"/>
        <v>#N/A</v>
      </c>
      <c r="BK85" s="18" t="e">
        <f t="shared" si="169"/>
        <v>#N/A</v>
      </c>
      <c r="BL85" s="18" t="e">
        <f t="shared" si="170"/>
        <v>#N/A</v>
      </c>
      <c r="BM85" s="28" t="e">
        <f t="shared" si="233"/>
        <v>#N/A</v>
      </c>
      <c r="BN85" s="33">
        <f>HLOOKUP("maximum population",Miscelaneous!$C$1:$C$33,CH85+3,FALSE)</f>
        <v>240</v>
      </c>
      <c r="BO85" s="14">
        <f t="shared" si="182"/>
        <v>32</v>
      </c>
      <c r="BP85" s="14">
        <f t="shared" si="183"/>
        <v>0</v>
      </c>
      <c r="BQ85" s="14">
        <f t="shared" si="184"/>
        <v>208</v>
      </c>
      <c r="BR85" s="34" t="e">
        <f>HLOOKUP(J85,Villagers!$B$1:$V$33,L85+3,FALSE)-HLOOKUP(J85,Villagers!$B$1:$V$33,L85+2,FALSE)</f>
        <v>#N/A</v>
      </c>
      <c r="BS85" s="49">
        <f t="shared" si="185"/>
        <v>1</v>
      </c>
      <c r="BT85" s="50">
        <f t="shared" si="186"/>
        <v>0</v>
      </c>
      <c r="BU85" s="50">
        <f t="shared" si="187"/>
        <v>0</v>
      </c>
      <c r="BV85" s="50">
        <f t="shared" si="188"/>
        <v>0</v>
      </c>
      <c r="BW85" s="50">
        <f t="shared" si="189"/>
        <v>0</v>
      </c>
      <c r="BX85" s="50">
        <f t="shared" si="190"/>
        <v>0</v>
      </c>
      <c r="BY85" s="50">
        <f t="shared" si="190"/>
        <v>0</v>
      </c>
      <c r="BZ85" s="50">
        <f t="shared" si="191"/>
        <v>0</v>
      </c>
      <c r="CA85" s="50">
        <f t="shared" si="192"/>
        <v>0</v>
      </c>
      <c r="CB85" s="50">
        <f t="shared" si="193"/>
        <v>1</v>
      </c>
      <c r="CC85" s="50">
        <f t="shared" si="194"/>
        <v>0</v>
      </c>
      <c r="CD85" s="50">
        <f t="shared" si="195"/>
        <v>0</v>
      </c>
      <c r="CE85" s="50">
        <f t="shared" si="196"/>
        <v>1</v>
      </c>
      <c r="CF85" s="50">
        <f t="shared" si="197"/>
        <v>1</v>
      </c>
      <c r="CG85" s="50">
        <f t="shared" si="198"/>
        <v>1</v>
      </c>
      <c r="CH85" s="50">
        <f t="shared" si="199"/>
        <v>1</v>
      </c>
      <c r="CI85" s="50">
        <f t="shared" si="200"/>
        <v>1</v>
      </c>
      <c r="CJ85" s="50">
        <f t="shared" si="201"/>
        <v>1</v>
      </c>
      <c r="CK85" s="50">
        <f t="shared" si="201"/>
        <v>0</v>
      </c>
      <c r="CL85" s="50">
        <f t="shared" si="201"/>
        <v>0</v>
      </c>
      <c r="CM85" s="51">
        <f t="shared" si="202"/>
        <v>0</v>
      </c>
      <c r="CN85" s="33">
        <f>ROUND(IF(BS85=0,0,HLOOKUP(BS$14,Villagers!$B$1:$V$33,BS85+3,FALSE)),)</f>
        <v>5</v>
      </c>
      <c r="CO85" s="14">
        <f>ROUND(IF(BT85=0,0,HLOOKUP(BT$14,Villagers!$B$1:$V$33,BT85+3,FALSE)),)</f>
        <v>0</v>
      </c>
      <c r="CP85" s="14">
        <f>ROUND(IF(BU85=0,0,HLOOKUP(BU$14,Villagers!$B$1:$V$33,BU85+3,FALSE)),)</f>
        <v>0</v>
      </c>
      <c r="CQ85" s="14">
        <f>ROUND(IF(BV85=0,0,HLOOKUP(BV$14,Villagers!$B$1:$V$33,BV85+3,FALSE)),)</f>
        <v>0</v>
      </c>
      <c r="CR85" s="14">
        <f>ROUND(IF(BW85=0,0,HLOOKUP(BW$14,Villagers!$B$1:$V$33,BW85+3,FALSE)),)</f>
        <v>0</v>
      </c>
      <c r="CS85" s="14">
        <f>ROUND(IF(BX85=0,0,HLOOKUP(BX$14,Villagers!$B$1:$V$33,BX85+3,FALSE)),)</f>
        <v>0</v>
      </c>
      <c r="CT85" s="14">
        <f>ROUND(IF(BY85=0,0,HLOOKUP(BY$14,Villagers!$B$1:$V$33,BY85+3,FALSE)),)</f>
        <v>0</v>
      </c>
      <c r="CU85" s="14">
        <f>ROUND(IF(BZ85=0,0,HLOOKUP(BZ$14,Villagers!$B$1:$V$33,BZ85+3,FALSE)),)</f>
        <v>0</v>
      </c>
      <c r="CV85" s="14">
        <f>ROUND(IF(CA85=0,0,HLOOKUP(CA$14,Villagers!$B$1:$V$33,CA85+3,FALSE)),)</f>
        <v>0</v>
      </c>
      <c r="CW85" s="14">
        <f>ROUND(IF(CB85=0,0,HLOOKUP(CB$14,Villagers!$B$1:$V$33,CB85+3,FALSE)),)</f>
        <v>0</v>
      </c>
      <c r="CX85" s="14">
        <f>ROUND(IF(CC85=0,0,HLOOKUP(CC$14,Villagers!$B$1:$V$33,CC85+3,FALSE)),)</f>
        <v>0</v>
      </c>
      <c r="CY85" s="14">
        <f>ROUND(IF(CD85=0,0,HLOOKUP(CD$14,Villagers!$B$1:$V$33,CD85+3,FALSE)),)</f>
        <v>0</v>
      </c>
      <c r="CZ85" s="14">
        <f>ROUND(IF(CE85=0,0,HLOOKUP(CE$14,Villagers!$B$1:$V$33,CE85+3,FALSE)),)</f>
        <v>5</v>
      </c>
      <c r="DA85" s="14">
        <f>ROUND(IF(CF85=0,0,HLOOKUP(CF$14,Villagers!$B$1:$V$33,CF85+3,FALSE)),)</f>
        <v>10</v>
      </c>
      <c r="DB85" s="14">
        <f>ROUND(IF(CG85=0,0,HLOOKUP(CG$14,Villagers!$B$1:$V$33,CG85+3,FALSE)),)</f>
        <v>10</v>
      </c>
      <c r="DC85" s="14">
        <f>ROUND(IF(CH85=0,0,HLOOKUP(CH$14,Villagers!$B$1:$V$33,CH85+3,FALSE)),)</f>
        <v>0</v>
      </c>
      <c r="DD85" s="14">
        <f>ROUND(IF(CI85=0,0,HLOOKUP(CI$14,Villagers!$B$1:$V$33,CI85+3,FALSE)),)</f>
        <v>0</v>
      </c>
      <c r="DE85" s="14">
        <f>ROUND(IF(CJ85=0,0,HLOOKUP(CJ$14,Villagers!$B$1:$V$33,CJ85+3,FALSE)),)</f>
        <v>2</v>
      </c>
      <c r="DF85" s="370">
        <f>ROUND(IF(CK85=0,0,HLOOKUP(CK$14,Villagers!$B$1:$V$33,CK85+3,FALSE)),)</f>
        <v>0</v>
      </c>
      <c r="DG85" s="370">
        <f>ROUND(IF(CL85=0,0,HLOOKUP(CL$14,Villagers!$B$1:$V$33,CL85+3,FALSE)),)</f>
        <v>0</v>
      </c>
      <c r="DH85" s="34">
        <f>ROUND(IF(CM85=0,0,HLOOKUP(CM$14,Villagers!$B$1:$V$33,CM85+3,FALSE)),)</f>
        <v>0</v>
      </c>
      <c r="DI85" s="109">
        <f t="shared" si="219"/>
        <v>0</v>
      </c>
      <c r="DJ85" s="50">
        <f t="shared" si="220"/>
        <v>0</v>
      </c>
      <c r="DK85" s="50">
        <f t="shared" si="221"/>
        <v>0</v>
      </c>
      <c r="DL85" s="50">
        <f t="shared" si="222"/>
        <v>0</v>
      </c>
      <c r="DM85" s="50">
        <f t="shared" si="223"/>
        <v>0</v>
      </c>
      <c r="DN85" s="50">
        <f t="shared" si="224"/>
        <v>0</v>
      </c>
      <c r="DO85" s="50">
        <f t="shared" si="225"/>
        <v>0</v>
      </c>
      <c r="DP85" s="50">
        <f t="shared" si="226"/>
        <v>0</v>
      </c>
      <c r="DQ85" s="50">
        <f t="shared" si="203"/>
        <v>0</v>
      </c>
      <c r="DR85" s="50">
        <f t="shared" si="204"/>
        <v>0</v>
      </c>
      <c r="DS85" s="96">
        <f>Miscelaneous!$D$4*Miscelaneous!$D$2^($CI85-1)</f>
        <v>1000</v>
      </c>
      <c r="DT85" s="333">
        <f t="shared" si="171"/>
        <v>1</v>
      </c>
      <c r="DU85" s="81">
        <v>1</v>
      </c>
      <c r="DV85" s="79">
        <f t="shared" si="205"/>
        <v>0</v>
      </c>
      <c r="DW85" s="79">
        <f t="shared" si="206"/>
        <v>0</v>
      </c>
      <c r="DX85" s="79">
        <f t="shared" si="207"/>
        <v>0</v>
      </c>
      <c r="DY85" s="79">
        <v>1</v>
      </c>
      <c r="DZ85" s="79">
        <f t="shared" si="208"/>
        <v>0</v>
      </c>
      <c r="EA85" s="79">
        <f t="shared" si="209"/>
        <v>0</v>
      </c>
      <c r="EB85" s="79">
        <f t="shared" si="210"/>
        <v>0</v>
      </c>
      <c r="EC85" s="79">
        <f t="shared" si="211"/>
        <v>0</v>
      </c>
      <c r="ED85" s="79">
        <v>1</v>
      </c>
      <c r="EE85" s="79">
        <v>1</v>
      </c>
      <c r="EF85" s="79">
        <f t="shared" si="212"/>
        <v>0</v>
      </c>
      <c r="EG85" s="79">
        <v>1</v>
      </c>
      <c r="EH85" s="79">
        <v>1</v>
      </c>
      <c r="EI85" s="79">
        <v>1</v>
      </c>
      <c r="EJ85" s="79">
        <v>1</v>
      </c>
      <c r="EK85" s="79">
        <v>1</v>
      </c>
      <c r="EL85" s="79">
        <v>1</v>
      </c>
      <c r="EM85" s="143">
        <f t="shared" si="213"/>
        <v>0</v>
      </c>
      <c r="EN85" s="143">
        <f t="shared" si="214"/>
        <v>0</v>
      </c>
      <c r="EO85" s="82">
        <f t="shared" si="215"/>
        <v>0</v>
      </c>
    </row>
    <row r="86" spans="1:145" x14ac:dyDescent="0.25">
      <c r="A86">
        <v>72</v>
      </c>
      <c r="B86" s="172" t="e">
        <f t="shared" si="172"/>
        <v>#N/A</v>
      </c>
      <c r="C86" s="121" t="e">
        <f t="shared" ref="C86:E86" si="235">AJ86-SUM(AB86:AB90)</f>
        <v>#N/A</v>
      </c>
      <c r="D86" s="122" t="e">
        <f t="shared" si="235"/>
        <v>#N/A</v>
      </c>
      <c r="E86" s="122" t="e">
        <f t="shared" si="235"/>
        <v>#N/A</v>
      </c>
      <c r="F86" s="176" t="e">
        <f t="shared" si="154"/>
        <v>#N/A</v>
      </c>
      <c r="G86" s="121">
        <f t="shared" si="174"/>
        <v>208</v>
      </c>
      <c r="H86" s="176" t="e">
        <f t="shared" si="175"/>
        <v>#N/A</v>
      </c>
      <c r="I86" s="48">
        <v>1</v>
      </c>
      <c r="J86" s="39"/>
      <c r="K86" s="350">
        <v>1</v>
      </c>
      <c r="L86" s="34" t="e">
        <f t="shared" si="155"/>
        <v>#N/A</v>
      </c>
      <c r="M86" s="38" t="e">
        <f>(HLOOKUP(J86,'Construction Times'!$B$3:$W$34,L86+2,FALSE)*HLOOKUP("hq modifier",'Construction Times'!$W$3:$W$34,BS86+2,FALSE))*(1-$H$9)</f>
        <v>#N/A</v>
      </c>
      <c r="N86" s="426" t="e">
        <f t="shared" si="176"/>
        <v>#N/A</v>
      </c>
      <c r="O86" s="427"/>
      <c r="P86" s="430" t="e">
        <f t="shared" si="177"/>
        <v>#N/A</v>
      </c>
      <c r="Q86" s="431"/>
      <c r="R86" s="103">
        <f t="shared" si="217"/>
        <v>0</v>
      </c>
      <c r="S86" s="104">
        <f t="shared" si="217"/>
        <v>0</v>
      </c>
      <c r="T86" s="104">
        <f t="shared" si="218"/>
        <v>0</v>
      </c>
      <c r="U86" s="104">
        <f t="shared" si="218"/>
        <v>0</v>
      </c>
      <c r="V86" s="104">
        <f t="shared" si="218"/>
        <v>9.9999999999999995E-8</v>
      </c>
      <c r="W86" s="104">
        <f t="shared" si="218"/>
        <v>0</v>
      </c>
      <c r="X86" s="104">
        <f t="shared" si="116"/>
        <v>0</v>
      </c>
      <c r="Y86" s="104">
        <f t="shared" si="116"/>
        <v>9.9999999999999995E-8</v>
      </c>
      <c r="Z86" s="104">
        <f t="shared" si="116"/>
        <v>9.9999999999999995E-8</v>
      </c>
      <c r="AA86" s="105">
        <f t="shared" si="116"/>
        <v>9.9999999999999995E-8</v>
      </c>
      <c r="AB86" s="101" t="e">
        <f>$DT86*HLOOKUP($J86,'Construction Costs (timber)'!$B$1:$V$32,'Construction Planner'!$L86+2,FALSE)</f>
        <v>#N/A</v>
      </c>
      <c r="AC86" s="14" t="e">
        <f>$DT86*HLOOKUP($J86,'Construction Costs (clay)'!$B$1:$V$32,'Construction Planner'!$L86+2,FALSE)</f>
        <v>#N/A</v>
      </c>
      <c r="AD86" s="14" t="e">
        <f>$DT86*HLOOKUP($J86,'Construction Costs (iron)'!$B$1:$V$32,'Construction Planner'!$L86+2,FALSE)</f>
        <v>#N/A</v>
      </c>
      <c r="AE86" s="34" t="e">
        <f t="shared" si="230"/>
        <v>#N/A</v>
      </c>
      <c r="AF86" s="33" t="e">
        <f t="shared" si="156"/>
        <v>#N/A</v>
      </c>
      <c r="AG86" s="14" t="e">
        <f t="shared" si="157"/>
        <v>#N/A</v>
      </c>
      <c r="AH86" s="14" t="e">
        <f t="shared" si="158"/>
        <v>#N/A</v>
      </c>
      <c r="AI86" s="34" t="e">
        <f t="shared" si="231"/>
        <v>#N/A</v>
      </c>
      <c r="AJ86" s="49" t="e">
        <f t="shared" si="178"/>
        <v>#N/A</v>
      </c>
      <c r="AK86" s="49" t="e">
        <f t="shared" si="179"/>
        <v>#N/A</v>
      </c>
      <c r="AL86" s="49" t="e">
        <f t="shared" si="180"/>
        <v>#N/A</v>
      </c>
      <c r="AM86" s="25">
        <f t="shared" si="159"/>
        <v>30</v>
      </c>
      <c r="AN86" s="25">
        <f t="shared" si="160"/>
        <v>30</v>
      </c>
      <c r="AO86" s="25">
        <f t="shared" si="161"/>
        <v>30</v>
      </c>
      <c r="AP86" s="52" t="e">
        <f t="shared" si="181"/>
        <v>#N/A</v>
      </c>
      <c r="AQ86" s="53" t="e">
        <f t="shared" si="181"/>
        <v>#N/A</v>
      </c>
      <c r="AR86" s="54" t="e">
        <f t="shared" si="181"/>
        <v>#N/A</v>
      </c>
      <c r="AS86" s="316">
        <f t="shared" si="232"/>
        <v>0</v>
      </c>
      <c r="AT86" s="106">
        <f>_xlfn.IFNA($M86/VLOOKUP($BT86,'Unit information'!$A$2:$K$29,2,FALSE)*R86,0)*(1+$E$9)</f>
        <v>0</v>
      </c>
      <c r="AU86" s="107">
        <f>_xlfn.IFNA($M86/VLOOKUP($BT86,'Unit information'!$A$2:$K$29,3,FALSE)*S86,0)*(1+$E$9)</f>
        <v>0</v>
      </c>
      <c r="AV86" s="107">
        <f>_xlfn.IFNA($M86/VLOOKUP($BT86,'Unit information'!$A$2:$K$29,4,FALSE)*T86,0)*(1+$E$9)</f>
        <v>0</v>
      </c>
      <c r="AW86" s="107">
        <f>_xlfn.IFNA($M86/VLOOKUP($BT86,'Unit information'!$A$2:$K$29,5,FALSE)*U86,0)*(1+$E$9)</f>
        <v>0</v>
      </c>
      <c r="AX86" s="107">
        <f>_xlfn.IFNA($M86/VLOOKUP($BU86,'Unit information'!$A$2:$K$29,6,FALSE)*V86,0)*(1+$E$9)</f>
        <v>0</v>
      </c>
      <c r="AY86" s="107">
        <f>_xlfn.IFNA($M86/VLOOKUP($BU86,'Unit information'!$A$2:$K$29,7,FALSE)*W86,0)*(1+$E$9)</f>
        <v>0</v>
      </c>
      <c r="AZ86" s="107">
        <f>_xlfn.IFNA($M86/VLOOKUP($BU86,'Unit information'!$A$2:$K$29,8,FALSE)*X86,0)*(1+$E$9)</f>
        <v>0</v>
      </c>
      <c r="BA86" s="107">
        <f>_xlfn.IFNA($M86/VLOOKUP($BU86,'Unit information'!$A$2:$K$29,9,FALSE)*Y86,0)*(1+$E$9)</f>
        <v>0</v>
      </c>
      <c r="BB86" s="107">
        <f>_xlfn.IFNA($M86/VLOOKUP($BV86,'Unit information'!$A$2:$K$29,10,FALSE)*Z86,0)*(1+$E$9)</f>
        <v>0</v>
      </c>
      <c r="BC86" s="108">
        <f>_xlfn.IFNA($M86/VLOOKUP($BV86,'Unit information'!$A$2:$K$29,11,FALSE)*AA86,0)*(1+$E$9)</f>
        <v>0</v>
      </c>
      <c r="BD86" s="106">
        <f t="shared" si="162"/>
        <v>0</v>
      </c>
      <c r="BE86" s="107">
        <f t="shared" si="163"/>
        <v>0</v>
      </c>
      <c r="BF86" s="108">
        <f t="shared" si="164"/>
        <v>0</v>
      </c>
      <c r="BG86" s="25" t="e">
        <f t="shared" si="165"/>
        <v>#N/A</v>
      </c>
      <c r="BH86" s="25" t="e">
        <f t="shared" si="166"/>
        <v>#N/A</v>
      </c>
      <c r="BI86" s="25" t="e">
        <f t="shared" si="167"/>
        <v>#N/A</v>
      </c>
      <c r="BJ86" s="27" t="e">
        <f t="shared" si="168"/>
        <v>#N/A</v>
      </c>
      <c r="BK86" s="18" t="e">
        <f t="shared" si="169"/>
        <v>#N/A</v>
      </c>
      <c r="BL86" s="18" t="e">
        <f t="shared" si="170"/>
        <v>#N/A</v>
      </c>
      <c r="BM86" s="28" t="e">
        <f t="shared" si="233"/>
        <v>#N/A</v>
      </c>
      <c r="BN86" s="33">
        <f>HLOOKUP("maximum population",Miscelaneous!$C$1:$C$33,CH86+3,FALSE)</f>
        <v>240</v>
      </c>
      <c r="BO86" s="14">
        <f t="shared" si="182"/>
        <v>32</v>
      </c>
      <c r="BP86" s="14">
        <f t="shared" si="183"/>
        <v>0</v>
      </c>
      <c r="BQ86" s="14">
        <f t="shared" si="184"/>
        <v>208</v>
      </c>
      <c r="BR86" s="34" t="e">
        <f>HLOOKUP(J86,Villagers!$B$1:$V$33,L86+3,FALSE)-HLOOKUP(J86,Villagers!$B$1:$V$33,L86+2,FALSE)</f>
        <v>#N/A</v>
      </c>
      <c r="BS86" s="49">
        <f t="shared" si="185"/>
        <v>1</v>
      </c>
      <c r="BT86" s="50">
        <f t="shared" si="186"/>
        <v>0</v>
      </c>
      <c r="BU86" s="50">
        <f t="shared" si="187"/>
        <v>0</v>
      </c>
      <c r="BV86" s="50">
        <f t="shared" si="188"/>
        <v>0</v>
      </c>
      <c r="BW86" s="50">
        <f t="shared" si="189"/>
        <v>0</v>
      </c>
      <c r="BX86" s="50">
        <f t="shared" si="190"/>
        <v>0</v>
      </c>
      <c r="BY86" s="50">
        <f t="shared" si="190"/>
        <v>0</v>
      </c>
      <c r="BZ86" s="50">
        <f t="shared" si="191"/>
        <v>0</v>
      </c>
      <c r="CA86" s="50">
        <f t="shared" si="192"/>
        <v>0</v>
      </c>
      <c r="CB86" s="50">
        <f t="shared" si="193"/>
        <v>1</v>
      </c>
      <c r="CC86" s="50">
        <f t="shared" si="194"/>
        <v>0</v>
      </c>
      <c r="CD86" s="50">
        <f t="shared" si="195"/>
        <v>0</v>
      </c>
      <c r="CE86" s="50">
        <f t="shared" si="196"/>
        <v>1</v>
      </c>
      <c r="CF86" s="50">
        <f t="shared" si="197"/>
        <v>1</v>
      </c>
      <c r="CG86" s="50">
        <f t="shared" si="198"/>
        <v>1</v>
      </c>
      <c r="CH86" s="50">
        <f t="shared" si="199"/>
        <v>1</v>
      </c>
      <c r="CI86" s="50">
        <f t="shared" si="200"/>
        <v>1</v>
      </c>
      <c r="CJ86" s="50">
        <f t="shared" si="201"/>
        <v>1</v>
      </c>
      <c r="CK86" s="50">
        <f t="shared" si="201"/>
        <v>0</v>
      </c>
      <c r="CL86" s="50">
        <f t="shared" si="201"/>
        <v>0</v>
      </c>
      <c r="CM86" s="51">
        <f t="shared" si="202"/>
        <v>0</v>
      </c>
      <c r="CN86" s="33">
        <f>ROUND(IF(BS86=0,0,HLOOKUP(BS$14,Villagers!$B$1:$V$33,BS86+3,FALSE)),)</f>
        <v>5</v>
      </c>
      <c r="CO86" s="14">
        <f>ROUND(IF(BT86=0,0,HLOOKUP(BT$14,Villagers!$B$1:$V$33,BT86+3,FALSE)),)</f>
        <v>0</v>
      </c>
      <c r="CP86" s="14">
        <f>ROUND(IF(BU86=0,0,HLOOKUP(BU$14,Villagers!$B$1:$V$33,BU86+3,FALSE)),)</f>
        <v>0</v>
      </c>
      <c r="CQ86" s="14">
        <f>ROUND(IF(BV86=0,0,HLOOKUP(BV$14,Villagers!$B$1:$V$33,BV86+3,FALSE)),)</f>
        <v>0</v>
      </c>
      <c r="CR86" s="14">
        <f>ROUND(IF(BW86=0,0,HLOOKUP(BW$14,Villagers!$B$1:$V$33,BW86+3,FALSE)),)</f>
        <v>0</v>
      </c>
      <c r="CS86" s="14">
        <f>ROUND(IF(BX86=0,0,HLOOKUP(BX$14,Villagers!$B$1:$V$33,BX86+3,FALSE)),)</f>
        <v>0</v>
      </c>
      <c r="CT86" s="14">
        <f>ROUND(IF(BY86=0,0,HLOOKUP(BY$14,Villagers!$B$1:$V$33,BY86+3,FALSE)),)</f>
        <v>0</v>
      </c>
      <c r="CU86" s="14">
        <f>ROUND(IF(BZ86=0,0,HLOOKUP(BZ$14,Villagers!$B$1:$V$33,BZ86+3,FALSE)),)</f>
        <v>0</v>
      </c>
      <c r="CV86" s="14">
        <f>ROUND(IF(CA86=0,0,HLOOKUP(CA$14,Villagers!$B$1:$V$33,CA86+3,FALSE)),)</f>
        <v>0</v>
      </c>
      <c r="CW86" s="14">
        <f>ROUND(IF(CB86=0,0,HLOOKUP(CB$14,Villagers!$B$1:$V$33,CB86+3,FALSE)),)</f>
        <v>0</v>
      </c>
      <c r="CX86" s="14">
        <f>ROUND(IF(CC86=0,0,HLOOKUP(CC$14,Villagers!$B$1:$V$33,CC86+3,FALSE)),)</f>
        <v>0</v>
      </c>
      <c r="CY86" s="14">
        <f>ROUND(IF(CD86=0,0,HLOOKUP(CD$14,Villagers!$B$1:$V$33,CD86+3,FALSE)),)</f>
        <v>0</v>
      </c>
      <c r="CZ86" s="14">
        <f>ROUND(IF(CE86=0,0,HLOOKUP(CE$14,Villagers!$B$1:$V$33,CE86+3,FALSE)),)</f>
        <v>5</v>
      </c>
      <c r="DA86" s="14">
        <f>ROUND(IF(CF86=0,0,HLOOKUP(CF$14,Villagers!$B$1:$V$33,CF86+3,FALSE)),)</f>
        <v>10</v>
      </c>
      <c r="DB86" s="14">
        <f>ROUND(IF(CG86=0,0,HLOOKUP(CG$14,Villagers!$B$1:$V$33,CG86+3,FALSE)),)</f>
        <v>10</v>
      </c>
      <c r="DC86" s="14">
        <f>ROUND(IF(CH86=0,0,HLOOKUP(CH$14,Villagers!$B$1:$V$33,CH86+3,FALSE)),)</f>
        <v>0</v>
      </c>
      <c r="DD86" s="14">
        <f>ROUND(IF(CI86=0,0,HLOOKUP(CI$14,Villagers!$B$1:$V$33,CI86+3,FALSE)),)</f>
        <v>0</v>
      </c>
      <c r="DE86" s="14">
        <f>ROUND(IF(CJ86=0,0,HLOOKUP(CJ$14,Villagers!$B$1:$V$33,CJ86+3,FALSE)),)</f>
        <v>2</v>
      </c>
      <c r="DF86" s="370">
        <f>ROUND(IF(CK86=0,0,HLOOKUP(CK$14,Villagers!$B$1:$V$33,CK86+3,FALSE)),)</f>
        <v>0</v>
      </c>
      <c r="DG86" s="370">
        <f>ROUND(IF(CL86=0,0,HLOOKUP(CL$14,Villagers!$B$1:$V$33,CL86+3,FALSE)),)</f>
        <v>0</v>
      </c>
      <c r="DH86" s="34">
        <f>ROUND(IF(CM86=0,0,HLOOKUP(CM$14,Villagers!$B$1:$V$33,CM86+3,FALSE)),)</f>
        <v>0</v>
      </c>
      <c r="DI86" s="109">
        <f t="shared" si="219"/>
        <v>0</v>
      </c>
      <c r="DJ86" s="50">
        <f t="shared" si="220"/>
        <v>0</v>
      </c>
      <c r="DK86" s="50">
        <f t="shared" si="221"/>
        <v>0</v>
      </c>
      <c r="DL86" s="50">
        <f t="shared" si="222"/>
        <v>0</v>
      </c>
      <c r="DM86" s="50">
        <f t="shared" si="223"/>
        <v>0</v>
      </c>
      <c r="DN86" s="50">
        <f t="shared" si="224"/>
        <v>0</v>
      </c>
      <c r="DO86" s="50">
        <f t="shared" si="225"/>
        <v>0</v>
      </c>
      <c r="DP86" s="50">
        <f t="shared" si="226"/>
        <v>0</v>
      </c>
      <c r="DQ86" s="50">
        <f t="shared" si="203"/>
        <v>0</v>
      </c>
      <c r="DR86" s="50">
        <f t="shared" si="204"/>
        <v>0</v>
      </c>
      <c r="DS86" s="96">
        <f>Miscelaneous!$D$4*Miscelaneous!$D$2^($CI86-1)</f>
        <v>1000</v>
      </c>
      <c r="DT86" s="333">
        <f t="shared" si="171"/>
        <v>1</v>
      </c>
      <c r="DU86" s="81">
        <v>1</v>
      </c>
      <c r="DV86" s="79">
        <f t="shared" si="205"/>
        <v>0</v>
      </c>
      <c r="DW86" s="79">
        <f t="shared" si="206"/>
        <v>0</v>
      </c>
      <c r="DX86" s="79">
        <f t="shared" si="207"/>
        <v>0</v>
      </c>
      <c r="DY86" s="79">
        <v>1</v>
      </c>
      <c r="DZ86" s="79">
        <f t="shared" si="208"/>
        <v>0</v>
      </c>
      <c r="EA86" s="79">
        <f t="shared" si="209"/>
        <v>0</v>
      </c>
      <c r="EB86" s="79">
        <f t="shared" si="210"/>
        <v>0</v>
      </c>
      <c r="EC86" s="79">
        <f t="shared" si="211"/>
        <v>0</v>
      </c>
      <c r="ED86" s="79">
        <v>1</v>
      </c>
      <c r="EE86" s="79">
        <v>1</v>
      </c>
      <c r="EF86" s="79">
        <f t="shared" si="212"/>
        <v>0</v>
      </c>
      <c r="EG86" s="79">
        <v>1</v>
      </c>
      <c r="EH86" s="79">
        <v>1</v>
      </c>
      <c r="EI86" s="79">
        <v>1</v>
      </c>
      <c r="EJ86" s="79">
        <v>1</v>
      </c>
      <c r="EK86" s="79">
        <v>1</v>
      </c>
      <c r="EL86" s="79">
        <v>1</v>
      </c>
      <c r="EM86" s="143">
        <f t="shared" si="213"/>
        <v>0</v>
      </c>
      <c r="EN86" s="143">
        <f t="shared" si="214"/>
        <v>0</v>
      </c>
      <c r="EO86" s="82">
        <f t="shared" si="215"/>
        <v>0</v>
      </c>
    </row>
    <row r="87" spans="1:145" x14ac:dyDescent="0.25">
      <c r="A87">
        <v>73</v>
      </c>
      <c r="B87" s="172" t="e">
        <f t="shared" si="172"/>
        <v>#N/A</v>
      </c>
      <c r="C87" s="121" t="e">
        <f t="shared" ref="C87:E87" si="236">AJ87-SUM(AB87:AB91)</f>
        <v>#N/A</v>
      </c>
      <c r="D87" s="122" t="e">
        <f t="shared" si="236"/>
        <v>#N/A</v>
      </c>
      <c r="E87" s="122" t="e">
        <f t="shared" si="236"/>
        <v>#N/A</v>
      </c>
      <c r="F87" s="176" t="e">
        <f t="shared" si="154"/>
        <v>#N/A</v>
      </c>
      <c r="G87" s="121">
        <f t="shared" si="174"/>
        <v>208</v>
      </c>
      <c r="H87" s="176" t="e">
        <f t="shared" si="175"/>
        <v>#N/A</v>
      </c>
      <c r="I87" s="48">
        <v>1</v>
      </c>
      <c r="J87" s="39"/>
      <c r="K87" s="350">
        <v>1</v>
      </c>
      <c r="L87" s="34" t="e">
        <f t="shared" si="155"/>
        <v>#N/A</v>
      </c>
      <c r="M87" s="38" t="e">
        <f>(HLOOKUP(J87,'Construction Times'!$B$3:$W$34,L87+2,FALSE)*HLOOKUP("hq modifier",'Construction Times'!$W$3:$W$34,BS87+2,FALSE))*(1-$H$9)</f>
        <v>#N/A</v>
      </c>
      <c r="N87" s="426" t="e">
        <f t="shared" si="176"/>
        <v>#N/A</v>
      </c>
      <c r="O87" s="427"/>
      <c r="P87" s="430" t="e">
        <f t="shared" si="177"/>
        <v>#N/A</v>
      </c>
      <c r="Q87" s="431"/>
      <c r="R87" s="103">
        <f t="shared" si="217"/>
        <v>0</v>
      </c>
      <c r="S87" s="104">
        <f t="shared" si="217"/>
        <v>0</v>
      </c>
      <c r="T87" s="104">
        <f t="shared" si="218"/>
        <v>0</v>
      </c>
      <c r="U87" s="104">
        <f t="shared" si="218"/>
        <v>0</v>
      </c>
      <c r="V87" s="104">
        <f t="shared" si="218"/>
        <v>9.9999999999999995E-8</v>
      </c>
      <c r="W87" s="104">
        <f t="shared" si="218"/>
        <v>0</v>
      </c>
      <c r="X87" s="104">
        <f t="shared" si="116"/>
        <v>0</v>
      </c>
      <c r="Y87" s="104">
        <f t="shared" si="116"/>
        <v>9.9999999999999995E-8</v>
      </c>
      <c r="Z87" s="104">
        <f t="shared" si="116"/>
        <v>9.9999999999999995E-8</v>
      </c>
      <c r="AA87" s="105">
        <f t="shared" si="116"/>
        <v>9.9999999999999995E-8</v>
      </c>
      <c r="AB87" s="101" t="e">
        <f>$DT87*HLOOKUP($J87,'Construction Costs (timber)'!$B$1:$V$32,'Construction Planner'!$L87+2,FALSE)</f>
        <v>#N/A</v>
      </c>
      <c r="AC87" s="14" t="e">
        <f>$DT87*HLOOKUP($J87,'Construction Costs (clay)'!$B$1:$V$32,'Construction Planner'!$L87+2,FALSE)</f>
        <v>#N/A</v>
      </c>
      <c r="AD87" s="14" t="e">
        <f>$DT87*HLOOKUP($J87,'Construction Costs (iron)'!$B$1:$V$32,'Construction Planner'!$L87+2,FALSE)</f>
        <v>#N/A</v>
      </c>
      <c r="AE87" s="34" t="e">
        <f t="shared" si="230"/>
        <v>#N/A</v>
      </c>
      <c r="AF87" s="33" t="e">
        <f t="shared" si="156"/>
        <v>#N/A</v>
      </c>
      <c r="AG87" s="14" t="e">
        <f t="shared" si="157"/>
        <v>#N/A</v>
      </c>
      <c r="AH87" s="14" t="e">
        <f t="shared" si="158"/>
        <v>#N/A</v>
      </c>
      <c r="AI87" s="34" t="e">
        <f t="shared" si="231"/>
        <v>#N/A</v>
      </c>
      <c r="AJ87" s="49" t="e">
        <f t="shared" si="178"/>
        <v>#N/A</v>
      </c>
      <c r="AK87" s="49" t="e">
        <f t="shared" si="179"/>
        <v>#N/A</v>
      </c>
      <c r="AL87" s="49" t="e">
        <f t="shared" si="180"/>
        <v>#N/A</v>
      </c>
      <c r="AM87" s="25">
        <f t="shared" si="159"/>
        <v>30</v>
      </c>
      <c r="AN87" s="25">
        <f t="shared" si="160"/>
        <v>30</v>
      </c>
      <c r="AO87" s="25">
        <f t="shared" si="161"/>
        <v>30</v>
      </c>
      <c r="AP87" s="52" t="e">
        <f t="shared" si="181"/>
        <v>#N/A</v>
      </c>
      <c r="AQ87" s="53" t="e">
        <f t="shared" si="181"/>
        <v>#N/A</v>
      </c>
      <c r="AR87" s="54" t="e">
        <f t="shared" si="181"/>
        <v>#N/A</v>
      </c>
      <c r="AS87" s="316">
        <f t="shared" si="232"/>
        <v>0</v>
      </c>
      <c r="AT87" s="106">
        <f>_xlfn.IFNA($M87/VLOOKUP($BT87,'Unit information'!$A$2:$K$29,2,FALSE)*R87,0)*(1+$E$9)</f>
        <v>0</v>
      </c>
      <c r="AU87" s="107">
        <f>_xlfn.IFNA($M87/VLOOKUP($BT87,'Unit information'!$A$2:$K$29,3,FALSE)*S87,0)*(1+$E$9)</f>
        <v>0</v>
      </c>
      <c r="AV87" s="107">
        <f>_xlfn.IFNA($M87/VLOOKUP($BT87,'Unit information'!$A$2:$K$29,4,FALSE)*T87,0)*(1+$E$9)</f>
        <v>0</v>
      </c>
      <c r="AW87" s="107">
        <f>_xlfn.IFNA($M87/VLOOKUP($BT87,'Unit information'!$A$2:$K$29,5,FALSE)*U87,0)*(1+$E$9)</f>
        <v>0</v>
      </c>
      <c r="AX87" s="107">
        <f>_xlfn.IFNA($M87/VLOOKUP($BU87,'Unit information'!$A$2:$K$29,6,FALSE)*V87,0)*(1+$E$9)</f>
        <v>0</v>
      </c>
      <c r="AY87" s="107">
        <f>_xlfn.IFNA($M87/VLOOKUP($BU87,'Unit information'!$A$2:$K$29,7,FALSE)*W87,0)*(1+$E$9)</f>
        <v>0</v>
      </c>
      <c r="AZ87" s="107">
        <f>_xlfn.IFNA($M87/VLOOKUP($BU87,'Unit information'!$A$2:$K$29,8,FALSE)*X87,0)*(1+$E$9)</f>
        <v>0</v>
      </c>
      <c r="BA87" s="107">
        <f>_xlfn.IFNA($M87/VLOOKUP($BU87,'Unit information'!$A$2:$K$29,9,FALSE)*Y87,0)*(1+$E$9)</f>
        <v>0</v>
      </c>
      <c r="BB87" s="107">
        <f>_xlfn.IFNA($M87/VLOOKUP($BV87,'Unit information'!$A$2:$K$29,10,FALSE)*Z87,0)*(1+$E$9)</f>
        <v>0</v>
      </c>
      <c r="BC87" s="108">
        <f>_xlfn.IFNA($M87/VLOOKUP($BV87,'Unit information'!$A$2:$K$29,11,FALSE)*AA87,0)*(1+$E$9)</f>
        <v>0</v>
      </c>
      <c r="BD87" s="106">
        <f t="shared" si="162"/>
        <v>0</v>
      </c>
      <c r="BE87" s="107">
        <f t="shared" si="163"/>
        <v>0</v>
      </c>
      <c r="BF87" s="108">
        <f t="shared" si="164"/>
        <v>0</v>
      </c>
      <c r="BG87" s="25" t="e">
        <f t="shared" si="165"/>
        <v>#N/A</v>
      </c>
      <c r="BH87" s="25" t="e">
        <f t="shared" si="166"/>
        <v>#N/A</v>
      </c>
      <c r="BI87" s="25" t="e">
        <f t="shared" si="167"/>
        <v>#N/A</v>
      </c>
      <c r="BJ87" s="27" t="e">
        <f t="shared" si="168"/>
        <v>#N/A</v>
      </c>
      <c r="BK87" s="18" t="e">
        <f t="shared" si="169"/>
        <v>#N/A</v>
      </c>
      <c r="BL87" s="18" t="e">
        <f t="shared" si="170"/>
        <v>#N/A</v>
      </c>
      <c r="BM87" s="28" t="e">
        <f t="shared" si="233"/>
        <v>#N/A</v>
      </c>
      <c r="BN87" s="33">
        <f>HLOOKUP("maximum population",Miscelaneous!$C$1:$C$33,CH87+3,FALSE)</f>
        <v>240</v>
      </c>
      <c r="BO87" s="14">
        <f t="shared" si="182"/>
        <v>32</v>
      </c>
      <c r="BP87" s="14">
        <f t="shared" si="183"/>
        <v>0</v>
      </c>
      <c r="BQ87" s="14">
        <f t="shared" si="184"/>
        <v>208</v>
      </c>
      <c r="BR87" s="34" t="e">
        <f>HLOOKUP(J87,Villagers!$B$1:$V$33,L87+3,FALSE)-HLOOKUP(J87,Villagers!$B$1:$V$33,L87+2,FALSE)</f>
        <v>#N/A</v>
      </c>
      <c r="BS87" s="49">
        <f t="shared" si="185"/>
        <v>1</v>
      </c>
      <c r="BT87" s="50">
        <f t="shared" si="186"/>
        <v>0</v>
      </c>
      <c r="BU87" s="50">
        <f t="shared" si="187"/>
        <v>0</v>
      </c>
      <c r="BV87" s="50">
        <f t="shared" si="188"/>
        <v>0</v>
      </c>
      <c r="BW87" s="50">
        <f t="shared" si="189"/>
        <v>0</v>
      </c>
      <c r="BX87" s="50">
        <f t="shared" si="190"/>
        <v>0</v>
      </c>
      <c r="BY87" s="50">
        <f t="shared" si="190"/>
        <v>0</v>
      </c>
      <c r="BZ87" s="50">
        <f t="shared" si="191"/>
        <v>0</v>
      </c>
      <c r="CA87" s="50">
        <f t="shared" si="192"/>
        <v>0</v>
      </c>
      <c r="CB87" s="50">
        <f t="shared" si="193"/>
        <v>1</v>
      </c>
      <c r="CC87" s="50">
        <f t="shared" si="194"/>
        <v>0</v>
      </c>
      <c r="CD87" s="50">
        <f t="shared" si="195"/>
        <v>0</v>
      </c>
      <c r="CE87" s="50">
        <f t="shared" si="196"/>
        <v>1</v>
      </c>
      <c r="CF87" s="50">
        <f t="shared" si="197"/>
        <v>1</v>
      </c>
      <c r="CG87" s="50">
        <f t="shared" si="198"/>
        <v>1</v>
      </c>
      <c r="CH87" s="50">
        <f t="shared" si="199"/>
        <v>1</v>
      </c>
      <c r="CI87" s="50">
        <f t="shared" si="200"/>
        <v>1</v>
      </c>
      <c r="CJ87" s="50">
        <f t="shared" si="201"/>
        <v>1</v>
      </c>
      <c r="CK87" s="50">
        <f t="shared" si="201"/>
        <v>0</v>
      </c>
      <c r="CL87" s="50">
        <f t="shared" si="201"/>
        <v>0</v>
      </c>
      <c r="CM87" s="51">
        <f t="shared" si="202"/>
        <v>0</v>
      </c>
      <c r="CN87" s="33">
        <f>ROUND(IF(BS87=0,0,HLOOKUP(BS$14,Villagers!$B$1:$V$33,BS87+3,FALSE)),)</f>
        <v>5</v>
      </c>
      <c r="CO87" s="14">
        <f>ROUND(IF(BT87=0,0,HLOOKUP(BT$14,Villagers!$B$1:$V$33,BT87+3,FALSE)),)</f>
        <v>0</v>
      </c>
      <c r="CP87" s="14">
        <f>ROUND(IF(BU87=0,0,HLOOKUP(BU$14,Villagers!$B$1:$V$33,BU87+3,FALSE)),)</f>
        <v>0</v>
      </c>
      <c r="CQ87" s="14">
        <f>ROUND(IF(BV87=0,0,HLOOKUP(BV$14,Villagers!$B$1:$V$33,BV87+3,FALSE)),)</f>
        <v>0</v>
      </c>
      <c r="CR87" s="14">
        <f>ROUND(IF(BW87=0,0,HLOOKUP(BW$14,Villagers!$B$1:$V$33,BW87+3,FALSE)),)</f>
        <v>0</v>
      </c>
      <c r="CS87" s="14">
        <f>ROUND(IF(BX87=0,0,HLOOKUP(BX$14,Villagers!$B$1:$V$33,BX87+3,FALSE)),)</f>
        <v>0</v>
      </c>
      <c r="CT87" s="14">
        <f>ROUND(IF(BY87=0,0,HLOOKUP(BY$14,Villagers!$B$1:$V$33,BY87+3,FALSE)),)</f>
        <v>0</v>
      </c>
      <c r="CU87" s="14">
        <f>ROUND(IF(BZ87=0,0,HLOOKUP(BZ$14,Villagers!$B$1:$V$33,BZ87+3,FALSE)),)</f>
        <v>0</v>
      </c>
      <c r="CV87" s="14">
        <f>ROUND(IF(CA87=0,0,HLOOKUP(CA$14,Villagers!$B$1:$V$33,CA87+3,FALSE)),)</f>
        <v>0</v>
      </c>
      <c r="CW87" s="14">
        <f>ROUND(IF(CB87=0,0,HLOOKUP(CB$14,Villagers!$B$1:$V$33,CB87+3,FALSE)),)</f>
        <v>0</v>
      </c>
      <c r="CX87" s="14">
        <f>ROUND(IF(CC87=0,0,HLOOKUP(CC$14,Villagers!$B$1:$V$33,CC87+3,FALSE)),)</f>
        <v>0</v>
      </c>
      <c r="CY87" s="14">
        <f>ROUND(IF(CD87=0,0,HLOOKUP(CD$14,Villagers!$B$1:$V$33,CD87+3,FALSE)),)</f>
        <v>0</v>
      </c>
      <c r="CZ87" s="14">
        <f>ROUND(IF(CE87=0,0,HLOOKUP(CE$14,Villagers!$B$1:$V$33,CE87+3,FALSE)),)</f>
        <v>5</v>
      </c>
      <c r="DA87" s="14">
        <f>ROUND(IF(CF87=0,0,HLOOKUP(CF$14,Villagers!$B$1:$V$33,CF87+3,FALSE)),)</f>
        <v>10</v>
      </c>
      <c r="DB87" s="14">
        <f>ROUND(IF(CG87=0,0,HLOOKUP(CG$14,Villagers!$B$1:$V$33,CG87+3,FALSE)),)</f>
        <v>10</v>
      </c>
      <c r="DC87" s="14">
        <f>ROUND(IF(CH87=0,0,HLOOKUP(CH$14,Villagers!$B$1:$V$33,CH87+3,FALSE)),)</f>
        <v>0</v>
      </c>
      <c r="DD87" s="14">
        <f>ROUND(IF(CI87=0,0,HLOOKUP(CI$14,Villagers!$B$1:$V$33,CI87+3,FALSE)),)</f>
        <v>0</v>
      </c>
      <c r="DE87" s="14">
        <f>ROUND(IF(CJ87=0,0,HLOOKUP(CJ$14,Villagers!$B$1:$V$33,CJ87+3,FALSE)),)</f>
        <v>2</v>
      </c>
      <c r="DF87" s="370">
        <f>ROUND(IF(CK87=0,0,HLOOKUP(CK$14,Villagers!$B$1:$V$33,CK87+3,FALSE)),)</f>
        <v>0</v>
      </c>
      <c r="DG87" s="370">
        <f>ROUND(IF(CL87=0,0,HLOOKUP(CL$14,Villagers!$B$1:$V$33,CL87+3,FALSE)),)</f>
        <v>0</v>
      </c>
      <c r="DH87" s="34">
        <f>ROUND(IF(CM87=0,0,HLOOKUP(CM$14,Villagers!$B$1:$V$33,CM87+3,FALSE)),)</f>
        <v>0</v>
      </c>
      <c r="DI87" s="109">
        <f t="shared" si="219"/>
        <v>0</v>
      </c>
      <c r="DJ87" s="50">
        <f t="shared" si="220"/>
        <v>0</v>
      </c>
      <c r="DK87" s="50">
        <f t="shared" si="221"/>
        <v>0</v>
      </c>
      <c r="DL87" s="50">
        <f t="shared" si="222"/>
        <v>0</v>
      </c>
      <c r="DM87" s="50">
        <f t="shared" si="223"/>
        <v>0</v>
      </c>
      <c r="DN87" s="50">
        <f t="shared" si="224"/>
        <v>0</v>
      </c>
      <c r="DO87" s="50">
        <f t="shared" si="225"/>
        <v>0</v>
      </c>
      <c r="DP87" s="50">
        <f t="shared" si="226"/>
        <v>0</v>
      </c>
      <c r="DQ87" s="50">
        <f t="shared" si="203"/>
        <v>0</v>
      </c>
      <c r="DR87" s="50">
        <f t="shared" si="204"/>
        <v>0</v>
      </c>
      <c r="DS87" s="96">
        <f>Miscelaneous!$D$4*Miscelaneous!$D$2^($CI87-1)</f>
        <v>1000</v>
      </c>
      <c r="DT87" s="333">
        <f t="shared" si="171"/>
        <v>1</v>
      </c>
      <c r="DU87" s="81">
        <v>1</v>
      </c>
      <c r="DV87" s="79">
        <f t="shared" si="205"/>
        <v>0</v>
      </c>
      <c r="DW87" s="79">
        <f t="shared" si="206"/>
        <v>0</v>
      </c>
      <c r="DX87" s="79">
        <f t="shared" si="207"/>
        <v>0</v>
      </c>
      <c r="DY87" s="79">
        <v>1</v>
      </c>
      <c r="DZ87" s="79">
        <f t="shared" si="208"/>
        <v>0</v>
      </c>
      <c r="EA87" s="79">
        <f t="shared" si="209"/>
        <v>0</v>
      </c>
      <c r="EB87" s="79">
        <f t="shared" si="210"/>
        <v>0</v>
      </c>
      <c r="EC87" s="79">
        <f t="shared" si="211"/>
        <v>0</v>
      </c>
      <c r="ED87" s="79">
        <v>1</v>
      </c>
      <c r="EE87" s="79">
        <v>1</v>
      </c>
      <c r="EF87" s="79">
        <f t="shared" si="212"/>
        <v>0</v>
      </c>
      <c r="EG87" s="79">
        <v>1</v>
      </c>
      <c r="EH87" s="79">
        <v>1</v>
      </c>
      <c r="EI87" s="79">
        <v>1</v>
      </c>
      <c r="EJ87" s="79">
        <v>1</v>
      </c>
      <c r="EK87" s="79">
        <v>1</v>
      </c>
      <c r="EL87" s="79">
        <v>1</v>
      </c>
      <c r="EM87" s="143">
        <f t="shared" si="213"/>
        <v>0</v>
      </c>
      <c r="EN87" s="143">
        <f t="shared" si="214"/>
        <v>0</v>
      </c>
      <c r="EO87" s="82">
        <f t="shared" si="215"/>
        <v>0</v>
      </c>
    </row>
    <row r="88" spans="1:145" x14ac:dyDescent="0.25">
      <c r="A88">
        <v>74</v>
      </c>
      <c r="B88" s="172" t="e">
        <f t="shared" si="172"/>
        <v>#N/A</v>
      </c>
      <c r="C88" s="121" t="e">
        <f t="shared" ref="C88:E88" si="237">AJ88-SUM(AB88:AB92)</f>
        <v>#N/A</v>
      </c>
      <c r="D88" s="122" t="e">
        <f t="shared" si="237"/>
        <v>#N/A</v>
      </c>
      <c r="E88" s="122" t="e">
        <f t="shared" si="237"/>
        <v>#N/A</v>
      </c>
      <c r="F88" s="176" t="e">
        <f t="shared" si="154"/>
        <v>#N/A</v>
      </c>
      <c r="G88" s="121">
        <f t="shared" si="174"/>
        <v>208</v>
      </c>
      <c r="H88" s="176" t="e">
        <f t="shared" si="175"/>
        <v>#N/A</v>
      </c>
      <c r="I88" s="48">
        <v>1</v>
      </c>
      <c r="J88" s="39"/>
      <c r="K88" s="350">
        <v>1</v>
      </c>
      <c r="L88" s="34" t="e">
        <f t="shared" si="155"/>
        <v>#N/A</v>
      </c>
      <c r="M88" s="38" t="e">
        <f>(HLOOKUP(J88,'Construction Times'!$B$3:$W$34,L88+2,FALSE)*HLOOKUP("hq modifier",'Construction Times'!$W$3:$W$34,BS88+2,FALSE))*(1-$H$9)</f>
        <v>#N/A</v>
      </c>
      <c r="N88" s="426" t="e">
        <f t="shared" si="176"/>
        <v>#N/A</v>
      </c>
      <c r="O88" s="427"/>
      <c r="P88" s="430" t="e">
        <f t="shared" si="177"/>
        <v>#N/A</v>
      </c>
      <c r="Q88" s="431"/>
      <c r="R88" s="103">
        <f t="shared" si="217"/>
        <v>0</v>
      </c>
      <c r="S88" s="104">
        <f t="shared" si="217"/>
        <v>0</v>
      </c>
      <c r="T88" s="104">
        <f t="shared" si="218"/>
        <v>0</v>
      </c>
      <c r="U88" s="104">
        <f t="shared" si="218"/>
        <v>0</v>
      </c>
      <c r="V88" s="104">
        <f t="shared" si="218"/>
        <v>9.9999999999999995E-8</v>
      </c>
      <c r="W88" s="104">
        <f t="shared" si="218"/>
        <v>0</v>
      </c>
      <c r="X88" s="104">
        <f t="shared" si="116"/>
        <v>0</v>
      </c>
      <c r="Y88" s="104">
        <f t="shared" si="116"/>
        <v>9.9999999999999995E-8</v>
      </c>
      <c r="Z88" s="104">
        <f t="shared" si="116"/>
        <v>9.9999999999999995E-8</v>
      </c>
      <c r="AA88" s="105">
        <f t="shared" si="116"/>
        <v>9.9999999999999995E-8</v>
      </c>
      <c r="AB88" s="101" t="e">
        <f>$DT88*HLOOKUP($J88,'Construction Costs (timber)'!$B$1:$V$32,'Construction Planner'!$L88+2,FALSE)</f>
        <v>#N/A</v>
      </c>
      <c r="AC88" s="14" t="e">
        <f>$DT88*HLOOKUP($J88,'Construction Costs (clay)'!$B$1:$V$32,'Construction Planner'!$L88+2,FALSE)</f>
        <v>#N/A</v>
      </c>
      <c r="AD88" s="14" t="e">
        <f>$DT88*HLOOKUP($J88,'Construction Costs (iron)'!$B$1:$V$32,'Construction Planner'!$L88+2,FALSE)</f>
        <v>#N/A</v>
      </c>
      <c r="AE88" s="34" t="e">
        <f t="shared" si="230"/>
        <v>#N/A</v>
      </c>
      <c r="AF88" s="33" t="e">
        <f t="shared" si="156"/>
        <v>#N/A</v>
      </c>
      <c r="AG88" s="14" t="e">
        <f t="shared" si="157"/>
        <v>#N/A</v>
      </c>
      <c r="AH88" s="14" t="e">
        <f t="shared" si="158"/>
        <v>#N/A</v>
      </c>
      <c r="AI88" s="34" t="e">
        <f t="shared" si="231"/>
        <v>#N/A</v>
      </c>
      <c r="AJ88" s="49" t="e">
        <f t="shared" si="178"/>
        <v>#N/A</v>
      </c>
      <c r="AK88" s="49" t="e">
        <f t="shared" si="179"/>
        <v>#N/A</v>
      </c>
      <c r="AL88" s="49" t="e">
        <f t="shared" si="180"/>
        <v>#N/A</v>
      </c>
      <c r="AM88" s="25">
        <f t="shared" si="159"/>
        <v>30</v>
      </c>
      <c r="AN88" s="25">
        <f t="shared" si="160"/>
        <v>30</v>
      </c>
      <c r="AO88" s="25">
        <f t="shared" si="161"/>
        <v>30</v>
      </c>
      <c r="AP88" s="52" t="e">
        <f t="shared" si="181"/>
        <v>#N/A</v>
      </c>
      <c r="AQ88" s="53" t="e">
        <f t="shared" si="181"/>
        <v>#N/A</v>
      </c>
      <c r="AR88" s="54" t="e">
        <f t="shared" si="181"/>
        <v>#N/A</v>
      </c>
      <c r="AS88" s="316">
        <f t="shared" si="232"/>
        <v>0</v>
      </c>
      <c r="AT88" s="106">
        <f>_xlfn.IFNA($M88/VLOOKUP($BT88,'Unit information'!$A$2:$K$29,2,FALSE)*R88,0)*(1+$E$9)</f>
        <v>0</v>
      </c>
      <c r="AU88" s="107">
        <f>_xlfn.IFNA($M88/VLOOKUP($BT88,'Unit information'!$A$2:$K$29,3,FALSE)*S88,0)*(1+$E$9)</f>
        <v>0</v>
      </c>
      <c r="AV88" s="107">
        <f>_xlfn.IFNA($M88/VLOOKUP($BT88,'Unit information'!$A$2:$K$29,4,FALSE)*T88,0)*(1+$E$9)</f>
        <v>0</v>
      </c>
      <c r="AW88" s="107">
        <f>_xlfn.IFNA($M88/VLOOKUP($BT88,'Unit information'!$A$2:$K$29,5,FALSE)*U88,0)*(1+$E$9)</f>
        <v>0</v>
      </c>
      <c r="AX88" s="107">
        <f>_xlfn.IFNA($M88/VLOOKUP($BU88,'Unit information'!$A$2:$K$29,6,FALSE)*V88,0)*(1+$E$9)</f>
        <v>0</v>
      </c>
      <c r="AY88" s="107">
        <f>_xlfn.IFNA($M88/VLOOKUP($BU88,'Unit information'!$A$2:$K$29,7,FALSE)*W88,0)*(1+$E$9)</f>
        <v>0</v>
      </c>
      <c r="AZ88" s="107">
        <f>_xlfn.IFNA($M88/VLOOKUP($BU88,'Unit information'!$A$2:$K$29,8,FALSE)*X88,0)*(1+$E$9)</f>
        <v>0</v>
      </c>
      <c r="BA88" s="107">
        <f>_xlfn.IFNA($M88/VLOOKUP($BU88,'Unit information'!$A$2:$K$29,9,FALSE)*Y88,0)*(1+$E$9)</f>
        <v>0</v>
      </c>
      <c r="BB88" s="107">
        <f>_xlfn.IFNA($M88/VLOOKUP($BV88,'Unit information'!$A$2:$K$29,10,FALSE)*Z88,0)*(1+$E$9)</f>
        <v>0</v>
      </c>
      <c r="BC88" s="108">
        <f>_xlfn.IFNA($M88/VLOOKUP($BV88,'Unit information'!$A$2:$K$29,11,FALSE)*AA88,0)*(1+$E$9)</f>
        <v>0</v>
      </c>
      <c r="BD88" s="106">
        <f t="shared" si="162"/>
        <v>0</v>
      </c>
      <c r="BE88" s="107">
        <f t="shared" si="163"/>
        <v>0</v>
      </c>
      <c r="BF88" s="108">
        <f t="shared" si="164"/>
        <v>0</v>
      </c>
      <c r="BG88" s="25" t="e">
        <f t="shared" si="165"/>
        <v>#N/A</v>
      </c>
      <c r="BH88" s="25" t="e">
        <f t="shared" si="166"/>
        <v>#N/A</v>
      </c>
      <c r="BI88" s="25" t="e">
        <f t="shared" si="167"/>
        <v>#N/A</v>
      </c>
      <c r="BJ88" s="27" t="e">
        <f t="shared" si="168"/>
        <v>#N/A</v>
      </c>
      <c r="BK88" s="18" t="e">
        <f t="shared" si="169"/>
        <v>#N/A</v>
      </c>
      <c r="BL88" s="18" t="e">
        <f t="shared" si="170"/>
        <v>#N/A</v>
      </c>
      <c r="BM88" s="28" t="e">
        <f t="shared" si="233"/>
        <v>#N/A</v>
      </c>
      <c r="BN88" s="33">
        <f>HLOOKUP("maximum population",Miscelaneous!$C$1:$C$33,CH88+3,FALSE)</f>
        <v>240</v>
      </c>
      <c r="BO88" s="14">
        <f t="shared" si="182"/>
        <v>32</v>
      </c>
      <c r="BP88" s="14">
        <f t="shared" si="183"/>
        <v>0</v>
      </c>
      <c r="BQ88" s="14">
        <f t="shared" si="184"/>
        <v>208</v>
      </c>
      <c r="BR88" s="34" t="e">
        <f>HLOOKUP(J88,Villagers!$B$1:$V$33,L88+3,FALSE)-HLOOKUP(J88,Villagers!$B$1:$V$33,L88+2,FALSE)</f>
        <v>#N/A</v>
      </c>
      <c r="BS88" s="49">
        <f t="shared" si="185"/>
        <v>1</v>
      </c>
      <c r="BT88" s="50">
        <f t="shared" si="186"/>
        <v>0</v>
      </c>
      <c r="BU88" s="50">
        <f t="shared" si="187"/>
        <v>0</v>
      </c>
      <c r="BV88" s="50">
        <f t="shared" si="188"/>
        <v>0</v>
      </c>
      <c r="BW88" s="50">
        <f t="shared" si="189"/>
        <v>0</v>
      </c>
      <c r="BX88" s="50">
        <f t="shared" si="190"/>
        <v>0</v>
      </c>
      <c r="BY88" s="50">
        <f t="shared" si="190"/>
        <v>0</v>
      </c>
      <c r="BZ88" s="50">
        <f t="shared" si="191"/>
        <v>0</v>
      </c>
      <c r="CA88" s="50">
        <f t="shared" si="192"/>
        <v>0</v>
      </c>
      <c r="CB88" s="50">
        <f t="shared" si="193"/>
        <v>1</v>
      </c>
      <c r="CC88" s="50">
        <f t="shared" si="194"/>
        <v>0</v>
      </c>
      <c r="CD88" s="50">
        <f t="shared" si="195"/>
        <v>0</v>
      </c>
      <c r="CE88" s="50">
        <f t="shared" si="196"/>
        <v>1</v>
      </c>
      <c r="CF88" s="50">
        <f t="shared" si="197"/>
        <v>1</v>
      </c>
      <c r="CG88" s="50">
        <f t="shared" si="198"/>
        <v>1</v>
      </c>
      <c r="CH88" s="50">
        <f t="shared" si="199"/>
        <v>1</v>
      </c>
      <c r="CI88" s="50">
        <f t="shared" si="200"/>
        <v>1</v>
      </c>
      <c r="CJ88" s="50">
        <f t="shared" si="201"/>
        <v>1</v>
      </c>
      <c r="CK88" s="50">
        <f t="shared" si="201"/>
        <v>0</v>
      </c>
      <c r="CL88" s="50">
        <f t="shared" si="201"/>
        <v>0</v>
      </c>
      <c r="CM88" s="51">
        <f t="shared" si="202"/>
        <v>0</v>
      </c>
      <c r="CN88" s="33">
        <f>ROUND(IF(BS88=0,0,HLOOKUP(BS$14,Villagers!$B$1:$V$33,BS88+3,FALSE)),)</f>
        <v>5</v>
      </c>
      <c r="CO88" s="14">
        <f>ROUND(IF(BT88=0,0,HLOOKUP(BT$14,Villagers!$B$1:$V$33,BT88+3,FALSE)),)</f>
        <v>0</v>
      </c>
      <c r="CP88" s="14">
        <f>ROUND(IF(BU88=0,0,HLOOKUP(BU$14,Villagers!$B$1:$V$33,BU88+3,FALSE)),)</f>
        <v>0</v>
      </c>
      <c r="CQ88" s="14">
        <f>ROUND(IF(BV88=0,0,HLOOKUP(BV$14,Villagers!$B$1:$V$33,BV88+3,FALSE)),)</f>
        <v>0</v>
      </c>
      <c r="CR88" s="14">
        <f>ROUND(IF(BW88=0,0,HLOOKUP(BW$14,Villagers!$B$1:$V$33,BW88+3,FALSE)),)</f>
        <v>0</v>
      </c>
      <c r="CS88" s="14">
        <f>ROUND(IF(BX88=0,0,HLOOKUP(BX$14,Villagers!$B$1:$V$33,BX88+3,FALSE)),)</f>
        <v>0</v>
      </c>
      <c r="CT88" s="14">
        <f>ROUND(IF(BY88=0,0,HLOOKUP(BY$14,Villagers!$B$1:$V$33,BY88+3,FALSE)),)</f>
        <v>0</v>
      </c>
      <c r="CU88" s="14">
        <f>ROUND(IF(BZ88=0,0,HLOOKUP(BZ$14,Villagers!$B$1:$V$33,BZ88+3,FALSE)),)</f>
        <v>0</v>
      </c>
      <c r="CV88" s="14">
        <f>ROUND(IF(CA88=0,0,HLOOKUP(CA$14,Villagers!$B$1:$V$33,CA88+3,FALSE)),)</f>
        <v>0</v>
      </c>
      <c r="CW88" s="14">
        <f>ROUND(IF(CB88=0,0,HLOOKUP(CB$14,Villagers!$B$1:$V$33,CB88+3,FALSE)),)</f>
        <v>0</v>
      </c>
      <c r="CX88" s="14">
        <f>ROUND(IF(CC88=0,0,HLOOKUP(CC$14,Villagers!$B$1:$V$33,CC88+3,FALSE)),)</f>
        <v>0</v>
      </c>
      <c r="CY88" s="14">
        <f>ROUND(IF(CD88=0,0,HLOOKUP(CD$14,Villagers!$B$1:$V$33,CD88+3,FALSE)),)</f>
        <v>0</v>
      </c>
      <c r="CZ88" s="14">
        <f>ROUND(IF(CE88=0,0,HLOOKUP(CE$14,Villagers!$B$1:$V$33,CE88+3,FALSE)),)</f>
        <v>5</v>
      </c>
      <c r="DA88" s="14">
        <f>ROUND(IF(CF88=0,0,HLOOKUP(CF$14,Villagers!$B$1:$V$33,CF88+3,FALSE)),)</f>
        <v>10</v>
      </c>
      <c r="DB88" s="14">
        <f>ROUND(IF(CG88=0,0,HLOOKUP(CG$14,Villagers!$B$1:$V$33,CG88+3,FALSE)),)</f>
        <v>10</v>
      </c>
      <c r="DC88" s="14">
        <f>ROUND(IF(CH88=0,0,HLOOKUP(CH$14,Villagers!$B$1:$V$33,CH88+3,FALSE)),)</f>
        <v>0</v>
      </c>
      <c r="DD88" s="14">
        <f>ROUND(IF(CI88=0,0,HLOOKUP(CI$14,Villagers!$B$1:$V$33,CI88+3,FALSE)),)</f>
        <v>0</v>
      </c>
      <c r="DE88" s="14">
        <f>ROUND(IF(CJ88=0,0,HLOOKUP(CJ$14,Villagers!$B$1:$V$33,CJ88+3,FALSE)),)</f>
        <v>2</v>
      </c>
      <c r="DF88" s="370">
        <f>ROUND(IF(CK88=0,0,HLOOKUP(CK$14,Villagers!$B$1:$V$33,CK88+3,FALSE)),)</f>
        <v>0</v>
      </c>
      <c r="DG88" s="370">
        <f>ROUND(IF(CL88=0,0,HLOOKUP(CL$14,Villagers!$B$1:$V$33,CL88+3,FALSE)),)</f>
        <v>0</v>
      </c>
      <c r="DH88" s="34">
        <f>ROUND(IF(CM88=0,0,HLOOKUP(CM$14,Villagers!$B$1:$V$33,CM88+3,FALSE)),)</f>
        <v>0</v>
      </c>
      <c r="DI88" s="109">
        <f t="shared" si="219"/>
        <v>0</v>
      </c>
      <c r="DJ88" s="50">
        <f t="shared" si="220"/>
        <v>0</v>
      </c>
      <c r="DK88" s="50">
        <f t="shared" si="221"/>
        <v>0</v>
      </c>
      <c r="DL88" s="50">
        <f t="shared" si="222"/>
        <v>0</v>
      </c>
      <c r="DM88" s="50">
        <f t="shared" si="223"/>
        <v>0</v>
      </c>
      <c r="DN88" s="50">
        <f t="shared" si="224"/>
        <v>0</v>
      </c>
      <c r="DO88" s="50">
        <f t="shared" si="225"/>
        <v>0</v>
      </c>
      <c r="DP88" s="50">
        <f t="shared" si="226"/>
        <v>0</v>
      </c>
      <c r="DQ88" s="50">
        <f t="shared" si="203"/>
        <v>0</v>
      </c>
      <c r="DR88" s="50">
        <f t="shared" si="204"/>
        <v>0</v>
      </c>
      <c r="DS88" s="96">
        <f>Miscelaneous!$D$4*Miscelaneous!$D$2^($CI88-1)</f>
        <v>1000</v>
      </c>
      <c r="DT88" s="333">
        <f t="shared" si="171"/>
        <v>1</v>
      </c>
      <c r="DU88" s="81">
        <v>1</v>
      </c>
      <c r="DV88" s="79">
        <f t="shared" si="205"/>
        <v>0</v>
      </c>
      <c r="DW88" s="79">
        <f t="shared" si="206"/>
        <v>0</v>
      </c>
      <c r="DX88" s="79">
        <f t="shared" si="207"/>
        <v>0</v>
      </c>
      <c r="DY88" s="79">
        <v>1</v>
      </c>
      <c r="DZ88" s="79">
        <f t="shared" si="208"/>
        <v>0</v>
      </c>
      <c r="EA88" s="79">
        <f t="shared" si="209"/>
        <v>0</v>
      </c>
      <c r="EB88" s="79">
        <f t="shared" si="210"/>
        <v>0</v>
      </c>
      <c r="EC88" s="79">
        <f t="shared" si="211"/>
        <v>0</v>
      </c>
      <c r="ED88" s="79">
        <v>1</v>
      </c>
      <c r="EE88" s="79">
        <v>1</v>
      </c>
      <c r="EF88" s="79">
        <f t="shared" si="212"/>
        <v>0</v>
      </c>
      <c r="EG88" s="79">
        <v>1</v>
      </c>
      <c r="EH88" s="79">
        <v>1</v>
      </c>
      <c r="EI88" s="79">
        <v>1</v>
      </c>
      <c r="EJ88" s="79">
        <v>1</v>
      </c>
      <c r="EK88" s="79">
        <v>1</v>
      </c>
      <c r="EL88" s="79">
        <v>1</v>
      </c>
      <c r="EM88" s="143">
        <f t="shared" si="213"/>
        <v>0</v>
      </c>
      <c r="EN88" s="143">
        <f t="shared" si="214"/>
        <v>0</v>
      </c>
      <c r="EO88" s="82">
        <f t="shared" si="215"/>
        <v>0</v>
      </c>
    </row>
    <row r="89" spans="1:145" x14ac:dyDescent="0.25">
      <c r="A89">
        <v>75</v>
      </c>
      <c r="B89" s="172" t="e">
        <f t="shared" si="172"/>
        <v>#N/A</v>
      </c>
      <c r="C89" s="121" t="e">
        <f t="shared" ref="C89:E89" si="238">AJ89-SUM(AB89:AB93)</f>
        <v>#N/A</v>
      </c>
      <c r="D89" s="122" t="e">
        <f t="shared" si="238"/>
        <v>#N/A</v>
      </c>
      <c r="E89" s="122" t="e">
        <f t="shared" si="238"/>
        <v>#N/A</v>
      </c>
      <c r="F89" s="176" t="e">
        <f t="shared" si="154"/>
        <v>#N/A</v>
      </c>
      <c r="G89" s="121">
        <f t="shared" si="174"/>
        <v>208</v>
      </c>
      <c r="H89" s="176" t="e">
        <f t="shared" si="175"/>
        <v>#N/A</v>
      </c>
      <c r="I89" s="48">
        <v>1</v>
      </c>
      <c r="J89" s="39"/>
      <c r="K89" s="350">
        <v>1</v>
      </c>
      <c r="L89" s="34" t="e">
        <f t="shared" si="155"/>
        <v>#N/A</v>
      </c>
      <c r="M89" s="38" t="e">
        <f>(HLOOKUP(J89,'Construction Times'!$B$3:$W$34,L89+2,FALSE)*HLOOKUP("hq modifier",'Construction Times'!$W$3:$W$34,BS89+2,FALSE))*(1-$H$9)</f>
        <v>#N/A</v>
      </c>
      <c r="N89" s="426" t="e">
        <f t="shared" si="176"/>
        <v>#N/A</v>
      </c>
      <c r="O89" s="427"/>
      <c r="P89" s="430" t="e">
        <f t="shared" si="177"/>
        <v>#N/A</v>
      </c>
      <c r="Q89" s="431"/>
      <c r="R89" s="103">
        <f t="shared" si="217"/>
        <v>0</v>
      </c>
      <c r="S89" s="104">
        <f t="shared" si="217"/>
        <v>0</v>
      </c>
      <c r="T89" s="104">
        <f t="shared" si="218"/>
        <v>0</v>
      </c>
      <c r="U89" s="104">
        <f t="shared" si="218"/>
        <v>0</v>
      </c>
      <c r="V89" s="104">
        <f t="shared" si="218"/>
        <v>9.9999999999999995E-8</v>
      </c>
      <c r="W89" s="104">
        <f t="shared" si="218"/>
        <v>0</v>
      </c>
      <c r="X89" s="104">
        <f t="shared" si="116"/>
        <v>0</v>
      </c>
      <c r="Y89" s="104">
        <f t="shared" si="116"/>
        <v>9.9999999999999995E-8</v>
      </c>
      <c r="Z89" s="104">
        <f t="shared" si="116"/>
        <v>9.9999999999999995E-8</v>
      </c>
      <c r="AA89" s="105">
        <f t="shared" si="116"/>
        <v>9.9999999999999995E-8</v>
      </c>
      <c r="AB89" s="101" t="e">
        <f>$DT89*HLOOKUP($J89,'Construction Costs (timber)'!$B$1:$V$32,'Construction Planner'!$L89+2,FALSE)</f>
        <v>#N/A</v>
      </c>
      <c r="AC89" s="14" t="e">
        <f>$DT89*HLOOKUP($J89,'Construction Costs (clay)'!$B$1:$V$32,'Construction Planner'!$L89+2,FALSE)</f>
        <v>#N/A</v>
      </c>
      <c r="AD89" s="14" t="e">
        <f>$DT89*HLOOKUP($J89,'Construction Costs (iron)'!$B$1:$V$32,'Construction Planner'!$L89+2,FALSE)</f>
        <v>#N/A</v>
      </c>
      <c r="AE89" s="34" t="e">
        <f t="shared" si="230"/>
        <v>#N/A</v>
      </c>
      <c r="AF89" s="33" t="e">
        <f t="shared" si="156"/>
        <v>#N/A</v>
      </c>
      <c r="AG89" s="14" t="e">
        <f t="shared" si="157"/>
        <v>#N/A</v>
      </c>
      <c r="AH89" s="14" t="e">
        <f t="shared" si="158"/>
        <v>#N/A</v>
      </c>
      <c r="AI89" s="34" t="e">
        <f t="shared" si="231"/>
        <v>#N/A</v>
      </c>
      <c r="AJ89" s="49" t="e">
        <f t="shared" si="178"/>
        <v>#N/A</v>
      </c>
      <c r="AK89" s="49" t="e">
        <f t="shared" si="179"/>
        <v>#N/A</v>
      </c>
      <c r="AL89" s="49" t="e">
        <f t="shared" si="180"/>
        <v>#N/A</v>
      </c>
      <c r="AM89" s="25">
        <f t="shared" si="159"/>
        <v>30</v>
      </c>
      <c r="AN89" s="25">
        <f t="shared" si="160"/>
        <v>30</v>
      </c>
      <c r="AO89" s="25">
        <f t="shared" si="161"/>
        <v>30</v>
      </c>
      <c r="AP89" s="52" t="e">
        <f t="shared" si="181"/>
        <v>#N/A</v>
      </c>
      <c r="AQ89" s="53" t="e">
        <f t="shared" si="181"/>
        <v>#N/A</v>
      </c>
      <c r="AR89" s="54" t="e">
        <f t="shared" si="181"/>
        <v>#N/A</v>
      </c>
      <c r="AS89" s="316">
        <f t="shared" si="232"/>
        <v>0</v>
      </c>
      <c r="AT89" s="106">
        <f>_xlfn.IFNA($M89/VLOOKUP($BT89,'Unit information'!$A$2:$K$29,2,FALSE)*R89,0)*(1+$E$9)</f>
        <v>0</v>
      </c>
      <c r="AU89" s="107">
        <f>_xlfn.IFNA($M89/VLOOKUP($BT89,'Unit information'!$A$2:$K$29,3,FALSE)*S89,0)*(1+$E$9)</f>
        <v>0</v>
      </c>
      <c r="AV89" s="107">
        <f>_xlfn.IFNA($M89/VLOOKUP($BT89,'Unit information'!$A$2:$K$29,4,FALSE)*T89,0)*(1+$E$9)</f>
        <v>0</v>
      </c>
      <c r="AW89" s="107">
        <f>_xlfn.IFNA($M89/VLOOKUP($BT89,'Unit information'!$A$2:$K$29,5,FALSE)*U89,0)*(1+$E$9)</f>
        <v>0</v>
      </c>
      <c r="AX89" s="107">
        <f>_xlfn.IFNA($M89/VLOOKUP($BU89,'Unit information'!$A$2:$K$29,6,FALSE)*V89,0)*(1+$E$9)</f>
        <v>0</v>
      </c>
      <c r="AY89" s="107">
        <f>_xlfn.IFNA($M89/VLOOKUP($BU89,'Unit information'!$A$2:$K$29,7,FALSE)*W89,0)*(1+$E$9)</f>
        <v>0</v>
      </c>
      <c r="AZ89" s="107">
        <f>_xlfn.IFNA($M89/VLOOKUP($BU89,'Unit information'!$A$2:$K$29,8,FALSE)*X89,0)*(1+$E$9)</f>
        <v>0</v>
      </c>
      <c r="BA89" s="107">
        <f>_xlfn.IFNA($M89/VLOOKUP($BU89,'Unit information'!$A$2:$K$29,9,FALSE)*Y89,0)*(1+$E$9)</f>
        <v>0</v>
      </c>
      <c r="BB89" s="107">
        <f>_xlfn.IFNA($M89/VLOOKUP($BV89,'Unit information'!$A$2:$K$29,10,FALSE)*Z89,0)*(1+$E$9)</f>
        <v>0</v>
      </c>
      <c r="BC89" s="108">
        <f>_xlfn.IFNA($M89/VLOOKUP($BV89,'Unit information'!$A$2:$K$29,11,FALSE)*AA89,0)*(1+$E$9)</f>
        <v>0</v>
      </c>
      <c r="BD89" s="106">
        <f t="shared" si="162"/>
        <v>0</v>
      </c>
      <c r="BE89" s="107">
        <f t="shared" si="163"/>
        <v>0</v>
      </c>
      <c r="BF89" s="108">
        <f t="shared" si="164"/>
        <v>0</v>
      </c>
      <c r="BG89" s="25" t="e">
        <f t="shared" si="165"/>
        <v>#N/A</v>
      </c>
      <c r="BH89" s="25" t="e">
        <f t="shared" si="166"/>
        <v>#N/A</v>
      </c>
      <c r="BI89" s="25" t="e">
        <f t="shared" si="167"/>
        <v>#N/A</v>
      </c>
      <c r="BJ89" s="27" t="e">
        <f t="shared" si="168"/>
        <v>#N/A</v>
      </c>
      <c r="BK89" s="18" t="e">
        <f t="shared" si="169"/>
        <v>#N/A</v>
      </c>
      <c r="BL89" s="18" t="e">
        <f t="shared" si="170"/>
        <v>#N/A</v>
      </c>
      <c r="BM89" s="28" t="e">
        <f t="shared" si="233"/>
        <v>#N/A</v>
      </c>
      <c r="BN89" s="33">
        <f>HLOOKUP("maximum population",Miscelaneous!$C$1:$C$33,CH89+3,FALSE)</f>
        <v>240</v>
      </c>
      <c r="BO89" s="14">
        <f t="shared" si="182"/>
        <v>32</v>
      </c>
      <c r="BP89" s="14">
        <f t="shared" si="183"/>
        <v>0</v>
      </c>
      <c r="BQ89" s="14">
        <f t="shared" si="184"/>
        <v>208</v>
      </c>
      <c r="BR89" s="34" t="e">
        <f>HLOOKUP(J89,Villagers!$B$1:$V$33,L89+3,FALSE)-HLOOKUP(J89,Villagers!$B$1:$V$33,L89+2,FALSE)</f>
        <v>#N/A</v>
      </c>
      <c r="BS89" s="49">
        <f t="shared" si="185"/>
        <v>1</v>
      </c>
      <c r="BT89" s="50">
        <f t="shared" si="186"/>
        <v>0</v>
      </c>
      <c r="BU89" s="50">
        <f t="shared" si="187"/>
        <v>0</v>
      </c>
      <c r="BV89" s="50">
        <f t="shared" si="188"/>
        <v>0</v>
      </c>
      <c r="BW89" s="50">
        <f t="shared" si="189"/>
        <v>0</v>
      </c>
      <c r="BX89" s="50">
        <f t="shared" si="190"/>
        <v>0</v>
      </c>
      <c r="BY89" s="50">
        <f t="shared" si="190"/>
        <v>0</v>
      </c>
      <c r="BZ89" s="50">
        <f t="shared" si="191"/>
        <v>0</v>
      </c>
      <c r="CA89" s="50">
        <f t="shared" si="192"/>
        <v>0</v>
      </c>
      <c r="CB89" s="50">
        <f t="shared" si="193"/>
        <v>1</v>
      </c>
      <c r="CC89" s="50">
        <f t="shared" si="194"/>
        <v>0</v>
      </c>
      <c r="CD89" s="50">
        <f t="shared" si="195"/>
        <v>0</v>
      </c>
      <c r="CE89" s="50">
        <f t="shared" si="196"/>
        <v>1</v>
      </c>
      <c r="CF89" s="50">
        <f t="shared" si="197"/>
        <v>1</v>
      </c>
      <c r="CG89" s="50">
        <f t="shared" si="198"/>
        <v>1</v>
      </c>
      <c r="CH89" s="50">
        <f t="shared" si="199"/>
        <v>1</v>
      </c>
      <c r="CI89" s="50">
        <f t="shared" si="200"/>
        <v>1</v>
      </c>
      <c r="CJ89" s="50">
        <f t="shared" si="201"/>
        <v>1</v>
      </c>
      <c r="CK89" s="50">
        <f t="shared" si="201"/>
        <v>0</v>
      </c>
      <c r="CL89" s="50">
        <f t="shared" si="201"/>
        <v>0</v>
      </c>
      <c r="CM89" s="51">
        <f t="shared" si="202"/>
        <v>0</v>
      </c>
      <c r="CN89" s="33">
        <f>ROUND(IF(BS89=0,0,HLOOKUP(BS$14,Villagers!$B$1:$V$33,BS89+3,FALSE)),)</f>
        <v>5</v>
      </c>
      <c r="CO89" s="14">
        <f>ROUND(IF(BT89=0,0,HLOOKUP(BT$14,Villagers!$B$1:$V$33,BT89+3,FALSE)),)</f>
        <v>0</v>
      </c>
      <c r="CP89" s="14">
        <f>ROUND(IF(BU89=0,0,HLOOKUP(BU$14,Villagers!$B$1:$V$33,BU89+3,FALSE)),)</f>
        <v>0</v>
      </c>
      <c r="CQ89" s="14">
        <f>ROUND(IF(BV89=0,0,HLOOKUP(BV$14,Villagers!$B$1:$V$33,BV89+3,FALSE)),)</f>
        <v>0</v>
      </c>
      <c r="CR89" s="14">
        <f>ROUND(IF(BW89=0,0,HLOOKUP(BW$14,Villagers!$B$1:$V$33,BW89+3,FALSE)),)</f>
        <v>0</v>
      </c>
      <c r="CS89" s="14">
        <f>ROUND(IF(BX89=0,0,HLOOKUP(BX$14,Villagers!$B$1:$V$33,BX89+3,FALSE)),)</f>
        <v>0</v>
      </c>
      <c r="CT89" s="14">
        <f>ROUND(IF(BY89=0,0,HLOOKUP(BY$14,Villagers!$B$1:$V$33,BY89+3,FALSE)),)</f>
        <v>0</v>
      </c>
      <c r="CU89" s="14">
        <f>ROUND(IF(BZ89=0,0,HLOOKUP(BZ$14,Villagers!$B$1:$V$33,BZ89+3,FALSE)),)</f>
        <v>0</v>
      </c>
      <c r="CV89" s="14">
        <f>ROUND(IF(CA89=0,0,HLOOKUP(CA$14,Villagers!$B$1:$V$33,CA89+3,FALSE)),)</f>
        <v>0</v>
      </c>
      <c r="CW89" s="14">
        <f>ROUND(IF(CB89=0,0,HLOOKUP(CB$14,Villagers!$B$1:$V$33,CB89+3,FALSE)),)</f>
        <v>0</v>
      </c>
      <c r="CX89" s="14">
        <f>ROUND(IF(CC89=0,0,HLOOKUP(CC$14,Villagers!$B$1:$V$33,CC89+3,FALSE)),)</f>
        <v>0</v>
      </c>
      <c r="CY89" s="14">
        <f>ROUND(IF(CD89=0,0,HLOOKUP(CD$14,Villagers!$B$1:$V$33,CD89+3,FALSE)),)</f>
        <v>0</v>
      </c>
      <c r="CZ89" s="14">
        <f>ROUND(IF(CE89=0,0,HLOOKUP(CE$14,Villagers!$B$1:$V$33,CE89+3,FALSE)),)</f>
        <v>5</v>
      </c>
      <c r="DA89" s="14">
        <f>ROUND(IF(CF89=0,0,HLOOKUP(CF$14,Villagers!$B$1:$V$33,CF89+3,FALSE)),)</f>
        <v>10</v>
      </c>
      <c r="DB89" s="14">
        <f>ROUND(IF(CG89=0,0,HLOOKUP(CG$14,Villagers!$B$1:$V$33,CG89+3,FALSE)),)</f>
        <v>10</v>
      </c>
      <c r="DC89" s="14">
        <f>ROUND(IF(CH89=0,0,HLOOKUP(CH$14,Villagers!$B$1:$V$33,CH89+3,FALSE)),)</f>
        <v>0</v>
      </c>
      <c r="DD89" s="14">
        <f>ROUND(IF(CI89=0,0,HLOOKUP(CI$14,Villagers!$B$1:$V$33,CI89+3,FALSE)),)</f>
        <v>0</v>
      </c>
      <c r="DE89" s="14">
        <f>ROUND(IF(CJ89=0,0,HLOOKUP(CJ$14,Villagers!$B$1:$V$33,CJ89+3,FALSE)),)</f>
        <v>2</v>
      </c>
      <c r="DF89" s="370">
        <f>ROUND(IF(CK89=0,0,HLOOKUP(CK$14,Villagers!$B$1:$V$33,CK89+3,FALSE)),)</f>
        <v>0</v>
      </c>
      <c r="DG89" s="370">
        <f>ROUND(IF(CL89=0,0,HLOOKUP(CL$14,Villagers!$B$1:$V$33,CL89+3,FALSE)),)</f>
        <v>0</v>
      </c>
      <c r="DH89" s="34">
        <f>ROUND(IF(CM89=0,0,HLOOKUP(CM$14,Villagers!$B$1:$V$33,CM89+3,FALSE)),)</f>
        <v>0</v>
      </c>
      <c r="DI89" s="109">
        <f t="shared" si="219"/>
        <v>0</v>
      </c>
      <c r="DJ89" s="50">
        <f t="shared" si="220"/>
        <v>0</v>
      </c>
      <c r="DK89" s="50">
        <f t="shared" si="221"/>
        <v>0</v>
      </c>
      <c r="DL89" s="50">
        <f t="shared" si="222"/>
        <v>0</v>
      </c>
      <c r="DM89" s="50">
        <f t="shared" si="223"/>
        <v>0</v>
      </c>
      <c r="DN89" s="50">
        <f t="shared" si="224"/>
        <v>0</v>
      </c>
      <c r="DO89" s="50">
        <f t="shared" si="225"/>
        <v>0</v>
      </c>
      <c r="DP89" s="50">
        <f t="shared" si="226"/>
        <v>0</v>
      </c>
      <c r="DQ89" s="50">
        <f t="shared" si="203"/>
        <v>0</v>
      </c>
      <c r="DR89" s="50">
        <f t="shared" si="204"/>
        <v>0</v>
      </c>
      <c r="DS89" s="96">
        <f>Miscelaneous!$D$4*Miscelaneous!$D$2^($CI89-1)</f>
        <v>1000</v>
      </c>
      <c r="DT89" s="333">
        <f t="shared" si="171"/>
        <v>1</v>
      </c>
      <c r="DU89" s="81">
        <v>1</v>
      </c>
      <c r="DV89" s="79">
        <f t="shared" si="205"/>
        <v>0</v>
      </c>
      <c r="DW89" s="79">
        <f t="shared" si="206"/>
        <v>0</v>
      </c>
      <c r="DX89" s="79">
        <f t="shared" si="207"/>
        <v>0</v>
      </c>
      <c r="DY89" s="79">
        <v>1</v>
      </c>
      <c r="DZ89" s="79">
        <f t="shared" si="208"/>
        <v>0</v>
      </c>
      <c r="EA89" s="79">
        <f t="shared" si="209"/>
        <v>0</v>
      </c>
      <c r="EB89" s="79">
        <f t="shared" si="210"/>
        <v>0</v>
      </c>
      <c r="EC89" s="79">
        <f t="shared" si="211"/>
        <v>0</v>
      </c>
      <c r="ED89" s="79">
        <v>1</v>
      </c>
      <c r="EE89" s="79">
        <v>1</v>
      </c>
      <c r="EF89" s="79">
        <f t="shared" si="212"/>
        <v>0</v>
      </c>
      <c r="EG89" s="79">
        <v>1</v>
      </c>
      <c r="EH89" s="79">
        <v>1</v>
      </c>
      <c r="EI89" s="79">
        <v>1</v>
      </c>
      <c r="EJ89" s="79">
        <v>1</v>
      </c>
      <c r="EK89" s="79">
        <v>1</v>
      </c>
      <c r="EL89" s="79">
        <v>1</v>
      </c>
      <c r="EM89" s="143">
        <f t="shared" si="213"/>
        <v>0</v>
      </c>
      <c r="EN89" s="143">
        <f t="shared" si="214"/>
        <v>0</v>
      </c>
      <c r="EO89" s="82">
        <f t="shared" si="215"/>
        <v>0</v>
      </c>
    </row>
    <row r="90" spans="1:145" x14ac:dyDescent="0.25">
      <c r="A90">
        <v>76</v>
      </c>
      <c r="B90" s="172" t="e">
        <f t="shared" si="172"/>
        <v>#N/A</v>
      </c>
      <c r="C90" s="121" t="e">
        <f t="shared" ref="C90:E90" si="239">AJ90-SUM(AB90:AB94)</f>
        <v>#N/A</v>
      </c>
      <c r="D90" s="122" t="e">
        <f t="shared" si="239"/>
        <v>#N/A</v>
      </c>
      <c r="E90" s="122" t="e">
        <f t="shared" si="239"/>
        <v>#N/A</v>
      </c>
      <c r="F90" s="176" t="e">
        <f t="shared" si="154"/>
        <v>#N/A</v>
      </c>
      <c r="G90" s="121">
        <f t="shared" si="174"/>
        <v>208</v>
      </c>
      <c r="H90" s="176" t="e">
        <f t="shared" si="175"/>
        <v>#N/A</v>
      </c>
      <c r="I90" s="48">
        <v>1</v>
      </c>
      <c r="J90" s="39"/>
      <c r="K90" s="350">
        <v>1</v>
      </c>
      <c r="L90" s="34" t="e">
        <f t="shared" si="155"/>
        <v>#N/A</v>
      </c>
      <c r="M90" s="38" t="e">
        <f>(HLOOKUP(J90,'Construction Times'!$B$3:$W$34,L90+2,FALSE)*HLOOKUP("hq modifier",'Construction Times'!$W$3:$W$34,BS90+2,FALSE))*(1-$H$9)</f>
        <v>#N/A</v>
      </c>
      <c r="N90" s="426" t="e">
        <f t="shared" si="176"/>
        <v>#N/A</v>
      </c>
      <c r="O90" s="427"/>
      <c r="P90" s="430" t="e">
        <f t="shared" si="177"/>
        <v>#N/A</v>
      </c>
      <c r="Q90" s="431"/>
      <c r="R90" s="103">
        <f t="shared" si="217"/>
        <v>0</v>
      </c>
      <c r="S90" s="104">
        <f t="shared" si="217"/>
        <v>0</v>
      </c>
      <c r="T90" s="104">
        <f t="shared" si="218"/>
        <v>0</v>
      </c>
      <c r="U90" s="104">
        <f t="shared" si="218"/>
        <v>0</v>
      </c>
      <c r="V90" s="104">
        <f t="shared" si="218"/>
        <v>9.9999999999999995E-8</v>
      </c>
      <c r="W90" s="104">
        <f t="shared" si="218"/>
        <v>0</v>
      </c>
      <c r="X90" s="104">
        <f t="shared" si="116"/>
        <v>0</v>
      </c>
      <c r="Y90" s="104">
        <f t="shared" si="116"/>
        <v>9.9999999999999995E-8</v>
      </c>
      <c r="Z90" s="104">
        <f t="shared" si="116"/>
        <v>9.9999999999999995E-8</v>
      </c>
      <c r="AA90" s="105">
        <f t="shared" si="116"/>
        <v>9.9999999999999995E-8</v>
      </c>
      <c r="AB90" s="101" t="e">
        <f>$DT90*HLOOKUP($J90,'Construction Costs (timber)'!$B$1:$V$32,'Construction Planner'!$L90+2,FALSE)</f>
        <v>#N/A</v>
      </c>
      <c r="AC90" s="14" t="e">
        <f>$DT90*HLOOKUP($J90,'Construction Costs (clay)'!$B$1:$V$32,'Construction Planner'!$L90+2,FALSE)</f>
        <v>#N/A</v>
      </c>
      <c r="AD90" s="14" t="e">
        <f>$DT90*HLOOKUP($J90,'Construction Costs (iron)'!$B$1:$V$32,'Construction Planner'!$L90+2,FALSE)</f>
        <v>#N/A</v>
      </c>
      <c r="AE90" s="34" t="e">
        <f t="shared" si="230"/>
        <v>#N/A</v>
      </c>
      <c r="AF90" s="33" t="e">
        <f t="shared" si="156"/>
        <v>#N/A</v>
      </c>
      <c r="AG90" s="14" t="e">
        <f t="shared" si="157"/>
        <v>#N/A</v>
      </c>
      <c r="AH90" s="14" t="e">
        <f t="shared" si="158"/>
        <v>#N/A</v>
      </c>
      <c r="AI90" s="34" t="e">
        <f t="shared" si="231"/>
        <v>#N/A</v>
      </c>
      <c r="AJ90" s="49" t="e">
        <f t="shared" si="178"/>
        <v>#N/A</v>
      </c>
      <c r="AK90" s="49" t="e">
        <f t="shared" si="179"/>
        <v>#N/A</v>
      </c>
      <c r="AL90" s="49" t="e">
        <f t="shared" si="180"/>
        <v>#N/A</v>
      </c>
      <c r="AM90" s="25">
        <f t="shared" si="159"/>
        <v>30</v>
      </c>
      <c r="AN90" s="25">
        <f t="shared" si="160"/>
        <v>30</v>
      </c>
      <c r="AO90" s="25">
        <f t="shared" si="161"/>
        <v>30</v>
      </c>
      <c r="AP90" s="52" t="e">
        <f t="shared" si="181"/>
        <v>#N/A</v>
      </c>
      <c r="AQ90" s="53" t="e">
        <f t="shared" si="181"/>
        <v>#N/A</v>
      </c>
      <c r="AR90" s="54" t="e">
        <f t="shared" si="181"/>
        <v>#N/A</v>
      </c>
      <c r="AS90" s="316">
        <f t="shared" si="232"/>
        <v>0</v>
      </c>
      <c r="AT90" s="106">
        <f>_xlfn.IFNA($M90/VLOOKUP($BT90,'Unit information'!$A$2:$K$29,2,FALSE)*R90,0)*(1+$E$9)</f>
        <v>0</v>
      </c>
      <c r="AU90" s="107">
        <f>_xlfn.IFNA($M90/VLOOKUP($BT90,'Unit information'!$A$2:$K$29,3,FALSE)*S90,0)*(1+$E$9)</f>
        <v>0</v>
      </c>
      <c r="AV90" s="107">
        <f>_xlfn.IFNA($M90/VLOOKUP($BT90,'Unit information'!$A$2:$K$29,4,FALSE)*T90,0)*(1+$E$9)</f>
        <v>0</v>
      </c>
      <c r="AW90" s="107">
        <f>_xlfn.IFNA($M90/VLOOKUP($BT90,'Unit information'!$A$2:$K$29,5,FALSE)*U90,0)*(1+$E$9)</f>
        <v>0</v>
      </c>
      <c r="AX90" s="107">
        <f>_xlfn.IFNA($M90/VLOOKUP($BU90,'Unit information'!$A$2:$K$29,6,FALSE)*V90,0)*(1+$E$9)</f>
        <v>0</v>
      </c>
      <c r="AY90" s="107">
        <f>_xlfn.IFNA($M90/VLOOKUP($BU90,'Unit information'!$A$2:$K$29,7,FALSE)*W90,0)*(1+$E$9)</f>
        <v>0</v>
      </c>
      <c r="AZ90" s="107">
        <f>_xlfn.IFNA($M90/VLOOKUP($BU90,'Unit information'!$A$2:$K$29,8,FALSE)*X90,0)*(1+$E$9)</f>
        <v>0</v>
      </c>
      <c r="BA90" s="107">
        <f>_xlfn.IFNA($M90/VLOOKUP($BU90,'Unit information'!$A$2:$K$29,9,FALSE)*Y90,0)*(1+$E$9)</f>
        <v>0</v>
      </c>
      <c r="BB90" s="107">
        <f>_xlfn.IFNA($M90/VLOOKUP($BV90,'Unit information'!$A$2:$K$29,10,FALSE)*Z90,0)*(1+$E$9)</f>
        <v>0</v>
      </c>
      <c r="BC90" s="108">
        <f>_xlfn.IFNA($M90/VLOOKUP($BV90,'Unit information'!$A$2:$K$29,11,FALSE)*AA90,0)*(1+$E$9)</f>
        <v>0</v>
      </c>
      <c r="BD90" s="106">
        <f t="shared" si="162"/>
        <v>0</v>
      </c>
      <c r="BE90" s="107">
        <f t="shared" si="163"/>
        <v>0</v>
      </c>
      <c r="BF90" s="108">
        <f t="shared" si="164"/>
        <v>0</v>
      </c>
      <c r="BG90" s="25" t="e">
        <f t="shared" si="165"/>
        <v>#N/A</v>
      </c>
      <c r="BH90" s="25" t="e">
        <f t="shared" si="166"/>
        <v>#N/A</v>
      </c>
      <c r="BI90" s="25" t="e">
        <f t="shared" si="167"/>
        <v>#N/A</v>
      </c>
      <c r="BJ90" s="27" t="e">
        <f t="shared" si="168"/>
        <v>#N/A</v>
      </c>
      <c r="BK90" s="18" t="e">
        <f t="shared" si="169"/>
        <v>#N/A</v>
      </c>
      <c r="BL90" s="18" t="e">
        <f t="shared" si="170"/>
        <v>#N/A</v>
      </c>
      <c r="BM90" s="28" t="e">
        <f t="shared" si="233"/>
        <v>#N/A</v>
      </c>
      <c r="BN90" s="33">
        <f>HLOOKUP("maximum population",Miscelaneous!$C$1:$C$33,CH90+3,FALSE)</f>
        <v>240</v>
      </c>
      <c r="BO90" s="14">
        <f t="shared" si="182"/>
        <v>32</v>
      </c>
      <c r="BP90" s="14">
        <f t="shared" si="183"/>
        <v>0</v>
      </c>
      <c r="BQ90" s="14">
        <f t="shared" si="184"/>
        <v>208</v>
      </c>
      <c r="BR90" s="34" t="e">
        <f>HLOOKUP(J90,Villagers!$B$1:$V$33,L90+3,FALSE)-HLOOKUP(J90,Villagers!$B$1:$V$33,L90+2,FALSE)</f>
        <v>#N/A</v>
      </c>
      <c r="BS90" s="49">
        <f t="shared" si="185"/>
        <v>1</v>
      </c>
      <c r="BT90" s="50">
        <f t="shared" si="186"/>
        <v>0</v>
      </c>
      <c r="BU90" s="50">
        <f t="shared" si="187"/>
        <v>0</v>
      </c>
      <c r="BV90" s="50">
        <f t="shared" si="188"/>
        <v>0</v>
      </c>
      <c r="BW90" s="50">
        <f t="shared" si="189"/>
        <v>0</v>
      </c>
      <c r="BX90" s="50">
        <f t="shared" si="190"/>
        <v>0</v>
      </c>
      <c r="BY90" s="50">
        <f t="shared" si="190"/>
        <v>0</v>
      </c>
      <c r="BZ90" s="50">
        <f t="shared" si="191"/>
        <v>0</v>
      </c>
      <c r="CA90" s="50">
        <f t="shared" si="192"/>
        <v>0</v>
      </c>
      <c r="CB90" s="50">
        <f t="shared" si="193"/>
        <v>1</v>
      </c>
      <c r="CC90" s="50">
        <f t="shared" si="194"/>
        <v>0</v>
      </c>
      <c r="CD90" s="50">
        <f t="shared" si="195"/>
        <v>0</v>
      </c>
      <c r="CE90" s="50">
        <f t="shared" si="196"/>
        <v>1</v>
      </c>
      <c r="CF90" s="50">
        <f t="shared" si="197"/>
        <v>1</v>
      </c>
      <c r="CG90" s="50">
        <f t="shared" si="198"/>
        <v>1</v>
      </c>
      <c r="CH90" s="50">
        <f t="shared" si="199"/>
        <v>1</v>
      </c>
      <c r="CI90" s="50">
        <f t="shared" si="200"/>
        <v>1</v>
      </c>
      <c r="CJ90" s="50">
        <f t="shared" si="201"/>
        <v>1</v>
      </c>
      <c r="CK90" s="50">
        <f t="shared" si="201"/>
        <v>0</v>
      </c>
      <c r="CL90" s="50">
        <f t="shared" si="201"/>
        <v>0</v>
      </c>
      <c r="CM90" s="51">
        <f t="shared" si="202"/>
        <v>0</v>
      </c>
      <c r="CN90" s="33">
        <f>ROUND(IF(BS90=0,0,HLOOKUP(BS$14,Villagers!$B$1:$V$33,BS90+3,FALSE)),)</f>
        <v>5</v>
      </c>
      <c r="CO90" s="14">
        <f>ROUND(IF(BT90=0,0,HLOOKUP(BT$14,Villagers!$B$1:$V$33,BT90+3,FALSE)),)</f>
        <v>0</v>
      </c>
      <c r="CP90" s="14">
        <f>ROUND(IF(BU90=0,0,HLOOKUP(BU$14,Villagers!$B$1:$V$33,BU90+3,FALSE)),)</f>
        <v>0</v>
      </c>
      <c r="CQ90" s="14">
        <f>ROUND(IF(BV90=0,0,HLOOKUP(BV$14,Villagers!$B$1:$V$33,BV90+3,FALSE)),)</f>
        <v>0</v>
      </c>
      <c r="CR90" s="14">
        <f>ROUND(IF(BW90=0,0,HLOOKUP(BW$14,Villagers!$B$1:$V$33,BW90+3,FALSE)),)</f>
        <v>0</v>
      </c>
      <c r="CS90" s="14">
        <f>ROUND(IF(BX90=0,0,HLOOKUP(BX$14,Villagers!$B$1:$V$33,BX90+3,FALSE)),)</f>
        <v>0</v>
      </c>
      <c r="CT90" s="14">
        <f>ROUND(IF(BY90=0,0,HLOOKUP(BY$14,Villagers!$B$1:$V$33,BY90+3,FALSE)),)</f>
        <v>0</v>
      </c>
      <c r="CU90" s="14">
        <f>ROUND(IF(BZ90=0,0,HLOOKUP(BZ$14,Villagers!$B$1:$V$33,BZ90+3,FALSE)),)</f>
        <v>0</v>
      </c>
      <c r="CV90" s="14">
        <f>ROUND(IF(CA90=0,0,HLOOKUP(CA$14,Villagers!$B$1:$V$33,CA90+3,FALSE)),)</f>
        <v>0</v>
      </c>
      <c r="CW90" s="14">
        <f>ROUND(IF(CB90=0,0,HLOOKUP(CB$14,Villagers!$B$1:$V$33,CB90+3,FALSE)),)</f>
        <v>0</v>
      </c>
      <c r="CX90" s="14">
        <f>ROUND(IF(CC90=0,0,HLOOKUP(CC$14,Villagers!$B$1:$V$33,CC90+3,FALSE)),)</f>
        <v>0</v>
      </c>
      <c r="CY90" s="14">
        <f>ROUND(IF(CD90=0,0,HLOOKUP(CD$14,Villagers!$B$1:$V$33,CD90+3,FALSE)),)</f>
        <v>0</v>
      </c>
      <c r="CZ90" s="14">
        <f>ROUND(IF(CE90=0,0,HLOOKUP(CE$14,Villagers!$B$1:$V$33,CE90+3,FALSE)),)</f>
        <v>5</v>
      </c>
      <c r="DA90" s="14">
        <f>ROUND(IF(CF90=0,0,HLOOKUP(CF$14,Villagers!$B$1:$V$33,CF90+3,FALSE)),)</f>
        <v>10</v>
      </c>
      <c r="DB90" s="14">
        <f>ROUND(IF(CG90=0,0,HLOOKUP(CG$14,Villagers!$B$1:$V$33,CG90+3,FALSE)),)</f>
        <v>10</v>
      </c>
      <c r="DC90" s="14">
        <f>ROUND(IF(CH90=0,0,HLOOKUP(CH$14,Villagers!$B$1:$V$33,CH90+3,FALSE)),)</f>
        <v>0</v>
      </c>
      <c r="DD90" s="14">
        <f>ROUND(IF(CI90=0,0,HLOOKUP(CI$14,Villagers!$B$1:$V$33,CI90+3,FALSE)),)</f>
        <v>0</v>
      </c>
      <c r="DE90" s="14">
        <f>ROUND(IF(CJ90=0,0,HLOOKUP(CJ$14,Villagers!$B$1:$V$33,CJ90+3,FALSE)),)</f>
        <v>2</v>
      </c>
      <c r="DF90" s="370">
        <f>ROUND(IF(CK90=0,0,HLOOKUP(CK$14,Villagers!$B$1:$V$33,CK90+3,FALSE)),)</f>
        <v>0</v>
      </c>
      <c r="DG90" s="370">
        <f>ROUND(IF(CL90=0,0,HLOOKUP(CL$14,Villagers!$B$1:$V$33,CL90+3,FALSE)),)</f>
        <v>0</v>
      </c>
      <c r="DH90" s="34">
        <f>ROUND(IF(CM90=0,0,HLOOKUP(CM$14,Villagers!$B$1:$V$33,CM90+3,FALSE)),)</f>
        <v>0</v>
      </c>
      <c r="DI90" s="109">
        <f t="shared" si="219"/>
        <v>0</v>
      </c>
      <c r="DJ90" s="50">
        <f t="shared" si="220"/>
        <v>0</v>
      </c>
      <c r="DK90" s="50">
        <f t="shared" si="221"/>
        <v>0</v>
      </c>
      <c r="DL90" s="50">
        <f t="shared" si="222"/>
        <v>0</v>
      </c>
      <c r="DM90" s="50">
        <f t="shared" si="223"/>
        <v>0</v>
      </c>
      <c r="DN90" s="50">
        <f t="shared" si="224"/>
        <v>0</v>
      </c>
      <c r="DO90" s="50">
        <f t="shared" si="225"/>
        <v>0</v>
      </c>
      <c r="DP90" s="50">
        <f t="shared" si="226"/>
        <v>0</v>
      </c>
      <c r="DQ90" s="50">
        <f t="shared" si="203"/>
        <v>0</v>
      </c>
      <c r="DR90" s="50">
        <f t="shared" si="204"/>
        <v>0</v>
      </c>
      <c r="DS90" s="96">
        <f>Miscelaneous!$D$4*Miscelaneous!$D$2^($CI90-1)</f>
        <v>1000</v>
      </c>
      <c r="DT90" s="333">
        <f t="shared" si="171"/>
        <v>1</v>
      </c>
      <c r="DU90" s="81">
        <v>1</v>
      </c>
      <c r="DV90" s="79">
        <f t="shared" si="205"/>
        <v>0</v>
      </c>
      <c r="DW90" s="79">
        <f t="shared" si="206"/>
        <v>0</v>
      </c>
      <c r="DX90" s="79">
        <f t="shared" si="207"/>
        <v>0</v>
      </c>
      <c r="DY90" s="79">
        <v>1</v>
      </c>
      <c r="DZ90" s="79">
        <f t="shared" si="208"/>
        <v>0</v>
      </c>
      <c r="EA90" s="79">
        <f t="shared" si="209"/>
        <v>0</v>
      </c>
      <c r="EB90" s="79">
        <f t="shared" si="210"/>
        <v>0</v>
      </c>
      <c r="EC90" s="79">
        <f t="shared" si="211"/>
        <v>0</v>
      </c>
      <c r="ED90" s="79">
        <v>1</v>
      </c>
      <c r="EE90" s="79">
        <v>1</v>
      </c>
      <c r="EF90" s="79">
        <f t="shared" si="212"/>
        <v>0</v>
      </c>
      <c r="EG90" s="79">
        <v>1</v>
      </c>
      <c r="EH90" s="79">
        <v>1</v>
      </c>
      <c r="EI90" s="79">
        <v>1</v>
      </c>
      <c r="EJ90" s="79">
        <v>1</v>
      </c>
      <c r="EK90" s="79">
        <v>1</v>
      </c>
      <c r="EL90" s="79">
        <v>1</v>
      </c>
      <c r="EM90" s="143">
        <f t="shared" si="213"/>
        <v>0</v>
      </c>
      <c r="EN90" s="143">
        <f t="shared" si="214"/>
        <v>0</v>
      </c>
      <c r="EO90" s="82">
        <f t="shared" si="215"/>
        <v>0</v>
      </c>
    </row>
    <row r="91" spans="1:145" x14ac:dyDescent="0.25">
      <c r="A91">
        <v>77</v>
      </c>
      <c r="B91" s="172" t="e">
        <f t="shared" si="172"/>
        <v>#N/A</v>
      </c>
      <c r="C91" s="121" t="e">
        <f t="shared" ref="C91:E91" si="240">AJ91-SUM(AB91:AB95)</f>
        <v>#N/A</v>
      </c>
      <c r="D91" s="122" t="e">
        <f t="shared" si="240"/>
        <v>#N/A</v>
      </c>
      <c r="E91" s="122" t="e">
        <f t="shared" si="240"/>
        <v>#N/A</v>
      </c>
      <c r="F91" s="176" t="e">
        <f t="shared" si="154"/>
        <v>#N/A</v>
      </c>
      <c r="G91" s="121">
        <f t="shared" si="174"/>
        <v>208</v>
      </c>
      <c r="H91" s="176" t="e">
        <f t="shared" si="175"/>
        <v>#N/A</v>
      </c>
      <c r="I91" s="48">
        <v>1</v>
      </c>
      <c r="J91" s="39"/>
      <c r="K91" s="350">
        <v>1</v>
      </c>
      <c r="L91" s="34" t="e">
        <f t="shared" si="155"/>
        <v>#N/A</v>
      </c>
      <c r="M91" s="38" t="e">
        <f>(HLOOKUP(J91,'Construction Times'!$B$3:$W$34,L91+2,FALSE)*HLOOKUP("hq modifier",'Construction Times'!$W$3:$W$34,BS91+2,FALSE))*(1-$H$9)</f>
        <v>#N/A</v>
      </c>
      <c r="N91" s="426" t="e">
        <f t="shared" si="176"/>
        <v>#N/A</v>
      </c>
      <c r="O91" s="427"/>
      <c r="P91" s="430" t="e">
        <f t="shared" si="177"/>
        <v>#N/A</v>
      </c>
      <c r="Q91" s="431"/>
      <c r="R91" s="103">
        <f t="shared" si="217"/>
        <v>0</v>
      </c>
      <c r="S91" s="104">
        <f t="shared" si="217"/>
        <v>0</v>
      </c>
      <c r="T91" s="104">
        <f t="shared" si="218"/>
        <v>0</v>
      </c>
      <c r="U91" s="104">
        <f t="shared" si="218"/>
        <v>0</v>
      </c>
      <c r="V91" s="104">
        <f t="shared" si="218"/>
        <v>9.9999999999999995E-8</v>
      </c>
      <c r="W91" s="104">
        <f t="shared" si="218"/>
        <v>0</v>
      </c>
      <c r="X91" s="104">
        <f t="shared" si="116"/>
        <v>0</v>
      </c>
      <c r="Y91" s="104">
        <f t="shared" si="116"/>
        <v>9.9999999999999995E-8</v>
      </c>
      <c r="Z91" s="104">
        <f t="shared" si="116"/>
        <v>9.9999999999999995E-8</v>
      </c>
      <c r="AA91" s="105">
        <f t="shared" si="116"/>
        <v>9.9999999999999995E-8</v>
      </c>
      <c r="AB91" s="101" t="e">
        <f>$DT91*HLOOKUP($J91,'Construction Costs (timber)'!$B$1:$V$32,'Construction Planner'!$L91+2,FALSE)</f>
        <v>#N/A</v>
      </c>
      <c r="AC91" s="14" t="e">
        <f>$DT91*HLOOKUP($J91,'Construction Costs (clay)'!$B$1:$V$32,'Construction Planner'!$L91+2,FALSE)</f>
        <v>#N/A</v>
      </c>
      <c r="AD91" s="14" t="e">
        <f>$DT91*HLOOKUP($J91,'Construction Costs (iron)'!$B$1:$V$32,'Construction Planner'!$L91+2,FALSE)</f>
        <v>#N/A</v>
      </c>
      <c r="AE91" s="34" t="e">
        <f t="shared" si="230"/>
        <v>#N/A</v>
      </c>
      <c r="AF91" s="33" t="e">
        <f t="shared" si="156"/>
        <v>#N/A</v>
      </c>
      <c r="AG91" s="14" t="e">
        <f t="shared" si="157"/>
        <v>#N/A</v>
      </c>
      <c r="AH91" s="14" t="e">
        <f t="shared" si="158"/>
        <v>#N/A</v>
      </c>
      <c r="AI91" s="34" t="e">
        <f t="shared" si="231"/>
        <v>#N/A</v>
      </c>
      <c r="AJ91" s="49" t="e">
        <f t="shared" si="178"/>
        <v>#N/A</v>
      </c>
      <c r="AK91" s="49" t="e">
        <f t="shared" si="179"/>
        <v>#N/A</v>
      </c>
      <c r="AL91" s="49" t="e">
        <f t="shared" si="180"/>
        <v>#N/A</v>
      </c>
      <c r="AM91" s="25">
        <f t="shared" si="159"/>
        <v>30</v>
      </c>
      <c r="AN91" s="25">
        <f t="shared" si="160"/>
        <v>30</v>
      </c>
      <c r="AO91" s="25">
        <f t="shared" si="161"/>
        <v>30</v>
      </c>
      <c r="AP91" s="52" t="e">
        <f t="shared" si="181"/>
        <v>#N/A</v>
      </c>
      <c r="AQ91" s="53" t="e">
        <f t="shared" si="181"/>
        <v>#N/A</v>
      </c>
      <c r="AR91" s="54" t="e">
        <f t="shared" si="181"/>
        <v>#N/A</v>
      </c>
      <c r="AS91" s="316">
        <f t="shared" si="232"/>
        <v>0</v>
      </c>
      <c r="AT91" s="106">
        <f>_xlfn.IFNA($M91/VLOOKUP($BT91,'Unit information'!$A$2:$K$29,2,FALSE)*R91,0)*(1+$E$9)</f>
        <v>0</v>
      </c>
      <c r="AU91" s="107">
        <f>_xlfn.IFNA($M91/VLOOKUP($BT91,'Unit information'!$A$2:$K$29,3,FALSE)*S91,0)*(1+$E$9)</f>
        <v>0</v>
      </c>
      <c r="AV91" s="107">
        <f>_xlfn.IFNA($M91/VLOOKUP($BT91,'Unit information'!$A$2:$K$29,4,FALSE)*T91,0)*(1+$E$9)</f>
        <v>0</v>
      </c>
      <c r="AW91" s="107">
        <f>_xlfn.IFNA($M91/VLOOKUP($BT91,'Unit information'!$A$2:$K$29,5,FALSE)*U91,0)*(1+$E$9)</f>
        <v>0</v>
      </c>
      <c r="AX91" s="107">
        <f>_xlfn.IFNA($M91/VLOOKUP($BU91,'Unit information'!$A$2:$K$29,6,FALSE)*V91,0)*(1+$E$9)</f>
        <v>0</v>
      </c>
      <c r="AY91" s="107">
        <f>_xlfn.IFNA($M91/VLOOKUP($BU91,'Unit information'!$A$2:$K$29,7,FALSE)*W91,0)*(1+$E$9)</f>
        <v>0</v>
      </c>
      <c r="AZ91" s="107">
        <f>_xlfn.IFNA($M91/VLOOKUP($BU91,'Unit information'!$A$2:$K$29,8,FALSE)*X91,0)*(1+$E$9)</f>
        <v>0</v>
      </c>
      <c r="BA91" s="107">
        <f>_xlfn.IFNA($M91/VLOOKUP($BU91,'Unit information'!$A$2:$K$29,9,FALSE)*Y91,0)*(1+$E$9)</f>
        <v>0</v>
      </c>
      <c r="BB91" s="107">
        <f>_xlfn.IFNA($M91/VLOOKUP($BV91,'Unit information'!$A$2:$K$29,10,FALSE)*Z91,0)*(1+$E$9)</f>
        <v>0</v>
      </c>
      <c r="BC91" s="108">
        <f>_xlfn.IFNA($M91/VLOOKUP($BV91,'Unit information'!$A$2:$K$29,11,FALSE)*AA91,0)*(1+$E$9)</f>
        <v>0</v>
      </c>
      <c r="BD91" s="106">
        <f t="shared" si="162"/>
        <v>0</v>
      </c>
      <c r="BE91" s="107">
        <f t="shared" si="163"/>
        <v>0</v>
      </c>
      <c r="BF91" s="108">
        <f t="shared" si="164"/>
        <v>0</v>
      </c>
      <c r="BG91" s="25" t="e">
        <f t="shared" si="165"/>
        <v>#N/A</v>
      </c>
      <c r="BH91" s="25" t="e">
        <f t="shared" si="166"/>
        <v>#N/A</v>
      </c>
      <c r="BI91" s="25" t="e">
        <f t="shared" si="167"/>
        <v>#N/A</v>
      </c>
      <c r="BJ91" s="27" t="e">
        <f t="shared" si="168"/>
        <v>#N/A</v>
      </c>
      <c r="BK91" s="18" t="e">
        <f t="shared" si="169"/>
        <v>#N/A</v>
      </c>
      <c r="BL91" s="18" t="e">
        <f t="shared" si="170"/>
        <v>#N/A</v>
      </c>
      <c r="BM91" s="28" t="e">
        <f t="shared" si="233"/>
        <v>#N/A</v>
      </c>
      <c r="BN91" s="33">
        <f>HLOOKUP("maximum population",Miscelaneous!$C$1:$C$33,CH91+3,FALSE)</f>
        <v>240</v>
      </c>
      <c r="BO91" s="14">
        <f t="shared" si="182"/>
        <v>32</v>
      </c>
      <c r="BP91" s="14">
        <f t="shared" si="183"/>
        <v>0</v>
      </c>
      <c r="BQ91" s="14">
        <f t="shared" si="184"/>
        <v>208</v>
      </c>
      <c r="BR91" s="34" t="e">
        <f>HLOOKUP(J91,Villagers!$B$1:$V$33,L91+3,FALSE)-HLOOKUP(J91,Villagers!$B$1:$V$33,L91+2,FALSE)</f>
        <v>#N/A</v>
      </c>
      <c r="BS91" s="49">
        <f t="shared" si="185"/>
        <v>1</v>
      </c>
      <c r="BT91" s="50">
        <f t="shared" si="186"/>
        <v>0</v>
      </c>
      <c r="BU91" s="50">
        <f t="shared" si="187"/>
        <v>0</v>
      </c>
      <c r="BV91" s="50">
        <f t="shared" si="188"/>
        <v>0</v>
      </c>
      <c r="BW91" s="50">
        <f t="shared" si="189"/>
        <v>0</v>
      </c>
      <c r="BX91" s="50">
        <f t="shared" si="190"/>
        <v>0</v>
      </c>
      <c r="BY91" s="50">
        <f t="shared" si="190"/>
        <v>0</v>
      </c>
      <c r="BZ91" s="50">
        <f t="shared" si="191"/>
        <v>0</v>
      </c>
      <c r="CA91" s="50">
        <f t="shared" si="192"/>
        <v>0</v>
      </c>
      <c r="CB91" s="50">
        <f t="shared" si="193"/>
        <v>1</v>
      </c>
      <c r="CC91" s="50">
        <f t="shared" si="194"/>
        <v>0</v>
      </c>
      <c r="CD91" s="50">
        <f t="shared" si="195"/>
        <v>0</v>
      </c>
      <c r="CE91" s="50">
        <f t="shared" si="196"/>
        <v>1</v>
      </c>
      <c r="CF91" s="50">
        <f t="shared" si="197"/>
        <v>1</v>
      </c>
      <c r="CG91" s="50">
        <f t="shared" si="198"/>
        <v>1</v>
      </c>
      <c r="CH91" s="50">
        <f t="shared" si="199"/>
        <v>1</v>
      </c>
      <c r="CI91" s="50">
        <f t="shared" si="200"/>
        <v>1</v>
      </c>
      <c r="CJ91" s="50">
        <f t="shared" si="201"/>
        <v>1</v>
      </c>
      <c r="CK91" s="50">
        <f t="shared" si="201"/>
        <v>0</v>
      </c>
      <c r="CL91" s="50">
        <f t="shared" si="201"/>
        <v>0</v>
      </c>
      <c r="CM91" s="51">
        <f t="shared" si="202"/>
        <v>0</v>
      </c>
      <c r="CN91" s="33">
        <f>ROUND(IF(BS91=0,0,HLOOKUP(BS$14,Villagers!$B$1:$V$33,BS91+3,FALSE)),)</f>
        <v>5</v>
      </c>
      <c r="CO91" s="14">
        <f>ROUND(IF(BT91=0,0,HLOOKUP(BT$14,Villagers!$B$1:$V$33,BT91+3,FALSE)),)</f>
        <v>0</v>
      </c>
      <c r="CP91" s="14">
        <f>ROUND(IF(BU91=0,0,HLOOKUP(BU$14,Villagers!$B$1:$V$33,BU91+3,FALSE)),)</f>
        <v>0</v>
      </c>
      <c r="CQ91" s="14">
        <f>ROUND(IF(BV91=0,0,HLOOKUP(BV$14,Villagers!$B$1:$V$33,BV91+3,FALSE)),)</f>
        <v>0</v>
      </c>
      <c r="CR91" s="14">
        <f>ROUND(IF(BW91=0,0,HLOOKUP(BW$14,Villagers!$B$1:$V$33,BW91+3,FALSE)),)</f>
        <v>0</v>
      </c>
      <c r="CS91" s="14">
        <f>ROUND(IF(BX91=0,0,HLOOKUP(BX$14,Villagers!$B$1:$V$33,BX91+3,FALSE)),)</f>
        <v>0</v>
      </c>
      <c r="CT91" s="14">
        <f>ROUND(IF(BY91=0,0,HLOOKUP(BY$14,Villagers!$B$1:$V$33,BY91+3,FALSE)),)</f>
        <v>0</v>
      </c>
      <c r="CU91" s="14">
        <f>ROUND(IF(BZ91=0,0,HLOOKUP(BZ$14,Villagers!$B$1:$V$33,BZ91+3,FALSE)),)</f>
        <v>0</v>
      </c>
      <c r="CV91" s="14">
        <f>ROUND(IF(CA91=0,0,HLOOKUP(CA$14,Villagers!$B$1:$V$33,CA91+3,FALSE)),)</f>
        <v>0</v>
      </c>
      <c r="CW91" s="14">
        <f>ROUND(IF(CB91=0,0,HLOOKUP(CB$14,Villagers!$B$1:$V$33,CB91+3,FALSE)),)</f>
        <v>0</v>
      </c>
      <c r="CX91" s="14">
        <f>ROUND(IF(CC91=0,0,HLOOKUP(CC$14,Villagers!$B$1:$V$33,CC91+3,FALSE)),)</f>
        <v>0</v>
      </c>
      <c r="CY91" s="14">
        <f>ROUND(IF(CD91=0,0,HLOOKUP(CD$14,Villagers!$B$1:$V$33,CD91+3,FALSE)),)</f>
        <v>0</v>
      </c>
      <c r="CZ91" s="14">
        <f>ROUND(IF(CE91=0,0,HLOOKUP(CE$14,Villagers!$B$1:$V$33,CE91+3,FALSE)),)</f>
        <v>5</v>
      </c>
      <c r="DA91" s="14">
        <f>ROUND(IF(CF91=0,0,HLOOKUP(CF$14,Villagers!$B$1:$V$33,CF91+3,FALSE)),)</f>
        <v>10</v>
      </c>
      <c r="DB91" s="14">
        <f>ROUND(IF(CG91=0,0,HLOOKUP(CG$14,Villagers!$B$1:$V$33,CG91+3,FALSE)),)</f>
        <v>10</v>
      </c>
      <c r="DC91" s="14">
        <f>ROUND(IF(CH91=0,0,HLOOKUP(CH$14,Villagers!$B$1:$V$33,CH91+3,FALSE)),)</f>
        <v>0</v>
      </c>
      <c r="DD91" s="14">
        <f>ROUND(IF(CI91=0,0,HLOOKUP(CI$14,Villagers!$B$1:$V$33,CI91+3,FALSE)),)</f>
        <v>0</v>
      </c>
      <c r="DE91" s="14">
        <f>ROUND(IF(CJ91=0,0,HLOOKUP(CJ$14,Villagers!$B$1:$V$33,CJ91+3,FALSE)),)</f>
        <v>2</v>
      </c>
      <c r="DF91" s="370">
        <f>ROUND(IF(CK91=0,0,HLOOKUP(CK$14,Villagers!$B$1:$V$33,CK91+3,FALSE)),)</f>
        <v>0</v>
      </c>
      <c r="DG91" s="370">
        <f>ROUND(IF(CL91=0,0,HLOOKUP(CL$14,Villagers!$B$1:$V$33,CL91+3,FALSE)),)</f>
        <v>0</v>
      </c>
      <c r="DH91" s="34">
        <f>ROUND(IF(CM91=0,0,HLOOKUP(CM$14,Villagers!$B$1:$V$33,CM91+3,FALSE)),)</f>
        <v>0</v>
      </c>
      <c r="DI91" s="109">
        <f t="shared" si="219"/>
        <v>0</v>
      </c>
      <c r="DJ91" s="50">
        <f t="shared" si="220"/>
        <v>0</v>
      </c>
      <c r="DK91" s="50">
        <f t="shared" si="221"/>
        <v>0</v>
      </c>
      <c r="DL91" s="50">
        <f t="shared" si="222"/>
        <v>0</v>
      </c>
      <c r="DM91" s="50">
        <f t="shared" si="223"/>
        <v>0</v>
      </c>
      <c r="DN91" s="50">
        <f t="shared" si="224"/>
        <v>0</v>
      </c>
      <c r="DO91" s="50">
        <f t="shared" si="225"/>
        <v>0</v>
      </c>
      <c r="DP91" s="50">
        <f t="shared" si="226"/>
        <v>0</v>
      </c>
      <c r="DQ91" s="50">
        <f t="shared" si="203"/>
        <v>0</v>
      </c>
      <c r="DR91" s="50">
        <f t="shared" si="204"/>
        <v>0</v>
      </c>
      <c r="DS91" s="96">
        <f>Miscelaneous!$D$4*Miscelaneous!$D$2^($CI91-1)</f>
        <v>1000</v>
      </c>
      <c r="DT91" s="333">
        <f t="shared" si="171"/>
        <v>1</v>
      </c>
      <c r="DU91" s="81">
        <v>1</v>
      </c>
      <c r="DV91" s="79">
        <f t="shared" si="205"/>
        <v>0</v>
      </c>
      <c r="DW91" s="79">
        <f t="shared" si="206"/>
        <v>0</v>
      </c>
      <c r="DX91" s="79">
        <f t="shared" si="207"/>
        <v>0</v>
      </c>
      <c r="DY91" s="79">
        <v>1</v>
      </c>
      <c r="DZ91" s="79">
        <f t="shared" si="208"/>
        <v>0</v>
      </c>
      <c r="EA91" s="79">
        <f t="shared" si="209"/>
        <v>0</v>
      </c>
      <c r="EB91" s="79">
        <f t="shared" si="210"/>
        <v>0</v>
      </c>
      <c r="EC91" s="79">
        <f t="shared" si="211"/>
        <v>0</v>
      </c>
      <c r="ED91" s="79">
        <v>1</v>
      </c>
      <c r="EE91" s="79">
        <v>1</v>
      </c>
      <c r="EF91" s="79">
        <f t="shared" si="212"/>
        <v>0</v>
      </c>
      <c r="EG91" s="79">
        <v>1</v>
      </c>
      <c r="EH91" s="79">
        <v>1</v>
      </c>
      <c r="EI91" s="79">
        <v>1</v>
      </c>
      <c r="EJ91" s="79">
        <v>1</v>
      </c>
      <c r="EK91" s="79">
        <v>1</v>
      </c>
      <c r="EL91" s="79">
        <v>1</v>
      </c>
      <c r="EM91" s="143">
        <f t="shared" si="213"/>
        <v>0</v>
      </c>
      <c r="EN91" s="143">
        <f t="shared" si="214"/>
        <v>0</v>
      </c>
      <c r="EO91" s="82">
        <f t="shared" si="215"/>
        <v>0</v>
      </c>
    </row>
    <row r="92" spans="1:145" x14ac:dyDescent="0.25">
      <c r="A92">
        <v>78</v>
      </c>
      <c r="B92" s="172" t="e">
        <f t="shared" si="172"/>
        <v>#N/A</v>
      </c>
      <c r="C92" s="121" t="e">
        <f t="shared" ref="C92:E92" si="241">AJ92-SUM(AB92:AB96)</f>
        <v>#N/A</v>
      </c>
      <c r="D92" s="122" t="e">
        <f t="shared" si="241"/>
        <v>#N/A</v>
      </c>
      <c r="E92" s="122" t="e">
        <f t="shared" si="241"/>
        <v>#N/A</v>
      </c>
      <c r="F92" s="176" t="e">
        <f t="shared" si="154"/>
        <v>#N/A</v>
      </c>
      <c r="G92" s="121">
        <f t="shared" si="174"/>
        <v>208</v>
      </c>
      <c r="H92" s="176" t="e">
        <f t="shared" si="175"/>
        <v>#N/A</v>
      </c>
      <c r="I92" s="48">
        <v>1</v>
      </c>
      <c r="J92" s="39"/>
      <c r="K92" s="350">
        <v>1</v>
      </c>
      <c r="L92" s="34" t="e">
        <f t="shared" si="155"/>
        <v>#N/A</v>
      </c>
      <c r="M92" s="38" t="e">
        <f>(HLOOKUP(J92,'Construction Times'!$B$3:$W$34,L92+2,FALSE)*HLOOKUP("hq modifier",'Construction Times'!$W$3:$W$34,BS92+2,FALSE))*(1-$H$9)</f>
        <v>#N/A</v>
      </c>
      <c r="N92" s="426" t="e">
        <f t="shared" si="176"/>
        <v>#N/A</v>
      </c>
      <c r="O92" s="427"/>
      <c r="P92" s="430" t="e">
        <f t="shared" si="177"/>
        <v>#N/A</v>
      </c>
      <c r="Q92" s="431"/>
      <c r="R92" s="103">
        <f t="shared" si="217"/>
        <v>0</v>
      </c>
      <c r="S92" s="104">
        <f t="shared" si="217"/>
        <v>0</v>
      </c>
      <c r="T92" s="104">
        <f t="shared" si="218"/>
        <v>0</v>
      </c>
      <c r="U92" s="104">
        <f t="shared" si="218"/>
        <v>0</v>
      </c>
      <c r="V92" s="104">
        <f t="shared" si="218"/>
        <v>9.9999999999999995E-8</v>
      </c>
      <c r="W92" s="104">
        <f t="shared" si="218"/>
        <v>0</v>
      </c>
      <c r="X92" s="104">
        <f t="shared" si="116"/>
        <v>0</v>
      </c>
      <c r="Y92" s="104">
        <f t="shared" si="116"/>
        <v>9.9999999999999995E-8</v>
      </c>
      <c r="Z92" s="104">
        <f t="shared" si="116"/>
        <v>9.9999999999999995E-8</v>
      </c>
      <c r="AA92" s="105">
        <f t="shared" si="116"/>
        <v>9.9999999999999995E-8</v>
      </c>
      <c r="AB92" s="101" t="e">
        <f>$DT92*HLOOKUP($J92,'Construction Costs (timber)'!$B$1:$V$32,'Construction Planner'!$L92+2,FALSE)</f>
        <v>#N/A</v>
      </c>
      <c r="AC92" s="14" t="e">
        <f>$DT92*HLOOKUP($J92,'Construction Costs (clay)'!$B$1:$V$32,'Construction Planner'!$L92+2,FALSE)</f>
        <v>#N/A</v>
      </c>
      <c r="AD92" s="14" t="e">
        <f>$DT92*HLOOKUP($J92,'Construction Costs (iron)'!$B$1:$V$32,'Construction Planner'!$L92+2,FALSE)</f>
        <v>#N/A</v>
      </c>
      <c r="AE92" s="34" t="e">
        <f t="shared" si="230"/>
        <v>#N/A</v>
      </c>
      <c r="AF92" s="33" t="e">
        <f t="shared" si="156"/>
        <v>#N/A</v>
      </c>
      <c r="AG92" s="14" t="e">
        <f t="shared" si="157"/>
        <v>#N/A</v>
      </c>
      <c r="AH92" s="14" t="e">
        <f t="shared" si="158"/>
        <v>#N/A</v>
      </c>
      <c r="AI92" s="34" t="e">
        <f t="shared" si="231"/>
        <v>#N/A</v>
      </c>
      <c r="AJ92" s="49" t="e">
        <f t="shared" si="178"/>
        <v>#N/A</v>
      </c>
      <c r="AK92" s="49" t="e">
        <f t="shared" si="179"/>
        <v>#N/A</v>
      </c>
      <c r="AL92" s="49" t="e">
        <f t="shared" si="180"/>
        <v>#N/A</v>
      </c>
      <c r="AM92" s="25">
        <f t="shared" si="159"/>
        <v>30</v>
      </c>
      <c r="AN92" s="25">
        <f t="shared" si="160"/>
        <v>30</v>
      </c>
      <c r="AO92" s="25">
        <f t="shared" si="161"/>
        <v>30</v>
      </c>
      <c r="AP92" s="52" t="e">
        <f t="shared" si="181"/>
        <v>#N/A</v>
      </c>
      <c r="AQ92" s="53" t="e">
        <f t="shared" si="181"/>
        <v>#N/A</v>
      </c>
      <c r="AR92" s="54" t="e">
        <f t="shared" si="181"/>
        <v>#N/A</v>
      </c>
      <c r="AS92" s="316">
        <f t="shared" si="232"/>
        <v>0</v>
      </c>
      <c r="AT92" s="106">
        <f>_xlfn.IFNA($M92/VLOOKUP($BT92,'Unit information'!$A$2:$K$29,2,FALSE)*R92,0)*(1+$E$9)</f>
        <v>0</v>
      </c>
      <c r="AU92" s="107">
        <f>_xlfn.IFNA($M92/VLOOKUP($BT92,'Unit information'!$A$2:$K$29,3,FALSE)*S92,0)*(1+$E$9)</f>
        <v>0</v>
      </c>
      <c r="AV92" s="107">
        <f>_xlfn.IFNA($M92/VLOOKUP($BT92,'Unit information'!$A$2:$K$29,4,FALSE)*T92,0)*(1+$E$9)</f>
        <v>0</v>
      </c>
      <c r="AW92" s="107">
        <f>_xlfn.IFNA($M92/VLOOKUP($BT92,'Unit information'!$A$2:$K$29,5,FALSE)*U92,0)*(1+$E$9)</f>
        <v>0</v>
      </c>
      <c r="AX92" s="107">
        <f>_xlfn.IFNA($M92/VLOOKUP($BU92,'Unit information'!$A$2:$K$29,6,FALSE)*V92,0)*(1+$E$9)</f>
        <v>0</v>
      </c>
      <c r="AY92" s="107">
        <f>_xlfn.IFNA($M92/VLOOKUP($BU92,'Unit information'!$A$2:$K$29,7,FALSE)*W92,0)*(1+$E$9)</f>
        <v>0</v>
      </c>
      <c r="AZ92" s="107">
        <f>_xlfn.IFNA($M92/VLOOKUP($BU92,'Unit information'!$A$2:$K$29,8,FALSE)*X92,0)*(1+$E$9)</f>
        <v>0</v>
      </c>
      <c r="BA92" s="107">
        <f>_xlfn.IFNA($M92/VLOOKUP($BU92,'Unit information'!$A$2:$K$29,9,FALSE)*Y92,0)*(1+$E$9)</f>
        <v>0</v>
      </c>
      <c r="BB92" s="107">
        <f>_xlfn.IFNA($M92/VLOOKUP($BV92,'Unit information'!$A$2:$K$29,10,FALSE)*Z92,0)*(1+$E$9)</f>
        <v>0</v>
      </c>
      <c r="BC92" s="108">
        <f>_xlfn.IFNA($M92/VLOOKUP($BV92,'Unit information'!$A$2:$K$29,11,FALSE)*AA92,0)*(1+$E$9)</f>
        <v>0</v>
      </c>
      <c r="BD92" s="106">
        <f t="shared" si="162"/>
        <v>0</v>
      </c>
      <c r="BE92" s="107">
        <f t="shared" si="163"/>
        <v>0</v>
      </c>
      <c r="BF92" s="108">
        <f t="shared" si="164"/>
        <v>0</v>
      </c>
      <c r="BG92" s="25" t="e">
        <f t="shared" si="165"/>
        <v>#N/A</v>
      </c>
      <c r="BH92" s="25" t="e">
        <f t="shared" si="166"/>
        <v>#N/A</v>
      </c>
      <c r="BI92" s="25" t="e">
        <f t="shared" si="167"/>
        <v>#N/A</v>
      </c>
      <c r="BJ92" s="27" t="e">
        <f t="shared" si="168"/>
        <v>#N/A</v>
      </c>
      <c r="BK92" s="18" t="e">
        <f t="shared" si="169"/>
        <v>#N/A</v>
      </c>
      <c r="BL92" s="18" t="e">
        <f t="shared" si="170"/>
        <v>#N/A</v>
      </c>
      <c r="BM92" s="28" t="e">
        <f t="shared" si="233"/>
        <v>#N/A</v>
      </c>
      <c r="BN92" s="33">
        <f>HLOOKUP("maximum population",Miscelaneous!$C$1:$C$33,CH92+3,FALSE)</f>
        <v>240</v>
      </c>
      <c r="BO92" s="14">
        <f t="shared" si="182"/>
        <v>32</v>
      </c>
      <c r="BP92" s="14">
        <f t="shared" si="183"/>
        <v>0</v>
      </c>
      <c r="BQ92" s="14">
        <f t="shared" si="184"/>
        <v>208</v>
      </c>
      <c r="BR92" s="34" t="e">
        <f>HLOOKUP(J92,Villagers!$B$1:$V$33,L92+3,FALSE)-HLOOKUP(J92,Villagers!$B$1:$V$33,L92+2,FALSE)</f>
        <v>#N/A</v>
      </c>
      <c r="BS92" s="49">
        <f t="shared" si="185"/>
        <v>1</v>
      </c>
      <c r="BT92" s="50">
        <f t="shared" si="186"/>
        <v>0</v>
      </c>
      <c r="BU92" s="50">
        <f t="shared" si="187"/>
        <v>0</v>
      </c>
      <c r="BV92" s="50">
        <f t="shared" si="188"/>
        <v>0</v>
      </c>
      <c r="BW92" s="50">
        <f t="shared" si="189"/>
        <v>0</v>
      </c>
      <c r="BX92" s="50">
        <f t="shared" si="190"/>
        <v>0</v>
      </c>
      <c r="BY92" s="50">
        <f t="shared" si="190"/>
        <v>0</v>
      </c>
      <c r="BZ92" s="50">
        <f t="shared" si="191"/>
        <v>0</v>
      </c>
      <c r="CA92" s="50">
        <f t="shared" si="192"/>
        <v>0</v>
      </c>
      <c r="CB92" s="50">
        <f t="shared" si="193"/>
        <v>1</v>
      </c>
      <c r="CC92" s="50">
        <f t="shared" si="194"/>
        <v>0</v>
      </c>
      <c r="CD92" s="50">
        <f t="shared" si="195"/>
        <v>0</v>
      </c>
      <c r="CE92" s="50">
        <f t="shared" si="196"/>
        <v>1</v>
      </c>
      <c r="CF92" s="50">
        <f t="shared" si="197"/>
        <v>1</v>
      </c>
      <c r="CG92" s="50">
        <f t="shared" si="198"/>
        <v>1</v>
      </c>
      <c r="CH92" s="50">
        <f t="shared" si="199"/>
        <v>1</v>
      </c>
      <c r="CI92" s="50">
        <f t="shared" si="200"/>
        <v>1</v>
      </c>
      <c r="CJ92" s="50">
        <f t="shared" si="201"/>
        <v>1</v>
      </c>
      <c r="CK92" s="50">
        <f t="shared" si="201"/>
        <v>0</v>
      </c>
      <c r="CL92" s="50">
        <f t="shared" si="201"/>
        <v>0</v>
      </c>
      <c r="CM92" s="51">
        <f t="shared" si="202"/>
        <v>0</v>
      </c>
      <c r="CN92" s="33">
        <f>ROUND(IF(BS92=0,0,HLOOKUP(BS$14,Villagers!$B$1:$V$33,BS92+3,FALSE)),)</f>
        <v>5</v>
      </c>
      <c r="CO92" s="14">
        <f>ROUND(IF(BT92=0,0,HLOOKUP(BT$14,Villagers!$B$1:$V$33,BT92+3,FALSE)),)</f>
        <v>0</v>
      </c>
      <c r="CP92" s="14">
        <f>ROUND(IF(BU92=0,0,HLOOKUP(BU$14,Villagers!$B$1:$V$33,BU92+3,FALSE)),)</f>
        <v>0</v>
      </c>
      <c r="CQ92" s="14">
        <f>ROUND(IF(BV92=0,0,HLOOKUP(BV$14,Villagers!$B$1:$V$33,BV92+3,FALSE)),)</f>
        <v>0</v>
      </c>
      <c r="CR92" s="14">
        <f>ROUND(IF(BW92=0,0,HLOOKUP(BW$14,Villagers!$B$1:$V$33,BW92+3,FALSE)),)</f>
        <v>0</v>
      </c>
      <c r="CS92" s="14">
        <f>ROUND(IF(BX92=0,0,HLOOKUP(BX$14,Villagers!$B$1:$V$33,BX92+3,FALSE)),)</f>
        <v>0</v>
      </c>
      <c r="CT92" s="14">
        <f>ROUND(IF(BY92=0,0,HLOOKUP(BY$14,Villagers!$B$1:$V$33,BY92+3,FALSE)),)</f>
        <v>0</v>
      </c>
      <c r="CU92" s="14">
        <f>ROUND(IF(BZ92=0,0,HLOOKUP(BZ$14,Villagers!$B$1:$V$33,BZ92+3,FALSE)),)</f>
        <v>0</v>
      </c>
      <c r="CV92" s="14">
        <f>ROUND(IF(CA92=0,0,HLOOKUP(CA$14,Villagers!$B$1:$V$33,CA92+3,FALSE)),)</f>
        <v>0</v>
      </c>
      <c r="CW92" s="14">
        <f>ROUND(IF(CB92=0,0,HLOOKUP(CB$14,Villagers!$B$1:$V$33,CB92+3,FALSE)),)</f>
        <v>0</v>
      </c>
      <c r="CX92" s="14">
        <f>ROUND(IF(CC92=0,0,HLOOKUP(CC$14,Villagers!$B$1:$V$33,CC92+3,FALSE)),)</f>
        <v>0</v>
      </c>
      <c r="CY92" s="14">
        <f>ROUND(IF(CD92=0,0,HLOOKUP(CD$14,Villagers!$B$1:$V$33,CD92+3,FALSE)),)</f>
        <v>0</v>
      </c>
      <c r="CZ92" s="14">
        <f>ROUND(IF(CE92=0,0,HLOOKUP(CE$14,Villagers!$B$1:$V$33,CE92+3,FALSE)),)</f>
        <v>5</v>
      </c>
      <c r="DA92" s="14">
        <f>ROUND(IF(CF92=0,0,HLOOKUP(CF$14,Villagers!$B$1:$V$33,CF92+3,FALSE)),)</f>
        <v>10</v>
      </c>
      <c r="DB92" s="14">
        <f>ROUND(IF(CG92=0,0,HLOOKUP(CG$14,Villagers!$B$1:$V$33,CG92+3,FALSE)),)</f>
        <v>10</v>
      </c>
      <c r="DC92" s="14">
        <f>ROUND(IF(CH92=0,0,HLOOKUP(CH$14,Villagers!$B$1:$V$33,CH92+3,FALSE)),)</f>
        <v>0</v>
      </c>
      <c r="DD92" s="14">
        <f>ROUND(IF(CI92=0,0,HLOOKUP(CI$14,Villagers!$B$1:$V$33,CI92+3,FALSE)),)</f>
        <v>0</v>
      </c>
      <c r="DE92" s="14">
        <f>ROUND(IF(CJ92=0,0,HLOOKUP(CJ$14,Villagers!$B$1:$V$33,CJ92+3,FALSE)),)</f>
        <v>2</v>
      </c>
      <c r="DF92" s="370">
        <f>ROUND(IF(CK92=0,0,HLOOKUP(CK$14,Villagers!$B$1:$V$33,CK92+3,FALSE)),)</f>
        <v>0</v>
      </c>
      <c r="DG92" s="370">
        <f>ROUND(IF(CL92=0,0,HLOOKUP(CL$14,Villagers!$B$1:$V$33,CL92+3,FALSE)),)</f>
        <v>0</v>
      </c>
      <c r="DH92" s="34">
        <f>ROUND(IF(CM92=0,0,HLOOKUP(CM$14,Villagers!$B$1:$V$33,CM92+3,FALSE)),)</f>
        <v>0</v>
      </c>
      <c r="DI92" s="109">
        <f t="shared" si="219"/>
        <v>0</v>
      </c>
      <c r="DJ92" s="50">
        <f t="shared" si="220"/>
        <v>0</v>
      </c>
      <c r="DK92" s="50">
        <f t="shared" si="221"/>
        <v>0</v>
      </c>
      <c r="DL92" s="50">
        <f t="shared" si="222"/>
        <v>0</v>
      </c>
      <c r="DM92" s="50">
        <f t="shared" si="223"/>
        <v>0</v>
      </c>
      <c r="DN92" s="50">
        <f t="shared" si="224"/>
        <v>0</v>
      </c>
      <c r="DO92" s="50">
        <f t="shared" si="225"/>
        <v>0</v>
      </c>
      <c r="DP92" s="50">
        <f t="shared" si="226"/>
        <v>0</v>
      </c>
      <c r="DQ92" s="50">
        <f t="shared" si="203"/>
        <v>0</v>
      </c>
      <c r="DR92" s="50">
        <f t="shared" si="204"/>
        <v>0</v>
      </c>
      <c r="DS92" s="96">
        <f>Miscelaneous!$D$4*Miscelaneous!$D$2^($CI92-1)</f>
        <v>1000</v>
      </c>
      <c r="DT92" s="333">
        <f t="shared" si="171"/>
        <v>1</v>
      </c>
      <c r="DU92" s="81">
        <v>1</v>
      </c>
      <c r="DV92" s="79">
        <f t="shared" si="205"/>
        <v>0</v>
      </c>
      <c r="DW92" s="79">
        <f t="shared" si="206"/>
        <v>0</v>
      </c>
      <c r="DX92" s="79">
        <f t="shared" si="207"/>
        <v>0</v>
      </c>
      <c r="DY92" s="79">
        <v>1</v>
      </c>
      <c r="DZ92" s="79">
        <f t="shared" si="208"/>
        <v>0</v>
      </c>
      <c r="EA92" s="79">
        <f t="shared" si="209"/>
        <v>0</v>
      </c>
      <c r="EB92" s="79">
        <f t="shared" si="210"/>
        <v>0</v>
      </c>
      <c r="EC92" s="79">
        <f t="shared" si="211"/>
        <v>0</v>
      </c>
      <c r="ED92" s="79">
        <v>1</v>
      </c>
      <c r="EE92" s="79">
        <v>1</v>
      </c>
      <c r="EF92" s="79">
        <f t="shared" si="212"/>
        <v>0</v>
      </c>
      <c r="EG92" s="79">
        <v>1</v>
      </c>
      <c r="EH92" s="79">
        <v>1</v>
      </c>
      <c r="EI92" s="79">
        <v>1</v>
      </c>
      <c r="EJ92" s="79">
        <v>1</v>
      </c>
      <c r="EK92" s="79">
        <v>1</v>
      </c>
      <c r="EL92" s="79">
        <v>1</v>
      </c>
      <c r="EM92" s="143">
        <f t="shared" si="213"/>
        <v>0</v>
      </c>
      <c r="EN92" s="143">
        <f t="shared" si="214"/>
        <v>0</v>
      </c>
      <c r="EO92" s="82">
        <f t="shared" si="215"/>
        <v>0</v>
      </c>
    </row>
    <row r="93" spans="1:145" x14ac:dyDescent="0.25">
      <c r="A93">
        <v>79</v>
      </c>
      <c r="B93" s="172" t="e">
        <f t="shared" si="172"/>
        <v>#N/A</v>
      </c>
      <c r="C93" s="121" t="e">
        <f t="shared" ref="C93:E93" si="242">AJ93-SUM(AB93:AB97)</f>
        <v>#N/A</v>
      </c>
      <c r="D93" s="122" t="e">
        <f t="shared" si="242"/>
        <v>#N/A</v>
      </c>
      <c r="E93" s="122" t="e">
        <f t="shared" si="242"/>
        <v>#N/A</v>
      </c>
      <c r="F93" s="176" t="e">
        <f t="shared" si="154"/>
        <v>#N/A</v>
      </c>
      <c r="G93" s="121">
        <f t="shared" si="174"/>
        <v>208</v>
      </c>
      <c r="H93" s="176" t="e">
        <f t="shared" si="175"/>
        <v>#N/A</v>
      </c>
      <c r="I93" s="48">
        <v>1</v>
      </c>
      <c r="J93" s="39"/>
      <c r="K93" s="350">
        <v>1</v>
      </c>
      <c r="L93" s="34" t="e">
        <f t="shared" si="155"/>
        <v>#N/A</v>
      </c>
      <c r="M93" s="38" t="e">
        <f>(HLOOKUP(J93,'Construction Times'!$B$3:$W$34,L93+2,FALSE)*HLOOKUP("hq modifier",'Construction Times'!$W$3:$W$34,BS93+2,FALSE))*(1-$H$9)</f>
        <v>#N/A</v>
      </c>
      <c r="N93" s="426" t="e">
        <f t="shared" si="176"/>
        <v>#N/A</v>
      </c>
      <c r="O93" s="427"/>
      <c r="P93" s="430" t="e">
        <f t="shared" si="177"/>
        <v>#N/A</v>
      </c>
      <c r="Q93" s="431"/>
      <c r="R93" s="103">
        <f t="shared" si="217"/>
        <v>0</v>
      </c>
      <c r="S93" s="104">
        <f t="shared" si="217"/>
        <v>0</v>
      </c>
      <c r="T93" s="104">
        <f t="shared" si="218"/>
        <v>0</v>
      </c>
      <c r="U93" s="104">
        <f t="shared" si="218"/>
        <v>0</v>
      </c>
      <c r="V93" s="104">
        <f t="shared" si="218"/>
        <v>9.9999999999999995E-8</v>
      </c>
      <c r="W93" s="104">
        <f t="shared" si="218"/>
        <v>0</v>
      </c>
      <c r="X93" s="104">
        <f t="shared" si="116"/>
        <v>0</v>
      </c>
      <c r="Y93" s="104">
        <f t="shared" si="116"/>
        <v>9.9999999999999995E-8</v>
      </c>
      <c r="Z93" s="104">
        <f t="shared" si="116"/>
        <v>9.9999999999999995E-8</v>
      </c>
      <c r="AA93" s="105">
        <f t="shared" si="116"/>
        <v>9.9999999999999995E-8</v>
      </c>
      <c r="AB93" s="101" t="e">
        <f>$DT93*HLOOKUP($J93,'Construction Costs (timber)'!$B$1:$V$32,'Construction Planner'!$L93+2,FALSE)</f>
        <v>#N/A</v>
      </c>
      <c r="AC93" s="14" t="e">
        <f>$DT93*HLOOKUP($J93,'Construction Costs (clay)'!$B$1:$V$32,'Construction Planner'!$L93+2,FALSE)</f>
        <v>#N/A</v>
      </c>
      <c r="AD93" s="14" t="e">
        <f>$DT93*HLOOKUP($J93,'Construction Costs (iron)'!$B$1:$V$32,'Construction Planner'!$L93+2,FALSE)</f>
        <v>#N/A</v>
      </c>
      <c r="AE93" s="34" t="e">
        <f t="shared" si="230"/>
        <v>#N/A</v>
      </c>
      <c r="AF93" s="33" t="e">
        <f t="shared" si="156"/>
        <v>#N/A</v>
      </c>
      <c r="AG93" s="14" t="e">
        <f t="shared" si="157"/>
        <v>#N/A</v>
      </c>
      <c r="AH93" s="14" t="e">
        <f t="shared" si="158"/>
        <v>#N/A</v>
      </c>
      <c r="AI93" s="34" t="e">
        <f t="shared" si="231"/>
        <v>#N/A</v>
      </c>
      <c r="AJ93" s="49" t="e">
        <f t="shared" si="178"/>
        <v>#N/A</v>
      </c>
      <c r="AK93" s="49" t="e">
        <f t="shared" si="179"/>
        <v>#N/A</v>
      </c>
      <c r="AL93" s="49" t="e">
        <f t="shared" si="180"/>
        <v>#N/A</v>
      </c>
      <c r="AM93" s="25">
        <f t="shared" si="159"/>
        <v>30</v>
      </c>
      <c r="AN93" s="25">
        <f t="shared" si="160"/>
        <v>30</v>
      </c>
      <c r="AO93" s="25">
        <f t="shared" si="161"/>
        <v>30</v>
      </c>
      <c r="AP93" s="52" t="e">
        <f t="shared" si="181"/>
        <v>#N/A</v>
      </c>
      <c r="AQ93" s="53" t="e">
        <f t="shared" si="181"/>
        <v>#N/A</v>
      </c>
      <c r="AR93" s="54" t="e">
        <f t="shared" si="181"/>
        <v>#N/A</v>
      </c>
      <c r="AS93" s="316">
        <f t="shared" si="232"/>
        <v>0</v>
      </c>
      <c r="AT93" s="106">
        <f>_xlfn.IFNA($M93/VLOOKUP($BT93,'Unit information'!$A$2:$K$29,2,FALSE)*R93,0)*(1+$E$9)</f>
        <v>0</v>
      </c>
      <c r="AU93" s="107">
        <f>_xlfn.IFNA($M93/VLOOKUP($BT93,'Unit information'!$A$2:$K$29,3,FALSE)*S93,0)*(1+$E$9)</f>
        <v>0</v>
      </c>
      <c r="AV93" s="107">
        <f>_xlfn.IFNA($M93/VLOOKUP($BT93,'Unit information'!$A$2:$K$29,4,FALSE)*T93,0)*(1+$E$9)</f>
        <v>0</v>
      </c>
      <c r="AW93" s="107">
        <f>_xlfn.IFNA($M93/VLOOKUP($BT93,'Unit information'!$A$2:$K$29,5,FALSE)*U93,0)*(1+$E$9)</f>
        <v>0</v>
      </c>
      <c r="AX93" s="107">
        <f>_xlfn.IFNA($M93/VLOOKUP($BU93,'Unit information'!$A$2:$K$29,6,FALSE)*V93,0)*(1+$E$9)</f>
        <v>0</v>
      </c>
      <c r="AY93" s="107">
        <f>_xlfn.IFNA($M93/VLOOKUP($BU93,'Unit information'!$A$2:$K$29,7,FALSE)*W93,0)*(1+$E$9)</f>
        <v>0</v>
      </c>
      <c r="AZ93" s="107">
        <f>_xlfn.IFNA($M93/VLOOKUP($BU93,'Unit information'!$A$2:$K$29,8,FALSE)*X93,0)*(1+$E$9)</f>
        <v>0</v>
      </c>
      <c r="BA93" s="107">
        <f>_xlfn.IFNA($M93/VLOOKUP($BU93,'Unit information'!$A$2:$K$29,9,FALSE)*Y93,0)*(1+$E$9)</f>
        <v>0</v>
      </c>
      <c r="BB93" s="107">
        <f>_xlfn.IFNA($M93/VLOOKUP($BV93,'Unit information'!$A$2:$K$29,10,FALSE)*Z93,0)*(1+$E$9)</f>
        <v>0</v>
      </c>
      <c r="BC93" s="108">
        <f>_xlfn.IFNA($M93/VLOOKUP($BV93,'Unit information'!$A$2:$K$29,11,FALSE)*AA93,0)*(1+$E$9)</f>
        <v>0</v>
      </c>
      <c r="BD93" s="106">
        <f t="shared" si="162"/>
        <v>0</v>
      </c>
      <c r="BE93" s="107">
        <f t="shared" si="163"/>
        <v>0</v>
      </c>
      <c r="BF93" s="108">
        <f t="shared" si="164"/>
        <v>0</v>
      </c>
      <c r="BG93" s="25" t="e">
        <f t="shared" si="165"/>
        <v>#N/A</v>
      </c>
      <c r="BH93" s="25" t="e">
        <f t="shared" si="166"/>
        <v>#N/A</v>
      </c>
      <c r="BI93" s="25" t="e">
        <f t="shared" si="167"/>
        <v>#N/A</v>
      </c>
      <c r="BJ93" s="27" t="e">
        <f t="shared" si="168"/>
        <v>#N/A</v>
      </c>
      <c r="BK93" s="18" t="e">
        <f t="shared" si="169"/>
        <v>#N/A</v>
      </c>
      <c r="BL93" s="18" t="e">
        <f t="shared" si="170"/>
        <v>#N/A</v>
      </c>
      <c r="BM93" s="28" t="e">
        <f t="shared" si="233"/>
        <v>#N/A</v>
      </c>
      <c r="BN93" s="33">
        <f>HLOOKUP("maximum population",Miscelaneous!$C$1:$C$33,CH93+3,FALSE)</f>
        <v>240</v>
      </c>
      <c r="BO93" s="14">
        <f t="shared" si="182"/>
        <v>32</v>
      </c>
      <c r="BP93" s="14">
        <f t="shared" si="183"/>
        <v>0</v>
      </c>
      <c r="BQ93" s="14">
        <f t="shared" si="184"/>
        <v>208</v>
      </c>
      <c r="BR93" s="34" t="e">
        <f>HLOOKUP(J93,Villagers!$B$1:$V$33,L93+3,FALSE)-HLOOKUP(J93,Villagers!$B$1:$V$33,L93+2,FALSE)</f>
        <v>#N/A</v>
      </c>
      <c r="BS93" s="49">
        <f t="shared" si="185"/>
        <v>1</v>
      </c>
      <c r="BT93" s="50">
        <f t="shared" si="186"/>
        <v>0</v>
      </c>
      <c r="BU93" s="50">
        <f t="shared" si="187"/>
        <v>0</v>
      </c>
      <c r="BV93" s="50">
        <f t="shared" si="188"/>
        <v>0</v>
      </c>
      <c r="BW93" s="50">
        <f t="shared" si="189"/>
        <v>0</v>
      </c>
      <c r="BX93" s="50">
        <f t="shared" si="190"/>
        <v>0</v>
      </c>
      <c r="BY93" s="50">
        <f t="shared" si="190"/>
        <v>0</v>
      </c>
      <c r="BZ93" s="50">
        <f t="shared" si="191"/>
        <v>0</v>
      </c>
      <c r="CA93" s="50">
        <f t="shared" si="192"/>
        <v>0</v>
      </c>
      <c r="CB93" s="50">
        <f t="shared" si="193"/>
        <v>1</v>
      </c>
      <c r="CC93" s="50">
        <f t="shared" si="194"/>
        <v>0</v>
      </c>
      <c r="CD93" s="50">
        <f t="shared" si="195"/>
        <v>0</v>
      </c>
      <c r="CE93" s="50">
        <f t="shared" si="196"/>
        <v>1</v>
      </c>
      <c r="CF93" s="50">
        <f t="shared" si="197"/>
        <v>1</v>
      </c>
      <c r="CG93" s="50">
        <f t="shared" si="198"/>
        <v>1</v>
      </c>
      <c r="CH93" s="50">
        <f t="shared" si="199"/>
        <v>1</v>
      </c>
      <c r="CI93" s="50">
        <f t="shared" si="200"/>
        <v>1</v>
      </c>
      <c r="CJ93" s="50">
        <f t="shared" si="201"/>
        <v>1</v>
      </c>
      <c r="CK93" s="50">
        <f t="shared" si="201"/>
        <v>0</v>
      </c>
      <c r="CL93" s="50">
        <f t="shared" si="201"/>
        <v>0</v>
      </c>
      <c r="CM93" s="51">
        <f t="shared" si="202"/>
        <v>0</v>
      </c>
      <c r="CN93" s="33">
        <f>ROUND(IF(BS93=0,0,HLOOKUP(BS$14,Villagers!$B$1:$V$33,BS93+3,FALSE)),)</f>
        <v>5</v>
      </c>
      <c r="CO93" s="14">
        <f>ROUND(IF(BT93=0,0,HLOOKUP(BT$14,Villagers!$B$1:$V$33,BT93+3,FALSE)),)</f>
        <v>0</v>
      </c>
      <c r="CP93" s="14">
        <f>ROUND(IF(BU93=0,0,HLOOKUP(BU$14,Villagers!$B$1:$V$33,BU93+3,FALSE)),)</f>
        <v>0</v>
      </c>
      <c r="CQ93" s="14">
        <f>ROUND(IF(BV93=0,0,HLOOKUP(BV$14,Villagers!$B$1:$V$33,BV93+3,FALSE)),)</f>
        <v>0</v>
      </c>
      <c r="CR93" s="14">
        <f>ROUND(IF(BW93=0,0,HLOOKUP(BW$14,Villagers!$B$1:$V$33,BW93+3,FALSE)),)</f>
        <v>0</v>
      </c>
      <c r="CS93" s="14">
        <f>ROUND(IF(BX93=0,0,HLOOKUP(BX$14,Villagers!$B$1:$V$33,BX93+3,FALSE)),)</f>
        <v>0</v>
      </c>
      <c r="CT93" s="14">
        <f>ROUND(IF(BY93=0,0,HLOOKUP(BY$14,Villagers!$B$1:$V$33,BY93+3,FALSE)),)</f>
        <v>0</v>
      </c>
      <c r="CU93" s="14">
        <f>ROUND(IF(BZ93=0,0,HLOOKUP(BZ$14,Villagers!$B$1:$V$33,BZ93+3,FALSE)),)</f>
        <v>0</v>
      </c>
      <c r="CV93" s="14">
        <f>ROUND(IF(CA93=0,0,HLOOKUP(CA$14,Villagers!$B$1:$V$33,CA93+3,FALSE)),)</f>
        <v>0</v>
      </c>
      <c r="CW93" s="14">
        <f>ROUND(IF(CB93=0,0,HLOOKUP(CB$14,Villagers!$B$1:$V$33,CB93+3,FALSE)),)</f>
        <v>0</v>
      </c>
      <c r="CX93" s="14">
        <f>ROUND(IF(CC93=0,0,HLOOKUP(CC$14,Villagers!$B$1:$V$33,CC93+3,FALSE)),)</f>
        <v>0</v>
      </c>
      <c r="CY93" s="14">
        <f>ROUND(IF(CD93=0,0,HLOOKUP(CD$14,Villagers!$B$1:$V$33,CD93+3,FALSE)),)</f>
        <v>0</v>
      </c>
      <c r="CZ93" s="14">
        <f>ROUND(IF(CE93=0,0,HLOOKUP(CE$14,Villagers!$B$1:$V$33,CE93+3,FALSE)),)</f>
        <v>5</v>
      </c>
      <c r="DA93" s="14">
        <f>ROUND(IF(CF93=0,0,HLOOKUP(CF$14,Villagers!$B$1:$V$33,CF93+3,FALSE)),)</f>
        <v>10</v>
      </c>
      <c r="DB93" s="14">
        <f>ROUND(IF(CG93=0,0,HLOOKUP(CG$14,Villagers!$B$1:$V$33,CG93+3,FALSE)),)</f>
        <v>10</v>
      </c>
      <c r="DC93" s="14">
        <f>ROUND(IF(CH93=0,0,HLOOKUP(CH$14,Villagers!$B$1:$V$33,CH93+3,FALSE)),)</f>
        <v>0</v>
      </c>
      <c r="DD93" s="14">
        <f>ROUND(IF(CI93=0,0,HLOOKUP(CI$14,Villagers!$B$1:$V$33,CI93+3,FALSE)),)</f>
        <v>0</v>
      </c>
      <c r="DE93" s="14">
        <f>ROUND(IF(CJ93=0,0,HLOOKUP(CJ$14,Villagers!$B$1:$V$33,CJ93+3,FALSE)),)</f>
        <v>2</v>
      </c>
      <c r="DF93" s="370">
        <f>ROUND(IF(CK93=0,0,HLOOKUP(CK$14,Villagers!$B$1:$V$33,CK93+3,FALSE)),)</f>
        <v>0</v>
      </c>
      <c r="DG93" s="370">
        <f>ROUND(IF(CL93=0,0,HLOOKUP(CL$14,Villagers!$B$1:$V$33,CL93+3,FALSE)),)</f>
        <v>0</v>
      </c>
      <c r="DH93" s="34">
        <f>ROUND(IF(CM93=0,0,HLOOKUP(CM$14,Villagers!$B$1:$V$33,CM93+3,FALSE)),)</f>
        <v>0</v>
      </c>
      <c r="DI93" s="109">
        <f t="shared" si="219"/>
        <v>0</v>
      </c>
      <c r="DJ93" s="50">
        <f t="shared" si="220"/>
        <v>0</v>
      </c>
      <c r="DK93" s="50">
        <f t="shared" si="221"/>
        <v>0</v>
      </c>
      <c r="DL93" s="50">
        <f t="shared" si="222"/>
        <v>0</v>
      </c>
      <c r="DM93" s="50">
        <f t="shared" si="223"/>
        <v>0</v>
      </c>
      <c r="DN93" s="50">
        <f t="shared" si="224"/>
        <v>0</v>
      </c>
      <c r="DO93" s="50">
        <f t="shared" si="225"/>
        <v>0</v>
      </c>
      <c r="DP93" s="50">
        <f t="shared" si="226"/>
        <v>0</v>
      </c>
      <c r="DQ93" s="50">
        <f t="shared" si="203"/>
        <v>0</v>
      </c>
      <c r="DR93" s="50">
        <f t="shared" si="204"/>
        <v>0</v>
      </c>
      <c r="DS93" s="96">
        <f>Miscelaneous!$D$4*Miscelaneous!$D$2^($CI93-1)</f>
        <v>1000</v>
      </c>
      <c r="DT93" s="333">
        <f t="shared" si="171"/>
        <v>1</v>
      </c>
      <c r="DU93" s="81">
        <v>1</v>
      </c>
      <c r="DV93" s="79">
        <f t="shared" si="205"/>
        <v>0</v>
      </c>
      <c r="DW93" s="79">
        <f t="shared" si="206"/>
        <v>0</v>
      </c>
      <c r="DX93" s="79">
        <f t="shared" si="207"/>
        <v>0</v>
      </c>
      <c r="DY93" s="79">
        <v>1</v>
      </c>
      <c r="DZ93" s="79">
        <f t="shared" si="208"/>
        <v>0</v>
      </c>
      <c r="EA93" s="79">
        <f t="shared" si="209"/>
        <v>0</v>
      </c>
      <c r="EB93" s="79">
        <f t="shared" si="210"/>
        <v>0</v>
      </c>
      <c r="EC93" s="79">
        <f t="shared" si="211"/>
        <v>0</v>
      </c>
      <c r="ED93" s="79">
        <v>1</v>
      </c>
      <c r="EE93" s="79">
        <v>1</v>
      </c>
      <c r="EF93" s="79">
        <f t="shared" si="212"/>
        <v>0</v>
      </c>
      <c r="EG93" s="79">
        <v>1</v>
      </c>
      <c r="EH93" s="79">
        <v>1</v>
      </c>
      <c r="EI93" s="79">
        <v>1</v>
      </c>
      <c r="EJ93" s="79">
        <v>1</v>
      </c>
      <c r="EK93" s="79">
        <v>1</v>
      </c>
      <c r="EL93" s="79">
        <v>1</v>
      </c>
      <c r="EM93" s="143">
        <f t="shared" si="213"/>
        <v>0</v>
      </c>
      <c r="EN93" s="143">
        <f t="shared" si="214"/>
        <v>0</v>
      </c>
      <c r="EO93" s="82">
        <f t="shared" si="215"/>
        <v>0</v>
      </c>
    </row>
    <row r="94" spans="1:145" x14ac:dyDescent="0.25">
      <c r="A94">
        <v>80</v>
      </c>
      <c r="B94" s="172" t="e">
        <f t="shared" si="172"/>
        <v>#N/A</v>
      </c>
      <c r="C94" s="121" t="e">
        <f t="shared" ref="C94:E94" si="243">AJ94-SUM(AB94:AB98)</f>
        <v>#N/A</v>
      </c>
      <c r="D94" s="122" t="e">
        <f t="shared" si="243"/>
        <v>#N/A</v>
      </c>
      <c r="E94" s="122" t="e">
        <f t="shared" si="243"/>
        <v>#N/A</v>
      </c>
      <c r="F94" s="176" t="e">
        <f t="shared" si="154"/>
        <v>#N/A</v>
      </c>
      <c r="G94" s="121">
        <f t="shared" si="174"/>
        <v>208</v>
      </c>
      <c r="H94" s="176" t="e">
        <f t="shared" si="175"/>
        <v>#N/A</v>
      </c>
      <c r="I94" s="48">
        <v>1</v>
      </c>
      <c r="J94" s="39"/>
      <c r="K94" s="350">
        <v>1</v>
      </c>
      <c r="L94" s="34" t="e">
        <f t="shared" si="155"/>
        <v>#N/A</v>
      </c>
      <c r="M94" s="38" t="e">
        <f>(HLOOKUP(J94,'Construction Times'!$B$3:$W$34,L94+2,FALSE)*HLOOKUP("hq modifier",'Construction Times'!$W$3:$W$34,BS94+2,FALSE))*(1-$H$9)</f>
        <v>#N/A</v>
      </c>
      <c r="N94" s="426" t="e">
        <f t="shared" si="176"/>
        <v>#N/A</v>
      </c>
      <c r="O94" s="427"/>
      <c r="P94" s="430" t="e">
        <f t="shared" si="177"/>
        <v>#N/A</v>
      </c>
      <c r="Q94" s="431"/>
      <c r="R94" s="103">
        <f t="shared" si="217"/>
        <v>0</v>
      </c>
      <c r="S94" s="104">
        <f t="shared" si="217"/>
        <v>0</v>
      </c>
      <c r="T94" s="104">
        <f t="shared" si="218"/>
        <v>0</v>
      </c>
      <c r="U94" s="104">
        <f t="shared" si="218"/>
        <v>0</v>
      </c>
      <c r="V94" s="104">
        <f t="shared" si="218"/>
        <v>9.9999999999999995E-8</v>
      </c>
      <c r="W94" s="104">
        <f t="shared" si="218"/>
        <v>0</v>
      </c>
      <c r="X94" s="104">
        <f t="shared" si="116"/>
        <v>0</v>
      </c>
      <c r="Y94" s="104">
        <f t="shared" si="116"/>
        <v>9.9999999999999995E-8</v>
      </c>
      <c r="Z94" s="104">
        <f t="shared" si="116"/>
        <v>9.9999999999999995E-8</v>
      </c>
      <c r="AA94" s="105">
        <f t="shared" si="116"/>
        <v>9.9999999999999995E-8</v>
      </c>
      <c r="AB94" s="101" t="e">
        <f>$DT94*HLOOKUP($J94,'Construction Costs (timber)'!$B$1:$V$32,'Construction Planner'!$L94+2,FALSE)</f>
        <v>#N/A</v>
      </c>
      <c r="AC94" s="14" t="e">
        <f>$DT94*HLOOKUP($J94,'Construction Costs (clay)'!$B$1:$V$32,'Construction Planner'!$L94+2,FALSE)</f>
        <v>#N/A</v>
      </c>
      <c r="AD94" s="14" t="e">
        <f>$DT94*HLOOKUP($J94,'Construction Costs (iron)'!$B$1:$V$32,'Construction Planner'!$L94+2,FALSE)</f>
        <v>#N/A</v>
      </c>
      <c r="AE94" s="34" t="e">
        <f t="shared" si="230"/>
        <v>#N/A</v>
      </c>
      <c r="AF94" s="33" t="e">
        <f t="shared" si="156"/>
        <v>#N/A</v>
      </c>
      <c r="AG94" s="14" t="e">
        <f t="shared" si="157"/>
        <v>#N/A</v>
      </c>
      <c r="AH94" s="14" t="e">
        <f t="shared" si="158"/>
        <v>#N/A</v>
      </c>
      <c r="AI94" s="34" t="e">
        <f t="shared" si="231"/>
        <v>#N/A</v>
      </c>
      <c r="AJ94" s="49" t="e">
        <f t="shared" si="178"/>
        <v>#N/A</v>
      </c>
      <c r="AK94" s="49" t="e">
        <f t="shared" si="179"/>
        <v>#N/A</v>
      </c>
      <c r="AL94" s="49" t="e">
        <f t="shared" si="180"/>
        <v>#N/A</v>
      </c>
      <c r="AM94" s="25">
        <f t="shared" si="159"/>
        <v>30</v>
      </c>
      <c r="AN94" s="25">
        <f t="shared" si="160"/>
        <v>30</v>
      </c>
      <c r="AO94" s="25">
        <f t="shared" si="161"/>
        <v>30</v>
      </c>
      <c r="AP94" s="52" t="e">
        <f t="shared" si="181"/>
        <v>#N/A</v>
      </c>
      <c r="AQ94" s="53" t="e">
        <f t="shared" si="181"/>
        <v>#N/A</v>
      </c>
      <c r="AR94" s="54" t="e">
        <f t="shared" si="181"/>
        <v>#N/A</v>
      </c>
      <c r="AS94" s="316">
        <f t="shared" si="232"/>
        <v>0</v>
      </c>
      <c r="AT94" s="106">
        <f>_xlfn.IFNA($M94/VLOOKUP($BT94,'Unit information'!$A$2:$K$29,2,FALSE)*R94,0)*(1+$E$9)</f>
        <v>0</v>
      </c>
      <c r="AU94" s="107">
        <f>_xlfn.IFNA($M94/VLOOKUP($BT94,'Unit information'!$A$2:$K$29,3,FALSE)*S94,0)*(1+$E$9)</f>
        <v>0</v>
      </c>
      <c r="AV94" s="107">
        <f>_xlfn.IFNA($M94/VLOOKUP($BT94,'Unit information'!$A$2:$K$29,4,FALSE)*T94,0)*(1+$E$9)</f>
        <v>0</v>
      </c>
      <c r="AW94" s="107">
        <f>_xlfn.IFNA($M94/VLOOKUP($BT94,'Unit information'!$A$2:$K$29,5,FALSE)*U94,0)*(1+$E$9)</f>
        <v>0</v>
      </c>
      <c r="AX94" s="107">
        <f>_xlfn.IFNA($M94/VLOOKUP($BU94,'Unit information'!$A$2:$K$29,6,FALSE)*V94,0)*(1+$E$9)</f>
        <v>0</v>
      </c>
      <c r="AY94" s="107">
        <f>_xlfn.IFNA($M94/VLOOKUP($BU94,'Unit information'!$A$2:$K$29,7,FALSE)*W94,0)*(1+$E$9)</f>
        <v>0</v>
      </c>
      <c r="AZ94" s="107">
        <f>_xlfn.IFNA($M94/VLOOKUP($BU94,'Unit information'!$A$2:$K$29,8,FALSE)*X94,0)*(1+$E$9)</f>
        <v>0</v>
      </c>
      <c r="BA94" s="107">
        <f>_xlfn.IFNA($M94/VLOOKUP($BU94,'Unit information'!$A$2:$K$29,9,FALSE)*Y94,0)*(1+$E$9)</f>
        <v>0</v>
      </c>
      <c r="BB94" s="107">
        <f>_xlfn.IFNA($M94/VLOOKUP($BV94,'Unit information'!$A$2:$K$29,10,FALSE)*Z94,0)*(1+$E$9)</f>
        <v>0</v>
      </c>
      <c r="BC94" s="108">
        <f>_xlfn.IFNA($M94/VLOOKUP($BV94,'Unit information'!$A$2:$K$29,11,FALSE)*AA94,0)*(1+$E$9)</f>
        <v>0</v>
      </c>
      <c r="BD94" s="106">
        <f t="shared" si="162"/>
        <v>0</v>
      </c>
      <c r="BE94" s="107">
        <f t="shared" si="163"/>
        <v>0</v>
      </c>
      <c r="BF94" s="108">
        <f t="shared" si="164"/>
        <v>0</v>
      </c>
      <c r="BG94" s="25" t="e">
        <f t="shared" si="165"/>
        <v>#N/A</v>
      </c>
      <c r="BH94" s="25" t="e">
        <f t="shared" si="166"/>
        <v>#N/A</v>
      </c>
      <c r="BI94" s="25" t="e">
        <f t="shared" si="167"/>
        <v>#N/A</v>
      </c>
      <c r="BJ94" s="27" t="e">
        <f t="shared" si="168"/>
        <v>#N/A</v>
      </c>
      <c r="BK94" s="18" t="e">
        <f t="shared" si="169"/>
        <v>#N/A</v>
      </c>
      <c r="BL94" s="18" t="e">
        <f t="shared" si="170"/>
        <v>#N/A</v>
      </c>
      <c r="BM94" s="28" t="e">
        <f t="shared" si="233"/>
        <v>#N/A</v>
      </c>
      <c r="BN94" s="33">
        <f>HLOOKUP("maximum population",Miscelaneous!$C$1:$C$33,CH94+3,FALSE)</f>
        <v>240</v>
      </c>
      <c r="BO94" s="14">
        <f t="shared" si="182"/>
        <v>32</v>
      </c>
      <c r="BP94" s="14">
        <f t="shared" si="183"/>
        <v>0</v>
      </c>
      <c r="BQ94" s="14">
        <f t="shared" si="184"/>
        <v>208</v>
      </c>
      <c r="BR94" s="34" t="e">
        <f>HLOOKUP(J94,Villagers!$B$1:$V$33,L94+3,FALSE)-HLOOKUP(J94,Villagers!$B$1:$V$33,L94+2,FALSE)</f>
        <v>#N/A</v>
      </c>
      <c r="BS94" s="49">
        <f t="shared" si="185"/>
        <v>1</v>
      </c>
      <c r="BT94" s="50">
        <f t="shared" si="186"/>
        <v>0</v>
      </c>
      <c r="BU94" s="50">
        <f t="shared" si="187"/>
        <v>0</v>
      </c>
      <c r="BV94" s="50">
        <f t="shared" si="188"/>
        <v>0</v>
      </c>
      <c r="BW94" s="50">
        <f t="shared" si="189"/>
        <v>0</v>
      </c>
      <c r="BX94" s="50">
        <f t="shared" si="190"/>
        <v>0</v>
      </c>
      <c r="BY94" s="50">
        <f t="shared" si="190"/>
        <v>0</v>
      </c>
      <c r="BZ94" s="50">
        <f t="shared" si="191"/>
        <v>0</v>
      </c>
      <c r="CA94" s="50">
        <f t="shared" si="192"/>
        <v>0</v>
      </c>
      <c r="CB94" s="50">
        <f t="shared" si="193"/>
        <v>1</v>
      </c>
      <c r="CC94" s="50">
        <f t="shared" si="194"/>
        <v>0</v>
      </c>
      <c r="CD94" s="50">
        <f t="shared" si="195"/>
        <v>0</v>
      </c>
      <c r="CE94" s="50">
        <f t="shared" si="196"/>
        <v>1</v>
      </c>
      <c r="CF94" s="50">
        <f t="shared" si="197"/>
        <v>1</v>
      </c>
      <c r="CG94" s="50">
        <f t="shared" si="198"/>
        <v>1</v>
      </c>
      <c r="CH94" s="50">
        <f t="shared" si="199"/>
        <v>1</v>
      </c>
      <c r="CI94" s="50">
        <f t="shared" si="200"/>
        <v>1</v>
      </c>
      <c r="CJ94" s="50">
        <f t="shared" si="201"/>
        <v>1</v>
      </c>
      <c r="CK94" s="50">
        <f t="shared" si="201"/>
        <v>0</v>
      </c>
      <c r="CL94" s="50">
        <f t="shared" si="201"/>
        <v>0</v>
      </c>
      <c r="CM94" s="51">
        <f t="shared" si="202"/>
        <v>0</v>
      </c>
      <c r="CN94" s="33">
        <f>ROUND(IF(BS94=0,0,HLOOKUP(BS$14,Villagers!$B$1:$V$33,BS94+3,FALSE)),)</f>
        <v>5</v>
      </c>
      <c r="CO94" s="14">
        <f>ROUND(IF(BT94=0,0,HLOOKUP(BT$14,Villagers!$B$1:$V$33,BT94+3,FALSE)),)</f>
        <v>0</v>
      </c>
      <c r="CP94" s="14">
        <f>ROUND(IF(BU94=0,0,HLOOKUP(BU$14,Villagers!$B$1:$V$33,BU94+3,FALSE)),)</f>
        <v>0</v>
      </c>
      <c r="CQ94" s="14">
        <f>ROUND(IF(BV94=0,0,HLOOKUP(BV$14,Villagers!$B$1:$V$33,BV94+3,FALSE)),)</f>
        <v>0</v>
      </c>
      <c r="CR94" s="14">
        <f>ROUND(IF(BW94=0,0,HLOOKUP(BW$14,Villagers!$B$1:$V$33,BW94+3,FALSE)),)</f>
        <v>0</v>
      </c>
      <c r="CS94" s="14">
        <f>ROUND(IF(BX94=0,0,HLOOKUP(BX$14,Villagers!$B$1:$V$33,BX94+3,FALSE)),)</f>
        <v>0</v>
      </c>
      <c r="CT94" s="14">
        <f>ROUND(IF(BY94=0,0,HLOOKUP(BY$14,Villagers!$B$1:$V$33,BY94+3,FALSE)),)</f>
        <v>0</v>
      </c>
      <c r="CU94" s="14">
        <f>ROUND(IF(BZ94=0,0,HLOOKUP(BZ$14,Villagers!$B$1:$V$33,BZ94+3,FALSE)),)</f>
        <v>0</v>
      </c>
      <c r="CV94" s="14">
        <f>ROUND(IF(CA94=0,0,HLOOKUP(CA$14,Villagers!$B$1:$V$33,CA94+3,FALSE)),)</f>
        <v>0</v>
      </c>
      <c r="CW94" s="14">
        <f>ROUND(IF(CB94=0,0,HLOOKUP(CB$14,Villagers!$B$1:$V$33,CB94+3,FALSE)),)</f>
        <v>0</v>
      </c>
      <c r="CX94" s="14">
        <f>ROUND(IF(CC94=0,0,HLOOKUP(CC$14,Villagers!$B$1:$V$33,CC94+3,FALSE)),)</f>
        <v>0</v>
      </c>
      <c r="CY94" s="14">
        <f>ROUND(IF(CD94=0,0,HLOOKUP(CD$14,Villagers!$B$1:$V$33,CD94+3,FALSE)),)</f>
        <v>0</v>
      </c>
      <c r="CZ94" s="14">
        <f>ROUND(IF(CE94=0,0,HLOOKUP(CE$14,Villagers!$B$1:$V$33,CE94+3,FALSE)),)</f>
        <v>5</v>
      </c>
      <c r="DA94" s="14">
        <f>ROUND(IF(CF94=0,0,HLOOKUP(CF$14,Villagers!$B$1:$V$33,CF94+3,FALSE)),)</f>
        <v>10</v>
      </c>
      <c r="DB94" s="14">
        <f>ROUND(IF(CG94=0,0,HLOOKUP(CG$14,Villagers!$B$1:$V$33,CG94+3,FALSE)),)</f>
        <v>10</v>
      </c>
      <c r="DC94" s="14">
        <f>ROUND(IF(CH94=0,0,HLOOKUP(CH$14,Villagers!$B$1:$V$33,CH94+3,FALSE)),)</f>
        <v>0</v>
      </c>
      <c r="DD94" s="14">
        <f>ROUND(IF(CI94=0,0,HLOOKUP(CI$14,Villagers!$B$1:$V$33,CI94+3,FALSE)),)</f>
        <v>0</v>
      </c>
      <c r="DE94" s="14">
        <f>ROUND(IF(CJ94=0,0,HLOOKUP(CJ$14,Villagers!$B$1:$V$33,CJ94+3,FALSE)),)</f>
        <v>2</v>
      </c>
      <c r="DF94" s="370">
        <f>ROUND(IF(CK94=0,0,HLOOKUP(CK$14,Villagers!$B$1:$V$33,CK94+3,FALSE)),)</f>
        <v>0</v>
      </c>
      <c r="DG94" s="370">
        <f>ROUND(IF(CL94=0,0,HLOOKUP(CL$14,Villagers!$B$1:$V$33,CL94+3,FALSE)),)</f>
        <v>0</v>
      </c>
      <c r="DH94" s="34">
        <f>ROUND(IF(CM94=0,0,HLOOKUP(CM$14,Villagers!$B$1:$V$33,CM94+3,FALSE)),)</f>
        <v>0</v>
      </c>
      <c r="DI94" s="109">
        <f t="shared" si="219"/>
        <v>0</v>
      </c>
      <c r="DJ94" s="50">
        <f t="shared" si="220"/>
        <v>0</v>
      </c>
      <c r="DK94" s="50">
        <f t="shared" si="221"/>
        <v>0</v>
      </c>
      <c r="DL94" s="50">
        <f t="shared" si="222"/>
        <v>0</v>
      </c>
      <c r="DM94" s="50">
        <f t="shared" si="223"/>
        <v>0</v>
      </c>
      <c r="DN94" s="50">
        <f t="shared" si="224"/>
        <v>0</v>
      </c>
      <c r="DO94" s="50">
        <f t="shared" si="225"/>
        <v>0</v>
      </c>
      <c r="DP94" s="50">
        <f t="shared" si="226"/>
        <v>0</v>
      </c>
      <c r="DQ94" s="50">
        <f t="shared" si="203"/>
        <v>0</v>
      </c>
      <c r="DR94" s="50">
        <f t="shared" si="204"/>
        <v>0</v>
      </c>
      <c r="DS94" s="96">
        <f>Miscelaneous!$D$4*Miscelaneous!$D$2^($CI94-1)</f>
        <v>1000</v>
      </c>
      <c r="DT94" s="333">
        <f t="shared" si="171"/>
        <v>1</v>
      </c>
      <c r="DU94" s="81">
        <v>1</v>
      </c>
      <c r="DV94" s="79">
        <f t="shared" si="205"/>
        <v>0</v>
      </c>
      <c r="DW94" s="79">
        <f t="shared" si="206"/>
        <v>0</v>
      </c>
      <c r="DX94" s="79">
        <f t="shared" si="207"/>
        <v>0</v>
      </c>
      <c r="DY94" s="79">
        <v>1</v>
      </c>
      <c r="DZ94" s="79">
        <f t="shared" si="208"/>
        <v>0</v>
      </c>
      <c r="EA94" s="79">
        <f t="shared" si="209"/>
        <v>0</v>
      </c>
      <c r="EB94" s="79">
        <f t="shared" si="210"/>
        <v>0</v>
      </c>
      <c r="EC94" s="79">
        <f t="shared" si="211"/>
        <v>0</v>
      </c>
      <c r="ED94" s="79">
        <v>1</v>
      </c>
      <c r="EE94" s="79">
        <v>1</v>
      </c>
      <c r="EF94" s="79">
        <f t="shared" si="212"/>
        <v>0</v>
      </c>
      <c r="EG94" s="79">
        <v>1</v>
      </c>
      <c r="EH94" s="79">
        <v>1</v>
      </c>
      <c r="EI94" s="79">
        <v>1</v>
      </c>
      <c r="EJ94" s="79">
        <v>1</v>
      </c>
      <c r="EK94" s="79">
        <v>1</v>
      </c>
      <c r="EL94" s="79">
        <v>1</v>
      </c>
      <c r="EM94" s="143">
        <f t="shared" si="213"/>
        <v>0</v>
      </c>
      <c r="EN94" s="143">
        <f t="shared" si="214"/>
        <v>0</v>
      </c>
      <c r="EO94" s="82">
        <f t="shared" si="215"/>
        <v>0</v>
      </c>
    </row>
    <row r="95" spans="1:145" x14ac:dyDescent="0.25">
      <c r="A95">
        <v>81</v>
      </c>
      <c r="B95" s="172" t="e">
        <f t="shared" si="172"/>
        <v>#N/A</v>
      </c>
      <c r="C95" s="121" t="e">
        <f t="shared" ref="C95:E95" si="244">AJ95-SUM(AB95:AB99)</f>
        <v>#N/A</v>
      </c>
      <c r="D95" s="122" t="e">
        <f t="shared" si="244"/>
        <v>#N/A</v>
      </c>
      <c r="E95" s="122" t="e">
        <f t="shared" si="244"/>
        <v>#N/A</v>
      </c>
      <c r="F95" s="176" t="e">
        <f t="shared" si="154"/>
        <v>#N/A</v>
      </c>
      <c r="G95" s="121">
        <f t="shared" si="174"/>
        <v>208</v>
      </c>
      <c r="H95" s="176" t="e">
        <f t="shared" si="175"/>
        <v>#N/A</v>
      </c>
      <c r="I95" s="48">
        <v>1</v>
      </c>
      <c r="J95" s="39"/>
      <c r="K95" s="350">
        <v>1</v>
      </c>
      <c r="L95" s="34" t="e">
        <f t="shared" si="155"/>
        <v>#N/A</v>
      </c>
      <c r="M95" s="38" t="e">
        <f>(HLOOKUP(J95,'Construction Times'!$B$3:$W$34,L95+2,FALSE)*HLOOKUP("hq modifier",'Construction Times'!$W$3:$W$34,BS95+2,FALSE))*(1-$H$9)</f>
        <v>#N/A</v>
      </c>
      <c r="N95" s="426" t="e">
        <f t="shared" si="176"/>
        <v>#N/A</v>
      </c>
      <c r="O95" s="427"/>
      <c r="P95" s="430" t="e">
        <f t="shared" si="177"/>
        <v>#N/A</v>
      </c>
      <c r="Q95" s="431"/>
      <c r="R95" s="103">
        <f t="shared" si="217"/>
        <v>0</v>
      </c>
      <c r="S95" s="104">
        <f t="shared" si="217"/>
        <v>0</v>
      </c>
      <c r="T95" s="104">
        <f t="shared" si="218"/>
        <v>0</v>
      </c>
      <c r="U95" s="104">
        <f t="shared" si="218"/>
        <v>0</v>
      </c>
      <c r="V95" s="104">
        <f t="shared" si="218"/>
        <v>9.9999999999999995E-8</v>
      </c>
      <c r="W95" s="104">
        <f t="shared" si="218"/>
        <v>0</v>
      </c>
      <c r="X95" s="104">
        <f t="shared" si="116"/>
        <v>0</v>
      </c>
      <c r="Y95" s="104">
        <f t="shared" si="116"/>
        <v>9.9999999999999995E-8</v>
      </c>
      <c r="Z95" s="104">
        <f t="shared" si="116"/>
        <v>9.9999999999999995E-8</v>
      </c>
      <c r="AA95" s="105">
        <f t="shared" si="116"/>
        <v>9.9999999999999995E-8</v>
      </c>
      <c r="AB95" s="101" t="e">
        <f>$DT95*HLOOKUP($J95,'Construction Costs (timber)'!$B$1:$V$32,'Construction Planner'!$L95+2,FALSE)</f>
        <v>#N/A</v>
      </c>
      <c r="AC95" s="14" t="e">
        <f>$DT95*HLOOKUP($J95,'Construction Costs (clay)'!$B$1:$V$32,'Construction Planner'!$L95+2,FALSE)</f>
        <v>#N/A</v>
      </c>
      <c r="AD95" s="14" t="e">
        <f>$DT95*HLOOKUP($J95,'Construction Costs (iron)'!$B$1:$V$32,'Construction Planner'!$L95+2,FALSE)</f>
        <v>#N/A</v>
      </c>
      <c r="AE95" s="34" t="e">
        <f t="shared" si="230"/>
        <v>#N/A</v>
      </c>
      <c r="AF95" s="33" t="e">
        <f t="shared" si="156"/>
        <v>#N/A</v>
      </c>
      <c r="AG95" s="14" t="e">
        <f t="shared" si="157"/>
        <v>#N/A</v>
      </c>
      <c r="AH95" s="14" t="e">
        <f t="shared" si="158"/>
        <v>#N/A</v>
      </c>
      <c r="AI95" s="34" t="e">
        <f t="shared" si="231"/>
        <v>#N/A</v>
      </c>
      <c r="AJ95" s="49" t="e">
        <f t="shared" si="178"/>
        <v>#N/A</v>
      </c>
      <c r="AK95" s="49" t="e">
        <f t="shared" si="179"/>
        <v>#N/A</v>
      </c>
      <c r="AL95" s="49" t="e">
        <f t="shared" si="180"/>
        <v>#N/A</v>
      </c>
      <c r="AM95" s="25">
        <f t="shared" si="159"/>
        <v>30</v>
      </c>
      <c r="AN95" s="25">
        <f t="shared" si="160"/>
        <v>30</v>
      </c>
      <c r="AO95" s="25">
        <f t="shared" si="161"/>
        <v>30</v>
      </c>
      <c r="AP95" s="52" t="e">
        <f t="shared" si="181"/>
        <v>#N/A</v>
      </c>
      <c r="AQ95" s="53" t="e">
        <f t="shared" si="181"/>
        <v>#N/A</v>
      </c>
      <c r="AR95" s="54" t="e">
        <f t="shared" si="181"/>
        <v>#N/A</v>
      </c>
      <c r="AS95" s="316">
        <f t="shared" si="232"/>
        <v>0</v>
      </c>
      <c r="AT95" s="106">
        <f>_xlfn.IFNA($M95/VLOOKUP($BT95,'Unit information'!$A$2:$K$29,2,FALSE)*R95,0)*(1+$E$9)</f>
        <v>0</v>
      </c>
      <c r="AU95" s="107">
        <f>_xlfn.IFNA($M95/VLOOKUP($BT95,'Unit information'!$A$2:$K$29,3,FALSE)*S95,0)*(1+$E$9)</f>
        <v>0</v>
      </c>
      <c r="AV95" s="107">
        <f>_xlfn.IFNA($M95/VLOOKUP($BT95,'Unit information'!$A$2:$K$29,4,FALSE)*T95,0)*(1+$E$9)</f>
        <v>0</v>
      </c>
      <c r="AW95" s="107">
        <f>_xlfn.IFNA($M95/VLOOKUP($BT95,'Unit information'!$A$2:$K$29,5,FALSE)*U95,0)*(1+$E$9)</f>
        <v>0</v>
      </c>
      <c r="AX95" s="107">
        <f>_xlfn.IFNA($M95/VLOOKUP($BU95,'Unit information'!$A$2:$K$29,6,FALSE)*V95,0)*(1+$E$9)</f>
        <v>0</v>
      </c>
      <c r="AY95" s="107">
        <f>_xlfn.IFNA($M95/VLOOKUP($BU95,'Unit information'!$A$2:$K$29,7,FALSE)*W95,0)*(1+$E$9)</f>
        <v>0</v>
      </c>
      <c r="AZ95" s="107">
        <f>_xlfn.IFNA($M95/VLOOKUP($BU95,'Unit information'!$A$2:$K$29,8,FALSE)*X95,0)*(1+$E$9)</f>
        <v>0</v>
      </c>
      <c r="BA95" s="107">
        <f>_xlfn.IFNA($M95/VLOOKUP($BU95,'Unit information'!$A$2:$K$29,9,FALSE)*Y95,0)*(1+$E$9)</f>
        <v>0</v>
      </c>
      <c r="BB95" s="107">
        <f>_xlfn.IFNA($M95/VLOOKUP($BV95,'Unit information'!$A$2:$K$29,10,FALSE)*Z95,0)*(1+$E$9)</f>
        <v>0</v>
      </c>
      <c r="BC95" s="108">
        <f>_xlfn.IFNA($M95/VLOOKUP($BV95,'Unit information'!$A$2:$K$29,11,FALSE)*AA95,0)*(1+$E$9)</f>
        <v>0</v>
      </c>
      <c r="BD95" s="106">
        <f t="shared" si="162"/>
        <v>0</v>
      </c>
      <c r="BE95" s="107">
        <f t="shared" si="163"/>
        <v>0</v>
      </c>
      <c r="BF95" s="108">
        <f t="shared" si="164"/>
        <v>0</v>
      </c>
      <c r="BG95" s="25" t="e">
        <f t="shared" si="165"/>
        <v>#N/A</v>
      </c>
      <c r="BH95" s="25" t="e">
        <f t="shared" si="166"/>
        <v>#N/A</v>
      </c>
      <c r="BI95" s="25" t="e">
        <f t="shared" si="167"/>
        <v>#N/A</v>
      </c>
      <c r="BJ95" s="27" t="e">
        <f t="shared" si="168"/>
        <v>#N/A</v>
      </c>
      <c r="BK95" s="18" t="e">
        <f t="shared" si="169"/>
        <v>#N/A</v>
      </c>
      <c r="BL95" s="18" t="e">
        <f t="shared" si="170"/>
        <v>#N/A</v>
      </c>
      <c r="BM95" s="28" t="e">
        <f t="shared" si="233"/>
        <v>#N/A</v>
      </c>
      <c r="BN95" s="33">
        <f>HLOOKUP("maximum population",Miscelaneous!$C$1:$C$33,CH95+3,FALSE)</f>
        <v>240</v>
      </c>
      <c r="BO95" s="14">
        <f t="shared" si="182"/>
        <v>32</v>
      </c>
      <c r="BP95" s="14">
        <f t="shared" si="183"/>
        <v>0</v>
      </c>
      <c r="BQ95" s="14">
        <f t="shared" si="184"/>
        <v>208</v>
      </c>
      <c r="BR95" s="34" t="e">
        <f>HLOOKUP(J95,Villagers!$B$1:$V$33,L95+3,FALSE)-HLOOKUP(J95,Villagers!$B$1:$V$33,L95+2,FALSE)</f>
        <v>#N/A</v>
      </c>
      <c r="BS95" s="49">
        <f t="shared" si="185"/>
        <v>1</v>
      </c>
      <c r="BT95" s="50">
        <f t="shared" si="186"/>
        <v>0</v>
      </c>
      <c r="BU95" s="50">
        <f t="shared" si="187"/>
        <v>0</v>
      </c>
      <c r="BV95" s="50">
        <f t="shared" si="188"/>
        <v>0</v>
      </c>
      <c r="BW95" s="50">
        <f t="shared" si="189"/>
        <v>0</v>
      </c>
      <c r="BX95" s="50">
        <f t="shared" si="190"/>
        <v>0</v>
      </c>
      <c r="BY95" s="50">
        <f t="shared" si="190"/>
        <v>0</v>
      </c>
      <c r="BZ95" s="50">
        <f t="shared" ref="BZ95:BZ158" si="245">IF($J94=BZ$14,$L94,BZ94)</f>
        <v>0</v>
      </c>
      <c r="CA95" s="50">
        <f t="shared" ref="CA95:CA158" si="246">IF($J94=CA$14,$L94,CA94)</f>
        <v>0</v>
      </c>
      <c r="CB95" s="50">
        <f t="shared" ref="CB95:CB158" si="247">IF($J94=CB$14,$L94,CB94)</f>
        <v>1</v>
      </c>
      <c r="CC95" s="50">
        <f t="shared" ref="CC95:CC158" si="248">IF($J94=CC$14,$L94,CC94)</f>
        <v>0</v>
      </c>
      <c r="CD95" s="50">
        <f t="shared" ref="CD95:CD158" si="249">IF($J94=CD$14,$L94,CD94)</f>
        <v>0</v>
      </c>
      <c r="CE95" s="50">
        <f t="shared" ref="CE95:CE158" si="250">IF($J94=CE$14,$L94,CE94)</f>
        <v>1</v>
      </c>
      <c r="CF95" s="50">
        <f t="shared" ref="CF95:CF158" si="251">IF($J94=CF$14,$L94,CF94)</f>
        <v>1</v>
      </c>
      <c r="CG95" s="50">
        <f t="shared" ref="CG95:CG158" si="252">IF($J94=CG$14,$L94,CG94)</f>
        <v>1</v>
      </c>
      <c r="CH95" s="50">
        <f t="shared" ref="CH95:CH158" si="253">IF($J94=CH$14,$L94,CH94)</f>
        <v>1</v>
      </c>
      <c r="CI95" s="50">
        <f t="shared" ref="CI95:CI158" si="254">IF($J94=CI$14,$L94,CI94)</f>
        <v>1</v>
      </c>
      <c r="CJ95" s="50">
        <f t="shared" ref="CJ95:CL158" si="255">IF($J94=CJ$14,$L94,CJ94)</f>
        <v>1</v>
      </c>
      <c r="CK95" s="50">
        <f t="shared" si="255"/>
        <v>0</v>
      </c>
      <c r="CL95" s="50">
        <f t="shared" si="255"/>
        <v>0</v>
      </c>
      <c r="CM95" s="51">
        <f t="shared" ref="CM95:CM158" si="256">IF($J94=CM$14,$L94,CM94)</f>
        <v>0</v>
      </c>
      <c r="CN95" s="33">
        <f>ROUND(IF(BS95=0,0,HLOOKUP(BS$14,Villagers!$B$1:$V$33,BS95+3,FALSE)),)</f>
        <v>5</v>
      </c>
      <c r="CO95" s="14">
        <f>ROUND(IF(BT95=0,0,HLOOKUP(BT$14,Villagers!$B$1:$V$33,BT95+3,FALSE)),)</f>
        <v>0</v>
      </c>
      <c r="CP95" s="14">
        <f>ROUND(IF(BU95=0,0,HLOOKUP(BU$14,Villagers!$B$1:$V$33,BU95+3,FALSE)),)</f>
        <v>0</v>
      </c>
      <c r="CQ95" s="14">
        <f>ROUND(IF(BV95=0,0,HLOOKUP(BV$14,Villagers!$B$1:$V$33,BV95+3,FALSE)),)</f>
        <v>0</v>
      </c>
      <c r="CR95" s="14">
        <f>ROUND(IF(BW95=0,0,HLOOKUP(BW$14,Villagers!$B$1:$V$33,BW95+3,FALSE)),)</f>
        <v>0</v>
      </c>
      <c r="CS95" s="14">
        <f>ROUND(IF(BX95=0,0,HLOOKUP(BX$14,Villagers!$B$1:$V$33,BX95+3,FALSE)),)</f>
        <v>0</v>
      </c>
      <c r="CT95" s="14">
        <f>ROUND(IF(BY95=0,0,HLOOKUP(BY$14,Villagers!$B$1:$V$33,BY95+3,FALSE)),)</f>
        <v>0</v>
      </c>
      <c r="CU95" s="14">
        <f>ROUND(IF(BZ95=0,0,HLOOKUP(BZ$14,Villagers!$B$1:$V$33,BZ95+3,FALSE)),)</f>
        <v>0</v>
      </c>
      <c r="CV95" s="14">
        <f>ROUND(IF(CA95=0,0,HLOOKUP(CA$14,Villagers!$B$1:$V$33,CA95+3,FALSE)),)</f>
        <v>0</v>
      </c>
      <c r="CW95" s="14">
        <f>ROUND(IF(CB95=0,0,HLOOKUP(CB$14,Villagers!$B$1:$V$33,CB95+3,FALSE)),)</f>
        <v>0</v>
      </c>
      <c r="CX95" s="14">
        <f>ROUND(IF(CC95=0,0,HLOOKUP(CC$14,Villagers!$B$1:$V$33,CC95+3,FALSE)),)</f>
        <v>0</v>
      </c>
      <c r="CY95" s="14">
        <f>ROUND(IF(CD95=0,0,HLOOKUP(CD$14,Villagers!$B$1:$V$33,CD95+3,FALSE)),)</f>
        <v>0</v>
      </c>
      <c r="CZ95" s="14">
        <f>ROUND(IF(CE95=0,0,HLOOKUP(CE$14,Villagers!$B$1:$V$33,CE95+3,FALSE)),)</f>
        <v>5</v>
      </c>
      <c r="DA95" s="14">
        <f>ROUND(IF(CF95=0,0,HLOOKUP(CF$14,Villagers!$B$1:$V$33,CF95+3,FALSE)),)</f>
        <v>10</v>
      </c>
      <c r="DB95" s="14">
        <f>ROUND(IF(CG95=0,0,HLOOKUP(CG$14,Villagers!$B$1:$V$33,CG95+3,FALSE)),)</f>
        <v>10</v>
      </c>
      <c r="DC95" s="14">
        <f>ROUND(IF(CH95=0,0,HLOOKUP(CH$14,Villagers!$B$1:$V$33,CH95+3,FALSE)),)</f>
        <v>0</v>
      </c>
      <c r="DD95" s="14">
        <f>ROUND(IF(CI95=0,0,HLOOKUP(CI$14,Villagers!$B$1:$V$33,CI95+3,FALSE)),)</f>
        <v>0</v>
      </c>
      <c r="DE95" s="14">
        <f>ROUND(IF(CJ95=0,0,HLOOKUP(CJ$14,Villagers!$B$1:$V$33,CJ95+3,FALSE)),)</f>
        <v>2</v>
      </c>
      <c r="DF95" s="370">
        <f>ROUND(IF(CK95=0,0,HLOOKUP(CK$14,Villagers!$B$1:$V$33,CK95+3,FALSE)),)</f>
        <v>0</v>
      </c>
      <c r="DG95" s="370">
        <f>ROUND(IF(CL95=0,0,HLOOKUP(CL$14,Villagers!$B$1:$V$33,CL95+3,FALSE)),)</f>
        <v>0</v>
      </c>
      <c r="DH95" s="34">
        <f>ROUND(IF(CM95=0,0,HLOOKUP(CM$14,Villagers!$B$1:$V$33,CM95+3,FALSE)),)</f>
        <v>0</v>
      </c>
      <c r="DI95" s="109">
        <f t="shared" si="219"/>
        <v>0</v>
      </c>
      <c r="DJ95" s="50">
        <f t="shared" si="220"/>
        <v>0</v>
      </c>
      <c r="DK95" s="50">
        <f t="shared" si="221"/>
        <v>0</v>
      </c>
      <c r="DL95" s="50">
        <f t="shared" si="222"/>
        <v>0</v>
      </c>
      <c r="DM95" s="50">
        <f t="shared" si="223"/>
        <v>0</v>
      </c>
      <c r="DN95" s="50">
        <f t="shared" si="224"/>
        <v>0</v>
      </c>
      <c r="DO95" s="50">
        <f t="shared" si="225"/>
        <v>0</v>
      </c>
      <c r="DP95" s="50">
        <f t="shared" si="226"/>
        <v>0</v>
      </c>
      <c r="DQ95" s="50">
        <f t="shared" si="203"/>
        <v>0</v>
      </c>
      <c r="DR95" s="50">
        <f t="shared" si="204"/>
        <v>0</v>
      </c>
      <c r="DS95" s="96">
        <f>Miscelaneous!$D$4*Miscelaneous!$D$2^($CI95-1)</f>
        <v>1000</v>
      </c>
      <c r="DT95" s="333">
        <f t="shared" si="171"/>
        <v>1</v>
      </c>
      <c r="DU95" s="81">
        <v>1</v>
      </c>
      <c r="DV95" s="79">
        <f t="shared" si="205"/>
        <v>0</v>
      </c>
      <c r="DW95" s="79">
        <f t="shared" si="206"/>
        <v>0</v>
      </c>
      <c r="DX95" s="79">
        <f t="shared" si="207"/>
        <v>0</v>
      </c>
      <c r="DY95" s="79">
        <v>1</v>
      </c>
      <c r="DZ95" s="79">
        <f t="shared" si="208"/>
        <v>0</v>
      </c>
      <c r="EA95" s="79">
        <f t="shared" si="209"/>
        <v>0</v>
      </c>
      <c r="EB95" s="79">
        <f t="shared" si="210"/>
        <v>0</v>
      </c>
      <c r="EC95" s="79">
        <f t="shared" si="211"/>
        <v>0</v>
      </c>
      <c r="ED95" s="79">
        <v>1</v>
      </c>
      <c r="EE95" s="79">
        <v>1</v>
      </c>
      <c r="EF95" s="79">
        <f t="shared" si="212"/>
        <v>0</v>
      </c>
      <c r="EG95" s="79">
        <v>1</v>
      </c>
      <c r="EH95" s="79">
        <v>1</v>
      </c>
      <c r="EI95" s="79">
        <v>1</v>
      </c>
      <c r="EJ95" s="79">
        <v>1</v>
      </c>
      <c r="EK95" s="79">
        <v>1</v>
      </c>
      <c r="EL95" s="79">
        <v>1</v>
      </c>
      <c r="EM95" s="143">
        <f t="shared" si="213"/>
        <v>0</v>
      </c>
      <c r="EN95" s="143">
        <f t="shared" si="214"/>
        <v>0</v>
      </c>
      <c r="EO95" s="82">
        <f t="shared" si="215"/>
        <v>0</v>
      </c>
    </row>
    <row r="96" spans="1:145" x14ac:dyDescent="0.25">
      <c r="A96">
        <v>82</v>
      </c>
      <c r="B96" s="172" t="e">
        <f t="shared" si="172"/>
        <v>#N/A</v>
      </c>
      <c r="C96" s="121" t="e">
        <f t="shared" ref="C96:E96" si="257">AJ96-SUM(AB96:AB100)</f>
        <v>#N/A</v>
      </c>
      <c r="D96" s="122" t="e">
        <f t="shared" si="257"/>
        <v>#N/A</v>
      </c>
      <c r="E96" s="122" t="e">
        <f t="shared" si="257"/>
        <v>#N/A</v>
      </c>
      <c r="F96" s="176" t="e">
        <f t="shared" si="154"/>
        <v>#N/A</v>
      </c>
      <c r="G96" s="121">
        <f t="shared" si="174"/>
        <v>208</v>
      </c>
      <c r="H96" s="176" t="e">
        <f t="shared" si="175"/>
        <v>#N/A</v>
      </c>
      <c r="I96" s="48">
        <v>1</v>
      </c>
      <c r="J96" s="39"/>
      <c r="K96" s="350">
        <v>1</v>
      </c>
      <c r="L96" s="34" t="e">
        <f t="shared" si="155"/>
        <v>#N/A</v>
      </c>
      <c r="M96" s="38" t="e">
        <f>(HLOOKUP(J96,'Construction Times'!$B$3:$W$34,L96+2,FALSE)*HLOOKUP("hq modifier",'Construction Times'!$W$3:$W$34,BS96+2,FALSE))*(1-$H$9)</f>
        <v>#N/A</v>
      </c>
      <c r="N96" s="426" t="e">
        <f t="shared" si="176"/>
        <v>#N/A</v>
      </c>
      <c r="O96" s="427"/>
      <c r="P96" s="430" t="e">
        <f t="shared" si="177"/>
        <v>#N/A</v>
      </c>
      <c r="Q96" s="431"/>
      <c r="R96" s="103">
        <f t="shared" si="217"/>
        <v>0</v>
      </c>
      <c r="S96" s="104">
        <f t="shared" si="217"/>
        <v>0</v>
      </c>
      <c r="T96" s="104">
        <f t="shared" si="218"/>
        <v>0</v>
      </c>
      <c r="U96" s="104">
        <f t="shared" si="218"/>
        <v>0</v>
      </c>
      <c r="V96" s="104">
        <f t="shared" si="218"/>
        <v>9.9999999999999995E-8</v>
      </c>
      <c r="W96" s="104">
        <f t="shared" si="218"/>
        <v>0</v>
      </c>
      <c r="X96" s="104">
        <f t="shared" si="116"/>
        <v>0</v>
      </c>
      <c r="Y96" s="104">
        <f t="shared" si="116"/>
        <v>9.9999999999999995E-8</v>
      </c>
      <c r="Z96" s="104">
        <f t="shared" si="116"/>
        <v>9.9999999999999995E-8</v>
      </c>
      <c r="AA96" s="105">
        <f t="shared" si="116"/>
        <v>9.9999999999999995E-8</v>
      </c>
      <c r="AB96" s="101" t="e">
        <f>$DT96*HLOOKUP($J96,'Construction Costs (timber)'!$B$1:$V$32,'Construction Planner'!$L96+2,FALSE)</f>
        <v>#N/A</v>
      </c>
      <c r="AC96" s="14" t="e">
        <f>$DT96*HLOOKUP($J96,'Construction Costs (clay)'!$B$1:$V$32,'Construction Planner'!$L96+2,FALSE)</f>
        <v>#N/A</v>
      </c>
      <c r="AD96" s="14" t="e">
        <f>$DT96*HLOOKUP($J96,'Construction Costs (iron)'!$B$1:$V$32,'Construction Planner'!$L96+2,FALSE)</f>
        <v>#N/A</v>
      </c>
      <c r="AE96" s="34" t="e">
        <f t="shared" si="230"/>
        <v>#N/A</v>
      </c>
      <c r="AF96" s="33" t="e">
        <f t="shared" si="156"/>
        <v>#N/A</v>
      </c>
      <c r="AG96" s="14" t="e">
        <f t="shared" si="157"/>
        <v>#N/A</v>
      </c>
      <c r="AH96" s="14" t="e">
        <f t="shared" si="158"/>
        <v>#N/A</v>
      </c>
      <c r="AI96" s="34" t="e">
        <f t="shared" si="231"/>
        <v>#N/A</v>
      </c>
      <c r="AJ96" s="49" t="e">
        <f t="shared" si="178"/>
        <v>#N/A</v>
      </c>
      <c r="AK96" s="49" t="e">
        <f t="shared" si="179"/>
        <v>#N/A</v>
      </c>
      <c r="AL96" s="49" t="e">
        <f t="shared" si="180"/>
        <v>#N/A</v>
      </c>
      <c r="AM96" s="25">
        <f t="shared" si="159"/>
        <v>30</v>
      </c>
      <c r="AN96" s="25">
        <f t="shared" si="160"/>
        <v>30</v>
      </c>
      <c r="AO96" s="25">
        <f t="shared" si="161"/>
        <v>30</v>
      </c>
      <c r="AP96" s="52" t="e">
        <f t="shared" si="181"/>
        <v>#N/A</v>
      </c>
      <c r="AQ96" s="53" t="e">
        <f t="shared" si="181"/>
        <v>#N/A</v>
      </c>
      <c r="AR96" s="54" t="e">
        <f t="shared" si="181"/>
        <v>#N/A</v>
      </c>
      <c r="AS96" s="316">
        <f t="shared" si="232"/>
        <v>0</v>
      </c>
      <c r="AT96" s="106">
        <f>_xlfn.IFNA($M96/VLOOKUP($BT96,'Unit information'!$A$2:$K$29,2,FALSE)*R96,0)*(1+$E$9)</f>
        <v>0</v>
      </c>
      <c r="AU96" s="107">
        <f>_xlfn.IFNA($M96/VLOOKUP($BT96,'Unit information'!$A$2:$K$29,3,FALSE)*S96,0)*(1+$E$9)</f>
        <v>0</v>
      </c>
      <c r="AV96" s="107">
        <f>_xlfn.IFNA($M96/VLOOKUP($BT96,'Unit information'!$A$2:$K$29,4,FALSE)*T96,0)*(1+$E$9)</f>
        <v>0</v>
      </c>
      <c r="AW96" s="107">
        <f>_xlfn.IFNA($M96/VLOOKUP($BT96,'Unit information'!$A$2:$K$29,5,FALSE)*U96,0)*(1+$E$9)</f>
        <v>0</v>
      </c>
      <c r="AX96" s="107">
        <f>_xlfn.IFNA($M96/VLOOKUP($BU96,'Unit information'!$A$2:$K$29,6,FALSE)*V96,0)*(1+$E$9)</f>
        <v>0</v>
      </c>
      <c r="AY96" s="107">
        <f>_xlfn.IFNA($M96/VLOOKUP($BU96,'Unit information'!$A$2:$K$29,7,FALSE)*W96,0)*(1+$E$9)</f>
        <v>0</v>
      </c>
      <c r="AZ96" s="107">
        <f>_xlfn.IFNA($M96/VLOOKUP($BU96,'Unit information'!$A$2:$K$29,8,FALSE)*X96,0)*(1+$E$9)</f>
        <v>0</v>
      </c>
      <c r="BA96" s="107">
        <f>_xlfn.IFNA($M96/VLOOKUP($BU96,'Unit information'!$A$2:$K$29,9,FALSE)*Y96,0)*(1+$E$9)</f>
        <v>0</v>
      </c>
      <c r="BB96" s="107">
        <f>_xlfn.IFNA($M96/VLOOKUP($BV96,'Unit information'!$A$2:$K$29,10,FALSE)*Z96,0)*(1+$E$9)</f>
        <v>0</v>
      </c>
      <c r="BC96" s="108">
        <f>_xlfn.IFNA($M96/VLOOKUP($BV96,'Unit information'!$A$2:$K$29,11,FALSE)*AA96,0)*(1+$E$9)</f>
        <v>0</v>
      </c>
      <c r="BD96" s="106">
        <f t="shared" si="162"/>
        <v>0</v>
      </c>
      <c r="BE96" s="107">
        <f t="shared" si="163"/>
        <v>0</v>
      </c>
      <c r="BF96" s="108">
        <f t="shared" si="164"/>
        <v>0</v>
      </c>
      <c r="BG96" s="25" t="e">
        <f t="shared" si="165"/>
        <v>#N/A</v>
      </c>
      <c r="BH96" s="25" t="e">
        <f t="shared" si="166"/>
        <v>#N/A</v>
      </c>
      <c r="BI96" s="25" t="e">
        <f t="shared" si="167"/>
        <v>#N/A</v>
      </c>
      <c r="BJ96" s="27" t="e">
        <f t="shared" si="168"/>
        <v>#N/A</v>
      </c>
      <c r="BK96" s="18" t="e">
        <f t="shared" si="169"/>
        <v>#N/A</v>
      </c>
      <c r="BL96" s="18" t="e">
        <f t="shared" si="170"/>
        <v>#N/A</v>
      </c>
      <c r="BM96" s="28" t="e">
        <f t="shared" si="233"/>
        <v>#N/A</v>
      </c>
      <c r="BN96" s="33">
        <f>HLOOKUP("maximum population",Miscelaneous!$C$1:$C$33,CH96+3,FALSE)</f>
        <v>240</v>
      </c>
      <c r="BO96" s="14">
        <f t="shared" si="182"/>
        <v>32</v>
      </c>
      <c r="BP96" s="14">
        <f t="shared" si="183"/>
        <v>0</v>
      </c>
      <c r="BQ96" s="14">
        <f t="shared" si="184"/>
        <v>208</v>
      </c>
      <c r="BR96" s="34" t="e">
        <f>HLOOKUP(J96,Villagers!$B$1:$V$33,L96+3,FALSE)-HLOOKUP(J96,Villagers!$B$1:$V$33,L96+2,FALSE)</f>
        <v>#N/A</v>
      </c>
      <c r="BS96" s="49">
        <f t="shared" si="185"/>
        <v>1</v>
      </c>
      <c r="BT96" s="50">
        <f t="shared" si="186"/>
        <v>0</v>
      </c>
      <c r="BU96" s="50">
        <f t="shared" si="187"/>
        <v>0</v>
      </c>
      <c r="BV96" s="50">
        <f t="shared" si="188"/>
        <v>0</v>
      </c>
      <c r="BW96" s="50">
        <f t="shared" ref="BW96:BY102" si="258">IF($J95=BW$14,$L95,BW95)</f>
        <v>0</v>
      </c>
      <c r="BX96" s="50">
        <f t="shared" si="258"/>
        <v>0</v>
      </c>
      <c r="BY96" s="50">
        <f t="shared" si="258"/>
        <v>0</v>
      </c>
      <c r="BZ96" s="50">
        <f t="shared" si="245"/>
        <v>0</v>
      </c>
      <c r="CA96" s="50">
        <f t="shared" si="246"/>
        <v>0</v>
      </c>
      <c r="CB96" s="50">
        <f t="shared" si="247"/>
        <v>1</v>
      </c>
      <c r="CC96" s="50">
        <f t="shared" si="248"/>
        <v>0</v>
      </c>
      <c r="CD96" s="50">
        <f t="shared" si="249"/>
        <v>0</v>
      </c>
      <c r="CE96" s="50">
        <f t="shared" si="250"/>
        <v>1</v>
      </c>
      <c r="CF96" s="50">
        <f t="shared" si="251"/>
        <v>1</v>
      </c>
      <c r="CG96" s="50">
        <f t="shared" si="252"/>
        <v>1</v>
      </c>
      <c r="CH96" s="50">
        <f t="shared" si="253"/>
        <v>1</v>
      </c>
      <c r="CI96" s="50">
        <f t="shared" si="254"/>
        <v>1</v>
      </c>
      <c r="CJ96" s="50">
        <f t="shared" si="255"/>
        <v>1</v>
      </c>
      <c r="CK96" s="50">
        <f t="shared" si="255"/>
        <v>0</v>
      </c>
      <c r="CL96" s="50">
        <f t="shared" si="255"/>
        <v>0</v>
      </c>
      <c r="CM96" s="51">
        <f t="shared" si="256"/>
        <v>0</v>
      </c>
      <c r="CN96" s="33">
        <f>ROUND(IF(BS96=0,0,HLOOKUP(BS$14,Villagers!$B$1:$V$33,BS96+3,FALSE)),)</f>
        <v>5</v>
      </c>
      <c r="CO96" s="14">
        <f>ROUND(IF(BT96=0,0,HLOOKUP(BT$14,Villagers!$B$1:$V$33,BT96+3,FALSE)),)</f>
        <v>0</v>
      </c>
      <c r="CP96" s="14">
        <f>ROUND(IF(BU96=0,0,HLOOKUP(BU$14,Villagers!$B$1:$V$33,BU96+3,FALSE)),)</f>
        <v>0</v>
      </c>
      <c r="CQ96" s="14">
        <f>ROUND(IF(BV96=0,0,HLOOKUP(BV$14,Villagers!$B$1:$V$33,BV96+3,FALSE)),)</f>
        <v>0</v>
      </c>
      <c r="CR96" s="14">
        <f>ROUND(IF(BW96=0,0,HLOOKUP(BW$14,Villagers!$B$1:$V$33,BW96+3,FALSE)),)</f>
        <v>0</v>
      </c>
      <c r="CS96" s="14">
        <f>ROUND(IF(BX96=0,0,HLOOKUP(BX$14,Villagers!$B$1:$V$33,BX96+3,FALSE)),)</f>
        <v>0</v>
      </c>
      <c r="CT96" s="14">
        <f>ROUND(IF(BY96=0,0,HLOOKUP(BY$14,Villagers!$B$1:$V$33,BY96+3,FALSE)),)</f>
        <v>0</v>
      </c>
      <c r="CU96" s="14">
        <f>ROUND(IF(BZ96=0,0,HLOOKUP(BZ$14,Villagers!$B$1:$V$33,BZ96+3,FALSE)),)</f>
        <v>0</v>
      </c>
      <c r="CV96" s="14">
        <f>ROUND(IF(CA96=0,0,HLOOKUP(CA$14,Villagers!$B$1:$V$33,CA96+3,FALSE)),)</f>
        <v>0</v>
      </c>
      <c r="CW96" s="14">
        <f>ROUND(IF(CB96=0,0,HLOOKUP(CB$14,Villagers!$B$1:$V$33,CB96+3,FALSE)),)</f>
        <v>0</v>
      </c>
      <c r="CX96" s="14">
        <f>ROUND(IF(CC96=0,0,HLOOKUP(CC$14,Villagers!$B$1:$V$33,CC96+3,FALSE)),)</f>
        <v>0</v>
      </c>
      <c r="CY96" s="14">
        <f>ROUND(IF(CD96=0,0,HLOOKUP(CD$14,Villagers!$B$1:$V$33,CD96+3,FALSE)),)</f>
        <v>0</v>
      </c>
      <c r="CZ96" s="14">
        <f>ROUND(IF(CE96=0,0,HLOOKUP(CE$14,Villagers!$B$1:$V$33,CE96+3,FALSE)),)</f>
        <v>5</v>
      </c>
      <c r="DA96" s="14">
        <f>ROUND(IF(CF96=0,0,HLOOKUP(CF$14,Villagers!$B$1:$V$33,CF96+3,FALSE)),)</f>
        <v>10</v>
      </c>
      <c r="DB96" s="14">
        <f>ROUND(IF(CG96=0,0,HLOOKUP(CG$14,Villagers!$B$1:$V$33,CG96+3,FALSE)),)</f>
        <v>10</v>
      </c>
      <c r="DC96" s="14">
        <f>ROUND(IF(CH96=0,0,HLOOKUP(CH$14,Villagers!$B$1:$V$33,CH96+3,FALSE)),)</f>
        <v>0</v>
      </c>
      <c r="DD96" s="14">
        <f>ROUND(IF(CI96=0,0,HLOOKUP(CI$14,Villagers!$B$1:$V$33,CI96+3,FALSE)),)</f>
        <v>0</v>
      </c>
      <c r="DE96" s="14">
        <f>ROUND(IF(CJ96=0,0,HLOOKUP(CJ$14,Villagers!$B$1:$V$33,CJ96+3,FALSE)),)</f>
        <v>2</v>
      </c>
      <c r="DF96" s="370">
        <f>ROUND(IF(CK96=0,0,HLOOKUP(CK$14,Villagers!$B$1:$V$33,CK96+3,FALSE)),)</f>
        <v>0</v>
      </c>
      <c r="DG96" s="370">
        <f>ROUND(IF(CL96=0,0,HLOOKUP(CL$14,Villagers!$B$1:$V$33,CL96+3,FALSE)),)</f>
        <v>0</v>
      </c>
      <c r="DH96" s="34">
        <f>ROUND(IF(CM96=0,0,HLOOKUP(CM$14,Villagers!$B$1:$V$33,CM96+3,FALSE)),)</f>
        <v>0</v>
      </c>
      <c r="DI96" s="109">
        <f t="shared" si="219"/>
        <v>0</v>
      </c>
      <c r="DJ96" s="50">
        <f t="shared" si="220"/>
        <v>0</v>
      </c>
      <c r="DK96" s="50">
        <f t="shared" si="221"/>
        <v>0</v>
      </c>
      <c r="DL96" s="50">
        <f t="shared" si="222"/>
        <v>0</v>
      </c>
      <c r="DM96" s="50">
        <f t="shared" si="223"/>
        <v>0</v>
      </c>
      <c r="DN96" s="50">
        <f t="shared" si="224"/>
        <v>0</v>
      </c>
      <c r="DO96" s="50">
        <f t="shared" si="225"/>
        <v>0</v>
      </c>
      <c r="DP96" s="50">
        <f t="shared" si="226"/>
        <v>0</v>
      </c>
      <c r="DQ96" s="50">
        <f t="shared" si="203"/>
        <v>0</v>
      </c>
      <c r="DR96" s="50">
        <f t="shared" si="204"/>
        <v>0</v>
      </c>
      <c r="DS96" s="96">
        <f>Miscelaneous!$D$4*Miscelaneous!$D$2^($CI96-1)</f>
        <v>1000</v>
      </c>
      <c r="DT96" s="333">
        <f t="shared" si="171"/>
        <v>1</v>
      </c>
      <c r="DU96" s="81">
        <v>1</v>
      </c>
      <c r="DV96" s="79">
        <f t="shared" si="205"/>
        <v>0</v>
      </c>
      <c r="DW96" s="79">
        <f t="shared" si="206"/>
        <v>0</v>
      </c>
      <c r="DX96" s="79">
        <f t="shared" si="207"/>
        <v>0</v>
      </c>
      <c r="DY96" s="79">
        <v>1</v>
      </c>
      <c r="DZ96" s="79">
        <f t="shared" si="208"/>
        <v>0</v>
      </c>
      <c r="EA96" s="79">
        <f t="shared" si="209"/>
        <v>0</v>
      </c>
      <c r="EB96" s="79">
        <f t="shared" si="210"/>
        <v>0</v>
      </c>
      <c r="EC96" s="79">
        <f t="shared" si="211"/>
        <v>0</v>
      </c>
      <c r="ED96" s="79">
        <v>1</v>
      </c>
      <c r="EE96" s="79">
        <v>1</v>
      </c>
      <c r="EF96" s="79">
        <f t="shared" si="212"/>
        <v>0</v>
      </c>
      <c r="EG96" s="79">
        <v>1</v>
      </c>
      <c r="EH96" s="79">
        <v>1</v>
      </c>
      <c r="EI96" s="79">
        <v>1</v>
      </c>
      <c r="EJ96" s="79">
        <v>1</v>
      </c>
      <c r="EK96" s="79">
        <v>1</v>
      </c>
      <c r="EL96" s="79">
        <v>1</v>
      </c>
      <c r="EM96" s="143">
        <f t="shared" si="213"/>
        <v>0</v>
      </c>
      <c r="EN96" s="143">
        <f t="shared" si="214"/>
        <v>0</v>
      </c>
      <c r="EO96" s="82">
        <f t="shared" si="215"/>
        <v>0</v>
      </c>
    </row>
    <row r="97" spans="1:145" x14ac:dyDescent="0.25">
      <c r="A97">
        <v>83</v>
      </c>
      <c r="B97" s="172" t="e">
        <f t="shared" si="172"/>
        <v>#N/A</v>
      </c>
      <c r="C97" s="121" t="e">
        <f t="shared" ref="C97:E97" si="259">AJ97-SUM(AB97:AB101)</f>
        <v>#N/A</v>
      </c>
      <c r="D97" s="122" t="e">
        <f t="shared" si="259"/>
        <v>#N/A</v>
      </c>
      <c r="E97" s="122" t="e">
        <f t="shared" si="259"/>
        <v>#N/A</v>
      </c>
      <c r="F97" s="176" t="e">
        <f t="shared" si="154"/>
        <v>#N/A</v>
      </c>
      <c r="G97" s="121">
        <f t="shared" si="174"/>
        <v>208</v>
      </c>
      <c r="H97" s="176" t="e">
        <f t="shared" si="175"/>
        <v>#N/A</v>
      </c>
      <c r="I97" s="48">
        <v>1</v>
      </c>
      <c r="J97" s="39"/>
      <c r="K97" s="350">
        <v>1</v>
      </c>
      <c r="L97" s="34" t="e">
        <f t="shared" si="155"/>
        <v>#N/A</v>
      </c>
      <c r="M97" s="38" t="e">
        <f>(HLOOKUP(J97,'Construction Times'!$B$3:$W$34,L97+2,FALSE)*HLOOKUP("hq modifier",'Construction Times'!$W$3:$W$34,BS97+2,FALSE))*(1-$H$9)</f>
        <v>#N/A</v>
      </c>
      <c r="N97" s="426" t="e">
        <f t="shared" si="176"/>
        <v>#N/A</v>
      </c>
      <c r="O97" s="427"/>
      <c r="P97" s="430" t="e">
        <f t="shared" si="177"/>
        <v>#N/A</v>
      </c>
      <c r="Q97" s="431"/>
      <c r="R97" s="103">
        <f t="shared" si="217"/>
        <v>0</v>
      </c>
      <c r="S97" s="104">
        <f t="shared" si="217"/>
        <v>0</v>
      </c>
      <c r="T97" s="104">
        <f t="shared" si="218"/>
        <v>0</v>
      </c>
      <c r="U97" s="104">
        <f t="shared" si="218"/>
        <v>0</v>
      </c>
      <c r="V97" s="104">
        <f t="shared" si="218"/>
        <v>9.9999999999999995E-8</v>
      </c>
      <c r="W97" s="104">
        <f t="shared" si="218"/>
        <v>0</v>
      </c>
      <c r="X97" s="104">
        <f t="shared" si="116"/>
        <v>0</v>
      </c>
      <c r="Y97" s="104">
        <f t="shared" si="116"/>
        <v>9.9999999999999995E-8</v>
      </c>
      <c r="Z97" s="104">
        <f t="shared" si="116"/>
        <v>9.9999999999999995E-8</v>
      </c>
      <c r="AA97" s="105">
        <f t="shared" si="116"/>
        <v>9.9999999999999995E-8</v>
      </c>
      <c r="AB97" s="101" t="e">
        <f>$DT97*HLOOKUP($J97,'Construction Costs (timber)'!$B$1:$V$32,'Construction Planner'!$L97+2,FALSE)</f>
        <v>#N/A</v>
      </c>
      <c r="AC97" s="14" t="e">
        <f>$DT97*HLOOKUP($J97,'Construction Costs (clay)'!$B$1:$V$32,'Construction Planner'!$L97+2,FALSE)</f>
        <v>#N/A</v>
      </c>
      <c r="AD97" s="14" t="e">
        <f>$DT97*HLOOKUP($J97,'Construction Costs (iron)'!$B$1:$V$32,'Construction Planner'!$L97+2,FALSE)</f>
        <v>#N/A</v>
      </c>
      <c r="AE97" s="34" t="e">
        <f t="shared" si="230"/>
        <v>#N/A</v>
      </c>
      <c r="AF97" s="33" t="e">
        <f t="shared" si="156"/>
        <v>#N/A</v>
      </c>
      <c r="AG97" s="14" t="e">
        <f t="shared" si="157"/>
        <v>#N/A</v>
      </c>
      <c r="AH97" s="14" t="e">
        <f t="shared" si="158"/>
        <v>#N/A</v>
      </c>
      <c r="AI97" s="34" t="e">
        <f t="shared" si="231"/>
        <v>#N/A</v>
      </c>
      <c r="AJ97" s="49" t="e">
        <f t="shared" si="178"/>
        <v>#N/A</v>
      </c>
      <c r="AK97" s="49" t="e">
        <f t="shared" si="179"/>
        <v>#N/A</v>
      </c>
      <c r="AL97" s="49" t="e">
        <f t="shared" si="180"/>
        <v>#N/A</v>
      </c>
      <c r="AM97" s="25">
        <f t="shared" si="159"/>
        <v>30</v>
      </c>
      <c r="AN97" s="25">
        <f t="shared" si="160"/>
        <v>30</v>
      </c>
      <c r="AO97" s="25">
        <f t="shared" si="161"/>
        <v>30</v>
      </c>
      <c r="AP97" s="52" t="e">
        <f t="shared" si="181"/>
        <v>#N/A</v>
      </c>
      <c r="AQ97" s="53" t="e">
        <f t="shared" si="181"/>
        <v>#N/A</v>
      </c>
      <c r="AR97" s="54" t="e">
        <f t="shared" si="181"/>
        <v>#N/A</v>
      </c>
      <c r="AS97" s="316">
        <f t="shared" si="232"/>
        <v>0</v>
      </c>
      <c r="AT97" s="106">
        <f>_xlfn.IFNA($M97/VLOOKUP($BT97,'Unit information'!$A$2:$K$29,2,FALSE)*R97,0)*(1+$E$9)</f>
        <v>0</v>
      </c>
      <c r="AU97" s="107">
        <f>_xlfn.IFNA($M97/VLOOKUP($BT97,'Unit information'!$A$2:$K$29,3,FALSE)*S97,0)*(1+$E$9)</f>
        <v>0</v>
      </c>
      <c r="AV97" s="107">
        <f>_xlfn.IFNA($M97/VLOOKUP($BT97,'Unit information'!$A$2:$K$29,4,FALSE)*T97,0)*(1+$E$9)</f>
        <v>0</v>
      </c>
      <c r="AW97" s="107">
        <f>_xlfn.IFNA($M97/VLOOKUP($BT97,'Unit information'!$A$2:$K$29,5,FALSE)*U97,0)*(1+$E$9)</f>
        <v>0</v>
      </c>
      <c r="AX97" s="107">
        <f>_xlfn.IFNA($M97/VLOOKUP($BU97,'Unit information'!$A$2:$K$29,6,FALSE)*V97,0)*(1+$E$9)</f>
        <v>0</v>
      </c>
      <c r="AY97" s="107">
        <f>_xlfn.IFNA($M97/VLOOKUP($BU97,'Unit information'!$A$2:$K$29,7,FALSE)*W97,0)*(1+$E$9)</f>
        <v>0</v>
      </c>
      <c r="AZ97" s="107">
        <f>_xlfn.IFNA($M97/VLOOKUP($BU97,'Unit information'!$A$2:$K$29,8,FALSE)*X97,0)*(1+$E$9)</f>
        <v>0</v>
      </c>
      <c r="BA97" s="107">
        <f>_xlfn.IFNA($M97/VLOOKUP($BU97,'Unit information'!$A$2:$K$29,9,FALSE)*Y97,0)*(1+$E$9)</f>
        <v>0</v>
      </c>
      <c r="BB97" s="107">
        <f>_xlfn.IFNA($M97/VLOOKUP($BV97,'Unit information'!$A$2:$K$29,10,FALSE)*Z97,0)*(1+$E$9)</f>
        <v>0</v>
      </c>
      <c r="BC97" s="108">
        <f>_xlfn.IFNA($M97/VLOOKUP($BV97,'Unit information'!$A$2:$K$29,11,FALSE)*AA97,0)*(1+$E$9)</f>
        <v>0</v>
      </c>
      <c r="BD97" s="106">
        <f t="shared" si="162"/>
        <v>0</v>
      </c>
      <c r="BE97" s="107">
        <f t="shared" si="163"/>
        <v>0</v>
      </c>
      <c r="BF97" s="108">
        <f t="shared" si="164"/>
        <v>0</v>
      </c>
      <c r="BG97" s="25" t="e">
        <f t="shared" si="165"/>
        <v>#N/A</v>
      </c>
      <c r="BH97" s="25" t="e">
        <f t="shared" si="166"/>
        <v>#N/A</v>
      </c>
      <c r="BI97" s="25" t="e">
        <f t="shared" si="167"/>
        <v>#N/A</v>
      </c>
      <c r="BJ97" s="27" t="e">
        <f t="shared" si="168"/>
        <v>#N/A</v>
      </c>
      <c r="BK97" s="18" t="e">
        <f t="shared" si="169"/>
        <v>#N/A</v>
      </c>
      <c r="BL97" s="18" t="e">
        <f t="shared" si="170"/>
        <v>#N/A</v>
      </c>
      <c r="BM97" s="28" t="e">
        <f t="shared" si="233"/>
        <v>#N/A</v>
      </c>
      <c r="BN97" s="33">
        <f>HLOOKUP("maximum population",Miscelaneous!$C$1:$C$33,CH97+3,FALSE)</f>
        <v>240</v>
      </c>
      <c r="BO97" s="14">
        <f t="shared" si="182"/>
        <v>32</v>
      </c>
      <c r="BP97" s="14">
        <f t="shared" si="183"/>
        <v>0</v>
      </c>
      <c r="BQ97" s="14">
        <f t="shared" si="184"/>
        <v>208</v>
      </c>
      <c r="BR97" s="34" t="e">
        <f>HLOOKUP(J97,Villagers!$B$1:$V$33,L97+3,FALSE)-HLOOKUP(J97,Villagers!$B$1:$V$33,L97+2,FALSE)</f>
        <v>#N/A</v>
      </c>
      <c r="BS97" s="49">
        <f t="shared" si="185"/>
        <v>1</v>
      </c>
      <c r="BT97" s="50">
        <f t="shared" si="186"/>
        <v>0</v>
      </c>
      <c r="BU97" s="50">
        <f t="shared" si="187"/>
        <v>0</v>
      </c>
      <c r="BV97" s="50">
        <f t="shared" si="188"/>
        <v>0</v>
      </c>
      <c r="BW97" s="50">
        <f t="shared" si="258"/>
        <v>0</v>
      </c>
      <c r="BX97" s="50">
        <f t="shared" si="258"/>
        <v>0</v>
      </c>
      <c r="BY97" s="50">
        <f t="shared" si="258"/>
        <v>0</v>
      </c>
      <c r="BZ97" s="50">
        <f t="shared" si="245"/>
        <v>0</v>
      </c>
      <c r="CA97" s="50">
        <f t="shared" si="246"/>
        <v>0</v>
      </c>
      <c r="CB97" s="50">
        <f t="shared" si="247"/>
        <v>1</v>
      </c>
      <c r="CC97" s="50">
        <f t="shared" si="248"/>
        <v>0</v>
      </c>
      <c r="CD97" s="50">
        <f t="shared" si="249"/>
        <v>0</v>
      </c>
      <c r="CE97" s="50">
        <f t="shared" si="250"/>
        <v>1</v>
      </c>
      <c r="CF97" s="50">
        <f t="shared" si="251"/>
        <v>1</v>
      </c>
      <c r="CG97" s="50">
        <f t="shared" si="252"/>
        <v>1</v>
      </c>
      <c r="CH97" s="50">
        <f t="shared" si="253"/>
        <v>1</v>
      </c>
      <c r="CI97" s="50">
        <f t="shared" si="254"/>
        <v>1</v>
      </c>
      <c r="CJ97" s="50">
        <f t="shared" si="255"/>
        <v>1</v>
      </c>
      <c r="CK97" s="50">
        <f t="shared" si="255"/>
        <v>0</v>
      </c>
      <c r="CL97" s="50">
        <f t="shared" si="255"/>
        <v>0</v>
      </c>
      <c r="CM97" s="51">
        <f t="shared" si="256"/>
        <v>0</v>
      </c>
      <c r="CN97" s="33">
        <f>ROUND(IF(BS97=0,0,HLOOKUP(BS$14,Villagers!$B$1:$V$33,BS97+3,FALSE)),)</f>
        <v>5</v>
      </c>
      <c r="CO97" s="14">
        <f>ROUND(IF(BT97=0,0,HLOOKUP(BT$14,Villagers!$B$1:$V$33,BT97+3,FALSE)),)</f>
        <v>0</v>
      </c>
      <c r="CP97" s="14">
        <f>ROUND(IF(BU97=0,0,HLOOKUP(BU$14,Villagers!$B$1:$V$33,BU97+3,FALSE)),)</f>
        <v>0</v>
      </c>
      <c r="CQ97" s="14">
        <f>ROUND(IF(BV97=0,0,HLOOKUP(BV$14,Villagers!$B$1:$V$33,BV97+3,FALSE)),)</f>
        <v>0</v>
      </c>
      <c r="CR97" s="14">
        <f>ROUND(IF(BW97=0,0,HLOOKUP(BW$14,Villagers!$B$1:$V$33,BW97+3,FALSE)),)</f>
        <v>0</v>
      </c>
      <c r="CS97" s="14">
        <f>ROUND(IF(BX97=0,0,HLOOKUP(BX$14,Villagers!$B$1:$V$33,BX97+3,FALSE)),)</f>
        <v>0</v>
      </c>
      <c r="CT97" s="14">
        <f>ROUND(IF(BY97=0,0,HLOOKUP(BY$14,Villagers!$B$1:$V$33,BY97+3,FALSE)),)</f>
        <v>0</v>
      </c>
      <c r="CU97" s="14">
        <f>ROUND(IF(BZ97=0,0,HLOOKUP(BZ$14,Villagers!$B$1:$V$33,BZ97+3,FALSE)),)</f>
        <v>0</v>
      </c>
      <c r="CV97" s="14">
        <f>ROUND(IF(CA97=0,0,HLOOKUP(CA$14,Villagers!$B$1:$V$33,CA97+3,FALSE)),)</f>
        <v>0</v>
      </c>
      <c r="CW97" s="14">
        <f>ROUND(IF(CB97=0,0,HLOOKUP(CB$14,Villagers!$B$1:$V$33,CB97+3,FALSE)),)</f>
        <v>0</v>
      </c>
      <c r="CX97" s="14">
        <f>ROUND(IF(CC97=0,0,HLOOKUP(CC$14,Villagers!$B$1:$V$33,CC97+3,FALSE)),)</f>
        <v>0</v>
      </c>
      <c r="CY97" s="14">
        <f>ROUND(IF(CD97=0,0,HLOOKUP(CD$14,Villagers!$B$1:$V$33,CD97+3,FALSE)),)</f>
        <v>0</v>
      </c>
      <c r="CZ97" s="14">
        <f>ROUND(IF(CE97=0,0,HLOOKUP(CE$14,Villagers!$B$1:$V$33,CE97+3,FALSE)),)</f>
        <v>5</v>
      </c>
      <c r="DA97" s="14">
        <f>ROUND(IF(CF97=0,0,HLOOKUP(CF$14,Villagers!$B$1:$V$33,CF97+3,FALSE)),)</f>
        <v>10</v>
      </c>
      <c r="DB97" s="14">
        <f>ROUND(IF(CG97=0,0,HLOOKUP(CG$14,Villagers!$B$1:$V$33,CG97+3,FALSE)),)</f>
        <v>10</v>
      </c>
      <c r="DC97" s="14">
        <f>ROUND(IF(CH97=0,0,HLOOKUP(CH$14,Villagers!$B$1:$V$33,CH97+3,FALSE)),)</f>
        <v>0</v>
      </c>
      <c r="DD97" s="14">
        <f>ROUND(IF(CI97=0,0,HLOOKUP(CI$14,Villagers!$B$1:$V$33,CI97+3,FALSE)),)</f>
        <v>0</v>
      </c>
      <c r="DE97" s="14">
        <f>ROUND(IF(CJ97=0,0,HLOOKUP(CJ$14,Villagers!$B$1:$V$33,CJ97+3,FALSE)),)</f>
        <v>2</v>
      </c>
      <c r="DF97" s="370">
        <f>ROUND(IF(CK97=0,0,HLOOKUP(CK$14,Villagers!$B$1:$V$33,CK97+3,FALSE)),)</f>
        <v>0</v>
      </c>
      <c r="DG97" s="370">
        <f>ROUND(IF(CL97=0,0,HLOOKUP(CL$14,Villagers!$B$1:$V$33,CL97+3,FALSE)),)</f>
        <v>0</v>
      </c>
      <c r="DH97" s="34">
        <f>ROUND(IF(CM97=0,0,HLOOKUP(CM$14,Villagers!$B$1:$V$33,CM97+3,FALSE)),)</f>
        <v>0</v>
      </c>
      <c r="DI97" s="109">
        <f t="shared" si="219"/>
        <v>0</v>
      </c>
      <c r="DJ97" s="50">
        <f t="shared" si="220"/>
        <v>0</v>
      </c>
      <c r="DK97" s="50">
        <f t="shared" si="221"/>
        <v>0</v>
      </c>
      <c r="DL97" s="50">
        <f t="shared" si="222"/>
        <v>0</v>
      </c>
      <c r="DM97" s="50">
        <f t="shared" si="223"/>
        <v>0</v>
      </c>
      <c r="DN97" s="50">
        <f t="shared" si="224"/>
        <v>0</v>
      </c>
      <c r="DO97" s="50">
        <f t="shared" si="225"/>
        <v>0</v>
      </c>
      <c r="DP97" s="50">
        <f t="shared" si="226"/>
        <v>0</v>
      </c>
      <c r="DQ97" s="50">
        <f t="shared" si="203"/>
        <v>0</v>
      </c>
      <c r="DR97" s="50">
        <f t="shared" si="204"/>
        <v>0</v>
      </c>
      <c r="DS97" s="96">
        <f>Miscelaneous!$D$4*Miscelaneous!$D$2^($CI97-1)</f>
        <v>1000</v>
      </c>
      <c r="DT97" s="333">
        <f t="shared" si="171"/>
        <v>1</v>
      </c>
      <c r="DU97" s="81">
        <v>1</v>
      </c>
      <c r="DV97" s="79">
        <f t="shared" si="205"/>
        <v>0</v>
      </c>
      <c r="DW97" s="79">
        <f t="shared" si="206"/>
        <v>0</v>
      </c>
      <c r="DX97" s="79">
        <f t="shared" si="207"/>
        <v>0</v>
      </c>
      <c r="DY97" s="79">
        <v>1</v>
      </c>
      <c r="DZ97" s="79">
        <f t="shared" si="208"/>
        <v>0</v>
      </c>
      <c r="EA97" s="79">
        <f t="shared" si="209"/>
        <v>0</v>
      </c>
      <c r="EB97" s="79">
        <f t="shared" si="210"/>
        <v>0</v>
      </c>
      <c r="EC97" s="79">
        <f t="shared" si="211"/>
        <v>0</v>
      </c>
      <c r="ED97" s="79">
        <v>1</v>
      </c>
      <c r="EE97" s="79">
        <v>1</v>
      </c>
      <c r="EF97" s="79">
        <f t="shared" si="212"/>
        <v>0</v>
      </c>
      <c r="EG97" s="79">
        <v>1</v>
      </c>
      <c r="EH97" s="79">
        <v>1</v>
      </c>
      <c r="EI97" s="79">
        <v>1</v>
      </c>
      <c r="EJ97" s="79">
        <v>1</v>
      </c>
      <c r="EK97" s="79">
        <v>1</v>
      </c>
      <c r="EL97" s="79">
        <v>1</v>
      </c>
      <c r="EM97" s="143">
        <f t="shared" si="213"/>
        <v>0</v>
      </c>
      <c r="EN97" s="143">
        <f t="shared" si="214"/>
        <v>0</v>
      </c>
      <c r="EO97" s="82">
        <f t="shared" si="215"/>
        <v>0</v>
      </c>
    </row>
    <row r="98" spans="1:145" x14ac:dyDescent="0.25">
      <c r="A98">
        <v>84</v>
      </c>
      <c r="B98" s="172" t="e">
        <f t="shared" si="172"/>
        <v>#N/A</v>
      </c>
      <c r="C98" s="121" t="e">
        <f t="shared" ref="C98:E98" si="260">AJ98-SUM(AB98:AB102)</f>
        <v>#N/A</v>
      </c>
      <c r="D98" s="122" t="e">
        <f t="shared" si="260"/>
        <v>#N/A</v>
      </c>
      <c r="E98" s="122" t="e">
        <f t="shared" si="260"/>
        <v>#N/A</v>
      </c>
      <c r="F98" s="176" t="e">
        <f t="shared" si="154"/>
        <v>#N/A</v>
      </c>
      <c r="G98" s="121">
        <f t="shared" si="174"/>
        <v>208</v>
      </c>
      <c r="H98" s="176" t="e">
        <f t="shared" si="175"/>
        <v>#N/A</v>
      </c>
      <c r="I98" s="48">
        <v>1</v>
      </c>
      <c r="J98" s="39"/>
      <c r="K98" s="350">
        <v>1</v>
      </c>
      <c r="L98" s="34" t="e">
        <f t="shared" si="155"/>
        <v>#N/A</v>
      </c>
      <c r="M98" s="38" t="e">
        <f>(HLOOKUP(J98,'Construction Times'!$B$3:$W$34,L98+2,FALSE)*HLOOKUP("hq modifier",'Construction Times'!$W$3:$W$34,BS98+2,FALSE))*(1-$H$9)</f>
        <v>#N/A</v>
      </c>
      <c r="N98" s="426" t="e">
        <f t="shared" si="176"/>
        <v>#N/A</v>
      </c>
      <c r="O98" s="427"/>
      <c r="P98" s="430" t="e">
        <f t="shared" si="177"/>
        <v>#N/A</v>
      </c>
      <c r="Q98" s="431"/>
      <c r="R98" s="103">
        <f t="shared" si="217"/>
        <v>0</v>
      </c>
      <c r="S98" s="104">
        <f t="shared" si="217"/>
        <v>0</v>
      </c>
      <c r="T98" s="104">
        <f t="shared" si="218"/>
        <v>0</v>
      </c>
      <c r="U98" s="104">
        <f t="shared" si="218"/>
        <v>0</v>
      </c>
      <c r="V98" s="104">
        <f t="shared" si="218"/>
        <v>9.9999999999999995E-8</v>
      </c>
      <c r="W98" s="104">
        <f t="shared" si="218"/>
        <v>0</v>
      </c>
      <c r="X98" s="104">
        <f t="shared" si="116"/>
        <v>0</v>
      </c>
      <c r="Y98" s="104">
        <f t="shared" si="116"/>
        <v>9.9999999999999995E-8</v>
      </c>
      <c r="Z98" s="104">
        <f t="shared" si="116"/>
        <v>9.9999999999999995E-8</v>
      </c>
      <c r="AA98" s="105">
        <f t="shared" si="116"/>
        <v>9.9999999999999995E-8</v>
      </c>
      <c r="AB98" s="101" t="e">
        <f>$DT98*HLOOKUP($J98,'Construction Costs (timber)'!$B$1:$V$32,'Construction Planner'!$L98+2,FALSE)</f>
        <v>#N/A</v>
      </c>
      <c r="AC98" s="14" t="e">
        <f>$DT98*HLOOKUP($J98,'Construction Costs (clay)'!$B$1:$V$32,'Construction Planner'!$L98+2,FALSE)</f>
        <v>#N/A</v>
      </c>
      <c r="AD98" s="14" t="e">
        <f>$DT98*HLOOKUP($J98,'Construction Costs (iron)'!$B$1:$V$32,'Construction Planner'!$L98+2,FALSE)</f>
        <v>#N/A</v>
      </c>
      <c r="AE98" s="34" t="e">
        <f t="shared" si="230"/>
        <v>#N/A</v>
      </c>
      <c r="AF98" s="33" t="e">
        <f t="shared" si="156"/>
        <v>#N/A</v>
      </c>
      <c r="AG98" s="14" t="e">
        <f t="shared" si="157"/>
        <v>#N/A</v>
      </c>
      <c r="AH98" s="14" t="e">
        <f t="shared" si="158"/>
        <v>#N/A</v>
      </c>
      <c r="AI98" s="34" t="e">
        <f t="shared" si="231"/>
        <v>#N/A</v>
      </c>
      <c r="AJ98" s="49" t="e">
        <f t="shared" si="178"/>
        <v>#N/A</v>
      </c>
      <c r="AK98" s="49" t="e">
        <f t="shared" si="179"/>
        <v>#N/A</v>
      </c>
      <c r="AL98" s="49" t="e">
        <f t="shared" si="180"/>
        <v>#N/A</v>
      </c>
      <c r="AM98" s="25">
        <f t="shared" si="159"/>
        <v>30</v>
      </c>
      <c r="AN98" s="25">
        <f t="shared" si="160"/>
        <v>30</v>
      </c>
      <c r="AO98" s="25">
        <f t="shared" si="161"/>
        <v>30</v>
      </c>
      <c r="AP98" s="52" t="e">
        <f t="shared" si="181"/>
        <v>#N/A</v>
      </c>
      <c r="AQ98" s="53" t="e">
        <f t="shared" si="181"/>
        <v>#N/A</v>
      </c>
      <c r="AR98" s="54" t="e">
        <f t="shared" si="181"/>
        <v>#N/A</v>
      </c>
      <c r="AS98" s="316">
        <f t="shared" si="232"/>
        <v>0</v>
      </c>
      <c r="AT98" s="106">
        <f>_xlfn.IFNA($M98/VLOOKUP($BT98,'Unit information'!$A$2:$K$29,2,FALSE)*R98,0)*(1+$E$9)</f>
        <v>0</v>
      </c>
      <c r="AU98" s="107">
        <f>_xlfn.IFNA($M98/VLOOKUP($BT98,'Unit information'!$A$2:$K$29,3,FALSE)*S98,0)*(1+$E$9)</f>
        <v>0</v>
      </c>
      <c r="AV98" s="107">
        <f>_xlfn.IFNA($M98/VLOOKUP($BT98,'Unit information'!$A$2:$K$29,4,FALSE)*T98,0)*(1+$E$9)</f>
        <v>0</v>
      </c>
      <c r="AW98" s="107">
        <f>_xlfn.IFNA($M98/VLOOKUP($BT98,'Unit information'!$A$2:$K$29,5,FALSE)*U98,0)*(1+$E$9)</f>
        <v>0</v>
      </c>
      <c r="AX98" s="107">
        <f>_xlfn.IFNA($M98/VLOOKUP($BU98,'Unit information'!$A$2:$K$29,6,FALSE)*V98,0)*(1+$E$9)</f>
        <v>0</v>
      </c>
      <c r="AY98" s="107">
        <f>_xlfn.IFNA($M98/VLOOKUP($BU98,'Unit information'!$A$2:$K$29,7,FALSE)*W98,0)*(1+$E$9)</f>
        <v>0</v>
      </c>
      <c r="AZ98" s="107">
        <f>_xlfn.IFNA($M98/VLOOKUP($BU98,'Unit information'!$A$2:$K$29,8,FALSE)*X98,0)*(1+$E$9)</f>
        <v>0</v>
      </c>
      <c r="BA98" s="107">
        <f>_xlfn.IFNA($M98/VLOOKUP($BU98,'Unit information'!$A$2:$K$29,9,FALSE)*Y98,0)*(1+$E$9)</f>
        <v>0</v>
      </c>
      <c r="BB98" s="107">
        <f>_xlfn.IFNA($M98/VLOOKUP($BV98,'Unit information'!$A$2:$K$29,10,FALSE)*Z98,0)*(1+$E$9)</f>
        <v>0</v>
      </c>
      <c r="BC98" s="108">
        <f>_xlfn.IFNA($M98/VLOOKUP($BV98,'Unit information'!$A$2:$K$29,11,FALSE)*AA98,0)*(1+$E$9)</f>
        <v>0</v>
      </c>
      <c r="BD98" s="106">
        <f t="shared" si="162"/>
        <v>0</v>
      </c>
      <c r="BE98" s="107">
        <f t="shared" si="163"/>
        <v>0</v>
      </c>
      <c r="BF98" s="108">
        <f t="shared" si="164"/>
        <v>0</v>
      </c>
      <c r="BG98" s="25" t="e">
        <f t="shared" si="165"/>
        <v>#N/A</v>
      </c>
      <c r="BH98" s="25" t="e">
        <f t="shared" si="166"/>
        <v>#N/A</v>
      </c>
      <c r="BI98" s="25" t="e">
        <f t="shared" si="167"/>
        <v>#N/A</v>
      </c>
      <c r="BJ98" s="27" t="e">
        <f t="shared" si="168"/>
        <v>#N/A</v>
      </c>
      <c r="BK98" s="18" t="e">
        <f t="shared" si="169"/>
        <v>#N/A</v>
      </c>
      <c r="BL98" s="18" t="e">
        <f t="shared" si="170"/>
        <v>#N/A</v>
      </c>
      <c r="BM98" s="28" t="e">
        <f t="shared" si="233"/>
        <v>#N/A</v>
      </c>
      <c r="BN98" s="33">
        <f>HLOOKUP("maximum population",Miscelaneous!$C$1:$C$33,CH98+3,FALSE)</f>
        <v>240</v>
      </c>
      <c r="BO98" s="14">
        <f t="shared" si="182"/>
        <v>32</v>
      </c>
      <c r="BP98" s="14">
        <f t="shared" si="183"/>
        <v>0</v>
      </c>
      <c r="BQ98" s="14">
        <f t="shared" si="184"/>
        <v>208</v>
      </c>
      <c r="BR98" s="34" t="e">
        <f>HLOOKUP(J98,Villagers!$B$1:$V$33,L98+3,FALSE)-HLOOKUP(J98,Villagers!$B$1:$V$33,L98+2,FALSE)</f>
        <v>#N/A</v>
      </c>
      <c r="BS98" s="49">
        <f t="shared" si="185"/>
        <v>1</v>
      </c>
      <c r="BT98" s="50">
        <f t="shared" si="186"/>
        <v>0</v>
      </c>
      <c r="BU98" s="50">
        <f t="shared" si="187"/>
        <v>0</v>
      </c>
      <c r="BV98" s="50">
        <f t="shared" si="188"/>
        <v>0</v>
      </c>
      <c r="BW98" s="50">
        <f t="shared" si="258"/>
        <v>0</v>
      </c>
      <c r="BX98" s="50">
        <f t="shared" si="258"/>
        <v>0</v>
      </c>
      <c r="BY98" s="50">
        <f t="shared" si="258"/>
        <v>0</v>
      </c>
      <c r="BZ98" s="50">
        <f t="shared" si="245"/>
        <v>0</v>
      </c>
      <c r="CA98" s="50">
        <f t="shared" si="246"/>
        <v>0</v>
      </c>
      <c r="CB98" s="50">
        <f t="shared" si="247"/>
        <v>1</v>
      </c>
      <c r="CC98" s="50">
        <f t="shared" si="248"/>
        <v>0</v>
      </c>
      <c r="CD98" s="50">
        <f t="shared" si="249"/>
        <v>0</v>
      </c>
      <c r="CE98" s="50">
        <f t="shared" si="250"/>
        <v>1</v>
      </c>
      <c r="CF98" s="50">
        <f t="shared" si="251"/>
        <v>1</v>
      </c>
      <c r="CG98" s="50">
        <f t="shared" si="252"/>
        <v>1</v>
      </c>
      <c r="CH98" s="50">
        <f t="shared" si="253"/>
        <v>1</v>
      </c>
      <c r="CI98" s="50">
        <f t="shared" si="254"/>
        <v>1</v>
      </c>
      <c r="CJ98" s="50">
        <f t="shared" si="255"/>
        <v>1</v>
      </c>
      <c r="CK98" s="50">
        <f t="shared" si="255"/>
        <v>0</v>
      </c>
      <c r="CL98" s="50">
        <f t="shared" si="255"/>
        <v>0</v>
      </c>
      <c r="CM98" s="51">
        <f t="shared" si="256"/>
        <v>0</v>
      </c>
      <c r="CN98" s="33">
        <f>ROUND(IF(BS98=0,0,HLOOKUP(BS$14,Villagers!$B$1:$V$33,BS98+3,FALSE)),)</f>
        <v>5</v>
      </c>
      <c r="CO98" s="14">
        <f>ROUND(IF(BT98=0,0,HLOOKUP(BT$14,Villagers!$B$1:$V$33,BT98+3,FALSE)),)</f>
        <v>0</v>
      </c>
      <c r="CP98" s="14">
        <f>ROUND(IF(BU98=0,0,HLOOKUP(BU$14,Villagers!$B$1:$V$33,BU98+3,FALSE)),)</f>
        <v>0</v>
      </c>
      <c r="CQ98" s="14">
        <f>ROUND(IF(BV98=0,0,HLOOKUP(BV$14,Villagers!$B$1:$V$33,BV98+3,FALSE)),)</f>
        <v>0</v>
      </c>
      <c r="CR98" s="14">
        <f>ROUND(IF(BW98=0,0,HLOOKUP(BW$14,Villagers!$B$1:$V$33,BW98+3,FALSE)),)</f>
        <v>0</v>
      </c>
      <c r="CS98" s="14">
        <f>ROUND(IF(BX98=0,0,HLOOKUP(BX$14,Villagers!$B$1:$V$33,BX98+3,FALSE)),)</f>
        <v>0</v>
      </c>
      <c r="CT98" s="14">
        <f>ROUND(IF(BY98=0,0,HLOOKUP(BY$14,Villagers!$B$1:$V$33,BY98+3,FALSE)),)</f>
        <v>0</v>
      </c>
      <c r="CU98" s="14">
        <f>ROUND(IF(BZ98=0,0,HLOOKUP(BZ$14,Villagers!$B$1:$V$33,BZ98+3,FALSE)),)</f>
        <v>0</v>
      </c>
      <c r="CV98" s="14">
        <f>ROUND(IF(CA98=0,0,HLOOKUP(CA$14,Villagers!$B$1:$V$33,CA98+3,FALSE)),)</f>
        <v>0</v>
      </c>
      <c r="CW98" s="14">
        <f>ROUND(IF(CB98=0,0,HLOOKUP(CB$14,Villagers!$B$1:$V$33,CB98+3,FALSE)),)</f>
        <v>0</v>
      </c>
      <c r="CX98" s="14">
        <f>ROUND(IF(CC98=0,0,HLOOKUP(CC$14,Villagers!$B$1:$V$33,CC98+3,FALSE)),)</f>
        <v>0</v>
      </c>
      <c r="CY98" s="14">
        <f>ROUND(IF(CD98=0,0,HLOOKUP(CD$14,Villagers!$B$1:$V$33,CD98+3,FALSE)),)</f>
        <v>0</v>
      </c>
      <c r="CZ98" s="14">
        <f>ROUND(IF(CE98=0,0,HLOOKUP(CE$14,Villagers!$B$1:$V$33,CE98+3,FALSE)),)</f>
        <v>5</v>
      </c>
      <c r="DA98" s="14">
        <f>ROUND(IF(CF98=0,0,HLOOKUP(CF$14,Villagers!$B$1:$V$33,CF98+3,FALSE)),)</f>
        <v>10</v>
      </c>
      <c r="DB98" s="14">
        <f>ROUND(IF(CG98=0,0,HLOOKUP(CG$14,Villagers!$B$1:$V$33,CG98+3,FALSE)),)</f>
        <v>10</v>
      </c>
      <c r="DC98" s="14">
        <f>ROUND(IF(CH98=0,0,HLOOKUP(CH$14,Villagers!$B$1:$V$33,CH98+3,FALSE)),)</f>
        <v>0</v>
      </c>
      <c r="DD98" s="14">
        <f>ROUND(IF(CI98=0,0,HLOOKUP(CI$14,Villagers!$B$1:$V$33,CI98+3,FALSE)),)</f>
        <v>0</v>
      </c>
      <c r="DE98" s="14">
        <f>ROUND(IF(CJ98=0,0,HLOOKUP(CJ$14,Villagers!$B$1:$V$33,CJ98+3,FALSE)),)</f>
        <v>2</v>
      </c>
      <c r="DF98" s="370">
        <f>ROUND(IF(CK98=0,0,HLOOKUP(CK$14,Villagers!$B$1:$V$33,CK98+3,FALSE)),)</f>
        <v>0</v>
      </c>
      <c r="DG98" s="370">
        <f>ROUND(IF(CL98=0,0,HLOOKUP(CL$14,Villagers!$B$1:$V$33,CL98+3,FALSE)),)</f>
        <v>0</v>
      </c>
      <c r="DH98" s="34">
        <f>ROUND(IF(CM98=0,0,HLOOKUP(CM$14,Villagers!$B$1:$V$33,CM98+3,FALSE)),)</f>
        <v>0</v>
      </c>
      <c r="DI98" s="109">
        <f t="shared" si="219"/>
        <v>0</v>
      </c>
      <c r="DJ98" s="50">
        <f t="shared" si="220"/>
        <v>0</v>
      </c>
      <c r="DK98" s="50">
        <f t="shared" si="221"/>
        <v>0</v>
      </c>
      <c r="DL98" s="50">
        <f t="shared" si="222"/>
        <v>0</v>
      </c>
      <c r="DM98" s="50">
        <f t="shared" si="223"/>
        <v>0</v>
      </c>
      <c r="DN98" s="50">
        <f t="shared" si="224"/>
        <v>0</v>
      </c>
      <c r="DO98" s="50">
        <f t="shared" si="225"/>
        <v>0</v>
      </c>
      <c r="DP98" s="50">
        <f t="shared" si="226"/>
        <v>0</v>
      </c>
      <c r="DQ98" s="50">
        <f t="shared" si="203"/>
        <v>0</v>
      </c>
      <c r="DR98" s="50">
        <f t="shared" si="204"/>
        <v>0</v>
      </c>
      <c r="DS98" s="96">
        <f>Miscelaneous!$D$4*Miscelaneous!$D$2^($CI98-1)</f>
        <v>1000</v>
      </c>
      <c r="DT98" s="333">
        <f t="shared" si="171"/>
        <v>1</v>
      </c>
      <c r="DU98" s="81">
        <v>1</v>
      </c>
      <c r="DV98" s="79">
        <f t="shared" si="205"/>
        <v>0</v>
      </c>
      <c r="DW98" s="79">
        <f t="shared" si="206"/>
        <v>0</v>
      </c>
      <c r="DX98" s="79">
        <f t="shared" si="207"/>
        <v>0</v>
      </c>
      <c r="DY98" s="79">
        <v>1</v>
      </c>
      <c r="DZ98" s="79">
        <f t="shared" si="208"/>
        <v>0</v>
      </c>
      <c r="EA98" s="79">
        <f t="shared" si="209"/>
        <v>0</v>
      </c>
      <c r="EB98" s="79">
        <f t="shared" si="210"/>
        <v>0</v>
      </c>
      <c r="EC98" s="79">
        <f t="shared" si="211"/>
        <v>0</v>
      </c>
      <c r="ED98" s="79">
        <v>1</v>
      </c>
      <c r="EE98" s="79">
        <v>1</v>
      </c>
      <c r="EF98" s="79">
        <f t="shared" si="212"/>
        <v>0</v>
      </c>
      <c r="EG98" s="79">
        <v>1</v>
      </c>
      <c r="EH98" s="79">
        <v>1</v>
      </c>
      <c r="EI98" s="79">
        <v>1</v>
      </c>
      <c r="EJ98" s="79">
        <v>1</v>
      </c>
      <c r="EK98" s="79">
        <v>1</v>
      </c>
      <c r="EL98" s="79">
        <v>1</v>
      </c>
      <c r="EM98" s="143">
        <f t="shared" si="213"/>
        <v>0</v>
      </c>
      <c r="EN98" s="143">
        <f t="shared" si="214"/>
        <v>0</v>
      </c>
      <c r="EO98" s="82">
        <f t="shared" si="215"/>
        <v>0</v>
      </c>
    </row>
    <row r="99" spans="1:145" x14ac:dyDescent="0.25">
      <c r="A99">
        <v>85</v>
      </c>
      <c r="B99" s="172" t="e">
        <f t="shared" si="172"/>
        <v>#N/A</v>
      </c>
      <c r="C99" s="121" t="e">
        <f t="shared" ref="C99:E99" si="261">AJ99-SUM(AB99:AB103)</f>
        <v>#N/A</v>
      </c>
      <c r="D99" s="122" t="e">
        <f t="shared" si="261"/>
        <v>#N/A</v>
      </c>
      <c r="E99" s="122" t="e">
        <f t="shared" si="261"/>
        <v>#N/A</v>
      </c>
      <c r="F99" s="176" t="e">
        <f t="shared" si="154"/>
        <v>#N/A</v>
      </c>
      <c r="G99" s="121">
        <f t="shared" si="174"/>
        <v>208</v>
      </c>
      <c r="H99" s="176" t="e">
        <f t="shared" si="175"/>
        <v>#N/A</v>
      </c>
      <c r="I99" s="48">
        <v>1</v>
      </c>
      <c r="J99" s="39"/>
      <c r="K99" s="350">
        <v>1</v>
      </c>
      <c r="L99" s="34" t="e">
        <f t="shared" si="155"/>
        <v>#N/A</v>
      </c>
      <c r="M99" s="38" t="e">
        <f>(HLOOKUP(J99,'Construction Times'!$B$3:$W$34,L99+2,FALSE)*HLOOKUP("hq modifier",'Construction Times'!$W$3:$W$34,BS99+2,FALSE))*(1-$H$9)</f>
        <v>#N/A</v>
      </c>
      <c r="N99" s="426" t="e">
        <f t="shared" si="176"/>
        <v>#N/A</v>
      </c>
      <c r="O99" s="427"/>
      <c r="P99" s="430" t="e">
        <f t="shared" si="177"/>
        <v>#N/A</v>
      </c>
      <c r="Q99" s="431"/>
      <c r="R99" s="103">
        <f t="shared" si="217"/>
        <v>0</v>
      </c>
      <c r="S99" s="104">
        <f t="shared" si="217"/>
        <v>0</v>
      </c>
      <c r="T99" s="104">
        <f t="shared" si="218"/>
        <v>0</v>
      </c>
      <c r="U99" s="104">
        <f t="shared" si="218"/>
        <v>0</v>
      </c>
      <c r="V99" s="104">
        <f t="shared" si="218"/>
        <v>9.9999999999999995E-8</v>
      </c>
      <c r="W99" s="104">
        <f t="shared" si="218"/>
        <v>0</v>
      </c>
      <c r="X99" s="104">
        <f t="shared" si="116"/>
        <v>0</v>
      </c>
      <c r="Y99" s="104">
        <f t="shared" si="116"/>
        <v>9.9999999999999995E-8</v>
      </c>
      <c r="Z99" s="104">
        <f t="shared" si="116"/>
        <v>9.9999999999999995E-8</v>
      </c>
      <c r="AA99" s="105">
        <f t="shared" si="116"/>
        <v>9.9999999999999995E-8</v>
      </c>
      <c r="AB99" s="101" t="e">
        <f>$DT99*HLOOKUP($J99,'Construction Costs (timber)'!$B$1:$V$32,'Construction Planner'!$L99+2,FALSE)</f>
        <v>#N/A</v>
      </c>
      <c r="AC99" s="14" t="e">
        <f>$DT99*HLOOKUP($J99,'Construction Costs (clay)'!$B$1:$V$32,'Construction Planner'!$L99+2,FALSE)</f>
        <v>#N/A</v>
      </c>
      <c r="AD99" s="14" t="e">
        <f>$DT99*HLOOKUP($J99,'Construction Costs (iron)'!$B$1:$V$32,'Construction Planner'!$L99+2,FALSE)</f>
        <v>#N/A</v>
      </c>
      <c r="AE99" s="34" t="e">
        <f t="shared" si="230"/>
        <v>#N/A</v>
      </c>
      <c r="AF99" s="33" t="e">
        <f t="shared" si="156"/>
        <v>#N/A</v>
      </c>
      <c r="AG99" s="14" t="e">
        <f t="shared" si="157"/>
        <v>#N/A</v>
      </c>
      <c r="AH99" s="14" t="e">
        <f t="shared" si="158"/>
        <v>#N/A</v>
      </c>
      <c r="AI99" s="34" t="e">
        <f t="shared" si="231"/>
        <v>#N/A</v>
      </c>
      <c r="AJ99" s="49" t="e">
        <f t="shared" si="178"/>
        <v>#N/A</v>
      </c>
      <c r="AK99" s="49" t="e">
        <f t="shared" si="179"/>
        <v>#N/A</v>
      </c>
      <c r="AL99" s="49" t="e">
        <f t="shared" si="180"/>
        <v>#N/A</v>
      </c>
      <c r="AM99" s="25">
        <f t="shared" si="159"/>
        <v>30</v>
      </c>
      <c r="AN99" s="25">
        <f t="shared" si="160"/>
        <v>30</v>
      </c>
      <c r="AO99" s="25">
        <f t="shared" si="161"/>
        <v>30</v>
      </c>
      <c r="AP99" s="52" t="e">
        <f t="shared" si="181"/>
        <v>#N/A</v>
      </c>
      <c r="AQ99" s="53" t="e">
        <f t="shared" si="181"/>
        <v>#N/A</v>
      </c>
      <c r="AR99" s="54" t="e">
        <f t="shared" si="181"/>
        <v>#N/A</v>
      </c>
      <c r="AS99" s="316">
        <f t="shared" si="232"/>
        <v>0</v>
      </c>
      <c r="AT99" s="106">
        <f>_xlfn.IFNA($M99/VLOOKUP($BT99,'Unit information'!$A$2:$K$29,2,FALSE)*R99,0)*(1+$E$9)</f>
        <v>0</v>
      </c>
      <c r="AU99" s="107">
        <f>_xlfn.IFNA($M99/VLOOKUP($BT99,'Unit information'!$A$2:$K$29,3,FALSE)*S99,0)*(1+$E$9)</f>
        <v>0</v>
      </c>
      <c r="AV99" s="107">
        <f>_xlfn.IFNA($M99/VLOOKUP($BT99,'Unit information'!$A$2:$K$29,4,FALSE)*T99,0)*(1+$E$9)</f>
        <v>0</v>
      </c>
      <c r="AW99" s="107">
        <f>_xlfn.IFNA($M99/VLOOKUP($BT99,'Unit information'!$A$2:$K$29,5,FALSE)*U99,0)*(1+$E$9)</f>
        <v>0</v>
      </c>
      <c r="AX99" s="107">
        <f>_xlfn.IFNA($M99/VLOOKUP($BU99,'Unit information'!$A$2:$K$29,6,FALSE)*V99,0)*(1+$E$9)</f>
        <v>0</v>
      </c>
      <c r="AY99" s="107">
        <f>_xlfn.IFNA($M99/VLOOKUP($BU99,'Unit information'!$A$2:$K$29,7,FALSE)*W99,0)*(1+$E$9)</f>
        <v>0</v>
      </c>
      <c r="AZ99" s="107">
        <f>_xlfn.IFNA($M99/VLOOKUP($BU99,'Unit information'!$A$2:$K$29,8,FALSE)*X99,0)*(1+$E$9)</f>
        <v>0</v>
      </c>
      <c r="BA99" s="107">
        <f>_xlfn.IFNA($M99/VLOOKUP($BU99,'Unit information'!$A$2:$K$29,9,FALSE)*Y99,0)*(1+$E$9)</f>
        <v>0</v>
      </c>
      <c r="BB99" s="107">
        <f>_xlfn.IFNA($M99/VLOOKUP($BV99,'Unit information'!$A$2:$K$29,10,FALSE)*Z99,0)*(1+$E$9)</f>
        <v>0</v>
      </c>
      <c r="BC99" s="108">
        <f>_xlfn.IFNA($M99/VLOOKUP($BV99,'Unit information'!$A$2:$K$29,11,FALSE)*AA99,0)*(1+$E$9)</f>
        <v>0</v>
      </c>
      <c r="BD99" s="106">
        <f t="shared" si="162"/>
        <v>0</v>
      </c>
      <c r="BE99" s="107">
        <f t="shared" si="163"/>
        <v>0</v>
      </c>
      <c r="BF99" s="108">
        <f t="shared" si="164"/>
        <v>0</v>
      </c>
      <c r="BG99" s="25" t="e">
        <f t="shared" si="165"/>
        <v>#N/A</v>
      </c>
      <c r="BH99" s="25" t="e">
        <f t="shared" si="166"/>
        <v>#N/A</v>
      </c>
      <c r="BI99" s="25" t="e">
        <f t="shared" si="167"/>
        <v>#N/A</v>
      </c>
      <c r="BJ99" s="27" t="e">
        <f t="shared" si="168"/>
        <v>#N/A</v>
      </c>
      <c r="BK99" s="18" t="e">
        <f t="shared" si="169"/>
        <v>#N/A</v>
      </c>
      <c r="BL99" s="18" t="e">
        <f t="shared" si="170"/>
        <v>#N/A</v>
      </c>
      <c r="BM99" s="28" t="e">
        <f t="shared" si="233"/>
        <v>#N/A</v>
      </c>
      <c r="BN99" s="33">
        <f>HLOOKUP("maximum population",Miscelaneous!$C$1:$C$33,CH99+3,FALSE)</f>
        <v>240</v>
      </c>
      <c r="BO99" s="14">
        <f t="shared" si="182"/>
        <v>32</v>
      </c>
      <c r="BP99" s="14">
        <f t="shared" si="183"/>
        <v>0</v>
      </c>
      <c r="BQ99" s="14">
        <f t="shared" si="184"/>
        <v>208</v>
      </c>
      <c r="BR99" s="34" t="e">
        <f>HLOOKUP(J99,Villagers!$B$1:$V$33,L99+3,FALSE)-HLOOKUP(J99,Villagers!$B$1:$V$33,L99+2,FALSE)</f>
        <v>#N/A</v>
      </c>
      <c r="BS99" s="49">
        <f t="shared" si="185"/>
        <v>1</v>
      </c>
      <c r="BT99" s="50">
        <f t="shared" si="186"/>
        <v>0</v>
      </c>
      <c r="BU99" s="50">
        <f t="shared" si="187"/>
        <v>0</v>
      </c>
      <c r="BV99" s="50">
        <f t="shared" si="188"/>
        <v>0</v>
      </c>
      <c r="BW99" s="50">
        <f t="shared" si="258"/>
        <v>0</v>
      </c>
      <c r="BX99" s="50">
        <f t="shared" si="258"/>
        <v>0</v>
      </c>
      <c r="BY99" s="50">
        <f t="shared" si="258"/>
        <v>0</v>
      </c>
      <c r="BZ99" s="50">
        <f t="shared" si="245"/>
        <v>0</v>
      </c>
      <c r="CA99" s="50">
        <f t="shared" si="246"/>
        <v>0</v>
      </c>
      <c r="CB99" s="50">
        <f t="shared" si="247"/>
        <v>1</v>
      </c>
      <c r="CC99" s="50">
        <f t="shared" si="248"/>
        <v>0</v>
      </c>
      <c r="CD99" s="50">
        <f t="shared" si="249"/>
        <v>0</v>
      </c>
      <c r="CE99" s="50">
        <f t="shared" si="250"/>
        <v>1</v>
      </c>
      <c r="CF99" s="50">
        <f t="shared" si="251"/>
        <v>1</v>
      </c>
      <c r="CG99" s="50">
        <f t="shared" si="252"/>
        <v>1</v>
      </c>
      <c r="CH99" s="50">
        <f t="shared" si="253"/>
        <v>1</v>
      </c>
      <c r="CI99" s="50">
        <f t="shared" si="254"/>
        <v>1</v>
      </c>
      <c r="CJ99" s="50">
        <f t="shared" si="255"/>
        <v>1</v>
      </c>
      <c r="CK99" s="50">
        <f t="shared" si="255"/>
        <v>0</v>
      </c>
      <c r="CL99" s="50">
        <f t="shared" si="255"/>
        <v>0</v>
      </c>
      <c r="CM99" s="51">
        <f t="shared" si="256"/>
        <v>0</v>
      </c>
      <c r="CN99" s="33">
        <f>ROUND(IF(BS99=0,0,HLOOKUP(BS$14,Villagers!$B$1:$V$33,BS99+3,FALSE)),)</f>
        <v>5</v>
      </c>
      <c r="CO99" s="14">
        <f>ROUND(IF(BT99=0,0,HLOOKUP(BT$14,Villagers!$B$1:$V$33,BT99+3,FALSE)),)</f>
        <v>0</v>
      </c>
      <c r="CP99" s="14">
        <f>ROUND(IF(BU99=0,0,HLOOKUP(BU$14,Villagers!$B$1:$V$33,BU99+3,FALSE)),)</f>
        <v>0</v>
      </c>
      <c r="CQ99" s="14">
        <f>ROUND(IF(BV99=0,0,HLOOKUP(BV$14,Villagers!$B$1:$V$33,BV99+3,FALSE)),)</f>
        <v>0</v>
      </c>
      <c r="CR99" s="14">
        <f>ROUND(IF(BW99=0,0,HLOOKUP(BW$14,Villagers!$B$1:$V$33,BW99+3,FALSE)),)</f>
        <v>0</v>
      </c>
      <c r="CS99" s="14">
        <f>ROUND(IF(BX99=0,0,HLOOKUP(BX$14,Villagers!$B$1:$V$33,BX99+3,FALSE)),)</f>
        <v>0</v>
      </c>
      <c r="CT99" s="14">
        <f>ROUND(IF(BY99=0,0,HLOOKUP(BY$14,Villagers!$B$1:$V$33,BY99+3,FALSE)),)</f>
        <v>0</v>
      </c>
      <c r="CU99" s="14">
        <f>ROUND(IF(BZ99=0,0,HLOOKUP(BZ$14,Villagers!$B$1:$V$33,BZ99+3,FALSE)),)</f>
        <v>0</v>
      </c>
      <c r="CV99" s="14">
        <f>ROUND(IF(CA99=0,0,HLOOKUP(CA$14,Villagers!$B$1:$V$33,CA99+3,FALSE)),)</f>
        <v>0</v>
      </c>
      <c r="CW99" s="14">
        <f>ROUND(IF(CB99=0,0,HLOOKUP(CB$14,Villagers!$B$1:$V$33,CB99+3,FALSE)),)</f>
        <v>0</v>
      </c>
      <c r="CX99" s="14">
        <f>ROUND(IF(CC99=0,0,HLOOKUP(CC$14,Villagers!$B$1:$V$33,CC99+3,FALSE)),)</f>
        <v>0</v>
      </c>
      <c r="CY99" s="14">
        <f>ROUND(IF(CD99=0,0,HLOOKUP(CD$14,Villagers!$B$1:$V$33,CD99+3,FALSE)),)</f>
        <v>0</v>
      </c>
      <c r="CZ99" s="14">
        <f>ROUND(IF(CE99=0,0,HLOOKUP(CE$14,Villagers!$B$1:$V$33,CE99+3,FALSE)),)</f>
        <v>5</v>
      </c>
      <c r="DA99" s="14">
        <f>ROUND(IF(CF99=0,0,HLOOKUP(CF$14,Villagers!$B$1:$V$33,CF99+3,FALSE)),)</f>
        <v>10</v>
      </c>
      <c r="DB99" s="14">
        <f>ROUND(IF(CG99=0,0,HLOOKUP(CG$14,Villagers!$B$1:$V$33,CG99+3,FALSE)),)</f>
        <v>10</v>
      </c>
      <c r="DC99" s="14">
        <f>ROUND(IF(CH99=0,0,HLOOKUP(CH$14,Villagers!$B$1:$V$33,CH99+3,FALSE)),)</f>
        <v>0</v>
      </c>
      <c r="DD99" s="14">
        <f>ROUND(IF(CI99=0,0,HLOOKUP(CI$14,Villagers!$B$1:$V$33,CI99+3,FALSE)),)</f>
        <v>0</v>
      </c>
      <c r="DE99" s="14">
        <f>ROUND(IF(CJ99=0,0,HLOOKUP(CJ$14,Villagers!$B$1:$V$33,CJ99+3,FALSE)),)</f>
        <v>2</v>
      </c>
      <c r="DF99" s="370">
        <f>ROUND(IF(CK99=0,0,HLOOKUP(CK$14,Villagers!$B$1:$V$33,CK99+3,FALSE)),)</f>
        <v>0</v>
      </c>
      <c r="DG99" s="370">
        <f>ROUND(IF(CL99=0,0,HLOOKUP(CL$14,Villagers!$B$1:$V$33,CL99+3,FALSE)),)</f>
        <v>0</v>
      </c>
      <c r="DH99" s="34">
        <f>ROUND(IF(CM99=0,0,HLOOKUP(CM$14,Villagers!$B$1:$V$33,CM99+3,FALSE)),)</f>
        <v>0</v>
      </c>
      <c r="DI99" s="109">
        <f t="shared" si="219"/>
        <v>0</v>
      </c>
      <c r="DJ99" s="50">
        <f t="shared" si="220"/>
        <v>0</v>
      </c>
      <c r="DK99" s="50">
        <f t="shared" si="221"/>
        <v>0</v>
      </c>
      <c r="DL99" s="50">
        <f t="shared" si="222"/>
        <v>0</v>
      </c>
      <c r="DM99" s="50">
        <f t="shared" si="223"/>
        <v>0</v>
      </c>
      <c r="DN99" s="50">
        <f t="shared" si="224"/>
        <v>0</v>
      </c>
      <c r="DO99" s="50">
        <f t="shared" si="225"/>
        <v>0</v>
      </c>
      <c r="DP99" s="50">
        <f t="shared" si="226"/>
        <v>0</v>
      </c>
      <c r="DQ99" s="50">
        <f t="shared" si="203"/>
        <v>0</v>
      </c>
      <c r="DR99" s="50">
        <f t="shared" si="204"/>
        <v>0</v>
      </c>
      <c r="DS99" s="96">
        <f>Miscelaneous!$D$4*Miscelaneous!$D$2^($CI99-1)</f>
        <v>1000</v>
      </c>
      <c r="DT99" s="333">
        <f t="shared" si="171"/>
        <v>1</v>
      </c>
      <c r="DU99" s="81">
        <v>1</v>
      </c>
      <c r="DV99" s="79">
        <f t="shared" si="205"/>
        <v>0</v>
      </c>
      <c r="DW99" s="79">
        <f t="shared" si="206"/>
        <v>0</v>
      </c>
      <c r="DX99" s="79">
        <f t="shared" si="207"/>
        <v>0</v>
      </c>
      <c r="DY99" s="79">
        <v>1</v>
      </c>
      <c r="DZ99" s="79">
        <f t="shared" si="208"/>
        <v>0</v>
      </c>
      <c r="EA99" s="79">
        <f t="shared" si="209"/>
        <v>0</v>
      </c>
      <c r="EB99" s="79">
        <f t="shared" si="210"/>
        <v>0</v>
      </c>
      <c r="EC99" s="79">
        <f t="shared" si="211"/>
        <v>0</v>
      </c>
      <c r="ED99" s="79">
        <v>1</v>
      </c>
      <c r="EE99" s="79">
        <v>1</v>
      </c>
      <c r="EF99" s="79">
        <f t="shared" si="212"/>
        <v>0</v>
      </c>
      <c r="EG99" s="79">
        <v>1</v>
      </c>
      <c r="EH99" s="79">
        <v>1</v>
      </c>
      <c r="EI99" s="79">
        <v>1</v>
      </c>
      <c r="EJ99" s="79">
        <v>1</v>
      </c>
      <c r="EK99" s="79">
        <v>1</v>
      </c>
      <c r="EL99" s="79">
        <v>1</v>
      </c>
      <c r="EM99" s="143">
        <f t="shared" si="213"/>
        <v>0</v>
      </c>
      <c r="EN99" s="143">
        <f t="shared" si="214"/>
        <v>0</v>
      </c>
      <c r="EO99" s="82">
        <f t="shared" si="215"/>
        <v>0</v>
      </c>
    </row>
    <row r="100" spans="1:145" x14ac:dyDescent="0.25">
      <c r="A100">
        <v>86</v>
      </c>
      <c r="B100" s="172" t="e">
        <f t="shared" si="172"/>
        <v>#N/A</v>
      </c>
      <c r="C100" s="121" t="e">
        <f t="shared" ref="C100:E100" si="262">AJ100-SUM(AB100:AB104)</f>
        <v>#N/A</v>
      </c>
      <c r="D100" s="122" t="e">
        <f t="shared" si="262"/>
        <v>#N/A</v>
      </c>
      <c r="E100" s="122" t="e">
        <f t="shared" si="262"/>
        <v>#N/A</v>
      </c>
      <c r="F100" s="176" t="e">
        <f t="shared" si="154"/>
        <v>#N/A</v>
      </c>
      <c r="G100" s="121">
        <f t="shared" si="174"/>
        <v>208</v>
      </c>
      <c r="H100" s="176" t="e">
        <f t="shared" si="175"/>
        <v>#N/A</v>
      </c>
      <c r="I100" s="48">
        <v>1</v>
      </c>
      <c r="J100" s="39"/>
      <c r="K100" s="350">
        <v>1</v>
      </c>
      <c r="L100" s="34" t="e">
        <f t="shared" si="155"/>
        <v>#N/A</v>
      </c>
      <c r="M100" s="38" t="e">
        <f>(HLOOKUP(J100,'Construction Times'!$B$3:$W$34,L100+2,FALSE)*HLOOKUP("hq modifier",'Construction Times'!$W$3:$W$34,BS100+2,FALSE))*(1-$H$9)</f>
        <v>#N/A</v>
      </c>
      <c r="N100" s="426" t="e">
        <f t="shared" si="176"/>
        <v>#N/A</v>
      </c>
      <c r="O100" s="427"/>
      <c r="P100" s="430" t="e">
        <f t="shared" si="177"/>
        <v>#N/A</v>
      </c>
      <c r="Q100" s="431"/>
      <c r="R100" s="103">
        <f t="shared" si="217"/>
        <v>0</v>
      </c>
      <c r="S100" s="104">
        <f t="shared" si="217"/>
        <v>0</v>
      </c>
      <c r="T100" s="104">
        <f t="shared" si="218"/>
        <v>0</v>
      </c>
      <c r="U100" s="104">
        <f t="shared" si="218"/>
        <v>0</v>
      </c>
      <c r="V100" s="104">
        <f t="shared" si="218"/>
        <v>9.9999999999999995E-8</v>
      </c>
      <c r="W100" s="104">
        <f t="shared" si="218"/>
        <v>0</v>
      </c>
      <c r="X100" s="104">
        <f t="shared" si="116"/>
        <v>0</v>
      </c>
      <c r="Y100" s="104">
        <f t="shared" si="116"/>
        <v>9.9999999999999995E-8</v>
      </c>
      <c r="Z100" s="104">
        <f t="shared" si="116"/>
        <v>9.9999999999999995E-8</v>
      </c>
      <c r="AA100" s="105">
        <f t="shared" si="116"/>
        <v>9.9999999999999995E-8</v>
      </c>
      <c r="AB100" s="101" t="e">
        <f>$DT100*HLOOKUP($J100,'Construction Costs (timber)'!$B$1:$V$32,'Construction Planner'!$L100+2,FALSE)</f>
        <v>#N/A</v>
      </c>
      <c r="AC100" s="14" t="e">
        <f>$DT100*HLOOKUP($J100,'Construction Costs (clay)'!$B$1:$V$32,'Construction Planner'!$L100+2,FALSE)</f>
        <v>#N/A</v>
      </c>
      <c r="AD100" s="14" t="e">
        <f>$DT100*HLOOKUP($J100,'Construction Costs (iron)'!$B$1:$V$32,'Construction Planner'!$L100+2,FALSE)</f>
        <v>#N/A</v>
      </c>
      <c r="AE100" s="34" t="e">
        <f t="shared" si="230"/>
        <v>#N/A</v>
      </c>
      <c r="AF100" s="33" t="e">
        <f t="shared" si="156"/>
        <v>#N/A</v>
      </c>
      <c r="AG100" s="14" t="e">
        <f t="shared" si="157"/>
        <v>#N/A</v>
      </c>
      <c r="AH100" s="14" t="e">
        <f t="shared" si="158"/>
        <v>#N/A</v>
      </c>
      <c r="AI100" s="34" t="e">
        <f t="shared" si="231"/>
        <v>#N/A</v>
      </c>
      <c r="AJ100" s="49" t="e">
        <f t="shared" si="178"/>
        <v>#N/A</v>
      </c>
      <c r="AK100" s="49" t="e">
        <f t="shared" si="179"/>
        <v>#N/A</v>
      </c>
      <c r="AL100" s="49" t="e">
        <f t="shared" si="180"/>
        <v>#N/A</v>
      </c>
      <c r="AM100" s="25">
        <f t="shared" si="159"/>
        <v>30</v>
      </c>
      <c r="AN100" s="25">
        <f t="shared" si="160"/>
        <v>30</v>
      </c>
      <c r="AO100" s="25">
        <f t="shared" si="161"/>
        <v>30</v>
      </c>
      <c r="AP100" s="52" t="e">
        <f t="shared" si="181"/>
        <v>#N/A</v>
      </c>
      <c r="AQ100" s="53" t="e">
        <f t="shared" si="181"/>
        <v>#N/A</v>
      </c>
      <c r="AR100" s="54" t="e">
        <f t="shared" si="181"/>
        <v>#N/A</v>
      </c>
      <c r="AS100" s="316">
        <f t="shared" ref="AS100:AS115" si="263">AS99</f>
        <v>0</v>
      </c>
      <c r="AT100" s="106">
        <f>_xlfn.IFNA($M100/VLOOKUP($BT100,'Unit information'!$A$2:$K$29,2,FALSE)*R100,0)*(1+$E$9)</f>
        <v>0</v>
      </c>
      <c r="AU100" s="107">
        <f>_xlfn.IFNA($M100/VLOOKUP($BT100,'Unit information'!$A$2:$K$29,3,FALSE)*S100,0)*(1+$E$9)</f>
        <v>0</v>
      </c>
      <c r="AV100" s="107">
        <f>_xlfn.IFNA($M100/VLOOKUP($BT100,'Unit information'!$A$2:$K$29,4,FALSE)*T100,0)*(1+$E$9)</f>
        <v>0</v>
      </c>
      <c r="AW100" s="107">
        <f>_xlfn.IFNA($M100/VLOOKUP($BT100,'Unit information'!$A$2:$K$29,5,FALSE)*U100,0)*(1+$E$9)</f>
        <v>0</v>
      </c>
      <c r="AX100" s="107">
        <f>_xlfn.IFNA($M100/VLOOKUP($BU100,'Unit information'!$A$2:$K$29,6,FALSE)*V100,0)*(1+$E$9)</f>
        <v>0</v>
      </c>
      <c r="AY100" s="107">
        <f>_xlfn.IFNA($M100/VLOOKUP($BU100,'Unit information'!$A$2:$K$29,7,FALSE)*W100,0)*(1+$E$9)</f>
        <v>0</v>
      </c>
      <c r="AZ100" s="107">
        <f>_xlfn.IFNA($M100/VLOOKUP($BU100,'Unit information'!$A$2:$K$29,8,FALSE)*X100,0)*(1+$E$9)</f>
        <v>0</v>
      </c>
      <c r="BA100" s="107">
        <f>_xlfn.IFNA($M100/VLOOKUP($BU100,'Unit information'!$A$2:$K$29,9,FALSE)*Y100,0)*(1+$E$9)</f>
        <v>0</v>
      </c>
      <c r="BB100" s="107">
        <f>_xlfn.IFNA($M100/VLOOKUP($BV100,'Unit information'!$A$2:$K$29,10,FALSE)*Z100,0)*(1+$E$9)</f>
        <v>0</v>
      </c>
      <c r="BC100" s="108">
        <f>_xlfn.IFNA($M100/VLOOKUP($BV100,'Unit information'!$A$2:$K$29,11,FALSE)*AA100,0)*(1+$E$9)</f>
        <v>0</v>
      </c>
      <c r="BD100" s="106">
        <f t="shared" si="162"/>
        <v>0</v>
      </c>
      <c r="BE100" s="107">
        <f t="shared" si="163"/>
        <v>0</v>
      </c>
      <c r="BF100" s="108">
        <f t="shared" si="164"/>
        <v>0</v>
      </c>
      <c r="BG100" s="25" t="e">
        <f t="shared" si="165"/>
        <v>#N/A</v>
      </c>
      <c r="BH100" s="25" t="e">
        <f t="shared" si="166"/>
        <v>#N/A</v>
      </c>
      <c r="BI100" s="25" t="e">
        <f t="shared" si="167"/>
        <v>#N/A</v>
      </c>
      <c r="BJ100" s="27" t="e">
        <f t="shared" si="168"/>
        <v>#N/A</v>
      </c>
      <c r="BK100" s="18" t="e">
        <f t="shared" si="169"/>
        <v>#N/A</v>
      </c>
      <c r="BL100" s="18" t="e">
        <f t="shared" si="170"/>
        <v>#N/A</v>
      </c>
      <c r="BM100" s="28" t="e">
        <f t="shared" si="233"/>
        <v>#N/A</v>
      </c>
      <c r="BN100" s="33">
        <f>HLOOKUP("maximum population",Miscelaneous!$C$1:$C$33,CH100+3,FALSE)</f>
        <v>240</v>
      </c>
      <c r="BO100" s="14">
        <f t="shared" si="182"/>
        <v>32</v>
      </c>
      <c r="BP100" s="14">
        <f t="shared" si="183"/>
        <v>0</v>
      </c>
      <c r="BQ100" s="14">
        <f t="shared" si="184"/>
        <v>208</v>
      </c>
      <c r="BR100" s="34" t="e">
        <f>HLOOKUP(J100,Villagers!$B$1:$V$33,L100+3,FALSE)-HLOOKUP(J100,Villagers!$B$1:$V$33,L100+2,FALSE)</f>
        <v>#N/A</v>
      </c>
      <c r="BS100" s="49">
        <f t="shared" si="185"/>
        <v>1</v>
      </c>
      <c r="BT100" s="50">
        <f t="shared" si="186"/>
        <v>0</v>
      </c>
      <c r="BU100" s="50">
        <f t="shared" si="187"/>
        <v>0</v>
      </c>
      <c r="BV100" s="50">
        <f t="shared" si="188"/>
        <v>0</v>
      </c>
      <c r="BW100" s="50">
        <f t="shared" si="258"/>
        <v>0</v>
      </c>
      <c r="BX100" s="50">
        <f t="shared" si="258"/>
        <v>0</v>
      </c>
      <c r="BY100" s="50">
        <f t="shared" si="258"/>
        <v>0</v>
      </c>
      <c r="BZ100" s="50">
        <f t="shared" si="245"/>
        <v>0</v>
      </c>
      <c r="CA100" s="50">
        <f t="shared" si="246"/>
        <v>0</v>
      </c>
      <c r="CB100" s="50">
        <f t="shared" si="247"/>
        <v>1</v>
      </c>
      <c r="CC100" s="50">
        <f t="shared" si="248"/>
        <v>0</v>
      </c>
      <c r="CD100" s="50">
        <f t="shared" si="249"/>
        <v>0</v>
      </c>
      <c r="CE100" s="50">
        <f t="shared" si="250"/>
        <v>1</v>
      </c>
      <c r="CF100" s="50">
        <f t="shared" si="251"/>
        <v>1</v>
      </c>
      <c r="CG100" s="50">
        <f t="shared" si="252"/>
        <v>1</v>
      </c>
      <c r="CH100" s="50">
        <f t="shared" si="253"/>
        <v>1</v>
      </c>
      <c r="CI100" s="50">
        <f t="shared" si="254"/>
        <v>1</v>
      </c>
      <c r="CJ100" s="50">
        <f t="shared" si="255"/>
        <v>1</v>
      </c>
      <c r="CK100" s="50">
        <f t="shared" si="255"/>
        <v>0</v>
      </c>
      <c r="CL100" s="50">
        <f t="shared" si="255"/>
        <v>0</v>
      </c>
      <c r="CM100" s="51">
        <f t="shared" si="256"/>
        <v>0</v>
      </c>
      <c r="CN100" s="33">
        <f>ROUND(IF(BS100=0,0,HLOOKUP(BS$14,Villagers!$B$1:$V$33,BS100+3,FALSE)),)</f>
        <v>5</v>
      </c>
      <c r="CO100" s="14">
        <f>ROUND(IF(BT100=0,0,HLOOKUP(BT$14,Villagers!$B$1:$V$33,BT100+3,FALSE)),)</f>
        <v>0</v>
      </c>
      <c r="CP100" s="14">
        <f>ROUND(IF(BU100=0,0,HLOOKUP(BU$14,Villagers!$B$1:$V$33,BU100+3,FALSE)),)</f>
        <v>0</v>
      </c>
      <c r="CQ100" s="14">
        <f>ROUND(IF(BV100=0,0,HLOOKUP(BV$14,Villagers!$B$1:$V$33,BV100+3,FALSE)),)</f>
        <v>0</v>
      </c>
      <c r="CR100" s="14">
        <f>ROUND(IF(BW100=0,0,HLOOKUP(BW$14,Villagers!$B$1:$V$33,BW100+3,FALSE)),)</f>
        <v>0</v>
      </c>
      <c r="CS100" s="14">
        <f>ROUND(IF(BX100=0,0,HLOOKUP(BX$14,Villagers!$B$1:$V$33,BX100+3,FALSE)),)</f>
        <v>0</v>
      </c>
      <c r="CT100" s="14">
        <f>ROUND(IF(BY100=0,0,HLOOKUP(BY$14,Villagers!$B$1:$V$33,BY100+3,FALSE)),)</f>
        <v>0</v>
      </c>
      <c r="CU100" s="14">
        <f>ROUND(IF(BZ100=0,0,HLOOKUP(BZ$14,Villagers!$B$1:$V$33,BZ100+3,FALSE)),)</f>
        <v>0</v>
      </c>
      <c r="CV100" s="14">
        <f>ROUND(IF(CA100=0,0,HLOOKUP(CA$14,Villagers!$B$1:$V$33,CA100+3,FALSE)),)</f>
        <v>0</v>
      </c>
      <c r="CW100" s="14">
        <f>ROUND(IF(CB100=0,0,HLOOKUP(CB$14,Villagers!$B$1:$V$33,CB100+3,FALSE)),)</f>
        <v>0</v>
      </c>
      <c r="CX100" s="14">
        <f>ROUND(IF(CC100=0,0,HLOOKUP(CC$14,Villagers!$B$1:$V$33,CC100+3,FALSE)),)</f>
        <v>0</v>
      </c>
      <c r="CY100" s="14">
        <f>ROUND(IF(CD100=0,0,HLOOKUP(CD$14,Villagers!$B$1:$V$33,CD100+3,FALSE)),)</f>
        <v>0</v>
      </c>
      <c r="CZ100" s="14">
        <f>ROUND(IF(CE100=0,0,HLOOKUP(CE$14,Villagers!$B$1:$V$33,CE100+3,FALSE)),)</f>
        <v>5</v>
      </c>
      <c r="DA100" s="14">
        <f>ROUND(IF(CF100=0,0,HLOOKUP(CF$14,Villagers!$B$1:$V$33,CF100+3,FALSE)),)</f>
        <v>10</v>
      </c>
      <c r="DB100" s="14">
        <f>ROUND(IF(CG100=0,0,HLOOKUP(CG$14,Villagers!$B$1:$V$33,CG100+3,FALSE)),)</f>
        <v>10</v>
      </c>
      <c r="DC100" s="14">
        <f>ROUND(IF(CH100=0,0,HLOOKUP(CH$14,Villagers!$B$1:$V$33,CH100+3,FALSE)),)</f>
        <v>0</v>
      </c>
      <c r="DD100" s="14">
        <f>ROUND(IF(CI100=0,0,HLOOKUP(CI$14,Villagers!$B$1:$V$33,CI100+3,FALSE)),)</f>
        <v>0</v>
      </c>
      <c r="DE100" s="14">
        <f>ROUND(IF(CJ100=0,0,HLOOKUP(CJ$14,Villagers!$B$1:$V$33,CJ100+3,FALSE)),)</f>
        <v>2</v>
      </c>
      <c r="DF100" s="370">
        <f>ROUND(IF(CK100=0,0,HLOOKUP(CK$14,Villagers!$B$1:$V$33,CK100+3,FALSE)),)</f>
        <v>0</v>
      </c>
      <c r="DG100" s="370">
        <f>ROUND(IF(CL100=0,0,HLOOKUP(CL$14,Villagers!$B$1:$V$33,CL100+3,FALSE)),)</f>
        <v>0</v>
      </c>
      <c r="DH100" s="34">
        <f>ROUND(IF(CM100=0,0,HLOOKUP(CM$14,Villagers!$B$1:$V$33,CM100+3,FALSE)),)</f>
        <v>0</v>
      </c>
      <c r="DI100" s="109">
        <f t="shared" si="219"/>
        <v>0</v>
      </c>
      <c r="DJ100" s="50">
        <f t="shared" si="220"/>
        <v>0</v>
      </c>
      <c r="DK100" s="50">
        <f t="shared" si="221"/>
        <v>0</v>
      </c>
      <c r="DL100" s="50">
        <f t="shared" si="222"/>
        <v>0</v>
      </c>
      <c r="DM100" s="50">
        <f t="shared" si="223"/>
        <v>0</v>
      </c>
      <c r="DN100" s="50">
        <f t="shared" si="224"/>
        <v>0</v>
      </c>
      <c r="DO100" s="50">
        <f t="shared" si="225"/>
        <v>0</v>
      </c>
      <c r="DP100" s="50">
        <f t="shared" si="226"/>
        <v>0</v>
      </c>
      <c r="DQ100" s="50">
        <f t="shared" si="203"/>
        <v>0</v>
      </c>
      <c r="DR100" s="50">
        <f t="shared" si="204"/>
        <v>0</v>
      </c>
      <c r="DS100" s="96">
        <f>Miscelaneous!$D$4*Miscelaneous!$D$2^($CI100-1)</f>
        <v>1000</v>
      </c>
      <c r="DT100" s="333">
        <f t="shared" si="171"/>
        <v>1</v>
      </c>
      <c r="DU100" s="81">
        <v>1</v>
      </c>
      <c r="DV100" s="79">
        <f t="shared" si="205"/>
        <v>0</v>
      </c>
      <c r="DW100" s="79">
        <f t="shared" si="206"/>
        <v>0</v>
      </c>
      <c r="DX100" s="79">
        <f t="shared" si="207"/>
        <v>0</v>
      </c>
      <c r="DY100" s="79">
        <v>1</v>
      </c>
      <c r="DZ100" s="79">
        <f t="shared" si="208"/>
        <v>0</v>
      </c>
      <c r="EA100" s="79">
        <f t="shared" si="209"/>
        <v>0</v>
      </c>
      <c r="EB100" s="79">
        <f t="shared" si="210"/>
        <v>0</v>
      </c>
      <c r="EC100" s="79">
        <f t="shared" si="211"/>
        <v>0</v>
      </c>
      <c r="ED100" s="79">
        <v>1</v>
      </c>
      <c r="EE100" s="79">
        <v>1</v>
      </c>
      <c r="EF100" s="79">
        <f t="shared" si="212"/>
        <v>0</v>
      </c>
      <c r="EG100" s="79">
        <v>1</v>
      </c>
      <c r="EH100" s="79">
        <v>1</v>
      </c>
      <c r="EI100" s="79">
        <v>1</v>
      </c>
      <c r="EJ100" s="79">
        <v>1</v>
      </c>
      <c r="EK100" s="79">
        <v>1</v>
      </c>
      <c r="EL100" s="79">
        <v>1</v>
      </c>
      <c r="EM100" s="143">
        <f t="shared" si="213"/>
        <v>0</v>
      </c>
      <c r="EN100" s="143">
        <f t="shared" si="214"/>
        <v>0</v>
      </c>
      <c r="EO100" s="82">
        <f t="shared" si="215"/>
        <v>0</v>
      </c>
    </row>
    <row r="101" spans="1:145" x14ac:dyDescent="0.25">
      <c r="A101">
        <v>87</v>
      </c>
      <c r="B101" s="172" t="e">
        <f t="shared" si="172"/>
        <v>#N/A</v>
      </c>
      <c r="C101" s="121" t="e">
        <f t="shared" ref="C101:E101" si="264">AJ101-SUM(AB101:AB105)</f>
        <v>#N/A</v>
      </c>
      <c r="D101" s="122" t="e">
        <f t="shared" si="264"/>
        <v>#N/A</v>
      </c>
      <c r="E101" s="122" t="e">
        <f t="shared" si="264"/>
        <v>#N/A</v>
      </c>
      <c r="F101" s="176" t="e">
        <f t="shared" si="154"/>
        <v>#N/A</v>
      </c>
      <c r="G101" s="121">
        <f t="shared" si="174"/>
        <v>208</v>
      </c>
      <c r="H101" s="176" t="e">
        <f t="shared" si="175"/>
        <v>#N/A</v>
      </c>
      <c r="I101" s="48">
        <v>1</v>
      </c>
      <c r="J101" s="39"/>
      <c r="K101" s="350">
        <v>1</v>
      </c>
      <c r="L101" s="34" t="e">
        <f t="shared" si="155"/>
        <v>#N/A</v>
      </c>
      <c r="M101" s="38" t="e">
        <f>(HLOOKUP(J101,'Construction Times'!$B$3:$W$34,L101+2,FALSE)*HLOOKUP("hq modifier",'Construction Times'!$W$3:$W$34,BS101+2,FALSE))*(1-$H$9)</f>
        <v>#N/A</v>
      </c>
      <c r="N101" s="426" t="e">
        <f t="shared" si="176"/>
        <v>#N/A</v>
      </c>
      <c r="O101" s="427"/>
      <c r="P101" s="430" t="e">
        <f t="shared" si="177"/>
        <v>#N/A</v>
      </c>
      <c r="Q101" s="431"/>
      <c r="R101" s="103">
        <f t="shared" si="217"/>
        <v>0</v>
      </c>
      <c r="S101" s="104">
        <f t="shared" si="217"/>
        <v>0</v>
      </c>
      <c r="T101" s="104">
        <f t="shared" si="218"/>
        <v>0</v>
      </c>
      <c r="U101" s="104">
        <f t="shared" si="218"/>
        <v>0</v>
      </c>
      <c r="V101" s="104">
        <f t="shared" si="218"/>
        <v>9.9999999999999995E-8</v>
      </c>
      <c r="W101" s="104">
        <f t="shared" si="218"/>
        <v>0</v>
      </c>
      <c r="X101" s="104">
        <f t="shared" si="116"/>
        <v>0</v>
      </c>
      <c r="Y101" s="104">
        <f t="shared" si="116"/>
        <v>9.9999999999999995E-8</v>
      </c>
      <c r="Z101" s="104">
        <f t="shared" si="116"/>
        <v>9.9999999999999995E-8</v>
      </c>
      <c r="AA101" s="105">
        <f t="shared" si="116"/>
        <v>9.9999999999999995E-8</v>
      </c>
      <c r="AB101" s="101" t="e">
        <f>$DT101*HLOOKUP($J101,'Construction Costs (timber)'!$B$1:$V$32,'Construction Planner'!$L101+2,FALSE)</f>
        <v>#N/A</v>
      </c>
      <c r="AC101" s="14" t="e">
        <f>$DT101*HLOOKUP($J101,'Construction Costs (clay)'!$B$1:$V$32,'Construction Planner'!$L101+2,FALSE)</f>
        <v>#N/A</v>
      </c>
      <c r="AD101" s="14" t="e">
        <f>$DT101*HLOOKUP($J101,'Construction Costs (iron)'!$B$1:$V$32,'Construction Planner'!$L101+2,FALSE)</f>
        <v>#N/A</v>
      </c>
      <c r="AE101" s="34" t="e">
        <f t="shared" si="230"/>
        <v>#N/A</v>
      </c>
      <c r="AF101" s="33" t="e">
        <f t="shared" si="156"/>
        <v>#N/A</v>
      </c>
      <c r="AG101" s="14" t="e">
        <f t="shared" si="157"/>
        <v>#N/A</v>
      </c>
      <c r="AH101" s="14" t="e">
        <f t="shared" si="158"/>
        <v>#N/A</v>
      </c>
      <c r="AI101" s="34" t="e">
        <f t="shared" si="231"/>
        <v>#N/A</v>
      </c>
      <c r="AJ101" s="49" t="e">
        <f t="shared" si="178"/>
        <v>#N/A</v>
      </c>
      <c r="AK101" s="49" t="e">
        <f t="shared" si="179"/>
        <v>#N/A</v>
      </c>
      <c r="AL101" s="49" t="e">
        <f t="shared" si="180"/>
        <v>#N/A</v>
      </c>
      <c r="AM101" s="25">
        <f t="shared" si="159"/>
        <v>30</v>
      </c>
      <c r="AN101" s="25">
        <f t="shared" si="160"/>
        <v>30</v>
      </c>
      <c r="AO101" s="25">
        <f t="shared" si="161"/>
        <v>30</v>
      </c>
      <c r="AP101" s="52" t="e">
        <f t="shared" si="181"/>
        <v>#N/A</v>
      </c>
      <c r="AQ101" s="53" t="e">
        <f t="shared" si="181"/>
        <v>#N/A</v>
      </c>
      <c r="AR101" s="54" t="e">
        <f t="shared" si="181"/>
        <v>#N/A</v>
      </c>
      <c r="AS101" s="316">
        <f t="shared" si="263"/>
        <v>0</v>
      </c>
      <c r="AT101" s="106">
        <f>_xlfn.IFNA($M101/VLOOKUP($BT101,'Unit information'!$A$2:$K$29,2,FALSE)*R101,0)*(1+$E$9)</f>
        <v>0</v>
      </c>
      <c r="AU101" s="107">
        <f>_xlfn.IFNA($M101/VLOOKUP($BT101,'Unit information'!$A$2:$K$29,3,FALSE)*S101,0)*(1+$E$9)</f>
        <v>0</v>
      </c>
      <c r="AV101" s="107">
        <f>_xlfn.IFNA($M101/VLOOKUP($BT101,'Unit information'!$A$2:$K$29,4,FALSE)*T101,0)*(1+$E$9)</f>
        <v>0</v>
      </c>
      <c r="AW101" s="107">
        <f>_xlfn.IFNA($M101/VLOOKUP($BT101,'Unit information'!$A$2:$K$29,5,FALSE)*U101,0)*(1+$E$9)</f>
        <v>0</v>
      </c>
      <c r="AX101" s="107">
        <f>_xlfn.IFNA($M101/VLOOKUP($BU101,'Unit information'!$A$2:$K$29,6,FALSE)*V101,0)*(1+$E$9)</f>
        <v>0</v>
      </c>
      <c r="AY101" s="107">
        <f>_xlfn.IFNA($M101/VLOOKUP($BU101,'Unit information'!$A$2:$K$29,7,FALSE)*W101,0)*(1+$E$9)</f>
        <v>0</v>
      </c>
      <c r="AZ101" s="107">
        <f>_xlfn.IFNA($M101/VLOOKUP($BU101,'Unit information'!$A$2:$K$29,8,FALSE)*X101,0)*(1+$E$9)</f>
        <v>0</v>
      </c>
      <c r="BA101" s="107">
        <f>_xlfn.IFNA($M101/VLOOKUP($BU101,'Unit information'!$A$2:$K$29,9,FALSE)*Y101,0)*(1+$E$9)</f>
        <v>0</v>
      </c>
      <c r="BB101" s="107">
        <f>_xlfn.IFNA($M101/VLOOKUP($BV101,'Unit information'!$A$2:$K$29,10,FALSE)*Z101,0)*(1+$E$9)</f>
        <v>0</v>
      </c>
      <c r="BC101" s="108">
        <f>_xlfn.IFNA($M101/VLOOKUP($BV101,'Unit information'!$A$2:$K$29,11,FALSE)*AA101,0)*(1+$E$9)</f>
        <v>0</v>
      </c>
      <c r="BD101" s="106">
        <f t="shared" si="162"/>
        <v>0</v>
      </c>
      <c r="BE101" s="107">
        <f t="shared" si="163"/>
        <v>0</v>
      </c>
      <c r="BF101" s="108">
        <f t="shared" si="164"/>
        <v>0</v>
      </c>
      <c r="BG101" s="25" t="e">
        <f t="shared" si="165"/>
        <v>#N/A</v>
      </c>
      <c r="BH101" s="25" t="e">
        <f t="shared" si="166"/>
        <v>#N/A</v>
      </c>
      <c r="BI101" s="25" t="e">
        <f t="shared" si="167"/>
        <v>#N/A</v>
      </c>
      <c r="BJ101" s="27" t="e">
        <f t="shared" si="168"/>
        <v>#N/A</v>
      </c>
      <c r="BK101" s="18" t="e">
        <f t="shared" si="169"/>
        <v>#N/A</v>
      </c>
      <c r="BL101" s="18" t="e">
        <f t="shared" si="170"/>
        <v>#N/A</v>
      </c>
      <c r="BM101" s="28" t="e">
        <f t="shared" si="233"/>
        <v>#N/A</v>
      </c>
      <c r="BN101" s="33">
        <f>HLOOKUP("maximum population",Miscelaneous!$C$1:$C$33,CH101+3,FALSE)</f>
        <v>240</v>
      </c>
      <c r="BO101" s="14">
        <f t="shared" si="182"/>
        <v>32</v>
      </c>
      <c r="BP101" s="14">
        <f t="shared" si="183"/>
        <v>0</v>
      </c>
      <c r="BQ101" s="14">
        <f t="shared" si="184"/>
        <v>208</v>
      </c>
      <c r="BR101" s="34" t="e">
        <f>HLOOKUP(J101,Villagers!$B$1:$V$33,L101+3,FALSE)-HLOOKUP(J101,Villagers!$B$1:$V$33,L101+2,FALSE)</f>
        <v>#N/A</v>
      </c>
      <c r="BS101" s="49">
        <f t="shared" si="185"/>
        <v>1</v>
      </c>
      <c r="BT101" s="50">
        <f t="shared" si="186"/>
        <v>0</v>
      </c>
      <c r="BU101" s="50">
        <f t="shared" si="187"/>
        <v>0</v>
      </c>
      <c r="BV101" s="50">
        <f t="shared" si="188"/>
        <v>0</v>
      </c>
      <c r="BW101" s="50">
        <f t="shared" si="258"/>
        <v>0</v>
      </c>
      <c r="BX101" s="50">
        <f t="shared" si="258"/>
        <v>0</v>
      </c>
      <c r="BY101" s="50">
        <f t="shared" si="258"/>
        <v>0</v>
      </c>
      <c r="BZ101" s="50">
        <f t="shared" si="245"/>
        <v>0</v>
      </c>
      <c r="CA101" s="50">
        <f t="shared" si="246"/>
        <v>0</v>
      </c>
      <c r="CB101" s="50">
        <f t="shared" si="247"/>
        <v>1</v>
      </c>
      <c r="CC101" s="50">
        <f t="shared" si="248"/>
        <v>0</v>
      </c>
      <c r="CD101" s="50">
        <f t="shared" si="249"/>
        <v>0</v>
      </c>
      <c r="CE101" s="50">
        <f t="shared" si="250"/>
        <v>1</v>
      </c>
      <c r="CF101" s="50">
        <f t="shared" si="251"/>
        <v>1</v>
      </c>
      <c r="CG101" s="50">
        <f t="shared" si="252"/>
        <v>1</v>
      </c>
      <c r="CH101" s="50">
        <f t="shared" si="253"/>
        <v>1</v>
      </c>
      <c r="CI101" s="50">
        <f t="shared" si="254"/>
        <v>1</v>
      </c>
      <c r="CJ101" s="50">
        <f t="shared" si="255"/>
        <v>1</v>
      </c>
      <c r="CK101" s="50">
        <f t="shared" si="255"/>
        <v>0</v>
      </c>
      <c r="CL101" s="50">
        <f t="shared" si="255"/>
        <v>0</v>
      </c>
      <c r="CM101" s="51">
        <f t="shared" si="256"/>
        <v>0</v>
      </c>
      <c r="CN101" s="33">
        <f>ROUND(IF(BS101=0,0,HLOOKUP(BS$14,Villagers!$B$1:$V$33,BS101+3,FALSE)),)</f>
        <v>5</v>
      </c>
      <c r="CO101" s="14">
        <f>ROUND(IF(BT101=0,0,HLOOKUP(BT$14,Villagers!$B$1:$V$33,BT101+3,FALSE)),)</f>
        <v>0</v>
      </c>
      <c r="CP101" s="14">
        <f>ROUND(IF(BU101=0,0,HLOOKUP(BU$14,Villagers!$B$1:$V$33,BU101+3,FALSE)),)</f>
        <v>0</v>
      </c>
      <c r="CQ101" s="14">
        <f>ROUND(IF(BV101=0,0,HLOOKUP(BV$14,Villagers!$B$1:$V$33,BV101+3,FALSE)),)</f>
        <v>0</v>
      </c>
      <c r="CR101" s="14">
        <f>ROUND(IF(BW101=0,0,HLOOKUP(BW$14,Villagers!$B$1:$V$33,BW101+3,FALSE)),)</f>
        <v>0</v>
      </c>
      <c r="CS101" s="14">
        <f>ROUND(IF(BX101=0,0,HLOOKUP(BX$14,Villagers!$B$1:$V$33,BX101+3,FALSE)),)</f>
        <v>0</v>
      </c>
      <c r="CT101" s="14">
        <f>ROUND(IF(BY101=0,0,HLOOKUP(BY$14,Villagers!$B$1:$V$33,BY101+3,FALSE)),)</f>
        <v>0</v>
      </c>
      <c r="CU101" s="14">
        <f>ROUND(IF(BZ101=0,0,HLOOKUP(BZ$14,Villagers!$B$1:$V$33,BZ101+3,FALSE)),)</f>
        <v>0</v>
      </c>
      <c r="CV101" s="14">
        <f>ROUND(IF(CA101=0,0,HLOOKUP(CA$14,Villagers!$B$1:$V$33,CA101+3,FALSE)),)</f>
        <v>0</v>
      </c>
      <c r="CW101" s="14">
        <f>ROUND(IF(CB101=0,0,HLOOKUP(CB$14,Villagers!$B$1:$V$33,CB101+3,FALSE)),)</f>
        <v>0</v>
      </c>
      <c r="CX101" s="14">
        <f>ROUND(IF(CC101=0,0,HLOOKUP(CC$14,Villagers!$B$1:$V$33,CC101+3,FALSE)),)</f>
        <v>0</v>
      </c>
      <c r="CY101" s="14">
        <f>ROUND(IF(CD101=0,0,HLOOKUP(CD$14,Villagers!$B$1:$V$33,CD101+3,FALSE)),)</f>
        <v>0</v>
      </c>
      <c r="CZ101" s="14">
        <f>ROUND(IF(CE101=0,0,HLOOKUP(CE$14,Villagers!$B$1:$V$33,CE101+3,FALSE)),)</f>
        <v>5</v>
      </c>
      <c r="DA101" s="14">
        <f>ROUND(IF(CF101=0,0,HLOOKUP(CF$14,Villagers!$B$1:$V$33,CF101+3,FALSE)),)</f>
        <v>10</v>
      </c>
      <c r="DB101" s="14">
        <f>ROUND(IF(CG101=0,0,HLOOKUP(CG$14,Villagers!$B$1:$V$33,CG101+3,FALSE)),)</f>
        <v>10</v>
      </c>
      <c r="DC101" s="14">
        <f>ROUND(IF(CH101=0,0,HLOOKUP(CH$14,Villagers!$B$1:$V$33,CH101+3,FALSE)),)</f>
        <v>0</v>
      </c>
      <c r="DD101" s="14">
        <f>ROUND(IF(CI101=0,0,HLOOKUP(CI$14,Villagers!$B$1:$V$33,CI101+3,FALSE)),)</f>
        <v>0</v>
      </c>
      <c r="DE101" s="14">
        <f>ROUND(IF(CJ101=0,0,HLOOKUP(CJ$14,Villagers!$B$1:$V$33,CJ101+3,FALSE)),)</f>
        <v>2</v>
      </c>
      <c r="DF101" s="370">
        <f>ROUND(IF(CK101=0,0,HLOOKUP(CK$14,Villagers!$B$1:$V$33,CK101+3,FALSE)),)</f>
        <v>0</v>
      </c>
      <c r="DG101" s="370">
        <f>ROUND(IF(CL101=0,0,HLOOKUP(CL$14,Villagers!$B$1:$V$33,CL101+3,FALSE)),)</f>
        <v>0</v>
      </c>
      <c r="DH101" s="34">
        <f>ROUND(IF(CM101=0,0,HLOOKUP(CM$14,Villagers!$B$1:$V$33,CM101+3,FALSE)),)</f>
        <v>0</v>
      </c>
      <c r="DI101" s="109">
        <f t="shared" si="219"/>
        <v>0</v>
      </c>
      <c r="DJ101" s="50">
        <f t="shared" si="220"/>
        <v>0</v>
      </c>
      <c r="DK101" s="50">
        <f t="shared" si="221"/>
        <v>0</v>
      </c>
      <c r="DL101" s="50">
        <f t="shared" si="222"/>
        <v>0</v>
      </c>
      <c r="DM101" s="50">
        <f t="shared" si="223"/>
        <v>0</v>
      </c>
      <c r="DN101" s="50">
        <f t="shared" si="224"/>
        <v>0</v>
      </c>
      <c r="DO101" s="50">
        <f t="shared" si="225"/>
        <v>0</v>
      </c>
      <c r="DP101" s="50">
        <f t="shared" si="226"/>
        <v>0</v>
      </c>
      <c r="DQ101" s="50">
        <f t="shared" si="203"/>
        <v>0</v>
      </c>
      <c r="DR101" s="50">
        <f t="shared" si="204"/>
        <v>0</v>
      </c>
      <c r="DS101" s="96">
        <f>Miscelaneous!$D$4*Miscelaneous!$D$2^($CI101-1)</f>
        <v>1000</v>
      </c>
      <c r="DT101" s="333">
        <f t="shared" si="171"/>
        <v>1</v>
      </c>
      <c r="DU101" s="81">
        <v>1</v>
      </c>
      <c r="DV101" s="79">
        <f t="shared" si="205"/>
        <v>0</v>
      </c>
      <c r="DW101" s="79">
        <f t="shared" si="206"/>
        <v>0</v>
      </c>
      <c r="DX101" s="79">
        <f t="shared" si="207"/>
        <v>0</v>
      </c>
      <c r="DY101" s="79">
        <v>1</v>
      </c>
      <c r="DZ101" s="79">
        <f t="shared" si="208"/>
        <v>0</v>
      </c>
      <c r="EA101" s="79">
        <f t="shared" si="209"/>
        <v>0</v>
      </c>
      <c r="EB101" s="79">
        <f t="shared" si="210"/>
        <v>0</v>
      </c>
      <c r="EC101" s="79">
        <f t="shared" si="211"/>
        <v>0</v>
      </c>
      <c r="ED101" s="79">
        <v>1</v>
      </c>
      <c r="EE101" s="79">
        <v>1</v>
      </c>
      <c r="EF101" s="79">
        <f t="shared" si="212"/>
        <v>0</v>
      </c>
      <c r="EG101" s="79">
        <v>1</v>
      </c>
      <c r="EH101" s="79">
        <v>1</v>
      </c>
      <c r="EI101" s="79">
        <v>1</v>
      </c>
      <c r="EJ101" s="79">
        <v>1</v>
      </c>
      <c r="EK101" s="79">
        <v>1</v>
      </c>
      <c r="EL101" s="79">
        <v>1</v>
      </c>
      <c r="EM101" s="143">
        <f t="shared" si="213"/>
        <v>0</v>
      </c>
      <c r="EN101" s="143">
        <f t="shared" si="214"/>
        <v>0</v>
      </c>
      <c r="EO101" s="82">
        <f t="shared" si="215"/>
        <v>0</v>
      </c>
    </row>
    <row r="102" spans="1:145" x14ac:dyDescent="0.25">
      <c r="A102">
        <v>88</v>
      </c>
      <c r="B102" s="172" t="e">
        <f t="shared" si="172"/>
        <v>#N/A</v>
      </c>
      <c r="C102" s="121" t="e">
        <f t="shared" ref="C102:E102" si="265">AJ102-SUM(AB102:AB106)</f>
        <v>#N/A</v>
      </c>
      <c r="D102" s="122" t="e">
        <f t="shared" si="265"/>
        <v>#N/A</v>
      </c>
      <c r="E102" s="122" t="e">
        <f t="shared" si="265"/>
        <v>#N/A</v>
      </c>
      <c r="F102" s="176" t="e">
        <f t="shared" si="154"/>
        <v>#N/A</v>
      </c>
      <c r="G102" s="121">
        <f t="shared" si="174"/>
        <v>208</v>
      </c>
      <c r="H102" s="176" t="e">
        <f t="shared" si="175"/>
        <v>#N/A</v>
      </c>
      <c r="I102" s="48">
        <v>1</v>
      </c>
      <c r="J102" s="39"/>
      <c r="K102" s="350">
        <v>1</v>
      </c>
      <c r="L102" s="34" t="e">
        <f t="shared" si="155"/>
        <v>#N/A</v>
      </c>
      <c r="M102" s="38" t="e">
        <f>(HLOOKUP(J102,'Construction Times'!$B$3:$W$34,L102+2,FALSE)*HLOOKUP("hq modifier",'Construction Times'!$W$3:$W$34,BS102+2,FALSE))*(1-$H$9)</f>
        <v>#N/A</v>
      </c>
      <c r="N102" s="426" t="e">
        <f t="shared" si="176"/>
        <v>#N/A</v>
      </c>
      <c r="O102" s="427"/>
      <c r="P102" s="430" t="e">
        <f t="shared" si="177"/>
        <v>#N/A</v>
      </c>
      <c r="Q102" s="431"/>
      <c r="R102" s="103">
        <f t="shared" si="217"/>
        <v>0</v>
      </c>
      <c r="S102" s="104">
        <f t="shared" si="217"/>
        <v>0</v>
      </c>
      <c r="T102" s="104">
        <f t="shared" si="218"/>
        <v>0</v>
      </c>
      <c r="U102" s="104">
        <f t="shared" si="218"/>
        <v>0</v>
      </c>
      <c r="V102" s="104">
        <f t="shared" si="218"/>
        <v>9.9999999999999995E-8</v>
      </c>
      <c r="W102" s="104">
        <f t="shared" si="218"/>
        <v>0</v>
      </c>
      <c r="X102" s="104">
        <f t="shared" si="116"/>
        <v>0</v>
      </c>
      <c r="Y102" s="104">
        <f t="shared" si="116"/>
        <v>9.9999999999999995E-8</v>
      </c>
      <c r="Z102" s="104">
        <f t="shared" si="116"/>
        <v>9.9999999999999995E-8</v>
      </c>
      <c r="AA102" s="105">
        <f t="shared" si="116"/>
        <v>9.9999999999999995E-8</v>
      </c>
      <c r="AB102" s="101" t="e">
        <f>$DT102*HLOOKUP($J102,'Construction Costs (timber)'!$B$1:$V$32,'Construction Planner'!$L102+2,FALSE)</f>
        <v>#N/A</v>
      </c>
      <c r="AC102" s="14" t="e">
        <f>$DT102*HLOOKUP($J102,'Construction Costs (clay)'!$B$1:$V$32,'Construction Planner'!$L102+2,FALSE)</f>
        <v>#N/A</v>
      </c>
      <c r="AD102" s="14" t="e">
        <f>$DT102*HLOOKUP($J102,'Construction Costs (iron)'!$B$1:$V$32,'Construction Planner'!$L102+2,FALSE)</f>
        <v>#N/A</v>
      </c>
      <c r="AE102" s="34" t="e">
        <f t="shared" si="230"/>
        <v>#N/A</v>
      </c>
      <c r="AF102" s="33" t="e">
        <f t="shared" si="156"/>
        <v>#N/A</v>
      </c>
      <c r="AG102" s="14" t="e">
        <f t="shared" si="157"/>
        <v>#N/A</v>
      </c>
      <c r="AH102" s="14" t="e">
        <f t="shared" si="158"/>
        <v>#N/A</v>
      </c>
      <c r="AI102" s="34" t="e">
        <f t="shared" si="231"/>
        <v>#N/A</v>
      </c>
      <c r="AJ102" s="49" t="e">
        <f t="shared" si="178"/>
        <v>#N/A</v>
      </c>
      <c r="AK102" s="49" t="e">
        <f t="shared" si="179"/>
        <v>#N/A</v>
      </c>
      <c r="AL102" s="49" t="e">
        <f t="shared" si="180"/>
        <v>#N/A</v>
      </c>
      <c r="AM102" s="25">
        <f t="shared" si="159"/>
        <v>30</v>
      </c>
      <c r="AN102" s="25">
        <f t="shared" si="160"/>
        <v>30</v>
      </c>
      <c r="AO102" s="25">
        <f t="shared" si="161"/>
        <v>30</v>
      </c>
      <c r="AP102" s="52" t="e">
        <f t="shared" si="181"/>
        <v>#N/A</v>
      </c>
      <c r="AQ102" s="53" t="e">
        <f t="shared" si="181"/>
        <v>#N/A</v>
      </c>
      <c r="AR102" s="54" t="e">
        <f t="shared" si="181"/>
        <v>#N/A</v>
      </c>
      <c r="AS102" s="316">
        <f t="shared" si="263"/>
        <v>0</v>
      </c>
      <c r="AT102" s="106">
        <f>_xlfn.IFNA($M102/VLOOKUP($BT102,'Unit information'!$A$2:$K$29,2,FALSE)*R102,0)*(1+$E$9)</f>
        <v>0</v>
      </c>
      <c r="AU102" s="107">
        <f>_xlfn.IFNA($M102/VLOOKUP($BT102,'Unit information'!$A$2:$K$29,3,FALSE)*S102,0)*(1+$E$9)</f>
        <v>0</v>
      </c>
      <c r="AV102" s="107">
        <f>_xlfn.IFNA($M102/VLOOKUP($BT102,'Unit information'!$A$2:$K$29,4,FALSE)*T102,0)*(1+$E$9)</f>
        <v>0</v>
      </c>
      <c r="AW102" s="107">
        <f>_xlfn.IFNA($M102/VLOOKUP($BT102,'Unit information'!$A$2:$K$29,5,FALSE)*U102,0)*(1+$E$9)</f>
        <v>0</v>
      </c>
      <c r="AX102" s="107">
        <f>_xlfn.IFNA($M102/VLOOKUP($BU102,'Unit information'!$A$2:$K$29,6,FALSE)*V102,0)*(1+$E$9)</f>
        <v>0</v>
      </c>
      <c r="AY102" s="107">
        <f>_xlfn.IFNA($M102/VLOOKUP($BU102,'Unit information'!$A$2:$K$29,7,FALSE)*W102,0)*(1+$E$9)</f>
        <v>0</v>
      </c>
      <c r="AZ102" s="107">
        <f>_xlfn.IFNA($M102/VLOOKUP($BU102,'Unit information'!$A$2:$K$29,8,FALSE)*X102,0)*(1+$E$9)</f>
        <v>0</v>
      </c>
      <c r="BA102" s="107">
        <f>_xlfn.IFNA($M102/VLOOKUP($BU102,'Unit information'!$A$2:$K$29,9,FALSE)*Y102,0)*(1+$E$9)</f>
        <v>0</v>
      </c>
      <c r="BB102" s="107">
        <f>_xlfn.IFNA($M102/VLOOKUP($BV102,'Unit information'!$A$2:$K$29,10,FALSE)*Z102,0)*(1+$E$9)</f>
        <v>0</v>
      </c>
      <c r="BC102" s="108">
        <f>_xlfn.IFNA($M102/VLOOKUP($BV102,'Unit information'!$A$2:$K$29,11,FALSE)*AA102,0)*(1+$E$9)</f>
        <v>0</v>
      </c>
      <c r="BD102" s="106">
        <f t="shared" si="162"/>
        <v>0</v>
      </c>
      <c r="BE102" s="107">
        <f t="shared" si="163"/>
        <v>0</v>
      </c>
      <c r="BF102" s="108">
        <f t="shared" si="164"/>
        <v>0</v>
      </c>
      <c r="BG102" s="25" t="e">
        <f t="shared" si="165"/>
        <v>#N/A</v>
      </c>
      <c r="BH102" s="25" t="e">
        <f t="shared" si="166"/>
        <v>#N/A</v>
      </c>
      <c r="BI102" s="25" t="e">
        <f t="shared" si="167"/>
        <v>#N/A</v>
      </c>
      <c r="BJ102" s="27" t="e">
        <f t="shared" si="168"/>
        <v>#N/A</v>
      </c>
      <c r="BK102" s="18" t="e">
        <f t="shared" si="169"/>
        <v>#N/A</v>
      </c>
      <c r="BL102" s="18" t="e">
        <f t="shared" si="170"/>
        <v>#N/A</v>
      </c>
      <c r="BM102" s="28" t="e">
        <f t="shared" si="233"/>
        <v>#N/A</v>
      </c>
      <c r="BN102" s="33">
        <f>HLOOKUP("maximum population",Miscelaneous!$C$1:$C$33,CH102+3,FALSE)</f>
        <v>240</v>
      </c>
      <c r="BO102" s="14">
        <f t="shared" si="182"/>
        <v>32</v>
      </c>
      <c r="BP102" s="14">
        <f t="shared" si="183"/>
        <v>0</v>
      </c>
      <c r="BQ102" s="14">
        <f t="shared" si="184"/>
        <v>208</v>
      </c>
      <c r="BR102" s="34" t="e">
        <f>HLOOKUP(J102,Villagers!$B$1:$V$33,L102+3,FALSE)-HLOOKUP(J102,Villagers!$B$1:$V$33,L102+2,FALSE)</f>
        <v>#N/A</v>
      </c>
      <c r="BS102" s="49">
        <f t="shared" si="185"/>
        <v>1</v>
      </c>
      <c r="BT102" s="50">
        <f t="shared" si="186"/>
        <v>0</v>
      </c>
      <c r="BU102" s="50">
        <f t="shared" si="187"/>
        <v>0</v>
      </c>
      <c r="BV102" s="50">
        <f t="shared" si="188"/>
        <v>0</v>
      </c>
      <c r="BW102" s="50">
        <f t="shared" si="258"/>
        <v>0</v>
      </c>
      <c r="BX102" s="50">
        <f t="shared" si="258"/>
        <v>0</v>
      </c>
      <c r="BY102" s="50">
        <f t="shared" si="258"/>
        <v>0</v>
      </c>
      <c r="BZ102" s="50">
        <f t="shared" si="245"/>
        <v>0</v>
      </c>
      <c r="CA102" s="50">
        <f t="shared" si="246"/>
        <v>0</v>
      </c>
      <c r="CB102" s="50">
        <f t="shared" si="247"/>
        <v>1</v>
      </c>
      <c r="CC102" s="50">
        <f t="shared" si="248"/>
        <v>0</v>
      </c>
      <c r="CD102" s="50">
        <f t="shared" si="249"/>
        <v>0</v>
      </c>
      <c r="CE102" s="50">
        <f t="shared" si="250"/>
        <v>1</v>
      </c>
      <c r="CF102" s="50">
        <f t="shared" si="251"/>
        <v>1</v>
      </c>
      <c r="CG102" s="50">
        <f t="shared" si="252"/>
        <v>1</v>
      </c>
      <c r="CH102" s="50">
        <f t="shared" si="253"/>
        <v>1</v>
      </c>
      <c r="CI102" s="50">
        <f t="shared" si="254"/>
        <v>1</v>
      </c>
      <c r="CJ102" s="50">
        <f t="shared" si="255"/>
        <v>1</v>
      </c>
      <c r="CK102" s="50">
        <f t="shared" si="255"/>
        <v>0</v>
      </c>
      <c r="CL102" s="50">
        <f t="shared" si="255"/>
        <v>0</v>
      </c>
      <c r="CM102" s="51">
        <f t="shared" si="256"/>
        <v>0</v>
      </c>
      <c r="CN102" s="33">
        <f>ROUND(IF(BS102=0,0,HLOOKUP(BS$14,Villagers!$B$1:$V$33,BS102+3,FALSE)),)</f>
        <v>5</v>
      </c>
      <c r="CO102" s="14">
        <f>ROUND(IF(BT102=0,0,HLOOKUP(BT$14,Villagers!$B$1:$V$33,BT102+3,FALSE)),)</f>
        <v>0</v>
      </c>
      <c r="CP102" s="14">
        <f>ROUND(IF(BU102=0,0,HLOOKUP(BU$14,Villagers!$B$1:$V$33,BU102+3,FALSE)),)</f>
        <v>0</v>
      </c>
      <c r="CQ102" s="14">
        <f>ROUND(IF(BV102=0,0,HLOOKUP(BV$14,Villagers!$B$1:$V$33,BV102+3,FALSE)),)</f>
        <v>0</v>
      </c>
      <c r="CR102" s="14">
        <f>ROUND(IF(BW102=0,0,HLOOKUP(BW$14,Villagers!$B$1:$V$33,BW102+3,FALSE)),)</f>
        <v>0</v>
      </c>
      <c r="CS102" s="14">
        <f>ROUND(IF(BX102=0,0,HLOOKUP(BX$14,Villagers!$B$1:$V$33,BX102+3,FALSE)),)</f>
        <v>0</v>
      </c>
      <c r="CT102" s="14">
        <f>ROUND(IF(BY102=0,0,HLOOKUP(BY$14,Villagers!$B$1:$V$33,BY102+3,FALSE)),)</f>
        <v>0</v>
      </c>
      <c r="CU102" s="14">
        <f>ROUND(IF(BZ102=0,0,HLOOKUP(BZ$14,Villagers!$B$1:$V$33,BZ102+3,FALSE)),)</f>
        <v>0</v>
      </c>
      <c r="CV102" s="14">
        <f>ROUND(IF(CA102=0,0,HLOOKUP(CA$14,Villagers!$B$1:$V$33,CA102+3,FALSE)),)</f>
        <v>0</v>
      </c>
      <c r="CW102" s="14">
        <f>ROUND(IF(CB102=0,0,HLOOKUP(CB$14,Villagers!$B$1:$V$33,CB102+3,FALSE)),)</f>
        <v>0</v>
      </c>
      <c r="CX102" s="14">
        <f>ROUND(IF(CC102=0,0,HLOOKUP(CC$14,Villagers!$B$1:$V$33,CC102+3,FALSE)),)</f>
        <v>0</v>
      </c>
      <c r="CY102" s="14">
        <f>ROUND(IF(CD102=0,0,HLOOKUP(CD$14,Villagers!$B$1:$V$33,CD102+3,FALSE)),)</f>
        <v>0</v>
      </c>
      <c r="CZ102" s="14">
        <f>ROUND(IF(CE102=0,0,HLOOKUP(CE$14,Villagers!$B$1:$V$33,CE102+3,FALSE)),)</f>
        <v>5</v>
      </c>
      <c r="DA102" s="14">
        <f>ROUND(IF(CF102=0,0,HLOOKUP(CF$14,Villagers!$B$1:$V$33,CF102+3,FALSE)),)</f>
        <v>10</v>
      </c>
      <c r="DB102" s="14">
        <f>ROUND(IF(CG102=0,0,HLOOKUP(CG$14,Villagers!$B$1:$V$33,CG102+3,FALSE)),)</f>
        <v>10</v>
      </c>
      <c r="DC102" s="14">
        <f>ROUND(IF(CH102=0,0,HLOOKUP(CH$14,Villagers!$B$1:$V$33,CH102+3,FALSE)),)</f>
        <v>0</v>
      </c>
      <c r="DD102" s="14">
        <f>ROUND(IF(CI102=0,0,HLOOKUP(CI$14,Villagers!$B$1:$V$33,CI102+3,FALSE)),)</f>
        <v>0</v>
      </c>
      <c r="DE102" s="14">
        <f>ROUND(IF(CJ102=0,0,HLOOKUP(CJ$14,Villagers!$B$1:$V$33,CJ102+3,FALSE)),)</f>
        <v>2</v>
      </c>
      <c r="DF102" s="370">
        <f>ROUND(IF(CK102=0,0,HLOOKUP(CK$14,Villagers!$B$1:$V$33,CK102+3,FALSE)),)</f>
        <v>0</v>
      </c>
      <c r="DG102" s="370">
        <f>ROUND(IF(CL102=0,0,HLOOKUP(CL$14,Villagers!$B$1:$V$33,CL102+3,FALSE)),)</f>
        <v>0</v>
      </c>
      <c r="DH102" s="34">
        <f>ROUND(IF(CM102=0,0,HLOOKUP(CM$14,Villagers!$B$1:$V$33,CM102+3,FALSE)),)</f>
        <v>0</v>
      </c>
      <c r="DI102" s="109">
        <f t="shared" si="219"/>
        <v>0</v>
      </c>
      <c r="DJ102" s="50">
        <f t="shared" si="220"/>
        <v>0</v>
      </c>
      <c r="DK102" s="50">
        <f t="shared" si="221"/>
        <v>0</v>
      </c>
      <c r="DL102" s="50">
        <f t="shared" si="222"/>
        <v>0</v>
      </c>
      <c r="DM102" s="50">
        <f t="shared" si="223"/>
        <v>0</v>
      </c>
      <c r="DN102" s="50">
        <f t="shared" si="224"/>
        <v>0</v>
      </c>
      <c r="DO102" s="50">
        <f t="shared" si="225"/>
        <v>0</v>
      </c>
      <c r="DP102" s="50">
        <f t="shared" si="226"/>
        <v>0</v>
      </c>
      <c r="DQ102" s="50">
        <f t="shared" si="203"/>
        <v>0</v>
      </c>
      <c r="DR102" s="50">
        <f t="shared" si="204"/>
        <v>0</v>
      </c>
      <c r="DS102" s="96">
        <f>Miscelaneous!$D$4*Miscelaneous!$D$2^($CI102-1)</f>
        <v>1000</v>
      </c>
      <c r="DT102" s="333">
        <f t="shared" si="171"/>
        <v>1</v>
      </c>
      <c r="DU102" s="81">
        <v>1</v>
      </c>
      <c r="DV102" s="79">
        <f t="shared" si="205"/>
        <v>0</v>
      </c>
      <c r="DW102" s="79">
        <f t="shared" si="206"/>
        <v>0</v>
      </c>
      <c r="DX102" s="79">
        <f t="shared" si="207"/>
        <v>0</v>
      </c>
      <c r="DY102" s="79">
        <v>1</v>
      </c>
      <c r="DZ102" s="79">
        <f t="shared" si="208"/>
        <v>0</v>
      </c>
      <c r="EA102" s="79">
        <f t="shared" si="209"/>
        <v>0</v>
      </c>
      <c r="EB102" s="79">
        <f t="shared" si="210"/>
        <v>0</v>
      </c>
      <c r="EC102" s="79">
        <f t="shared" si="211"/>
        <v>0</v>
      </c>
      <c r="ED102" s="79">
        <v>1</v>
      </c>
      <c r="EE102" s="79">
        <v>1</v>
      </c>
      <c r="EF102" s="79">
        <f t="shared" si="212"/>
        <v>0</v>
      </c>
      <c r="EG102" s="79">
        <v>1</v>
      </c>
      <c r="EH102" s="79">
        <v>1</v>
      </c>
      <c r="EI102" s="79">
        <v>1</v>
      </c>
      <c r="EJ102" s="79">
        <v>1</v>
      </c>
      <c r="EK102" s="79">
        <v>1</v>
      </c>
      <c r="EL102" s="79">
        <v>1</v>
      </c>
      <c r="EM102" s="143">
        <f t="shared" si="213"/>
        <v>0</v>
      </c>
      <c r="EN102" s="143">
        <f t="shared" si="214"/>
        <v>0</v>
      </c>
      <c r="EO102" s="82">
        <f t="shared" si="215"/>
        <v>0</v>
      </c>
    </row>
    <row r="103" spans="1:145" x14ac:dyDescent="0.25">
      <c r="A103">
        <v>89</v>
      </c>
      <c r="B103" s="172" t="e">
        <f t="shared" si="172"/>
        <v>#N/A</v>
      </c>
      <c r="C103" s="121" t="e">
        <f t="shared" ref="C103:E103" si="266">AJ103-SUM(AB103:AB107)</f>
        <v>#N/A</v>
      </c>
      <c r="D103" s="122" t="e">
        <f t="shared" si="266"/>
        <v>#N/A</v>
      </c>
      <c r="E103" s="122" t="e">
        <f t="shared" si="266"/>
        <v>#N/A</v>
      </c>
      <c r="F103" s="176" t="e">
        <f t="shared" si="154"/>
        <v>#N/A</v>
      </c>
      <c r="G103" s="121">
        <f t="shared" si="174"/>
        <v>208</v>
      </c>
      <c r="H103" s="176" t="e">
        <f t="shared" si="175"/>
        <v>#N/A</v>
      </c>
      <c r="I103" s="48">
        <v>1</v>
      </c>
      <c r="J103" s="39"/>
      <c r="K103" s="350">
        <v>1</v>
      </c>
      <c r="L103" s="34" t="e">
        <f t="shared" si="155"/>
        <v>#N/A</v>
      </c>
      <c r="M103" s="38" t="e">
        <f>(HLOOKUP(J103,'Construction Times'!$B$3:$W$34,L103+2,FALSE)*HLOOKUP("hq modifier",'Construction Times'!$W$3:$W$34,BS103+2,FALSE))*(1-$H$9)</f>
        <v>#N/A</v>
      </c>
      <c r="N103" s="426" t="e">
        <f t="shared" si="176"/>
        <v>#N/A</v>
      </c>
      <c r="O103" s="427"/>
      <c r="P103" s="430" t="e">
        <f t="shared" si="177"/>
        <v>#N/A</v>
      </c>
      <c r="Q103" s="431"/>
      <c r="R103" s="103">
        <f t="shared" si="217"/>
        <v>0</v>
      </c>
      <c r="S103" s="104">
        <f t="shared" si="217"/>
        <v>0</v>
      </c>
      <c r="T103" s="104">
        <f t="shared" si="218"/>
        <v>0</v>
      </c>
      <c r="U103" s="104">
        <f t="shared" si="218"/>
        <v>0</v>
      </c>
      <c r="V103" s="104">
        <f t="shared" si="218"/>
        <v>9.9999999999999995E-8</v>
      </c>
      <c r="W103" s="104">
        <f t="shared" si="218"/>
        <v>0</v>
      </c>
      <c r="X103" s="104">
        <f t="shared" si="116"/>
        <v>0</v>
      </c>
      <c r="Y103" s="104">
        <f t="shared" si="116"/>
        <v>9.9999999999999995E-8</v>
      </c>
      <c r="Z103" s="104">
        <f t="shared" si="116"/>
        <v>9.9999999999999995E-8</v>
      </c>
      <c r="AA103" s="105">
        <f t="shared" si="116"/>
        <v>9.9999999999999995E-8</v>
      </c>
      <c r="AB103" s="101" t="e">
        <f>$DT103*HLOOKUP($J103,'Construction Costs (timber)'!$B$1:$V$32,'Construction Planner'!$L103+2,FALSE)</f>
        <v>#N/A</v>
      </c>
      <c r="AC103" s="14" t="e">
        <f>$DT103*HLOOKUP($J103,'Construction Costs (clay)'!$B$1:$V$32,'Construction Planner'!$L103+2,FALSE)</f>
        <v>#N/A</v>
      </c>
      <c r="AD103" s="14" t="e">
        <f>$DT103*HLOOKUP($J103,'Construction Costs (iron)'!$B$1:$V$32,'Construction Planner'!$L103+2,FALSE)</f>
        <v>#N/A</v>
      </c>
      <c r="AE103" s="34" t="e">
        <f t="shared" si="230"/>
        <v>#N/A</v>
      </c>
      <c r="AF103" s="33" t="e">
        <f t="shared" si="156"/>
        <v>#N/A</v>
      </c>
      <c r="AG103" s="14" t="e">
        <f t="shared" si="157"/>
        <v>#N/A</v>
      </c>
      <c r="AH103" s="14" t="e">
        <f t="shared" si="158"/>
        <v>#N/A</v>
      </c>
      <c r="AI103" s="34" t="e">
        <f t="shared" si="231"/>
        <v>#N/A</v>
      </c>
      <c r="AJ103" s="49" t="e">
        <f t="shared" si="178"/>
        <v>#N/A</v>
      </c>
      <c r="AK103" s="49" t="e">
        <f t="shared" si="179"/>
        <v>#N/A</v>
      </c>
      <c r="AL103" s="49" t="e">
        <f t="shared" si="180"/>
        <v>#N/A</v>
      </c>
      <c r="AM103" s="25">
        <f t="shared" si="159"/>
        <v>30</v>
      </c>
      <c r="AN103" s="25">
        <f t="shared" si="160"/>
        <v>30</v>
      </c>
      <c r="AO103" s="25">
        <f t="shared" si="161"/>
        <v>30</v>
      </c>
      <c r="AP103" s="52" t="e">
        <f t="shared" si="181"/>
        <v>#N/A</v>
      </c>
      <c r="AQ103" s="53" t="e">
        <f t="shared" si="181"/>
        <v>#N/A</v>
      </c>
      <c r="AR103" s="54" t="e">
        <f t="shared" si="181"/>
        <v>#N/A</v>
      </c>
      <c r="AS103" s="316">
        <f t="shared" si="263"/>
        <v>0</v>
      </c>
      <c r="AT103" s="106">
        <f>_xlfn.IFNA($M103/VLOOKUP($BT103,'Unit information'!$A$2:$K$29,2,FALSE)*R103,0)*(1+$E$9)</f>
        <v>0</v>
      </c>
      <c r="AU103" s="107">
        <f>_xlfn.IFNA($M103/VLOOKUP($BT103,'Unit information'!$A$2:$K$29,3,FALSE)*S103,0)*(1+$E$9)</f>
        <v>0</v>
      </c>
      <c r="AV103" s="107">
        <f>_xlfn.IFNA($M103/VLOOKUP($BT103,'Unit information'!$A$2:$K$29,4,FALSE)*T103,0)*(1+$E$9)</f>
        <v>0</v>
      </c>
      <c r="AW103" s="107">
        <f>_xlfn.IFNA($M103/VLOOKUP($BT103,'Unit information'!$A$2:$K$29,5,FALSE)*U103,0)*(1+$E$9)</f>
        <v>0</v>
      </c>
      <c r="AX103" s="107">
        <f>_xlfn.IFNA($M103/VLOOKUP($BU103,'Unit information'!$A$2:$K$29,6,FALSE)*V103,0)*(1+$E$9)</f>
        <v>0</v>
      </c>
      <c r="AY103" s="107">
        <f>_xlfn.IFNA($M103/VLOOKUP($BU103,'Unit information'!$A$2:$K$29,7,FALSE)*W103,0)*(1+$E$9)</f>
        <v>0</v>
      </c>
      <c r="AZ103" s="107">
        <f>_xlfn.IFNA($M103/VLOOKUP($BU103,'Unit information'!$A$2:$K$29,8,FALSE)*X103,0)*(1+$E$9)</f>
        <v>0</v>
      </c>
      <c r="BA103" s="107">
        <f>_xlfn.IFNA($M103/VLOOKUP($BU103,'Unit information'!$A$2:$K$29,9,FALSE)*Y103,0)*(1+$E$9)</f>
        <v>0</v>
      </c>
      <c r="BB103" s="107">
        <f>_xlfn.IFNA($M103/VLOOKUP($BV103,'Unit information'!$A$2:$K$29,10,FALSE)*Z103,0)*(1+$E$9)</f>
        <v>0</v>
      </c>
      <c r="BC103" s="108">
        <f>_xlfn.IFNA($M103/VLOOKUP($BV103,'Unit information'!$A$2:$K$29,11,FALSE)*AA103,0)*(1+$E$9)</f>
        <v>0</v>
      </c>
      <c r="BD103" s="106">
        <f t="shared" si="162"/>
        <v>0</v>
      </c>
      <c r="BE103" s="107">
        <f t="shared" si="163"/>
        <v>0</v>
      </c>
      <c r="BF103" s="108">
        <f t="shared" si="164"/>
        <v>0</v>
      </c>
      <c r="BG103" s="25" t="e">
        <f t="shared" si="165"/>
        <v>#N/A</v>
      </c>
      <c r="BH103" s="25" t="e">
        <f t="shared" si="166"/>
        <v>#N/A</v>
      </c>
      <c r="BI103" s="25" t="e">
        <f t="shared" si="167"/>
        <v>#N/A</v>
      </c>
      <c r="BJ103" s="27" t="e">
        <f t="shared" si="168"/>
        <v>#N/A</v>
      </c>
      <c r="BK103" s="18" t="e">
        <f t="shared" si="169"/>
        <v>#N/A</v>
      </c>
      <c r="BL103" s="18" t="e">
        <f t="shared" si="170"/>
        <v>#N/A</v>
      </c>
      <c r="BM103" s="28" t="e">
        <f t="shared" si="233"/>
        <v>#N/A</v>
      </c>
      <c r="BN103" s="33">
        <f>HLOOKUP("maximum population",Miscelaneous!$C$1:$C$33,CH103+3,FALSE)</f>
        <v>240</v>
      </c>
      <c r="BO103" s="14">
        <f t="shared" si="182"/>
        <v>32</v>
      </c>
      <c r="BP103" s="14">
        <f t="shared" si="183"/>
        <v>0</v>
      </c>
      <c r="BQ103" s="14">
        <f t="shared" si="184"/>
        <v>208</v>
      </c>
      <c r="BR103" s="34" t="e">
        <f>HLOOKUP(J103,Villagers!$B$1:$V$33,L103+3,FALSE)-HLOOKUP(J103,Villagers!$B$1:$V$33,L103+2,FALSE)</f>
        <v>#N/A</v>
      </c>
      <c r="BS103" s="49">
        <f t="shared" si="185"/>
        <v>1</v>
      </c>
      <c r="BT103" s="50">
        <f t="shared" si="186"/>
        <v>0</v>
      </c>
      <c r="BU103" s="50">
        <f t="shared" si="187"/>
        <v>0</v>
      </c>
      <c r="BV103" s="50">
        <f t="shared" si="188"/>
        <v>0</v>
      </c>
      <c r="BW103" s="50">
        <f t="shared" ref="BW103:BY106" si="267">IF($J102=BW$14,$L102,BW102)</f>
        <v>0</v>
      </c>
      <c r="BX103" s="50">
        <f t="shared" si="267"/>
        <v>0</v>
      </c>
      <c r="BY103" s="50">
        <f t="shared" si="267"/>
        <v>0</v>
      </c>
      <c r="BZ103" s="50">
        <f t="shared" si="245"/>
        <v>0</v>
      </c>
      <c r="CA103" s="50">
        <f t="shared" si="246"/>
        <v>0</v>
      </c>
      <c r="CB103" s="50">
        <f t="shared" si="247"/>
        <v>1</v>
      </c>
      <c r="CC103" s="50">
        <f t="shared" si="248"/>
        <v>0</v>
      </c>
      <c r="CD103" s="50">
        <f t="shared" si="249"/>
        <v>0</v>
      </c>
      <c r="CE103" s="50">
        <f t="shared" si="250"/>
        <v>1</v>
      </c>
      <c r="CF103" s="50">
        <f t="shared" si="251"/>
        <v>1</v>
      </c>
      <c r="CG103" s="50">
        <f t="shared" si="252"/>
        <v>1</v>
      </c>
      <c r="CH103" s="50">
        <f t="shared" si="253"/>
        <v>1</v>
      </c>
      <c r="CI103" s="50">
        <f t="shared" si="254"/>
        <v>1</v>
      </c>
      <c r="CJ103" s="50">
        <f t="shared" si="255"/>
        <v>1</v>
      </c>
      <c r="CK103" s="50">
        <f t="shared" si="255"/>
        <v>0</v>
      </c>
      <c r="CL103" s="50">
        <f t="shared" si="255"/>
        <v>0</v>
      </c>
      <c r="CM103" s="51">
        <f t="shared" si="256"/>
        <v>0</v>
      </c>
      <c r="CN103" s="33">
        <f>ROUND(IF(BS103=0,0,HLOOKUP(BS$14,Villagers!$B$1:$V$33,BS103+3,FALSE)),)</f>
        <v>5</v>
      </c>
      <c r="CO103" s="14">
        <f>ROUND(IF(BT103=0,0,HLOOKUP(BT$14,Villagers!$B$1:$V$33,BT103+3,FALSE)),)</f>
        <v>0</v>
      </c>
      <c r="CP103" s="14">
        <f>ROUND(IF(BU103=0,0,HLOOKUP(BU$14,Villagers!$B$1:$V$33,BU103+3,FALSE)),)</f>
        <v>0</v>
      </c>
      <c r="CQ103" s="14">
        <f>ROUND(IF(BV103=0,0,HLOOKUP(BV$14,Villagers!$B$1:$V$33,BV103+3,FALSE)),)</f>
        <v>0</v>
      </c>
      <c r="CR103" s="14">
        <f>ROUND(IF(BW103=0,0,HLOOKUP(BW$14,Villagers!$B$1:$V$33,BW103+3,FALSE)),)</f>
        <v>0</v>
      </c>
      <c r="CS103" s="14">
        <f>ROUND(IF(BX103=0,0,HLOOKUP(BX$14,Villagers!$B$1:$V$33,BX103+3,FALSE)),)</f>
        <v>0</v>
      </c>
      <c r="CT103" s="14">
        <f>ROUND(IF(BY103=0,0,HLOOKUP(BY$14,Villagers!$B$1:$V$33,BY103+3,FALSE)),)</f>
        <v>0</v>
      </c>
      <c r="CU103" s="14">
        <f>ROUND(IF(BZ103=0,0,HLOOKUP(BZ$14,Villagers!$B$1:$V$33,BZ103+3,FALSE)),)</f>
        <v>0</v>
      </c>
      <c r="CV103" s="14">
        <f>ROUND(IF(CA103=0,0,HLOOKUP(CA$14,Villagers!$B$1:$V$33,CA103+3,FALSE)),)</f>
        <v>0</v>
      </c>
      <c r="CW103" s="14">
        <f>ROUND(IF(CB103=0,0,HLOOKUP(CB$14,Villagers!$B$1:$V$33,CB103+3,FALSE)),)</f>
        <v>0</v>
      </c>
      <c r="CX103" s="14">
        <f>ROUND(IF(CC103=0,0,HLOOKUP(CC$14,Villagers!$B$1:$V$33,CC103+3,FALSE)),)</f>
        <v>0</v>
      </c>
      <c r="CY103" s="14">
        <f>ROUND(IF(CD103=0,0,HLOOKUP(CD$14,Villagers!$B$1:$V$33,CD103+3,FALSE)),)</f>
        <v>0</v>
      </c>
      <c r="CZ103" s="14">
        <f>ROUND(IF(CE103=0,0,HLOOKUP(CE$14,Villagers!$B$1:$V$33,CE103+3,FALSE)),)</f>
        <v>5</v>
      </c>
      <c r="DA103" s="14">
        <f>ROUND(IF(CF103=0,0,HLOOKUP(CF$14,Villagers!$B$1:$V$33,CF103+3,FALSE)),)</f>
        <v>10</v>
      </c>
      <c r="DB103" s="14">
        <f>ROUND(IF(CG103=0,0,HLOOKUP(CG$14,Villagers!$B$1:$V$33,CG103+3,FALSE)),)</f>
        <v>10</v>
      </c>
      <c r="DC103" s="14">
        <f>ROUND(IF(CH103=0,0,HLOOKUP(CH$14,Villagers!$B$1:$V$33,CH103+3,FALSE)),)</f>
        <v>0</v>
      </c>
      <c r="DD103" s="14">
        <f>ROUND(IF(CI103=0,0,HLOOKUP(CI$14,Villagers!$B$1:$V$33,CI103+3,FALSE)),)</f>
        <v>0</v>
      </c>
      <c r="DE103" s="14">
        <f>ROUND(IF(CJ103=0,0,HLOOKUP(CJ$14,Villagers!$B$1:$V$33,CJ103+3,FALSE)),)</f>
        <v>2</v>
      </c>
      <c r="DF103" s="370">
        <f>ROUND(IF(CK103=0,0,HLOOKUP(CK$14,Villagers!$B$1:$V$33,CK103+3,FALSE)),)</f>
        <v>0</v>
      </c>
      <c r="DG103" s="370">
        <f>ROUND(IF(CL103=0,0,HLOOKUP(CL$14,Villagers!$B$1:$V$33,CL103+3,FALSE)),)</f>
        <v>0</v>
      </c>
      <c r="DH103" s="34">
        <f>ROUND(IF(CM103=0,0,HLOOKUP(CM$14,Villagers!$B$1:$V$33,CM103+3,FALSE)),)</f>
        <v>0</v>
      </c>
      <c r="DI103" s="109">
        <f t="shared" si="219"/>
        <v>0</v>
      </c>
      <c r="DJ103" s="50">
        <f t="shared" si="220"/>
        <v>0</v>
      </c>
      <c r="DK103" s="50">
        <f t="shared" si="221"/>
        <v>0</v>
      </c>
      <c r="DL103" s="50">
        <f t="shared" si="222"/>
        <v>0</v>
      </c>
      <c r="DM103" s="50">
        <f t="shared" si="223"/>
        <v>0</v>
      </c>
      <c r="DN103" s="50">
        <f t="shared" si="224"/>
        <v>0</v>
      </c>
      <c r="DO103" s="50">
        <f t="shared" si="225"/>
        <v>0</v>
      </c>
      <c r="DP103" s="50">
        <f t="shared" si="226"/>
        <v>0</v>
      </c>
      <c r="DQ103" s="50">
        <f t="shared" si="203"/>
        <v>0</v>
      </c>
      <c r="DR103" s="50">
        <f t="shared" si="204"/>
        <v>0</v>
      </c>
      <c r="DS103" s="96">
        <f>Miscelaneous!$D$4*Miscelaneous!$D$2^($CI103-1)</f>
        <v>1000</v>
      </c>
      <c r="DT103" s="333">
        <f t="shared" si="171"/>
        <v>1</v>
      </c>
      <c r="DU103" s="81">
        <v>1</v>
      </c>
      <c r="DV103" s="79">
        <f t="shared" si="205"/>
        <v>0</v>
      </c>
      <c r="DW103" s="79">
        <f t="shared" si="206"/>
        <v>0</v>
      </c>
      <c r="DX103" s="79">
        <f t="shared" si="207"/>
        <v>0</v>
      </c>
      <c r="DY103" s="79">
        <v>1</v>
      </c>
      <c r="DZ103" s="79">
        <f t="shared" si="208"/>
        <v>0</v>
      </c>
      <c r="EA103" s="79">
        <f t="shared" si="209"/>
        <v>0</v>
      </c>
      <c r="EB103" s="79">
        <f t="shared" si="210"/>
        <v>0</v>
      </c>
      <c r="EC103" s="79">
        <f t="shared" si="211"/>
        <v>0</v>
      </c>
      <c r="ED103" s="79">
        <v>1</v>
      </c>
      <c r="EE103" s="79">
        <v>1</v>
      </c>
      <c r="EF103" s="79">
        <f t="shared" si="212"/>
        <v>0</v>
      </c>
      <c r="EG103" s="79">
        <v>1</v>
      </c>
      <c r="EH103" s="79">
        <v>1</v>
      </c>
      <c r="EI103" s="79">
        <v>1</v>
      </c>
      <c r="EJ103" s="79">
        <v>1</v>
      </c>
      <c r="EK103" s="79">
        <v>1</v>
      </c>
      <c r="EL103" s="79">
        <v>1</v>
      </c>
      <c r="EM103" s="143">
        <f t="shared" si="213"/>
        <v>0</v>
      </c>
      <c r="EN103" s="143">
        <f t="shared" si="214"/>
        <v>0</v>
      </c>
      <c r="EO103" s="82">
        <f t="shared" si="215"/>
        <v>0</v>
      </c>
    </row>
    <row r="104" spans="1:145" x14ac:dyDescent="0.25">
      <c r="A104">
        <v>90</v>
      </c>
      <c r="B104" s="172" t="e">
        <f t="shared" si="172"/>
        <v>#N/A</v>
      </c>
      <c r="C104" s="121" t="e">
        <f t="shared" ref="C104:E104" si="268">AJ104-SUM(AB104:AB108)</f>
        <v>#N/A</v>
      </c>
      <c r="D104" s="122" t="e">
        <f t="shared" si="268"/>
        <v>#N/A</v>
      </c>
      <c r="E104" s="122" t="e">
        <f t="shared" si="268"/>
        <v>#N/A</v>
      </c>
      <c r="F104" s="176" t="e">
        <f t="shared" si="154"/>
        <v>#N/A</v>
      </c>
      <c r="G104" s="121">
        <f t="shared" si="174"/>
        <v>208</v>
      </c>
      <c r="H104" s="176" t="e">
        <f t="shared" si="175"/>
        <v>#N/A</v>
      </c>
      <c r="I104" s="48">
        <v>1</v>
      </c>
      <c r="J104" s="39"/>
      <c r="K104" s="350">
        <v>1</v>
      </c>
      <c r="L104" s="34" t="e">
        <f t="shared" si="155"/>
        <v>#N/A</v>
      </c>
      <c r="M104" s="38" t="e">
        <f>(HLOOKUP(J104,'Construction Times'!$B$3:$W$34,L104+2,FALSE)*HLOOKUP("hq modifier",'Construction Times'!$W$3:$W$34,BS104+2,FALSE))*(1-$H$9)</f>
        <v>#N/A</v>
      </c>
      <c r="N104" s="426" t="e">
        <f t="shared" si="176"/>
        <v>#N/A</v>
      </c>
      <c r="O104" s="427"/>
      <c r="P104" s="430" t="e">
        <f t="shared" si="177"/>
        <v>#N/A</v>
      </c>
      <c r="Q104" s="431"/>
      <c r="R104" s="103">
        <f t="shared" si="217"/>
        <v>0</v>
      </c>
      <c r="S104" s="104">
        <f t="shared" si="217"/>
        <v>0</v>
      </c>
      <c r="T104" s="104">
        <f t="shared" si="218"/>
        <v>0</v>
      </c>
      <c r="U104" s="104">
        <f t="shared" si="218"/>
        <v>0</v>
      </c>
      <c r="V104" s="104">
        <f t="shared" si="218"/>
        <v>9.9999999999999995E-8</v>
      </c>
      <c r="W104" s="104">
        <f t="shared" si="218"/>
        <v>0</v>
      </c>
      <c r="X104" s="104">
        <f t="shared" si="116"/>
        <v>0</v>
      </c>
      <c r="Y104" s="104">
        <f t="shared" si="116"/>
        <v>9.9999999999999995E-8</v>
      </c>
      <c r="Z104" s="104">
        <f t="shared" si="116"/>
        <v>9.9999999999999995E-8</v>
      </c>
      <c r="AA104" s="105">
        <f t="shared" si="116"/>
        <v>9.9999999999999995E-8</v>
      </c>
      <c r="AB104" s="101" t="e">
        <f>$DT104*HLOOKUP($J104,'Construction Costs (timber)'!$B$1:$V$32,'Construction Planner'!$L104+2,FALSE)</f>
        <v>#N/A</v>
      </c>
      <c r="AC104" s="14" t="e">
        <f>$DT104*HLOOKUP($J104,'Construction Costs (clay)'!$B$1:$V$32,'Construction Planner'!$L104+2,FALSE)</f>
        <v>#N/A</v>
      </c>
      <c r="AD104" s="14" t="e">
        <f>$DT104*HLOOKUP($J104,'Construction Costs (iron)'!$B$1:$V$32,'Construction Planner'!$L104+2,FALSE)</f>
        <v>#N/A</v>
      </c>
      <c r="AE104" s="34" t="e">
        <f t="shared" si="230"/>
        <v>#N/A</v>
      </c>
      <c r="AF104" s="33" t="e">
        <f t="shared" si="156"/>
        <v>#N/A</v>
      </c>
      <c r="AG104" s="14" t="e">
        <f t="shared" si="157"/>
        <v>#N/A</v>
      </c>
      <c r="AH104" s="14" t="e">
        <f t="shared" si="158"/>
        <v>#N/A</v>
      </c>
      <c r="AI104" s="34" t="e">
        <f t="shared" si="231"/>
        <v>#N/A</v>
      </c>
      <c r="AJ104" s="49" t="e">
        <f t="shared" si="178"/>
        <v>#N/A</v>
      </c>
      <c r="AK104" s="49" t="e">
        <f t="shared" si="179"/>
        <v>#N/A</v>
      </c>
      <c r="AL104" s="49" t="e">
        <f t="shared" si="180"/>
        <v>#N/A</v>
      </c>
      <c r="AM104" s="25">
        <f t="shared" si="159"/>
        <v>30</v>
      </c>
      <c r="AN104" s="25">
        <f t="shared" si="160"/>
        <v>30</v>
      </c>
      <c r="AO104" s="25">
        <f t="shared" si="161"/>
        <v>30</v>
      </c>
      <c r="AP104" s="52" t="e">
        <f t="shared" si="181"/>
        <v>#N/A</v>
      </c>
      <c r="AQ104" s="53" t="e">
        <f t="shared" si="181"/>
        <v>#N/A</v>
      </c>
      <c r="AR104" s="54" t="e">
        <f t="shared" si="181"/>
        <v>#N/A</v>
      </c>
      <c r="AS104" s="316">
        <f t="shared" si="263"/>
        <v>0</v>
      </c>
      <c r="AT104" s="106">
        <f>_xlfn.IFNA($M104/VLOOKUP($BT104,'Unit information'!$A$2:$K$29,2,FALSE)*R104,0)*(1+$E$9)</f>
        <v>0</v>
      </c>
      <c r="AU104" s="107">
        <f>_xlfn.IFNA($M104/VLOOKUP($BT104,'Unit information'!$A$2:$K$29,3,FALSE)*S104,0)*(1+$E$9)</f>
        <v>0</v>
      </c>
      <c r="AV104" s="107">
        <f>_xlfn.IFNA($M104/VLOOKUP($BT104,'Unit information'!$A$2:$K$29,4,FALSE)*T104,0)*(1+$E$9)</f>
        <v>0</v>
      </c>
      <c r="AW104" s="107">
        <f>_xlfn.IFNA($M104/VLOOKUP($BT104,'Unit information'!$A$2:$K$29,5,FALSE)*U104,0)*(1+$E$9)</f>
        <v>0</v>
      </c>
      <c r="AX104" s="107">
        <f>_xlfn.IFNA($M104/VLOOKUP($BU104,'Unit information'!$A$2:$K$29,6,FALSE)*V104,0)*(1+$E$9)</f>
        <v>0</v>
      </c>
      <c r="AY104" s="107">
        <f>_xlfn.IFNA($M104/VLOOKUP($BU104,'Unit information'!$A$2:$K$29,7,FALSE)*W104,0)*(1+$E$9)</f>
        <v>0</v>
      </c>
      <c r="AZ104" s="107">
        <f>_xlfn.IFNA($M104/VLOOKUP($BU104,'Unit information'!$A$2:$K$29,8,FALSE)*X104,0)*(1+$E$9)</f>
        <v>0</v>
      </c>
      <c r="BA104" s="107">
        <f>_xlfn.IFNA($M104/VLOOKUP($BU104,'Unit information'!$A$2:$K$29,9,FALSE)*Y104,0)*(1+$E$9)</f>
        <v>0</v>
      </c>
      <c r="BB104" s="107">
        <f>_xlfn.IFNA($M104/VLOOKUP($BV104,'Unit information'!$A$2:$K$29,10,FALSE)*Z104,0)*(1+$E$9)</f>
        <v>0</v>
      </c>
      <c r="BC104" s="108">
        <f>_xlfn.IFNA($M104/VLOOKUP($BV104,'Unit information'!$A$2:$K$29,11,FALSE)*AA104,0)*(1+$E$9)</f>
        <v>0</v>
      </c>
      <c r="BD104" s="106">
        <f t="shared" si="162"/>
        <v>0</v>
      </c>
      <c r="BE104" s="107">
        <f t="shared" si="163"/>
        <v>0</v>
      </c>
      <c r="BF104" s="108">
        <f t="shared" si="164"/>
        <v>0</v>
      </c>
      <c r="BG104" s="25" t="e">
        <f t="shared" si="165"/>
        <v>#N/A</v>
      </c>
      <c r="BH104" s="25" t="e">
        <f t="shared" si="166"/>
        <v>#N/A</v>
      </c>
      <c r="BI104" s="25" t="e">
        <f t="shared" si="167"/>
        <v>#N/A</v>
      </c>
      <c r="BJ104" s="27" t="e">
        <f t="shared" si="168"/>
        <v>#N/A</v>
      </c>
      <c r="BK104" s="18" t="e">
        <f t="shared" si="169"/>
        <v>#N/A</v>
      </c>
      <c r="BL104" s="18" t="e">
        <f t="shared" si="170"/>
        <v>#N/A</v>
      </c>
      <c r="BM104" s="28" t="e">
        <f t="shared" si="233"/>
        <v>#N/A</v>
      </c>
      <c r="BN104" s="33">
        <f>HLOOKUP("maximum population",Miscelaneous!$C$1:$C$33,CH104+3,FALSE)</f>
        <v>240</v>
      </c>
      <c r="BO104" s="14">
        <f t="shared" si="182"/>
        <v>32</v>
      </c>
      <c r="BP104" s="14">
        <f t="shared" si="183"/>
        <v>0</v>
      </c>
      <c r="BQ104" s="14">
        <f t="shared" si="184"/>
        <v>208</v>
      </c>
      <c r="BR104" s="34" t="e">
        <f>HLOOKUP(J104,Villagers!$B$1:$V$33,L104+3,FALSE)-HLOOKUP(J104,Villagers!$B$1:$V$33,L104+2,FALSE)</f>
        <v>#N/A</v>
      </c>
      <c r="BS104" s="49">
        <f t="shared" si="185"/>
        <v>1</v>
      </c>
      <c r="BT104" s="50">
        <f t="shared" si="186"/>
        <v>0</v>
      </c>
      <c r="BU104" s="50">
        <f t="shared" si="187"/>
        <v>0</v>
      </c>
      <c r="BV104" s="50">
        <f t="shared" si="188"/>
        <v>0</v>
      </c>
      <c r="BW104" s="50">
        <f t="shared" si="267"/>
        <v>0</v>
      </c>
      <c r="BX104" s="50">
        <f t="shared" si="267"/>
        <v>0</v>
      </c>
      <c r="BY104" s="50">
        <f t="shared" si="267"/>
        <v>0</v>
      </c>
      <c r="BZ104" s="50">
        <f t="shared" si="245"/>
        <v>0</v>
      </c>
      <c r="CA104" s="50">
        <f t="shared" si="246"/>
        <v>0</v>
      </c>
      <c r="CB104" s="50">
        <f t="shared" si="247"/>
        <v>1</v>
      </c>
      <c r="CC104" s="50">
        <f t="shared" si="248"/>
        <v>0</v>
      </c>
      <c r="CD104" s="50">
        <f t="shared" si="249"/>
        <v>0</v>
      </c>
      <c r="CE104" s="50">
        <f t="shared" si="250"/>
        <v>1</v>
      </c>
      <c r="CF104" s="50">
        <f t="shared" si="251"/>
        <v>1</v>
      </c>
      <c r="CG104" s="50">
        <f t="shared" si="252"/>
        <v>1</v>
      </c>
      <c r="CH104" s="50">
        <f t="shared" si="253"/>
        <v>1</v>
      </c>
      <c r="CI104" s="50">
        <f t="shared" si="254"/>
        <v>1</v>
      </c>
      <c r="CJ104" s="50">
        <f t="shared" si="255"/>
        <v>1</v>
      </c>
      <c r="CK104" s="50">
        <f t="shared" si="255"/>
        <v>0</v>
      </c>
      <c r="CL104" s="50">
        <f t="shared" si="255"/>
        <v>0</v>
      </c>
      <c r="CM104" s="51">
        <f t="shared" si="256"/>
        <v>0</v>
      </c>
      <c r="CN104" s="33">
        <f>ROUND(IF(BS104=0,0,HLOOKUP(BS$14,Villagers!$B$1:$V$33,BS104+3,FALSE)),)</f>
        <v>5</v>
      </c>
      <c r="CO104" s="14">
        <f>ROUND(IF(BT104=0,0,HLOOKUP(BT$14,Villagers!$B$1:$V$33,BT104+3,FALSE)),)</f>
        <v>0</v>
      </c>
      <c r="CP104" s="14">
        <f>ROUND(IF(BU104=0,0,HLOOKUP(BU$14,Villagers!$B$1:$V$33,BU104+3,FALSE)),)</f>
        <v>0</v>
      </c>
      <c r="CQ104" s="14">
        <f>ROUND(IF(BV104=0,0,HLOOKUP(BV$14,Villagers!$B$1:$V$33,BV104+3,FALSE)),)</f>
        <v>0</v>
      </c>
      <c r="CR104" s="14">
        <f>ROUND(IF(BW104=0,0,HLOOKUP(BW$14,Villagers!$B$1:$V$33,BW104+3,FALSE)),)</f>
        <v>0</v>
      </c>
      <c r="CS104" s="14">
        <f>ROUND(IF(BX104=0,0,HLOOKUP(BX$14,Villagers!$B$1:$V$33,BX104+3,FALSE)),)</f>
        <v>0</v>
      </c>
      <c r="CT104" s="14">
        <f>ROUND(IF(BY104=0,0,HLOOKUP(BY$14,Villagers!$B$1:$V$33,BY104+3,FALSE)),)</f>
        <v>0</v>
      </c>
      <c r="CU104" s="14">
        <f>ROUND(IF(BZ104=0,0,HLOOKUP(BZ$14,Villagers!$B$1:$V$33,BZ104+3,FALSE)),)</f>
        <v>0</v>
      </c>
      <c r="CV104" s="14">
        <f>ROUND(IF(CA104=0,0,HLOOKUP(CA$14,Villagers!$B$1:$V$33,CA104+3,FALSE)),)</f>
        <v>0</v>
      </c>
      <c r="CW104" s="14">
        <f>ROUND(IF(CB104=0,0,HLOOKUP(CB$14,Villagers!$B$1:$V$33,CB104+3,FALSE)),)</f>
        <v>0</v>
      </c>
      <c r="CX104" s="14">
        <f>ROUND(IF(CC104=0,0,HLOOKUP(CC$14,Villagers!$B$1:$V$33,CC104+3,FALSE)),)</f>
        <v>0</v>
      </c>
      <c r="CY104" s="14">
        <f>ROUND(IF(CD104=0,0,HLOOKUP(CD$14,Villagers!$B$1:$V$33,CD104+3,FALSE)),)</f>
        <v>0</v>
      </c>
      <c r="CZ104" s="14">
        <f>ROUND(IF(CE104=0,0,HLOOKUP(CE$14,Villagers!$B$1:$V$33,CE104+3,FALSE)),)</f>
        <v>5</v>
      </c>
      <c r="DA104" s="14">
        <f>ROUND(IF(CF104=0,0,HLOOKUP(CF$14,Villagers!$B$1:$V$33,CF104+3,FALSE)),)</f>
        <v>10</v>
      </c>
      <c r="DB104" s="14">
        <f>ROUND(IF(CG104=0,0,HLOOKUP(CG$14,Villagers!$B$1:$V$33,CG104+3,FALSE)),)</f>
        <v>10</v>
      </c>
      <c r="DC104" s="14">
        <f>ROUND(IF(CH104=0,0,HLOOKUP(CH$14,Villagers!$B$1:$V$33,CH104+3,FALSE)),)</f>
        <v>0</v>
      </c>
      <c r="DD104" s="14">
        <f>ROUND(IF(CI104=0,0,HLOOKUP(CI$14,Villagers!$B$1:$V$33,CI104+3,FALSE)),)</f>
        <v>0</v>
      </c>
      <c r="DE104" s="14">
        <f>ROUND(IF(CJ104=0,0,HLOOKUP(CJ$14,Villagers!$B$1:$V$33,CJ104+3,FALSE)),)</f>
        <v>2</v>
      </c>
      <c r="DF104" s="370">
        <f>ROUND(IF(CK104=0,0,HLOOKUP(CK$14,Villagers!$B$1:$V$33,CK104+3,FALSE)),)</f>
        <v>0</v>
      </c>
      <c r="DG104" s="370">
        <f>ROUND(IF(CL104=0,0,HLOOKUP(CL$14,Villagers!$B$1:$V$33,CL104+3,FALSE)),)</f>
        <v>0</v>
      </c>
      <c r="DH104" s="34">
        <f>ROUND(IF(CM104=0,0,HLOOKUP(CM$14,Villagers!$B$1:$V$33,CM104+3,FALSE)),)</f>
        <v>0</v>
      </c>
      <c r="DI104" s="109">
        <f t="shared" si="219"/>
        <v>0</v>
      </c>
      <c r="DJ104" s="50">
        <f t="shared" si="220"/>
        <v>0</v>
      </c>
      <c r="DK104" s="50">
        <f t="shared" si="221"/>
        <v>0</v>
      </c>
      <c r="DL104" s="50">
        <f t="shared" si="222"/>
        <v>0</v>
      </c>
      <c r="DM104" s="50">
        <f t="shared" si="223"/>
        <v>0</v>
      </c>
      <c r="DN104" s="50">
        <f t="shared" si="224"/>
        <v>0</v>
      </c>
      <c r="DO104" s="50">
        <f t="shared" si="225"/>
        <v>0</v>
      </c>
      <c r="DP104" s="50">
        <f t="shared" si="226"/>
        <v>0</v>
      </c>
      <c r="DQ104" s="50">
        <f t="shared" si="203"/>
        <v>0</v>
      </c>
      <c r="DR104" s="50">
        <f t="shared" si="204"/>
        <v>0</v>
      </c>
      <c r="DS104" s="96">
        <f>Miscelaneous!$D$4*Miscelaneous!$D$2^($CI104-1)</f>
        <v>1000</v>
      </c>
      <c r="DT104" s="333">
        <f t="shared" si="171"/>
        <v>1</v>
      </c>
      <c r="DU104" s="81">
        <v>1</v>
      </c>
      <c r="DV104" s="79">
        <f t="shared" si="205"/>
        <v>0</v>
      </c>
      <c r="DW104" s="79">
        <f t="shared" si="206"/>
        <v>0</v>
      </c>
      <c r="DX104" s="79">
        <f t="shared" si="207"/>
        <v>0</v>
      </c>
      <c r="DY104" s="79">
        <v>1</v>
      </c>
      <c r="DZ104" s="79">
        <f t="shared" si="208"/>
        <v>0</v>
      </c>
      <c r="EA104" s="79">
        <f t="shared" si="209"/>
        <v>0</v>
      </c>
      <c r="EB104" s="79">
        <f t="shared" si="210"/>
        <v>0</v>
      </c>
      <c r="EC104" s="79">
        <f t="shared" si="211"/>
        <v>0</v>
      </c>
      <c r="ED104" s="79">
        <v>1</v>
      </c>
      <c r="EE104" s="79">
        <v>1</v>
      </c>
      <c r="EF104" s="79">
        <f t="shared" si="212"/>
        <v>0</v>
      </c>
      <c r="EG104" s="79">
        <v>1</v>
      </c>
      <c r="EH104" s="79">
        <v>1</v>
      </c>
      <c r="EI104" s="79">
        <v>1</v>
      </c>
      <c r="EJ104" s="79">
        <v>1</v>
      </c>
      <c r="EK104" s="79">
        <v>1</v>
      </c>
      <c r="EL104" s="79">
        <v>1</v>
      </c>
      <c r="EM104" s="143">
        <f t="shared" si="213"/>
        <v>0</v>
      </c>
      <c r="EN104" s="143">
        <f t="shared" si="214"/>
        <v>0</v>
      </c>
      <c r="EO104" s="82">
        <f t="shared" si="215"/>
        <v>0</v>
      </c>
    </row>
    <row r="105" spans="1:145" x14ac:dyDescent="0.25">
      <c r="A105">
        <v>91</v>
      </c>
      <c r="B105" s="172" t="e">
        <f t="shared" si="172"/>
        <v>#N/A</v>
      </c>
      <c r="C105" s="121" t="e">
        <f t="shared" ref="C105:E105" si="269">AJ105-SUM(AB105:AB109)</f>
        <v>#N/A</v>
      </c>
      <c r="D105" s="122" t="e">
        <f t="shared" si="269"/>
        <v>#N/A</v>
      </c>
      <c r="E105" s="122" t="e">
        <f t="shared" si="269"/>
        <v>#N/A</v>
      </c>
      <c r="F105" s="176" t="e">
        <f t="shared" si="154"/>
        <v>#N/A</v>
      </c>
      <c r="G105" s="121">
        <f t="shared" si="174"/>
        <v>208</v>
      </c>
      <c r="H105" s="176" t="e">
        <f t="shared" si="175"/>
        <v>#N/A</v>
      </c>
      <c r="I105" s="48">
        <v>1</v>
      </c>
      <c r="J105" s="39"/>
      <c r="K105" s="350">
        <v>1</v>
      </c>
      <c r="L105" s="34" t="e">
        <f t="shared" si="155"/>
        <v>#N/A</v>
      </c>
      <c r="M105" s="38" t="e">
        <f>(HLOOKUP(J105,'Construction Times'!$B$3:$W$34,L105+2,FALSE)*HLOOKUP("hq modifier",'Construction Times'!$W$3:$W$34,BS105+2,FALSE))*(1-$H$9)</f>
        <v>#N/A</v>
      </c>
      <c r="N105" s="426" t="e">
        <f t="shared" si="176"/>
        <v>#N/A</v>
      </c>
      <c r="O105" s="427"/>
      <c r="P105" s="430" t="e">
        <f t="shared" si="177"/>
        <v>#N/A</v>
      </c>
      <c r="Q105" s="431"/>
      <c r="R105" s="103">
        <f t="shared" si="217"/>
        <v>0</v>
      </c>
      <c r="S105" s="104">
        <f t="shared" si="217"/>
        <v>0</v>
      </c>
      <c r="T105" s="104">
        <f t="shared" si="218"/>
        <v>0</v>
      </c>
      <c r="U105" s="104">
        <f t="shared" si="218"/>
        <v>0</v>
      </c>
      <c r="V105" s="104">
        <f t="shared" si="218"/>
        <v>9.9999999999999995E-8</v>
      </c>
      <c r="W105" s="104">
        <f t="shared" si="218"/>
        <v>0</v>
      </c>
      <c r="X105" s="104">
        <f t="shared" si="116"/>
        <v>0</v>
      </c>
      <c r="Y105" s="104">
        <f t="shared" si="116"/>
        <v>9.9999999999999995E-8</v>
      </c>
      <c r="Z105" s="104">
        <f t="shared" si="116"/>
        <v>9.9999999999999995E-8</v>
      </c>
      <c r="AA105" s="105">
        <f t="shared" si="116"/>
        <v>9.9999999999999995E-8</v>
      </c>
      <c r="AB105" s="101" t="e">
        <f>$DT105*HLOOKUP($J105,'Construction Costs (timber)'!$B$1:$V$32,'Construction Planner'!$L105+2,FALSE)</f>
        <v>#N/A</v>
      </c>
      <c r="AC105" s="14" t="e">
        <f>$DT105*HLOOKUP($J105,'Construction Costs (clay)'!$B$1:$V$32,'Construction Planner'!$L105+2,FALSE)</f>
        <v>#N/A</v>
      </c>
      <c r="AD105" s="14" t="e">
        <f>$DT105*HLOOKUP($J105,'Construction Costs (iron)'!$B$1:$V$32,'Construction Planner'!$L105+2,FALSE)</f>
        <v>#N/A</v>
      </c>
      <c r="AE105" s="34" t="e">
        <f t="shared" si="230"/>
        <v>#N/A</v>
      </c>
      <c r="AF105" s="33" t="e">
        <f t="shared" si="156"/>
        <v>#N/A</v>
      </c>
      <c r="AG105" s="14" t="e">
        <f t="shared" si="157"/>
        <v>#N/A</v>
      </c>
      <c r="AH105" s="14" t="e">
        <f t="shared" si="158"/>
        <v>#N/A</v>
      </c>
      <c r="AI105" s="34" t="e">
        <f t="shared" si="231"/>
        <v>#N/A</v>
      </c>
      <c r="AJ105" s="49" t="e">
        <f t="shared" si="178"/>
        <v>#N/A</v>
      </c>
      <c r="AK105" s="49" t="e">
        <f t="shared" si="179"/>
        <v>#N/A</v>
      </c>
      <c r="AL105" s="49" t="e">
        <f t="shared" si="180"/>
        <v>#N/A</v>
      </c>
      <c r="AM105" s="25">
        <f t="shared" si="159"/>
        <v>30</v>
      </c>
      <c r="AN105" s="25">
        <f t="shared" si="160"/>
        <v>30</v>
      </c>
      <c r="AO105" s="25">
        <f t="shared" si="161"/>
        <v>30</v>
      </c>
      <c r="AP105" s="52" t="e">
        <f t="shared" si="181"/>
        <v>#N/A</v>
      </c>
      <c r="AQ105" s="53" t="e">
        <f t="shared" si="181"/>
        <v>#N/A</v>
      </c>
      <c r="AR105" s="54" t="e">
        <f t="shared" si="181"/>
        <v>#N/A</v>
      </c>
      <c r="AS105" s="316">
        <f t="shared" si="263"/>
        <v>0</v>
      </c>
      <c r="AT105" s="106">
        <f>_xlfn.IFNA($M105/VLOOKUP($BT105,'Unit information'!$A$2:$K$29,2,FALSE)*R105,0)*(1+$E$9)</f>
        <v>0</v>
      </c>
      <c r="AU105" s="107">
        <f>_xlfn.IFNA($M105/VLOOKUP($BT105,'Unit information'!$A$2:$K$29,3,FALSE)*S105,0)*(1+$E$9)</f>
        <v>0</v>
      </c>
      <c r="AV105" s="107">
        <f>_xlfn.IFNA($M105/VLOOKUP($BT105,'Unit information'!$A$2:$K$29,4,FALSE)*T105,0)*(1+$E$9)</f>
        <v>0</v>
      </c>
      <c r="AW105" s="107">
        <f>_xlfn.IFNA($M105/VLOOKUP($BT105,'Unit information'!$A$2:$K$29,5,FALSE)*U105,0)*(1+$E$9)</f>
        <v>0</v>
      </c>
      <c r="AX105" s="107">
        <f>_xlfn.IFNA($M105/VLOOKUP($BU105,'Unit information'!$A$2:$K$29,6,FALSE)*V105,0)*(1+$E$9)</f>
        <v>0</v>
      </c>
      <c r="AY105" s="107">
        <f>_xlfn.IFNA($M105/VLOOKUP($BU105,'Unit information'!$A$2:$K$29,7,FALSE)*W105,0)*(1+$E$9)</f>
        <v>0</v>
      </c>
      <c r="AZ105" s="107">
        <f>_xlfn.IFNA($M105/VLOOKUP($BU105,'Unit information'!$A$2:$K$29,8,FALSE)*X105,0)*(1+$E$9)</f>
        <v>0</v>
      </c>
      <c r="BA105" s="107">
        <f>_xlfn.IFNA($M105/VLOOKUP($BU105,'Unit information'!$A$2:$K$29,9,FALSE)*Y105,0)*(1+$E$9)</f>
        <v>0</v>
      </c>
      <c r="BB105" s="107">
        <f>_xlfn.IFNA($M105/VLOOKUP($BV105,'Unit information'!$A$2:$K$29,10,FALSE)*Z105,0)*(1+$E$9)</f>
        <v>0</v>
      </c>
      <c r="BC105" s="108">
        <f>_xlfn.IFNA($M105/VLOOKUP($BV105,'Unit information'!$A$2:$K$29,11,FALSE)*AA105,0)*(1+$E$9)</f>
        <v>0</v>
      </c>
      <c r="BD105" s="106">
        <f t="shared" si="162"/>
        <v>0</v>
      </c>
      <c r="BE105" s="107">
        <f t="shared" si="163"/>
        <v>0</v>
      </c>
      <c r="BF105" s="108">
        <f t="shared" si="164"/>
        <v>0</v>
      </c>
      <c r="BG105" s="25" t="e">
        <f t="shared" si="165"/>
        <v>#N/A</v>
      </c>
      <c r="BH105" s="25" t="e">
        <f t="shared" si="166"/>
        <v>#N/A</v>
      </c>
      <c r="BI105" s="25" t="e">
        <f t="shared" si="167"/>
        <v>#N/A</v>
      </c>
      <c r="BJ105" s="27" t="e">
        <f t="shared" si="168"/>
        <v>#N/A</v>
      </c>
      <c r="BK105" s="18" t="e">
        <f t="shared" si="169"/>
        <v>#N/A</v>
      </c>
      <c r="BL105" s="18" t="e">
        <f t="shared" si="170"/>
        <v>#N/A</v>
      </c>
      <c r="BM105" s="28" t="e">
        <f t="shared" si="233"/>
        <v>#N/A</v>
      </c>
      <c r="BN105" s="33">
        <f>HLOOKUP("maximum population",Miscelaneous!$C$1:$C$33,CH105+3,FALSE)</f>
        <v>240</v>
      </c>
      <c r="BO105" s="14">
        <f t="shared" si="182"/>
        <v>32</v>
      </c>
      <c r="BP105" s="14">
        <f t="shared" si="183"/>
        <v>0</v>
      </c>
      <c r="BQ105" s="14">
        <f t="shared" si="184"/>
        <v>208</v>
      </c>
      <c r="BR105" s="34" t="e">
        <f>HLOOKUP(J105,Villagers!$B$1:$V$33,L105+3,FALSE)-HLOOKUP(J105,Villagers!$B$1:$V$33,L105+2,FALSE)</f>
        <v>#N/A</v>
      </c>
      <c r="BS105" s="49">
        <f t="shared" si="185"/>
        <v>1</v>
      </c>
      <c r="BT105" s="50">
        <f t="shared" si="186"/>
        <v>0</v>
      </c>
      <c r="BU105" s="50">
        <f t="shared" si="187"/>
        <v>0</v>
      </c>
      <c r="BV105" s="50">
        <f t="shared" si="188"/>
        <v>0</v>
      </c>
      <c r="BW105" s="50">
        <f t="shared" si="267"/>
        <v>0</v>
      </c>
      <c r="BX105" s="50">
        <f t="shared" si="267"/>
        <v>0</v>
      </c>
      <c r="BY105" s="50">
        <f t="shared" si="267"/>
        <v>0</v>
      </c>
      <c r="BZ105" s="50">
        <f t="shared" si="245"/>
        <v>0</v>
      </c>
      <c r="CA105" s="50">
        <f t="shared" si="246"/>
        <v>0</v>
      </c>
      <c r="CB105" s="50">
        <f t="shared" si="247"/>
        <v>1</v>
      </c>
      <c r="CC105" s="50">
        <f t="shared" si="248"/>
        <v>0</v>
      </c>
      <c r="CD105" s="50">
        <f t="shared" si="249"/>
        <v>0</v>
      </c>
      <c r="CE105" s="50">
        <f t="shared" si="250"/>
        <v>1</v>
      </c>
      <c r="CF105" s="50">
        <f t="shared" si="251"/>
        <v>1</v>
      </c>
      <c r="CG105" s="50">
        <f t="shared" si="252"/>
        <v>1</v>
      </c>
      <c r="CH105" s="50">
        <f t="shared" si="253"/>
        <v>1</v>
      </c>
      <c r="CI105" s="50">
        <f t="shared" si="254"/>
        <v>1</v>
      </c>
      <c r="CJ105" s="50">
        <f t="shared" si="255"/>
        <v>1</v>
      </c>
      <c r="CK105" s="50">
        <f t="shared" si="255"/>
        <v>0</v>
      </c>
      <c r="CL105" s="50">
        <f t="shared" si="255"/>
        <v>0</v>
      </c>
      <c r="CM105" s="51">
        <f t="shared" si="256"/>
        <v>0</v>
      </c>
      <c r="CN105" s="33">
        <f>ROUND(IF(BS105=0,0,HLOOKUP(BS$14,Villagers!$B$1:$V$33,BS105+3,FALSE)),)</f>
        <v>5</v>
      </c>
      <c r="CO105" s="14">
        <f>ROUND(IF(BT105=0,0,HLOOKUP(BT$14,Villagers!$B$1:$V$33,BT105+3,FALSE)),)</f>
        <v>0</v>
      </c>
      <c r="CP105" s="14">
        <f>ROUND(IF(BU105=0,0,HLOOKUP(BU$14,Villagers!$B$1:$V$33,BU105+3,FALSE)),)</f>
        <v>0</v>
      </c>
      <c r="CQ105" s="14">
        <f>ROUND(IF(BV105=0,0,HLOOKUP(BV$14,Villagers!$B$1:$V$33,BV105+3,FALSE)),)</f>
        <v>0</v>
      </c>
      <c r="CR105" s="14">
        <f>ROUND(IF(BW105=0,0,HLOOKUP(BW$14,Villagers!$B$1:$V$33,BW105+3,FALSE)),)</f>
        <v>0</v>
      </c>
      <c r="CS105" s="14">
        <f>ROUND(IF(BX105=0,0,HLOOKUP(BX$14,Villagers!$B$1:$V$33,BX105+3,FALSE)),)</f>
        <v>0</v>
      </c>
      <c r="CT105" s="14">
        <f>ROUND(IF(BY105=0,0,HLOOKUP(BY$14,Villagers!$B$1:$V$33,BY105+3,FALSE)),)</f>
        <v>0</v>
      </c>
      <c r="CU105" s="14">
        <f>ROUND(IF(BZ105=0,0,HLOOKUP(BZ$14,Villagers!$B$1:$V$33,BZ105+3,FALSE)),)</f>
        <v>0</v>
      </c>
      <c r="CV105" s="14">
        <f>ROUND(IF(CA105=0,0,HLOOKUP(CA$14,Villagers!$B$1:$V$33,CA105+3,FALSE)),)</f>
        <v>0</v>
      </c>
      <c r="CW105" s="14">
        <f>ROUND(IF(CB105=0,0,HLOOKUP(CB$14,Villagers!$B$1:$V$33,CB105+3,FALSE)),)</f>
        <v>0</v>
      </c>
      <c r="CX105" s="14">
        <f>ROUND(IF(CC105=0,0,HLOOKUP(CC$14,Villagers!$B$1:$V$33,CC105+3,FALSE)),)</f>
        <v>0</v>
      </c>
      <c r="CY105" s="14">
        <f>ROUND(IF(CD105=0,0,HLOOKUP(CD$14,Villagers!$B$1:$V$33,CD105+3,FALSE)),)</f>
        <v>0</v>
      </c>
      <c r="CZ105" s="14">
        <f>ROUND(IF(CE105=0,0,HLOOKUP(CE$14,Villagers!$B$1:$V$33,CE105+3,FALSE)),)</f>
        <v>5</v>
      </c>
      <c r="DA105" s="14">
        <f>ROUND(IF(CF105=0,0,HLOOKUP(CF$14,Villagers!$B$1:$V$33,CF105+3,FALSE)),)</f>
        <v>10</v>
      </c>
      <c r="DB105" s="14">
        <f>ROUND(IF(CG105=0,0,HLOOKUP(CG$14,Villagers!$B$1:$V$33,CG105+3,FALSE)),)</f>
        <v>10</v>
      </c>
      <c r="DC105" s="14">
        <f>ROUND(IF(CH105=0,0,HLOOKUP(CH$14,Villagers!$B$1:$V$33,CH105+3,FALSE)),)</f>
        <v>0</v>
      </c>
      <c r="DD105" s="14">
        <f>ROUND(IF(CI105=0,0,HLOOKUP(CI$14,Villagers!$B$1:$V$33,CI105+3,FALSE)),)</f>
        <v>0</v>
      </c>
      <c r="DE105" s="14">
        <f>ROUND(IF(CJ105=0,0,HLOOKUP(CJ$14,Villagers!$B$1:$V$33,CJ105+3,FALSE)),)</f>
        <v>2</v>
      </c>
      <c r="DF105" s="370">
        <f>ROUND(IF(CK105=0,0,HLOOKUP(CK$14,Villagers!$B$1:$V$33,CK105+3,FALSE)),)</f>
        <v>0</v>
      </c>
      <c r="DG105" s="370">
        <f>ROUND(IF(CL105=0,0,HLOOKUP(CL$14,Villagers!$B$1:$V$33,CL105+3,FALSE)),)</f>
        <v>0</v>
      </c>
      <c r="DH105" s="34">
        <f>ROUND(IF(CM105=0,0,HLOOKUP(CM$14,Villagers!$B$1:$V$33,CM105+3,FALSE)),)</f>
        <v>0</v>
      </c>
      <c r="DI105" s="109">
        <f t="shared" si="219"/>
        <v>0</v>
      </c>
      <c r="DJ105" s="50">
        <f t="shared" si="220"/>
        <v>0</v>
      </c>
      <c r="DK105" s="50">
        <f t="shared" si="221"/>
        <v>0</v>
      </c>
      <c r="DL105" s="50">
        <f t="shared" si="222"/>
        <v>0</v>
      </c>
      <c r="DM105" s="50">
        <f t="shared" si="223"/>
        <v>0</v>
      </c>
      <c r="DN105" s="50">
        <f t="shared" si="224"/>
        <v>0</v>
      </c>
      <c r="DO105" s="50">
        <f t="shared" si="225"/>
        <v>0</v>
      </c>
      <c r="DP105" s="50">
        <f t="shared" si="226"/>
        <v>0</v>
      </c>
      <c r="DQ105" s="50">
        <f t="shared" si="203"/>
        <v>0</v>
      </c>
      <c r="DR105" s="50">
        <f t="shared" si="204"/>
        <v>0</v>
      </c>
      <c r="DS105" s="96">
        <f>Miscelaneous!$D$4*Miscelaneous!$D$2^($CI105-1)</f>
        <v>1000</v>
      </c>
      <c r="DT105" s="333">
        <f t="shared" si="171"/>
        <v>1</v>
      </c>
      <c r="DU105" s="81">
        <v>1</v>
      </c>
      <c r="DV105" s="79">
        <f t="shared" si="205"/>
        <v>0</v>
      </c>
      <c r="DW105" s="79">
        <f t="shared" si="206"/>
        <v>0</v>
      </c>
      <c r="DX105" s="79">
        <f t="shared" si="207"/>
        <v>0</v>
      </c>
      <c r="DY105" s="79">
        <v>1</v>
      </c>
      <c r="DZ105" s="79">
        <f t="shared" si="208"/>
        <v>0</v>
      </c>
      <c r="EA105" s="79">
        <f t="shared" si="209"/>
        <v>0</v>
      </c>
      <c r="EB105" s="79">
        <f t="shared" si="210"/>
        <v>0</v>
      </c>
      <c r="EC105" s="79">
        <f t="shared" si="211"/>
        <v>0</v>
      </c>
      <c r="ED105" s="79">
        <v>1</v>
      </c>
      <c r="EE105" s="79">
        <v>1</v>
      </c>
      <c r="EF105" s="79">
        <f t="shared" si="212"/>
        <v>0</v>
      </c>
      <c r="EG105" s="79">
        <v>1</v>
      </c>
      <c r="EH105" s="79">
        <v>1</v>
      </c>
      <c r="EI105" s="79">
        <v>1</v>
      </c>
      <c r="EJ105" s="79">
        <v>1</v>
      </c>
      <c r="EK105" s="79">
        <v>1</v>
      </c>
      <c r="EL105" s="79">
        <v>1</v>
      </c>
      <c r="EM105" s="143">
        <f t="shared" si="213"/>
        <v>0</v>
      </c>
      <c r="EN105" s="143">
        <f t="shared" si="214"/>
        <v>0</v>
      </c>
      <c r="EO105" s="82">
        <f t="shared" si="215"/>
        <v>0</v>
      </c>
    </row>
    <row r="106" spans="1:145" x14ac:dyDescent="0.25">
      <c r="A106">
        <v>92</v>
      </c>
      <c r="B106" s="172" t="e">
        <f t="shared" si="172"/>
        <v>#N/A</v>
      </c>
      <c r="C106" s="121" t="e">
        <f t="shared" ref="C106:E106" si="270">AJ106-SUM(AB106:AB110)</f>
        <v>#N/A</v>
      </c>
      <c r="D106" s="122" t="e">
        <f t="shared" si="270"/>
        <v>#N/A</v>
      </c>
      <c r="E106" s="122" t="e">
        <f t="shared" si="270"/>
        <v>#N/A</v>
      </c>
      <c r="F106" s="176" t="e">
        <f t="shared" si="154"/>
        <v>#N/A</v>
      </c>
      <c r="G106" s="121">
        <f t="shared" si="174"/>
        <v>208</v>
      </c>
      <c r="H106" s="176" t="e">
        <f t="shared" si="175"/>
        <v>#N/A</v>
      </c>
      <c r="I106" s="48">
        <v>1</v>
      </c>
      <c r="J106" s="39"/>
      <c r="K106" s="350">
        <v>1</v>
      </c>
      <c r="L106" s="34" t="e">
        <f t="shared" si="155"/>
        <v>#N/A</v>
      </c>
      <c r="M106" s="38" t="e">
        <f>(HLOOKUP(J106,'Construction Times'!$B$3:$W$34,L106+2,FALSE)*HLOOKUP("hq modifier",'Construction Times'!$W$3:$W$34,BS106+2,FALSE))*(1-$H$9)</f>
        <v>#N/A</v>
      </c>
      <c r="N106" s="426" t="e">
        <f t="shared" si="176"/>
        <v>#N/A</v>
      </c>
      <c r="O106" s="427"/>
      <c r="P106" s="430" t="e">
        <f t="shared" si="177"/>
        <v>#N/A</v>
      </c>
      <c r="Q106" s="431"/>
      <c r="R106" s="103">
        <f t="shared" si="217"/>
        <v>0</v>
      </c>
      <c r="S106" s="104">
        <f t="shared" si="217"/>
        <v>0</v>
      </c>
      <c r="T106" s="104">
        <f t="shared" si="218"/>
        <v>0</v>
      </c>
      <c r="U106" s="104">
        <f t="shared" si="218"/>
        <v>0</v>
      </c>
      <c r="V106" s="104">
        <f t="shared" si="218"/>
        <v>9.9999999999999995E-8</v>
      </c>
      <c r="W106" s="104">
        <f t="shared" si="218"/>
        <v>0</v>
      </c>
      <c r="X106" s="104">
        <f t="shared" si="116"/>
        <v>0</v>
      </c>
      <c r="Y106" s="104">
        <f t="shared" si="116"/>
        <v>9.9999999999999995E-8</v>
      </c>
      <c r="Z106" s="104">
        <f t="shared" si="116"/>
        <v>9.9999999999999995E-8</v>
      </c>
      <c r="AA106" s="105">
        <f t="shared" si="116"/>
        <v>9.9999999999999995E-8</v>
      </c>
      <c r="AB106" s="101" t="e">
        <f>$DT106*HLOOKUP($J106,'Construction Costs (timber)'!$B$1:$V$32,'Construction Planner'!$L106+2,FALSE)</f>
        <v>#N/A</v>
      </c>
      <c r="AC106" s="14" t="e">
        <f>$DT106*HLOOKUP($J106,'Construction Costs (clay)'!$B$1:$V$32,'Construction Planner'!$L106+2,FALSE)</f>
        <v>#N/A</v>
      </c>
      <c r="AD106" s="14" t="e">
        <f>$DT106*HLOOKUP($J106,'Construction Costs (iron)'!$B$1:$V$32,'Construction Planner'!$L106+2,FALSE)</f>
        <v>#N/A</v>
      </c>
      <c r="AE106" s="34" t="e">
        <f t="shared" si="230"/>
        <v>#N/A</v>
      </c>
      <c r="AF106" s="33" t="e">
        <f t="shared" si="156"/>
        <v>#N/A</v>
      </c>
      <c r="AG106" s="14" t="e">
        <f t="shared" si="157"/>
        <v>#N/A</v>
      </c>
      <c r="AH106" s="14" t="e">
        <f t="shared" si="158"/>
        <v>#N/A</v>
      </c>
      <c r="AI106" s="34" t="e">
        <f t="shared" si="231"/>
        <v>#N/A</v>
      </c>
      <c r="AJ106" s="49" t="e">
        <f t="shared" si="178"/>
        <v>#N/A</v>
      </c>
      <c r="AK106" s="49" t="e">
        <f t="shared" si="179"/>
        <v>#N/A</v>
      </c>
      <c r="AL106" s="49" t="e">
        <f t="shared" si="180"/>
        <v>#N/A</v>
      </c>
      <c r="AM106" s="25">
        <f t="shared" si="159"/>
        <v>30</v>
      </c>
      <c r="AN106" s="25">
        <f t="shared" si="160"/>
        <v>30</v>
      </c>
      <c r="AO106" s="25">
        <f t="shared" si="161"/>
        <v>30</v>
      </c>
      <c r="AP106" s="52" t="e">
        <f t="shared" si="181"/>
        <v>#N/A</v>
      </c>
      <c r="AQ106" s="53" t="e">
        <f t="shared" si="181"/>
        <v>#N/A</v>
      </c>
      <c r="AR106" s="54" t="e">
        <f t="shared" si="181"/>
        <v>#N/A</v>
      </c>
      <c r="AS106" s="316">
        <f t="shared" si="263"/>
        <v>0</v>
      </c>
      <c r="AT106" s="106">
        <f>_xlfn.IFNA($M106/VLOOKUP($BT106,'Unit information'!$A$2:$K$29,2,FALSE)*R106,0)*(1+$E$9)</f>
        <v>0</v>
      </c>
      <c r="AU106" s="107">
        <f>_xlfn.IFNA($M106/VLOOKUP($BT106,'Unit information'!$A$2:$K$29,3,FALSE)*S106,0)*(1+$E$9)</f>
        <v>0</v>
      </c>
      <c r="AV106" s="107">
        <f>_xlfn.IFNA($M106/VLOOKUP($BT106,'Unit information'!$A$2:$K$29,4,FALSE)*T106,0)*(1+$E$9)</f>
        <v>0</v>
      </c>
      <c r="AW106" s="107">
        <f>_xlfn.IFNA($M106/VLOOKUP($BT106,'Unit information'!$A$2:$K$29,5,FALSE)*U106,0)*(1+$E$9)</f>
        <v>0</v>
      </c>
      <c r="AX106" s="107">
        <f>_xlfn.IFNA($M106/VLOOKUP($BU106,'Unit information'!$A$2:$K$29,6,FALSE)*V106,0)*(1+$E$9)</f>
        <v>0</v>
      </c>
      <c r="AY106" s="107">
        <f>_xlfn.IFNA($M106/VLOOKUP($BU106,'Unit information'!$A$2:$K$29,7,FALSE)*W106,0)*(1+$E$9)</f>
        <v>0</v>
      </c>
      <c r="AZ106" s="107">
        <f>_xlfn.IFNA($M106/VLOOKUP($BU106,'Unit information'!$A$2:$K$29,8,FALSE)*X106,0)*(1+$E$9)</f>
        <v>0</v>
      </c>
      <c r="BA106" s="107">
        <f>_xlfn.IFNA($M106/VLOOKUP($BU106,'Unit information'!$A$2:$K$29,9,FALSE)*Y106,0)*(1+$E$9)</f>
        <v>0</v>
      </c>
      <c r="BB106" s="107">
        <f>_xlfn.IFNA($M106/VLOOKUP($BV106,'Unit information'!$A$2:$K$29,10,FALSE)*Z106,0)*(1+$E$9)</f>
        <v>0</v>
      </c>
      <c r="BC106" s="108">
        <f>_xlfn.IFNA($M106/VLOOKUP($BV106,'Unit information'!$A$2:$K$29,11,FALSE)*AA106,0)*(1+$E$9)</f>
        <v>0</v>
      </c>
      <c r="BD106" s="106">
        <f t="shared" si="162"/>
        <v>0</v>
      </c>
      <c r="BE106" s="107">
        <f t="shared" si="163"/>
        <v>0</v>
      </c>
      <c r="BF106" s="108">
        <f t="shared" si="164"/>
        <v>0</v>
      </c>
      <c r="BG106" s="25" t="e">
        <f t="shared" si="165"/>
        <v>#N/A</v>
      </c>
      <c r="BH106" s="25" t="e">
        <f t="shared" si="166"/>
        <v>#N/A</v>
      </c>
      <c r="BI106" s="25" t="e">
        <f t="shared" si="167"/>
        <v>#N/A</v>
      </c>
      <c r="BJ106" s="27" t="e">
        <f t="shared" si="168"/>
        <v>#N/A</v>
      </c>
      <c r="BK106" s="18" t="e">
        <f t="shared" si="169"/>
        <v>#N/A</v>
      </c>
      <c r="BL106" s="18" t="e">
        <f t="shared" si="170"/>
        <v>#N/A</v>
      </c>
      <c r="BM106" s="28" t="e">
        <f t="shared" si="233"/>
        <v>#N/A</v>
      </c>
      <c r="BN106" s="33">
        <f>HLOOKUP("maximum population",Miscelaneous!$C$1:$C$33,CH106+3,FALSE)</f>
        <v>240</v>
      </c>
      <c r="BO106" s="14">
        <f t="shared" si="182"/>
        <v>32</v>
      </c>
      <c r="BP106" s="14">
        <f t="shared" si="183"/>
        <v>0</v>
      </c>
      <c r="BQ106" s="14">
        <f t="shared" si="184"/>
        <v>208</v>
      </c>
      <c r="BR106" s="34" t="e">
        <f>HLOOKUP(J106,Villagers!$B$1:$V$33,L106+3,FALSE)-HLOOKUP(J106,Villagers!$B$1:$V$33,L106+2,FALSE)</f>
        <v>#N/A</v>
      </c>
      <c r="BS106" s="49">
        <f t="shared" si="185"/>
        <v>1</v>
      </c>
      <c r="BT106" s="50">
        <f t="shared" si="186"/>
        <v>0</v>
      </c>
      <c r="BU106" s="50">
        <f t="shared" si="187"/>
        <v>0</v>
      </c>
      <c r="BV106" s="50">
        <f t="shared" si="188"/>
        <v>0</v>
      </c>
      <c r="BW106" s="50">
        <f t="shared" si="267"/>
        <v>0</v>
      </c>
      <c r="BX106" s="50">
        <f t="shared" si="267"/>
        <v>0</v>
      </c>
      <c r="BY106" s="50">
        <f t="shared" si="267"/>
        <v>0</v>
      </c>
      <c r="BZ106" s="50">
        <f t="shared" si="245"/>
        <v>0</v>
      </c>
      <c r="CA106" s="50">
        <f t="shared" si="246"/>
        <v>0</v>
      </c>
      <c r="CB106" s="50">
        <f t="shared" si="247"/>
        <v>1</v>
      </c>
      <c r="CC106" s="50">
        <f t="shared" si="248"/>
        <v>0</v>
      </c>
      <c r="CD106" s="50">
        <f t="shared" si="249"/>
        <v>0</v>
      </c>
      <c r="CE106" s="50">
        <f t="shared" si="250"/>
        <v>1</v>
      </c>
      <c r="CF106" s="50">
        <f t="shared" si="251"/>
        <v>1</v>
      </c>
      <c r="CG106" s="50">
        <f t="shared" si="252"/>
        <v>1</v>
      </c>
      <c r="CH106" s="50">
        <f t="shared" si="253"/>
        <v>1</v>
      </c>
      <c r="CI106" s="50">
        <f t="shared" si="254"/>
        <v>1</v>
      </c>
      <c r="CJ106" s="50">
        <f t="shared" si="255"/>
        <v>1</v>
      </c>
      <c r="CK106" s="50">
        <f t="shared" si="255"/>
        <v>0</v>
      </c>
      <c r="CL106" s="50">
        <f t="shared" si="255"/>
        <v>0</v>
      </c>
      <c r="CM106" s="51">
        <f t="shared" si="256"/>
        <v>0</v>
      </c>
      <c r="CN106" s="33">
        <f>ROUND(IF(BS106=0,0,HLOOKUP(BS$14,Villagers!$B$1:$V$33,BS106+3,FALSE)),)</f>
        <v>5</v>
      </c>
      <c r="CO106" s="14">
        <f>ROUND(IF(BT106=0,0,HLOOKUP(BT$14,Villagers!$B$1:$V$33,BT106+3,FALSE)),)</f>
        <v>0</v>
      </c>
      <c r="CP106" s="14">
        <f>ROUND(IF(BU106=0,0,HLOOKUP(BU$14,Villagers!$B$1:$V$33,BU106+3,FALSE)),)</f>
        <v>0</v>
      </c>
      <c r="CQ106" s="14">
        <f>ROUND(IF(BV106=0,0,HLOOKUP(BV$14,Villagers!$B$1:$V$33,BV106+3,FALSE)),)</f>
        <v>0</v>
      </c>
      <c r="CR106" s="14">
        <f>ROUND(IF(BW106=0,0,HLOOKUP(BW$14,Villagers!$B$1:$V$33,BW106+3,FALSE)),)</f>
        <v>0</v>
      </c>
      <c r="CS106" s="14">
        <f>ROUND(IF(BX106=0,0,HLOOKUP(BX$14,Villagers!$B$1:$V$33,BX106+3,FALSE)),)</f>
        <v>0</v>
      </c>
      <c r="CT106" s="14">
        <f>ROUND(IF(BY106=0,0,HLOOKUP(BY$14,Villagers!$B$1:$V$33,BY106+3,FALSE)),)</f>
        <v>0</v>
      </c>
      <c r="CU106" s="14">
        <f>ROUND(IF(BZ106=0,0,HLOOKUP(BZ$14,Villagers!$B$1:$V$33,BZ106+3,FALSE)),)</f>
        <v>0</v>
      </c>
      <c r="CV106" s="14">
        <f>ROUND(IF(CA106=0,0,HLOOKUP(CA$14,Villagers!$B$1:$V$33,CA106+3,FALSE)),)</f>
        <v>0</v>
      </c>
      <c r="CW106" s="14">
        <f>ROUND(IF(CB106=0,0,HLOOKUP(CB$14,Villagers!$B$1:$V$33,CB106+3,FALSE)),)</f>
        <v>0</v>
      </c>
      <c r="CX106" s="14">
        <f>ROUND(IF(CC106=0,0,HLOOKUP(CC$14,Villagers!$B$1:$V$33,CC106+3,FALSE)),)</f>
        <v>0</v>
      </c>
      <c r="CY106" s="14">
        <f>ROUND(IF(CD106=0,0,HLOOKUP(CD$14,Villagers!$B$1:$V$33,CD106+3,FALSE)),)</f>
        <v>0</v>
      </c>
      <c r="CZ106" s="14">
        <f>ROUND(IF(CE106=0,0,HLOOKUP(CE$14,Villagers!$B$1:$V$33,CE106+3,FALSE)),)</f>
        <v>5</v>
      </c>
      <c r="DA106" s="14">
        <f>ROUND(IF(CF106=0,0,HLOOKUP(CF$14,Villagers!$B$1:$V$33,CF106+3,FALSE)),)</f>
        <v>10</v>
      </c>
      <c r="DB106" s="14">
        <f>ROUND(IF(CG106=0,0,HLOOKUP(CG$14,Villagers!$B$1:$V$33,CG106+3,FALSE)),)</f>
        <v>10</v>
      </c>
      <c r="DC106" s="14">
        <f>ROUND(IF(CH106=0,0,HLOOKUP(CH$14,Villagers!$B$1:$V$33,CH106+3,FALSE)),)</f>
        <v>0</v>
      </c>
      <c r="DD106" s="14">
        <f>ROUND(IF(CI106=0,0,HLOOKUP(CI$14,Villagers!$B$1:$V$33,CI106+3,FALSE)),)</f>
        <v>0</v>
      </c>
      <c r="DE106" s="14">
        <f>ROUND(IF(CJ106=0,0,HLOOKUP(CJ$14,Villagers!$B$1:$V$33,CJ106+3,FALSE)),)</f>
        <v>2</v>
      </c>
      <c r="DF106" s="370">
        <f>ROUND(IF(CK106=0,0,HLOOKUP(CK$14,Villagers!$B$1:$V$33,CK106+3,FALSE)),)</f>
        <v>0</v>
      </c>
      <c r="DG106" s="370">
        <f>ROUND(IF(CL106=0,0,HLOOKUP(CL$14,Villagers!$B$1:$V$33,CL106+3,FALSE)),)</f>
        <v>0</v>
      </c>
      <c r="DH106" s="34">
        <f>ROUND(IF(CM106=0,0,HLOOKUP(CM$14,Villagers!$B$1:$V$33,CM106+3,FALSE)),)</f>
        <v>0</v>
      </c>
      <c r="DI106" s="109">
        <f t="shared" si="219"/>
        <v>0</v>
      </c>
      <c r="DJ106" s="50">
        <f t="shared" si="220"/>
        <v>0</v>
      </c>
      <c r="DK106" s="50">
        <f t="shared" si="221"/>
        <v>0</v>
      </c>
      <c r="DL106" s="50">
        <f t="shared" si="222"/>
        <v>0</v>
      </c>
      <c r="DM106" s="50">
        <f t="shared" si="223"/>
        <v>0</v>
      </c>
      <c r="DN106" s="50">
        <f t="shared" si="224"/>
        <v>0</v>
      </c>
      <c r="DO106" s="50">
        <f t="shared" si="225"/>
        <v>0</v>
      </c>
      <c r="DP106" s="50">
        <f t="shared" si="226"/>
        <v>0</v>
      </c>
      <c r="DQ106" s="50">
        <f t="shared" si="203"/>
        <v>0</v>
      </c>
      <c r="DR106" s="50">
        <f t="shared" si="204"/>
        <v>0</v>
      </c>
      <c r="DS106" s="96">
        <f>Miscelaneous!$D$4*Miscelaneous!$D$2^($CI106-1)</f>
        <v>1000</v>
      </c>
      <c r="DT106" s="333">
        <f t="shared" si="171"/>
        <v>1</v>
      </c>
      <c r="DU106" s="81">
        <v>1</v>
      </c>
      <c r="DV106" s="79">
        <f t="shared" si="205"/>
        <v>0</v>
      </c>
      <c r="DW106" s="79">
        <f t="shared" si="206"/>
        <v>0</v>
      </c>
      <c r="DX106" s="79">
        <f t="shared" si="207"/>
        <v>0</v>
      </c>
      <c r="DY106" s="79">
        <v>1</v>
      </c>
      <c r="DZ106" s="79">
        <f t="shared" si="208"/>
        <v>0</v>
      </c>
      <c r="EA106" s="79">
        <f t="shared" si="209"/>
        <v>0</v>
      </c>
      <c r="EB106" s="79">
        <f t="shared" si="210"/>
        <v>0</v>
      </c>
      <c r="EC106" s="79">
        <f t="shared" si="211"/>
        <v>0</v>
      </c>
      <c r="ED106" s="79">
        <v>1</v>
      </c>
      <c r="EE106" s="79">
        <v>1</v>
      </c>
      <c r="EF106" s="79">
        <f t="shared" si="212"/>
        <v>0</v>
      </c>
      <c r="EG106" s="79">
        <v>1</v>
      </c>
      <c r="EH106" s="79">
        <v>1</v>
      </c>
      <c r="EI106" s="79">
        <v>1</v>
      </c>
      <c r="EJ106" s="79">
        <v>1</v>
      </c>
      <c r="EK106" s="79">
        <v>1</v>
      </c>
      <c r="EL106" s="79">
        <v>1</v>
      </c>
      <c r="EM106" s="143">
        <f t="shared" si="213"/>
        <v>0</v>
      </c>
      <c r="EN106" s="143">
        <f t="shared" si="214"/>
        <v>0</v>
      </c>
      <c r="EO106" s="82">
        <f t="shared" si="215"/>
        <v>0</v>
      </c>
    </row>
    <row r="107" spans="1:145" x14ac:dyDescent="0.25">
      <c r="A107">
        <v>93</v>
      </c>
      <c r="B107" s="172" t="e">
        <f t="shared" si="172"/>
        <v>#N/A</v>
      </c>
      <c r="C107" s="121" t="e">
        <f t="shared" ref="C107:E107" si="271">AJ107-SUM(AB107:AB111)</f>
        <v>#N/A</v>
      </c>
      <c r="D107" s="122" t="e">
        <f t="shared" si="271"/>
        <v>#N/A</v>
      </c>
      <c r="E107" s="122" t="e">
        <f t="shared" si="271"/>
        <v>#N/A</v>
      </c>
      <c r="F107" s="176" t="e">
        <f t="shared" si="154"/>
        <v>#N/A</v>
      </c>
      <c r="G107" s="121">
        <f t="shared" si="174"/>
        <v>208</v>
      </c>
      <c r="H107" s="176" t="e">
        <f t="shared" si="175"/>
        <v>#N/A</v>
      </c>
      <c r="I107" s="48">
        <v>1</v>
      </c>
      <c r="J107" s="39"/>
      <c r="K107" s="350">
        <v>1</v>
      </c>
      <c r="L107" s="34" t="e">
        <f t="shared" si="155"/>
        <v>#N/A</v>
      </c>
      <c r="M107" s="38" t="e">
        <f>(HLOOKUP(J107,'Construction Times'!$B$3:$W$34,L107+2,FALSE)*HLOOKUP("hq modifier",'Construction Times'!$W$3:$W$34,BS107+2,FALSE))*(1-$H$9)</f>
        <v>#N/A</v>
      </c>
      <c r="N107" s="426" t="e">
        <f t="shared" si="176"/>
        <v>#N/A</v>
      </c>
      <c r="O107" s="427"/>
      <c r="P107" s="430" t="e">
        <f t="shared" si="177"/>
        <v>#N/A</v>
      </c>
      <c r="Q107" s="431"/>
      <c r="R107" s="103">
        <f t="shared" si="217"/>
        <v>0</v>
      </c>
      <c r="S107" s="104">
        <f t="shared" si="217"/>
        <v>0</v>
      </c>
      <c r="T107" s="104">
        <f t="shared" si="218"/>
        <v>0</v>
      </c>
      <c r="U107" s="104">
        <f t="shared" si="218"/>
        <v>0</v>
      </c>
      <c r="V107" s="104">
        <f t="shared" si="218"/>
        <v>9.9999999999999995E-8</v>
      </c>
      <c r="W107" s="104">
        <f t="shared" si="218"/>
        <v>0</v>
      </c>
      <c r="X107" s="104">
        <f t="shared" si="116"/>
        <v>0</v>
      </c>
      <c r="Y107" s="104">
        <f t="shared" si="116"/>
        <v>9.9999999999999995E-8</v>
      </c>
      <c r="Z107" s="104">
        <f t="shared" si="116"/>
        <v>9.9999999999999995E-8</v>
      </c>
      <c r="AA107" s="105">
        <f t="shared" si="116"/>
        <v>9.9999999999999995E-8</v>
      </c>
      <c r="AB107" s="101" t="e">
        <f>$DT107*HLOOKUP($J107,'Construction Costs (timber)'!$B$1:$V$32,'Construction Planner'!$L107+2,FALSE)</f>
        <v>#N/A</v>
      </c>
      <c r="AC107" s="14" t="e">
        <f>$DT107*HLOOKUP($J107,'Construction Costs (clay)'!$B$1:$V$32,'Construction Planner'!$L107+2,FALSE)</f>
        <v>#N/A</v>
      </c>
      <c r="AD107" s="14" t="e">
        <f>$DT107*HLOOKUP($J107,'Construction Costs (iron)'!$B$1:$V$32,'Construction Planner'!$L107+2,FALSE)</f>
        <v>#N/A</v>
      </c>
      <c r="AE107" s="34" t="e">
        <f t="shared" si="230"/>
        <v>#N/A</v>
      </c>
      <c r="AF107" s="33" t="e">
        <f t="shared" si="156"/>
        <v>#N/A</v>
      </c>
      <c r="AG107" s="14" t="e">
        <f t="shared" si="157"/>
        <v>#N/A</v>
      </c>
      <c r="AH107" s="14" t="e">
        <f t="shared" si="158"/>
        <v>#N/A</v>
      </c>
      <c r="AI107" s="34" t="e">
        <f t="shared" si="231"/>
        <v>#N/A</v>
      </c>
      <c r="AJ107" s="49" t="e">
        <f t="shared" si="178"/>
        <v>#N/A</v>
      </c>
      <c r="AK107" s="49" t="e">
        <f t="shared" si="179"/>
        <v>#N/A</v>
      </c>
      <c r="AL107" s="49" t="e">
        <f t="shared" si="180"/>
        <v>#N/A</v>
      </c>
      <c r="AM107" s="25">
        <f t="shared" si="159"/>
        <v>30</v>
      </c>
      <c r="AN107" s="25">
        <f t="shared" si="160"/>
        <v>30</v>
      </c>
      <c r="AO107" s="25">
        <f t="shared" si="161"/>
        <v>30</v>
      </c>
      <c r="AP107" s="52" t="e">
        <f t="shared" si="181"/>
        <v>#N/A</v>
      </c>
      <c r="AQ107" s="53" t="e">
        <f t="shared" si="181"/>
        <v>#N/A</v>
      </c>
      <c r="AR107" s="54" t="e">
        <f t="shared" si="181"/>
        <v>#N/A</v>
      </c>
      <c r="AS107" s="316">
        <f t="shared" si="263"/>
        <v>0</v>
      </c>
      <c r="AT107" s="106">
        <f>_xlfn.IFNA($M107/VLOOKUP($BT107,'Unit information'!$A$2:$K$29,2,FALSE)*R107,0)*(1+$E$9)</f>
        <v>0</v>
      </c>
      <c r="AU107" s="107">
        <f>_xlfn.IFNA($M107/VLOOKUP($BT107,'Unit information'!$A$2:$K$29,3,FALSE)*S107,0)*(1+$E$9)</f>
        <v>0</v>
      </c>
      <c r="AV107" s="107">
        <f>_xlfn.IFNA($M107/VLOOKUP($BT107,'Unit information'!$A$2:$K$29,4,FALSE)*T107,0)*(1+$E$9)</f>
        <v>0</v>
      </c>
      <c r="AW107" s="107">
        <f>_xlfn.IFNA($M107/VLOOKUP($BT107,'Unit information'!$A$2:$K$29,5,FALSE)*U107,0)*(1+$E$9)</f>
        <v>0</v>
      </c>
      <c r="AX107" s="107">
        <f>_xlfn.IFNA($M107/VLOOKUP($BU107,'Unit information'!$A$2:$K$29,6,FALSE)*V107,0)*(1+$E$9)</f>
        <v>0</v>
      </c>
      <c r="AY107" s="107">
        <f>_xlfn.IFNA($M107/VLOOKUP($BU107,'Unit information'!$A$2:$K$29,7,FALSE)*W107,0)*(1+$E$9)</f>
        <v>0</v>
      </c>
      <c r="AZ107" s="107">
        <f>_xlfn.IFNA($M107/VLOOKUP($BU107,'Unit information'!$A$2:$K$29,8,FALSE)*X107,0)*(1+$E$9)</f>
        <v>0</v>
      </c>
      <c r="BA107" s="107">
        <f>_xlfn.IFNA($M107/VLOOKUP($BU107,'Unit information'!$A$2:$K$29,9,FALSE)*Y107,0)*(1+$E$9)</f>
        <v>0</v>
      </c>
      <c r="BB107" s="107">
        <f>_xlfn.IFNA($M107/VLOOKUP($BV107,'Unit information'!$A$2:$K$29,10,FALSE)*Z107,0)*(1+$E$9)</f>
        <v>0</v>
      </c>
      <c r="BC107" s="108">
        <f>_xlfn.IFNA($M107/VLOOKUP($BV107,'Unit information'!$A$2:$K$29,11,FALSE)*AA107,0)*(1+$E$9)</f>
        <v>0</v>
      </c>
      <c r="BD107" s="106">
        <f t="shared" si="162"/>
        <v>0</v>
      </c>
      <c r="BE107" s="107">
        <f t="shared" si="163"/>
        <v>0</v>
      </c>
      <c r="BF107" s="108">
        <f t="shared" si="164"/>
        <v>0</v>
      </c>
      <c r="BG107" s="25" t="e">
        <f t="shared" si="165"/>
        <v>#N/A</v>
      </c>
      <c r="BH107" s="25" t="e">
        <f t="shared" si="166"/>
        <v>#N/A</v>
      </c>
      <c r="BI107" s="25" t="e">
        <f t="shared" si="167"/>
        <v>#N/A</v>
      </c>
      <c r="BJ107" s="27" t="e">
        <f t="shared" si="168"/>
        <v>#N/A</v>
      </c>
      <c r="BK107" s="18" t="e">
        <f t="shared" si="169"/>
        <v>#N/A</v>
      </c>
      <c r="BL107" s="18" t="e">
        <f t="shared" si="170"/>
        <v>#N/A</v>
      </c>
      <c r="BM107" s="28" t="e">
        <f t="shared" si="233"/>
        <v>#N/A</v>
      </c>
      <c r="BN107" s="33">
        <f>HLOOKUP("maximum population",Miscelaneous!$C$1:$C$33,CH107+3,FALSE)</f>
        <v>240</v>
      </c>
      <c r="BO107" s="14">
        <f t="shared" si="182"/>
        <v>32</v>
      </c>
      <c r="BP107" s="14">
        <f t="shared" si="183"/>
        <v>0</v>
      </c>
      <c r="BQ107" s="14">
        <f t="shared" si="184"/>
        <v>208</v>
      </c>
      <c r="BR107" s="34" t="e">
        <f>HLOOKUP(J107,Villagers!$B$1:$V$33,L107+3,FALSE)-HLOOKUP(J107,Villagers!$B$1:$V$33,L107+2,FALSE)</f>
        <v>#N/A</v>
      </c>
      <c r="BS107" s="49">
        <f t="shared" si="185"/>
        <v>1</v>
      </c>
      <c r="BT107" s="50">
        <f t="shared" si="186"/>
        <v>0</v>
      </c>
      <c r="BU107" s="50">
        <f t="shared" si="187"/>
        <v>0</v>
      </c>
      <c r="BV107" s="50">
        <f t="shared" si="188"/>
        <v>0</v>
      </c>
      <c r="BW107" s="50">
        <f t="shared" ref="BW107:BW118" si="272">IF($J106=BW$14,$L106,BW106)</f>
        <v>0</v>
      </c>
      <c r="BX107" s="50">
        <f t="shared" ref="BX107:BY118" si="273">IF($J106=BX$14,$L106,BX106)</f>
        <v>0</v>
      </c>
      <c r="BY107" s="50">
        <f t="shared" si="273"/>
        <v>0</v>
      </c>
      <c r="BZ107" s="50">
        <f t="shared" si="245"/>
        <v>0</v>
      </c>
      <c r="CA107" s="50">
        <f t="shared" si="246"/>
        <v>0</v>
      </c>
      <c r="CB107" s="50">
        <f t="shared" si="247"/>
        <v>1</v>
      </c>
      <c r="CC107" s="50">
        <f t="shared" si="248"/>
        <v>0</v>
      </c>
      <c r="CD107" s="50">
        <f t="shared" si="249"/>
        <v>0</v>
      </c>
      <c r="CE107" s="50">
        <f t="shared" si="250"/>
        <v>1</v>
      </c>
      <c r="CF107" s="50">
        <f t="shared" si="251"/>
        <v>1</v>
      </c>
      <c r="CG107" s="50">
        <f t="shared" si="252"/>
        <v>1</v>
      </c>
      <c r="CH107" s="50">
        <f t="shared" si="253"/>
        <v>1</v>
      </c>
      <c r="CI107" s="50">
        <f t="shared" si="254"/>
        <v>1</v>
      </c>
      <c r="CJ107" s="50">
        <f t="shared" si="255"/>
        <v>1</v>
      </c>
      <c r="CK107" s="50">
        <f t="shared" si="255"/>
        <v>0</v>
      </c>
      <c r="CL107" s="50">
        <f t="shared" si="255"/>
        <v>0</v>
      </c>
      <c r="CM107" s="51">
        <f t="shared" ref="CM107:CM113" si="274">IF($J106=CM$14,$L106,CM106)</f>
        <v>0</v>
      </c>
      <c r="CN107" s="33">
        <f>ROUND(IF(BS107=0,0,HLOOKUP(BS$14,Villagers!$B$1:$V$33,BS107+3,FALSE)),)</f>
        <v>5</v>
      </c>
      <c r="CO107" s="14">
        <f>ROUND(IF(BT107=0,0,HLOOKUP(BT$14,Villagers!$B$1:$V$33,BT107+3,FALSE)),)</f>
        <v>0</v>
      </c>
      <c r="CP107" s="14">
        <f>ROUND(IF(BU107=0,0,HLOOKUP(BU$14,Villagers!$B$1:$V$33,BU107+3,FALSE)),)</f>
        <v>0</v>
      </c>
      <c r="CQ107" s="14">
        <f>ROUND(IF(BV107=0,0,HLOOKUP(BV$14,Villagers!$B$1:$V$33,BV107+3,FALSE)),)</f>
        <v>0</v>
      </c>
      <c r="CR107" s="14">
        <f>ROUND(IF(BW107=0,0,HLOOKUP(BW$14,Villagers!$B$1:$V$33,BW107+3,FALSE)),)</f>
        <v>0</v>
      </c>
      <c r="CS107" s="14">
        <f>ROUND(IF(BX107=0,0,HLOOKUP(BX$14,Villagers!$B$1:$V$33,BX107+3,FALSE)),)</f>
        <v>0</v>
      </c>
      <c r="CT107" s="14">
        <f>ROUND(IF(BY107=0,0,HLOOKUP(BY$14,Villagers!$B$1:$V$33,BY107+3,FALSE)),)</f>
        <v>0</v>
      </c>
      <c r="CU107" s="14">
        <f>ROUND(IF(BZ107=0,0,HLOOKUP(BZ$14,Villagers!$B$1:$V$33,BZ107+3,FALSE)),)</f>
        <v>0</v>
      </c>
      <c r="CV107" s="14">
        <f>ROUND(IF(CA107=0,0,HLOOKUP(CA$14,Villagers!$B$1:$V$33,CA107+3,FALSE)),)</f>
        <v>0</v>
      </c>
      <c r="CW107" s="14">
        <f>ROUND(IF(CB107=0,0,HLOOKUP(CB$14,Villagers!$B$1:$V$33,CB107+3,FALSE)),)</f>
        <v>0</v>
      </c>
      <c r="CX107" s="14">
        <f>ROUND(IF(CC107=0,0,HLOOKUP(CC$14,Villagers!$B$1:$V$33,CC107+3,FALSE)),)</f>
        <v>0</v>
      </c>
      <c r="CY107" s="14">
        <f>ROUND(IF(CD107=0,0,HLOOKUP(CD$14,Villagers!$B$1:$V$33,CD107+3,FALSE)),)</f>
        <v>0</v>
      </c>
      <c r="CZ107" s="14">
        <f>ROUND(IF(CE107=0,0,HLOOKUP(CE$14,Villagers!$B$1:$V$33,CE107+3,FALSE)),)</f>
        <v>5</v>
      </c>
      <c r="DA107" s="14">
        <f>ROUND(IF(CF107=0,0,HLOOKUP(CF$14,Villagers!$B$1:$V$33,CF107+3,FALSE)),)</f>
        <v>10</v>
      </c>
      <c r="DB107" s="14">
        <f>ROUND(IF(CG107=0,0,HLOOKUP(CG$14,Villagers!$B$1:$V$33,CG107+3,FALSE)),)</f>
        <v>10</v>
      </c>
      <c r="DC107" s="14">
        <f>ROUND(IF(CH107=0,0,HLOOKUP(CH$14,Villagers!$B$1:$V$33,CH107+3,FALSE)),)</f>
        <v>0</v>
      </c>
      <c r="DD107" s="14">
        <f>ROUND(IF(CI107=0,0,HLOOKUP(CI$14,Villagers!$B$1:$V$33,CI107+3,FALSE)),)</f>
        <v>0</v>
      </c>
      <c r="DE107" s="14">
        <f>ROUND(IF(CJ107=0,0,HLOOKUP(CJ$14,Villagers!$B$1:$V$33,CJ107+3,FALSE)),)</f>
        <v>2</v>
      </c>
      <c r="DF107" s="370">
        <f>ROUND(IF(CK107=0,0,HLOOKUP(CK$14,Villagers!$B$1:$V$33,CK107+3,FALSE)),)</f>
        <v>0</v>
      </c>
      <c r="DG107" s="370">
        <f>ROUND(IF(CL107=0,0,HLOOKUP(CL$14,Villagers!$B$1:$V$33,CL107+3,FALSE)),)</f>
        <v>0</v>
      </c>
      <c r="DH107" s="34">
        <f>ROUND(IF(CM107=0,0,HLOOKUP(CM$14,Villagers!$B$1:$V$33,CM107+3,FALSE)),)</f>
        <v>0</v>
      </c>
      <c r="DI107" s="109">
        <f t="shared" si="219"/>
        <v>0</v>
      </c>
      <c r="DJ107" s="50">
        <f t="shared" si="220"/>
        <v>0</v>
      </c>
      <c r="DK107" s="50">
        <f t="shared" si="221"/>
        <v>0</v>
      </c>
      <c r="DL107" s="50">
        <f t="shared" si="222"/>
        <v>0</v>
      </c>
      <c r="DM107" s="50">
        <f t="shared" si="223"/>
        <v>0</v>
      </c>
      <c r="DN107" s="50">
        <f t="shared" si="224"/>
        <v>0</v>
      </c>
      <c r="DO107" s="50">
        <f t="shared" si="225"/>
        <v>0</v>
      </c>
      <c r="DP107" s="50">
        <f t="shared" si="226"/>
        <v>0</v>
      </c>
      <c r="DQ107" s="50">
        <f t="shared" si="203"/>
        <v>0</v>
      </c>
      <c r="DR107" s="50">
        <f t="shared" si="204"/>
        <v>0</v>
      </c>
      <c r="DS107" s="96">
        <f>Miscelaneous!$D$4*Miscelaneous!$D$2^($CI107-1)</f>
        <v>1000</v>
      </c>
      <c r="DT107" s="333">
        <f t="shared" si="171"/>
        <v>1</v>
      </c>
      <c r="DU107" s="81">
        <v>1</v>
      </c>
      <c r="DV107" s="79">
        <f t="shared" si="205"/>
        <v>0</v>
      </c>
      <c r="DW107" s="79">
        <f t="shared" si="206"/>
        <v>0</v>
      </c>
      <c r="DX107" s="79">
        <f t="shared" si="207"/>
        <v>0</v>
      </c>
      <c r="DY107" s="79">
        <v>1</v>
      </c>
      <c r="DZ107" s="79">
        <f t="shared" si="208"/>
        <v>0</v>
      </c>
      <c r="EA107" s="79">
        <f t="shared" si="209"/>
        <v>0</v>
      </c>
      <c r="EB107" s="79">
        <f t="shared" si="210"/>
        <v>0</v>
      </c>
      <c r="EC107" s="79">
        <f t="shared" si="211"/>
        <v>0</v>
      </c>
      <c r="ED107" s="79">
        <v>1</v>
      </c>
      <c r="EE107" s="79">
        <v>1</v>
      </c>
      <c r="EF107" s="79">
        <f t="shared" si="212"/>
        <v>0</v>
      </c>
      <c r="EG107" s="79">
        <v>1</v>
      </c>
      <c r="EH107" s="79">
        <v>1</v>
      </c>
      <c r="EI107" s="79">
        <v>1</v>
      </c>
      <c r="EJ107" s="79">
        <v>1</v>
      </c>
      <c r="EK107" s="79">
        <v>1</v>
      </c>
      <c r="EL107" s="79">
        <v>1</v>
      </c>
      <c r="EM107" s="143">
        <f t="shared" si="213"/>
        <v>0</v>
      </c>
      <c r="EN107" s="143">
        <f t="shared" si="214"/>
        <v>0</v>
      </c>
      <c r="EO107" s="82">
        <f t="shared" si="215"/>
        <v>0</v>
      </c>
    </row>
    <row r="108" spans="1:145" x14ac:dyDescent="0.25">
      <c r="A108">
        <v>94</v>
      </c>
      <c r="B108" s="172" t="e">
        <f t="shared" si="172"/>
        <v>#N/A</v>
      </c>
      <c r="C108" s="121" t="e">
        <f t="shared" ref="C108:E108" si="275">AJ108-SUM(AB108:AB112)</f>
        <v>#N/A</v>
      </c>
      <c r="D108" s="122" t="e">
        <f t="shared" si="275"/>
        <v>#N/A</v>
      </c>
      <c r="E108" s="122" t="e">
        <f t="shared" si="275"/>
        <v>#N/A</v>
      </c>
      <c r="F108" s="176" t="e">
        <f t="shared" si="154"/>
        <v>#N/A</v>
      </c>
      <c r="G108" s="121">
        <f t="shared" si="174"/>
        <v>208</v>
      </c>
      <c r="H108" s="176" t="e">
        <f t="shared" si="175"/>
        <v>#N/A</v>
      </c>
      <c r="I108" s="48">
        <v>1</v>
      </c>
      <c r="J108" s="39"/>
      <c r="K108" s="350">
        <v>1</v>
      </c>
      <c r="L108" s="34" t="e">
        <f t="shared" si="155"/>
        <v>#N/A</v>
      </c>
      <c r="M108" s="38" t="e">
        <f>(HLOOKUP(J108,'Construction Times'!$B$3:$W$34,L108+2,FALSE)*HLOOKUP("hq modifier",'Construction Times'!$W$3:$W$34,BS108+2,FALSE))*(1-$H$9)</f>
        <v>#N/A</v>
      </c>
      <c r="N108" s="426" t="e">
        <f t="shared" si="176"/>
        <v>#N/A</v>
      </c>
      <c r="O108" s="427"/>
      <c r="P108" s="430" t="e">
        <f t="shared" si="177"/>
        <v>#N/A</v>
      </c>
      <c r="Q108" s="431"/>
      <c r="R108" s="103">
        <f t="shared" si="217"/>
        <v>0</v>
      </c>
      <c r="S108" s="104">
        <f t="shared" si="217"/>
        <v>0</v>
      </c>
      <c r="T108" s="104">
        <f t="shared" si="218"/>
        <v>0</v>
      </c>
      <c r="U108" s="104">
        <f t="shared" si="218"/>
        <v>0</v>
      </c>
      <c r="V108" s="104">
        <f t="shared" si="218"/>
        <v>9.9999999999999995E-8</v>
      </c>
      <c r="W108" s="104">
        <f t="shared" si="218"/>
        <v>0</v>
      </c>
      <c r="X108" s="104">
        <f t="shared" si="116"/>
        <v>0</v>
      </c>
      <c r="Y108" s="104">
        <f t="shared" si="116"/>
        <v>9.9999999999999995E-8</v>
      </c>
      <c r="Z108" s="104">
        <f t="shared" si="116"/>
        <v>9.9999999999999995E-8</v>
      </c>
      <c r="AA108" s="105">
        <f t="shared" ref="AA108" si="276">AA107</f>
        <v>9.9999999999999995E-8</v>
      </c>
      <c r="AB108" s="101" t="e">
        <f>$DT108*HLOOKUP($J108,'Construction Costs (timber)'!$B$1:$V$32,'Construction Planner'!$L108+2,FALSE)</f>
        <v>#N/A</v>
      </c>
      <c r="AC108" s="14" t="e">
        <f>$DT108*HLOOKUP($J108,'Construction Costs (clay)'!$B$1:$V$32,'Construction Planner'!$L108+2,FALSE)</f>
        <v>#N/A</v>
      </c>
      <c r="AD108" s="14" t="e">
        <f>$DT108*HLOOKUP($J108,'Construction Costs (iron)'!$B$1:$V$32,'Construction Planner'!$L108+2,FALSE)</f>
        <v>#N/A</v>
      </c>
      <c r="AE108" s="34" t="e">
        <f t="shared" si="230"/>
        <v>#N/A</v>
      </c>
      <c r="AF108" s="33" t="e">
        <f t="shared" si="156"/>
        <v>#N/A</v>
      </c>
      <c r="AG108" s="14" t="e">
        <f t="shared" si="157"/>
        <v>#N/A</v>
      </c>
      <c r="AH108" s="14" t="e">
        <f t="shared" si="158"/>
        <v>#N/A</v>
      </c>
      <c r="AI108" s="34" t="e">
        <f t="shared" si="231"/>
        <v>#N/A</v>
      </c>
      <c r="AJ108" s="49" t="e">
        <f t="shared" si="178"/>
        <v>#N/A</v>
      </c>
      <c r="AK108" s="49" t="e">
        <f t="shared" si="179"/>
        <v>#N/A</v>
      </c>
      <c r="AL108" s="49" t="e">
        <f t="shared" si="180"/>
        <v>#N/A</v>
      </c>
      <c r="AM108" s="25">
        <f t="shared" si="159"/>
        <v>30</v>
      </c>
      <c r="AN108" s="25">
        <f t="shared" si="160"/>
        <v>30</v>
      </c>
      <c r="AO108" s="25">
        <f t="shared" si="161"/>
        <v>30</v>
      </c>
      <c r="AP108" s="52" t="e">
        <f t="shared" si="181"/>
        <v>#N/A</v>
      </c>
      <c r="AQ108" s="53" t="e">
        <f t="shared" si="181"/>
        <v>#N/A</v>
      </c>
      <c r="AR108" s="54" t="e">
        <f t="shared" si="181"/>
        <v>#N/A</v>
      </c>
      <c r="AS108" s="316">
        <f t="shared" si="263"/>
        <v>0</v>
      </c>
      <c r="AT108" s="106">
        <f>_xlfn.IFNA($M108/VLOOKUP($BT108,'Unit information'!$A$2:$K$29,2,FALSE)*R108,0)*(1+$E$9)</f>
        <v>0</v>
      </c>
      <c r="AU108" s="107">
        <f>_xlfn.IFNA($M108/VLOOKUP($BT108,'Unit information'!$A$2:$K$29,3,FALSE)*S108,0)*(1+$E$9)</f>
        <v>0</v>
      </c>
      <c r="AV108" s="107">
        <f>_xlfn.IFNA($M108/VLOOKUP($BT108,'Unit information'!$A$2:$K$29,4,FALSE)*T108,0)*(1+$E$9)</f>
        <v>0</v>
      </c>
      <c r="AW108" s="107">
        <f>_xlfn.IFNA($M108/VLOOKUP($BT108,'Unit information'!$A$2:$K$29,5,FALSE)*U108,0)*(1+$E$9)</f>
        <v>0</v>
      </c>
      <c r="AX108" s="107">
        <f>_xlfn.IFNA($M108/VLOOKUP($BU108,'Unit information'!$A$2:$K$29,6,FALSE)*V108,0)*(1+$E$9)</f>
        <v>0</v>
      </c>
      <c r="AY108" s="107">
        <f>_xlfn.IFNA($M108/VLOOKUP($BU108,'Unit information'!$A$2:$K$29,7,FALSE)*W108,0)*(1+$E$9)</f>
        <v>0</v>
      </c>
      <c r="AZ108" s="107">
        <f>_xlfn.IFNA($M108/VLOOKUP($BU108,'Unit information'!$A$2:$K$29,8,FALSE)*X108,0)*(1+$E$9)</f>
        <v>0</v>
      </c>
      <c r="BA108" s="107">
        <f>_xlfn.IFNA($M108/VLOOKUP($BU108,'Unit information'!$A$2:$K$29,9,FALSE)*Y108,0)*(1+$E$9)</f>
        <v>0</v>
      </c>
      <c r="BB108" s="107">
        <f>_xlfn.IFNA($M108/VLOOKUP($BV108,'Unit information'!$A$2:$K$29,10,FALSE)*Z108,0)*(1+$E$9)</f>
        <v>0</v>
      </c>
      <c r="BC108" s="108">
        <f>_xlfn.IFNA($M108/VLOOKUP($BV108,'Unit information'!$A$2:$K$29,11,FALSE)*AA108,0)*(1+$E$9)</f>
        <v>0</v>
      </c>
      <c r="BD108" s="106">
        <f t="shared" si="162"/>
        <v>0</v>
      </c>
      <c r="BE108" s="107">
        <f t="shared" si="163"/>
        <v>0</v>
      </c>
      <c r="BF108" s="108">
        <f t="shared" si="164"/>
        <v>0</v>
      </c>
      <c r="BG108" s="25" t="e">
        <f t="shared" si="165"/>
        <v>#N/A</v>
      </c>
      <c r="BH108" s="25" t="e">
        <f t="shared" si="166"/>
        <v>#N/A</v>
      </c>
      <c r="BI108" s="25" t="e">
        <f t="shared" si="167"/>
        <v>#N/A</v>
      </c>
      <c r="BJ108" s="27" t="e">
        <f t="shared" si="168"/>
        <v>#N/A</v>
      </c>
      <c r="BK108" s="18" t="e">
        <f t="shared" si="169"/>
        <v>#N/A</v>
      </c>
      <c r="BL108" s="18" t="e">
        <f t="shared" si="170"/>
        <v>#N/A</v>
      </c>
      <c r="BM108" s="28" t="e">
        <f t="shared" si="233"/>
        <v>#N/A</v>
      </c>
      <c r="BN108" s="33">
        <f>HLOOKUP("maximum population",Miscelaneous!$C$1:$C$33,CH108+3,FALSE)</f>
        <v>240</v>
      </c>
      <c r="BO108" s="14">
        <f t="shared" si="182"/>
        <v>32</v>
      </c>
      <c r="BP108" s="14">
        <f t="shared" si="183"/>
        <v>0</v>
      </c>
      <c r="BQ108" s="14">
        <f t="shared" si="184"/>
        <v>208</v>
      </c>
      <c r="BR108" s="34" t="e">
        <f>HLOOKUP(J108,Villagers!$B$1:$V$33,L108+3,FALSE)-HLOOKUP(J108,Villagers!$B$1:$V$33,L108+2,FALSE)</f>
        <v>#N/A</v>
      </c>
      <c r="BS108" s="49">
        <f t="shared" si="185"/>
        <v>1</v>
      </c>
      <c r="BT108" s="50">
        <f t="shared" si="186"/>
        <v>0</v>
      </c>
      <c r="BU108" s="50">
        <f t="shared" si="187"/>
        <v>0</v>
      </c>
      <c r="BV108" s="50">
        <f t="shared" si="188"/>
        <v>0</v>
      </c>
      <c r="BW108" s="50">
        <f t="shared" si="272"/>
        <v>0</v>
      </c>
      <c r="BX108" s="50">
        <f t="shared" si="273"/>
        <v>0</v>
      </c>
      <c r="BY108" s="50">
        <f t="shared" si="273"/>
        <v>0</v>
      </c>
      <c r="BZ108" s="50">
        <f t="shared" si="245"/>
        <v>0</v>
      </c>
      <c r="CA108" s="50">
        <f t="shared" si="246"/>
        <v>0</v>
      </c>
      <c r="CB108" s="50">
        <f t="shared" si="247"/>
        <v>1</v>
      </c>
      <c r="CC108" s="50">
        <f t="shared" si="248"/>
        <v>0</v>
      </c>
      <c r="CD108" s="50">
        <f t="shared" si="249"/>
        <v>0</v>
      </c>
      <c r="CE108" s="50">
        <f t="shared" si="250"/>
        <v>1</v>
      </c>
      <c r="CF108" s="50">
        <f t="shared" si="251"/>
        <v>1</v>
      </c>
      <c r="CG108" s="50">
        <f t="shared" si="252"/>
        <v>1</v>
      </c>
      <c r="CH108" s="50">
        <f t="shared" si="253"/>
        <v>1</v>
      </c>
      <c r="CI108" s="50">
        <f t="shared" si="254"/>
        <v>1</v>
      </c>
      <c r="CJ108" s="50">
        <f t="shared" si="255"/>
        <v>1</v>
      </c>
      <c r="CK108" s="50">
        <f t="shared" si="255"/>
        <v>0</v>
      </c>
      <c r="CL108" s="50">
        <f t="shared" si="255"/>
        <v>0</v>
      </c>
      <c r="CM108" s="51">
        <f t="shared" si="274"/>
        <v>0</v>
      </c>
      <c r="CN108" s="33">
        <f>ROUND(IF(BS108=0,0,HLOOKUP(BS$14,Villagers!$B$1:$V$33,BS108+3,FALSE)),)</f>
        <v>5</v>
      </c>
      <c r="CO108" s="14">
        <f>ROUND(IF(BT108=0,0,HLOOKUP(BT$14,Villagers!$B$1:$V$33,BT108+3,FALSE)),)</f>
        <v>0</v>
      </c>
      <c r="CP108" s="14">
        <f>ROUND(IF(BU108=0,0,HLOOKUP(BU$14,Villagers!$B$1:$V$33,BU108+3,FALSE)),)</f>
        <v>0</v>
      </c>
      <c r="CQ108" s="14">
        <f>ROUND(IF(BV108=0,0,HLOOKUP(BV$14,Villagers!$B$1:$V$33,BV108+3,FALSE)),)</f>
        <v>0</v>
      </c>
      <c r="CR108" s="14">
        <f>ROUND(IF(BW108=0,0,HLOOKUP(BW$14,Villagers!$B$1:$V$33,BW108+3,FALSE)),)</f>
        <v>0</v>
      </c>
      <c r="CS108" s="14">
        <f>ROUND(IF(BX108=0,0,HLOOKUP(BX$14,Villagers!$B$1:$V$33,BX108+3,FALSE)),)</f>
        <v>0</v>
      </c>
      <c r="CT108" s="14">
        <f>ROUND(IF(BY108=0,0,HLOOKUP(BY$14,Villagers!$B$1:$V$33,BY108+3,FALSE)),)</f>
        <v>0</v>
      </c>
      <c r="CU108" s="14">
        <f>ROUND(IF(BZ108=0,0,HLOOKUP(BZ$14,Villagers!$B$1:$V$33,BZ108+3,FALSE)),)</f>
        <v>0</v>
      </c>
      <c r="CV108" s="14">
        <f>ROUND(IF(CA108=0,0,HLOOKUP(CA$14,Villagers!$B$1:$V$33,CA108+3,FALSE)),)</f>
        <v>0</v>
      </c>
      <c r="CW108" s="14">
        <f>ROUND(IF(CB108=0,0,HLOOKUP(CB$14,Villagers!$B$1:$V$33,CB108+3,FALSE)),)</f>
        <v>0</v>
      </c>
      <c r="CX108" s="14">
        <f>ROUND(IF(CC108=0,0,HLOOKUP(CC$14,Villagers!$B$1:$V$33,CC108+3,FALSE)),)</f>
        <v>0</v>
      </c>
      <c r="CY108" s="14">
        <f>ROUND(IF(CD108=0,0,HLOOKUP(CD$14,Villagers!$B$1:$V$33,CD108+3,FALSE)),)</f>
        <v>0</v>
      </c>
      <c r="CZ108" s="14">
        <f>ROUND(IF(CE108=0,0,HLOOKUP(CE$14,Villagers!$B$1:$V$33,CE108+3,FALSE)),)</f>
        <v>5</v>
      </c>
      <c r="DA108" s="14">
        <f>ROUND(IF(CF108=0,0,HLOOKUP(CF$14,Villagers!$B$1:$V$33,CF108+3,FALSE)),)</f>
        <v>10</v>
      </c>
      <c r="DB108" s="14">
        <f>ROUND(IF(CG108=0,0,HLOOKUP(CG$14,Villagers!$B$1:$V$33,CG108+3,FALSE)),)</f>
        <v>10</v>
      </c>
      <c r="DC108" s="14">
        <f>ROUND(IF(CH108=0,0,HLOOKUP(CH$14,Villagers!$B$1:$V$33,CH108+3,FALSE)),)</f>
        <v>0</v>
      </c>
      <c r="DD108" s="14">
        <f>ROUND(IF(CI108=0,0,HLOOKUP(CI$14,Villagers!$B$1:$V$33,CI108+3,FALSE)),)</f>
        <v>0</v>
      </c>
      <c r="DE108" s="14">
        <f>ROUND(IF(CJ108=0,0,HLOOKUP(CJ$14,Villagers!$B$1:$V$33,CJ108+3,FALSE)),)</f>
        <v>2</v>
      </c>
      <c r="DF108" s="370">
        <f>ROUND(IF(CK108=0,0,HLOOKUP(CK$14,Villagers!$B$1:$V$33,CK108+3,FALSE)),)</f>
        <v>0</v>
      </c>
      <c r="DG108" s="370">
        <f>ROUND(IF(CL108=0,0,HLOOKUP(CL$14,Villagers!$B$1:$V$33,CL108+3,FALSE)),)</f>
        <v>0</v>
      </c>
      <c r="DH108" s="34">
        <f>ROUND(IF(CM108=0,0,HLOOKUP(CM$14,Villagers!$B$1:$V$33,CM108+3,FALSE)),)</f>
        <v>0</v>
      </c>
      <c r="DI108" s="109">
        <f t="shared" si="219"/>
        <v>0</v>
      </c>
      <c r="DJ108" s="50">
        <f t="shared" si="220"/>
        <v>0</v>
      </c>
      <c r="DK108" s="50">
        <f t="shared" si="221"/>
        <v>0</v>
      </c>
      <c r="DL108" s="50">
        <f t="shared" si="222"/>
        <v>0</v>
      </c>
      <c r="DM108" s="50">
        <f t="shared" si="223"/>
        <v>0</v>
      </c>
      <c r="DN108" s="50">
        <f t="shared" si="224"/>
        <v>0</v>
      </c>
      <c r="DO108" s="50">
        <f t="shared" si="225"/>
        <v>0</v>
      </c>
      <c r="DP108" s="50">
        <f t="shared" si="226"/>
        <v>0</v>
      </c>
      <c r="DQ108" s="50">
        <f t="shared" si="203"/>
        <v>0</v>
      </c>
      <c r="DR108" s="50">
        <f t="shared" si="204"/>
        <v>0</v>
      </c>
      <c r="DS108" s="96">
        <f>Miscelaneous!$D$4*Miscelaneous!$D$2^($CI108-1)</f>
        <v>1000</v>
      </c>
      <c r="DT108" s="333">
        <f t="shared" si="171"/>
        <v>1</v>
      </c>
      <c r="DU108" s="81">
        <v>1</v>
      </c>
      <c r="DV108" s="79">
        <f t="shared" si="205"/>
        <v>0</v>
      </c>
      <c r="DW108" s="79">
        <f t="shared" si="206"/>
        <v>0</v>
      </c>
      <c r="DX108" s="79">
        <f t="shared" si="207"/>
        <v>0</v>
      </c>
      <c r="DY108" s="79">
        <v>1</v>
      </c>
      <c r="DZ108" s="79">
        <f t="shared" si="208"/>
        <v>0</v>
      </c>
      <c r="EA108" s="79">
        <f t="shared" si="209"/>
        <v>0</v>
      </c>
      <c r="EB108" s="79">
        <f t="shared" si="210"/>
        <v>0</v>
      </c>
      <c r="EC108" s="79">
        <f t="shared" si="211"/>
        <v>0</v>
      </c>
      <c r="ED108" s="79">
        <v>1</v>
      </c>
      <c r="EE108" s="79">
        <v>1</v>
      </c>
      <c r="EF108" s="79">
        <f t="shared" si="212"/>
        <v>0</v>
      </c>
      <c r="EG108" s="79">
        <v>1</v>
      </c>
      <c r="EH108" s="79">
        <v>1</v>
      </c>
      <c r="EI108" s="79">
        <v>1</v>
      </c>
      <c r="EJ108" s="79">
        <v>1</v>
      </c>
      <c r="EK108" s="79">
        <v>1</v>
      </c>
      <c r="EL108" s="79">
        <v>1</v>
      </c>
      <c r="EM108" s="143">
        <f t="shared" si="213"/>
        <v>0</v>
      </c>
      <c r="EN108" s="143">
        <f t="shared" si="214"/>
        <v>0</v>
      </c>
      <c r="EO108" s="82">
        <f t="shared" si="215"/>
        <v>0</v>
      </c>
    </row>
    <row r="109" spans="1:145" x14ac:dyDescent="0.25">
      <c r="A109">
        <v>95</v>
      </c>
      <c r="B109" s="172" t="e">
        <f t="shared" si="172"/>
        <v>#N/A</v>
      </c>
      <c r="C109" s="121" t="e">
        <f t="shared" ref="C109:E109" si="277">AJ109-SUM(AB109:AB113)</f>
        <v>#N/A</v>
      </c>
      <c r="D109" s="122" t="e">
        <f t="shared" si="277"/>
        <v>#N/A</v>
      </c>
      <c r="E109" s="122" t="e">
        <f t="shared" si="277"/>
        <v>#N/A</v>
      </c>
      <c r="F109" s="176" t="e">
        <f t="shared" si="154"/>
        <v>#N/A</v>
      </c>
      <c r="G109" s="121">
        <f t="shared" si="174"/>
        <v>208</v>
      </c>
      <c r="H109" s="176" t="e">
        <f t="shared" si="175"/>
        <v>#N/A</v>
      </c>
      <c r="I109" s="48">
        <v>1</v>
      </c>
      <c r="J109" s="39"/>
      <c r="K109" s="350">
        <v>1</v>
      </c>
      <c r="L109" s="34" t="e">
        <f t="shared" si="155"/>
        <v>#N/A</v>
      </c>
      <c r="M109" s="38" t="e">
        <f>(HLOOKUP(J109,'Construction Times'!$B$3:$W$34,L109+2,FALSE)*HLOOKUP("hq modifier",'Construction Times'!$W$3:$W$34,BS109+2,FALSE))*(1-$H$9)</f>
        <v>#N/A</v>
      </c>
      <c r="N109" s="426" t="e">
        <f t="shared" si="176"/>
        <v>#N/A</v>
      </c>
      <c r="O109" s="427"/>
      <c r="P109" s="430" t="e">
        <f t="shared" si="177"/>
        <v>#N/A</v>
      </c>
      <c r="Q109" s="431"/>
      <c r="R109" s="103">
        <f t="shared" si="217"/>
        <v>0</v>
      </c>
      <c r="S109" s="104">
        <f t="shared" si="217"/>
        <v>0</v>
      </c>
      <c r="T109" s="104">
        <f t="shared" si="218"/>
        <v>0</v>
      </c>
      <c r="U109" s="104">
        <f t="shared" si="218"/>
        <v>0</v>
      </c>
      <c r="V109" s="104">
        <f t="shared" si="218"/>
        <v>9.9999999999999995E-8</v>
      </c>
      <c r="W109" s="104">
        <f t="shared" si="218"/>
        <v>0</v>
      </c>
      <c r="X109" s="104">
        <f t="shared" ref="X109:AA172" si="278">X108</f>
        <v>0</v>
      </c>
      <c r="Y109" s="104">
        <f t="shared" si="278"/>
        <v>9.9999999999999995E-8</v>
      </c>
      <c r="Z109" s="104">
        <f t="shared" si="278"/>
        <v>9.9999999999999995E-8</v>
      </c>
      <c r="AA109" s="105">
        <f t="shared" si="278"/>
        <v>9.9999999999999995E-8</v>
      </c>
      <c r="AB109" s="101" t="e">
        <f>$DT109*HLOOKUP($J109,'Construction Costs (timber)'!$B$1:$V$32,'Construction Planner'!$L109+2,FALSE)</f>
        <v>#N/A</v>
      </c>
      <c r="AC109" s="14" t="e">
        <f>$DT109*HLOOKUP($J109,'Construction Costs (clay)'!$B$1:$V$32,'Construction Planner'!$L109+2,FALSE)</f>
        <v>#N/A</v>
      </c>
      <c r="AD109" s="14" t="e">
        <f>$DT109*HLOOKUP($J109,'Construction Costs (iron)'!$B$1:$V$32,'Construction Planner'!$L109+2,FALSE)</f>
        <v>#N/A</v>
      </c>
      <c r="AE109" s="34" t="e">
        <f t="shared" si="230"/>
        <v>#N/A</v>
      </c>
      <c r="AF109" s="33" t="e">
        <f t="shared" si="156"/>
        <v>#N/A</v>
      </c>
      <c r="AG109" s="14" t="e">
        <f t="shared" si="157"/>
        <v>#N/A</v>
      </c>
      <c r="AH109" s="14" t="e">
        <f t="shared" si="158"/>
        <v>#N/A</v>
      </c>
      <c r="AI109" s="34" t="e">
        <f t="shared" si="231"/>
        <v>#N/A</v>
      </c>
      <c r="AJ109" s="49" t="e">
        <f t="shared" si="178"/>
        <v>#N/A</v>
      </c>
      <c r="AK109" s="49" t="e">
        <f t="shared" si="179"/>
        <v>#N/A</v>
      </c>
      <c r="AL109" s="49" t="e">
        <f t="shared" si="180"/>
        <v>#N/A</v>
      </c>
      <c r="AM109" s="25">
        <f t="shared" si="159"/>
        <v>30</v>
      </c>
      <c r="AN109" s="25">
        <f t="shared" si="160"/>
        <v>30</v>
      </c>
      <c r="AO109" s="25">
        <f t="shared" si="161"/>
        <v>30</v>
      </c>
      <c r="AP109" s="52" t="e">
        <f t="shared" si="181"/>
        <v>#N/A</v>
      </c>
      <c r="AQ109" s="53" t="e">
        <f t="shared" si="181"/>
        <v>#N/A</v>
      </c>
      <c r="AR109" s="54" t="e">
        <f t="shared" si="181"/>
        <v>#N/A</v>
      </c>
      <c r="AS109" s="316">
        <f t="shared" si="263"/>
        <v>0</v>
      </c>
      <c r="AT109" s="106">
        <f>_xlfn.IFNA($M109/VLOOKUP($BT109,'Unit information'!$A$2:$K$29,2,FALSE)*R109,0)*(1+$E$9)</f>
        <v>0</v>
      </c>
      <c r="AU109" s="107">
        <f>_xlfn.IFNA($M109/VLOOKUP($BT109,'Unit information'!$A$2:$K$29,3,FALSE)*S109,0)*(1+$E$9)</f>
        <v>0</v>
      </c>
      <c r="AV109" s="107">
        <f>_xlfn.IFNA($M109/VLOOKUP($BT109,'Unit information'!$A$2:$K$29,4,FALSE)*T109,0)*(1+$E$9)</f>
        <v>0</v>
      </c>
      <c r="AW109" s="107">
        <f>_xlfn.IFNA($M109/VLOOKUP($BT109,'Unit information'!$A$2:$K$29,5,FALSE)*U109,0)*(1+$E$9)</f>
        <v>0</v>
      </c>
      <c r="AX109" s="107">
        <f>_xlfn.IFNA($M109/VLOOKUP($BU109,'Unit information'!$A$2:$K$29,6,FALSE)*V109,0)*(1+$E$9)</f>
        <v>0</v>
      </c>
      <c r="AY109" s="107">
        <f>_xlfn.IFNA($M109/VLOOKUP($BU109,'Unit information'!$A$2:$K$29,7,FALSE)*W109,0)*(1+$E$9)</f>
        <v>0</v>
      </c>
      <c r="AZ109" s="107">
        <f>_xlfn.IFNA($M109/VLOOKUP($BU109,'Unit information'!$A$2:$K$29,8,FALSE)*X109,0)*(1+$E$9)</f>
        <v>0</v>
      </c>
      <c r="BA109" s="107">
        <f>_xlfn.IFNA($M109/VLOOKUP($BU109,'Unit information'!$A$2:$K$29,9,FALSE)*Y109,0)*(1+$E$9)</f>
        <v>0</v>
      </c>
      <c r="BB109" s="107">
        <f>_xlfn.IFNA($M109/VLOOKUP($BV109,'Unit information'!$A$2:$K$29,10,FALSE)*Z109,0)*(1+$E$9)</f>
        <v>0</v>
      </c>
      <c r="BC109" s="108">
        <f>_xlfn.IFNA($M109/VLOOKUP($BV109,'Unit information'!$A$2:$K$29,11,FALSE)*AA109,0)*(1+$E$9)</f>
        <v>0</v>
      </c>
      <c r="BD109" s="106">
        <f t="shared" si="162"/>
        <v>0</v>
      </c>
      <c r="BE109" s="107">
        <f t="shared" si="163"/>
        <v>0</v>
      </c>
      <c r="BF109" s="108">
        <f t="shared" si="164"/>
        <v>0</v>
      </c>
      <c r="BG109" s="25" t="e">
        <f t="shared" si="165"/>
        <v>#N/A</v>
      </c>
      <c r="BH109" s="25" t="e">
        <f t="shared" si="166"/>
        <v>#N/A</v>
      </c>
      <c r="BI109" s="25" t="e">
        <f t="shared" si="167"/>
        <v>#N/A</v>
      </c>
      <c r="BJ109" s="27" t="e">
        <f t="shared" si="168"/>
        <v>#N/A</v>
      </c>
      <c r="BK109" s="18" t="e">
        <f t="shared" si="169"/>
        <v>#N/A</v>
      </c>
      <c r="BL109" s="18" t="e">
        <f t="shared" si="170"/>
        <v>#N/A</v>
      </c>
      <c r="BM109" s="28" t="e">
        <f t="shared" si="233"/>
        <v>#N/A</v>
      </c>
      <c r="BN109" s="33">
        <f>HLOOKUP("maximum population",Miscelaneous!$C$1:$C$33,CH109+3,FALSE)</f>
        <v>240</v>
      </c>
      <c r="BO109" s="14">
        <f t="shared" si="182"/>
        <v>32</v>
      </c>
      <c r="BP109" s="14">
        <f t="shared" si="183"/>
        <v>0</v>
      </c>
      <c r="BQ109" s="14">
        <f t="shared" si="184"/>
        <v>208</v>
      </c>
      <c r="BR109" s="34" t="e">
        <f>HLOOKUP(J109,Villagers!$B$1:$V$33,L109+3,FALSE)-HLOOKUP(J109,Villagers!$B$1:$V$33,L109+2,FALSE)</f>
        <v>#N/A</v>
      </c>
      <c r="BS109" s="49">
        <f t="shared" si="185"/>
        <v>1</v>
      </c>
      <c r="BT109" s="50">
        <f t="shared" si="186"/>
        <v>0</v>
      </c>
      <c r="BU109" s="50">
        <f t="shared" si="187"/>
        <v>0</v>
      </c>
      <c r="BV109" s="50">
        <f t="shared" si="188"/>
        <v>0</v>
      </c>
      <c r="BW109" s="50">
        <f t="shared" si="272"/>
        <v>0</v>
      </c>
      <c r="BX109" s="50">
        <f t="shared" si="273"/>
        <v>0</v>
      </c>
      <c r="BY109" s="50">
        <f t="shared" si="273"/>
        <v>0</v>
      </c>
      <c r="BZ109" s="50">
        <f t="shared" si="245"/>
        <v>0</v>
      </c>
      <c r="CA109" s="50">
        <f t="shared" si="246"/>
        <v>0</v>
      </c>
      <c r="CB109" s="50">
        <f t="shared" si="247"/>
        <v>1</v>
      </c>
      <c r="CC109" s="50">
        <f t="shared" si="248"/>
        <v>0</v>
      </c>
      <c r="CD109" s="50">
        <f t="shared" si="249"/>
        <v>0</v>
      </c>
      <c r="CE109" s="50">
        <f t="shared" si="250"/>
        <v>1</v>
      </c>
      <c r="CF109" s="50">
        <f t="shared" si="251"/>
        <v>1</v>
      </c>
      <c r="CG109" s="50">
        <f t="shared" si="252"/>
        <v>1</v>
      </c>
      <c r="CH109" s="50">
        <f t="shared" si="253"/>
        <v>1</v>
      </c>
      <c r="CI109" s="50">
        <f t="shared" si="254"/>
        <v>1</v>
      </c>
      <c r="CJ109" s="50">
        <f t="shared" si="255"/>
        <v>1</v>
      </c>
      <c r="CK109" s="50">
        <f t="shared" si="255"/>
        <v>0</v>
      </c>
      <c r="CL109" s="50">
        <f t="shared" si="255"/>
        <v>0</v>
      </c>
      <c r="CM109" s="51">
        <f t="shared" si="274"/>
        <v>0</v>
      </c>
      <c r="CN109" s="33">
        <f>ROUND(IF(BS109=0,0,HLOOKUP(BS$14,Villagers!$B$1:$V$33,BS109+3,FALSE)),)</f>
        <v>5</v>
      </c>
      <c r="CO109" s="14">
        <f>ROUND(IF(BT109=0,0,HLOOKUP(BT$14,Villagers!$B$1:$V$33,BT109+3,FALSE)),)</f>
        <v>0</v>
      </c>
      <c r="CP109" s="14">
        <f>ROUND(IF(BU109=0,0,HLOOKUP(BU$14,Villagers!$B$1:$V$33,BU109+3,FALSE)),)</f>
        <v>0</v>
      </c>
      <c r="CQ109" s="14">
        <f>ROUND(IF(BV109=0,0,HLOOKUP(BV$14,Villagers!$B$1:$V$33,BV109+3,FALSE)),)</f>
        <v>0</v>
      </c>
      <c r="CR109" s="14">
        <f>ROUND(IF(BW109=0,0,HLOOKUP(BW$14,Villagers!$B$1:$V$33,BW109+3,FALSE)),)</f>
        <v>0</v>
      </c>
      <c r="CS109" s="14">
        <f>ROUND(IF(BX109=0,0,HLOOKUP(BX$14,Villagers!$B$1:$V$33,BX109+3,FALSE)),)</f>
        <v>0</v>
      </c>
      <c r="CT109" s="14">
        <f>ROUND(IF(BY109=0,0,HLOOKUP(BY$14,Villagers!$B$1:$V$33,BY109+3,FALSE)),)</f>
        <v>0</v>
      </c>
      <c r="CU109" s="14">
        <f>ROUND(IF(BZ109=0,0,HLOOKUP(BZ$14,Villagers!$B$1:$V$33,BZ109+3,FALSE)),)</f>
        <v>0</v>
      </c>
      <c r="CV109" s="14">
        <f>ROUND(IF(CA109=0,0,HLOOKUP(CA$14,Villagers!$B$1:$V$33,CA109+3,FALSE)),)</f>
        <v>0</v>
      </c>
      <c r="CW109" s="14">
        <f>ROUND(IF(CB109=0,0,HLOOKUP(CB$14,Villagers!$B$1:$V$33,CB109+3,FALSE)),)</f>
        <v>0</v>
      </c>
      <c r="CX109" s="14">
        <f>ROUND(IF(CC109=0,0,HLOOKUP(CC$14,Villagers!$B$1:$V$33,CC109+3,FALSE)),)</f>
        <v>0</v>
      </c>
      <c r="CY109" s="14">
        <f>ROUND(IF(CD109=0,0,HLOOKUP(CD$14,Villagers!$B$1:$V$33,CD109+3,FALSE)),)</f>
        <v>0</v>
      </c>
      <c r="CZ109" s="14">
        <f>ROUND(IF(CE109=0,0,HLOOKUP(CE$14,Villagers!$B$1:$V$33,CE109+3,FALSE)),)</f>
        <v>5</v>
      </c>
      <c r="DA109" s="14">
        <f>ROUND(IF(CF109=0,0,HLOOKUP(CF$14,Villagers!$B$1:$V$33,CF109+3,FALSE)),)</f>
        <v>10</v>
      </c>
      <c r="DB109" s="14">
        <f>ROUND(IF(CG109=0,0,HLOOKUP(CG$14,Villagers!$B$1:$V$33,CG109+3,FALSE)),)</f>
        <v>10</v>
      </c>
      <c r="DC109" s="14">
        <f>ROUND(IF(CH109=0,0,HLOOKUP(CH$14,Villagers!$B$1:$V$33,CH109+3,FALSE)),)</f>
        <v>0</v>
      </c>
      <c r="DD109" s="14">
        <f>ROUND(IF(CI109=0,0,HLOOKUP(CI$14,Villagers!$B$1:$V$33,CI109+3,FALSE)),)</f>
        <v>0</v>
      </c>
      <c r="DE109" s="14">
        <f>ROUND(IF(CJ109=0,0,HLOOKUP(CJ$14,Villagers!$B$1:$V$33,CJ109+3,FALSE)),)</f>
        <v>2</v>
      </c>
      <c r="DF109" s="370">
        <f>ROUND(IF(CK109=0,0,HLOOKUP(CK$14,Villagers!$B$1:$V$33,CK109+3,FALSE)),)</f>
        <v>0</v>
      </c>
      <c r="DG109" s="370">
        <f>ROUND(IF(CL109=0,0,HLOOKUP(CL$14,Villagers!$B$1:$V$33,CL109+3,FALSE)),)</f>
        <v>0</v>
      </c>
      <c r="DH109" s="34">
        <f>ROUND(IF(CM109=0,0,HLOOKUP(CM$14,Villagers!$B$1:$V$33,CM109+3,FALSE)),)</f>
        <v>0</v>
      </c>
      <c r="DI109" s="109">
        <f t="shared" si="219"/>
        <v>0</v>
      </c>
      <c r="DJ109" s="50">
        <f t="shared" si="220"/>
        <v>0</v>
      </c>
      <c r="DK109" s="50">
        <f t="shared" si="221"/>
        <v>0</v>
      </c>
      <c r="DL109" s="50">
        <f t="shared" si="222"/>
        <v>0</v>
      </c>
      <c r="DM109" s="50">
        <f t="shared" si="223"/>
        <v>0</v>
      </c>
      <c r="DN109" s="50">
        <f t="shared" si="224"/>
        <v>0</v>
      </c>
      <c r="DO109" s="50">
        <f t="shared" si="225"/>
        <v>0</v>
      </c>
      <c r="DP109" s="50">
        <f t="shared" si="226"/>
        <v>0</v>
      </c>
      <c r="DQ109" s="50">
        <f t="shared" si="203"/>
        <v>0</v>
      </c>
      <c r="DR109" s="50">
        <f t="shared" si="204"/>
        <v>0</v>
      </c>
      <c r="DS109" s="96">
        <f>Miscelaneous!$D$4*Miscelaneous!$D$2^($CI109-1)</f>
        <v>1000</v>
      </c>
      <c r="DT109" s="333">
        <f t="shared" si="171"/>
        <v>1</v>
      </c>
      <c r="DU109" s="81">
        <v>1</v>
      </c>
      <c r="DV109" s="79">
        <f t="shared" si="205"/>
        <v>0</v>
      </c>
      <c r="DW109" s="79">
        <f t="shared" si="206"/>
        <v>0</v>
      </c>
      <c r="DX109" s="79">
        <f t="shared" si="207"/>
        <v>0</v>
      </c>
      <c r="DY109" s="79">
        <v>1</v>
      </c>
      <c r="DZ109" s="79">
        <f t="shared" si="208"/>
        <v>0</v>
      </c>
      <c r="EA109" s="79">
        <f t="shared" si="209"/>
        <v>0</v>
      </c>
      <c r="EB109" s="79">
        <f t="shared" si="210"/>
        <v>0</v>
      </c>
      <c r="EC109" s="79">
        <f t="shared" si="211"/>
        <v>0</v>
      </c>
      <c r="ED109" s="79">
        <v>1</v>
      </c>
      <c r="EE109" s="79">
        <v>1</v>
      </c>
      <c r="EF109" s="79">
        <f t="shared" si="212"/>
        <v>0</v>
      </c>
      <c r="EG109" s="79">
        <v>1</v>
      </c>
      <c r="EH109" s="79">
        <v>1</v>
      </c>
      <c r="EI109" s="79">
        <v>1</v>
      </c>
      <c r="EJ109" s="79">
        <v>1</v>
      </c>
      <c r="EK109" s="79">
        <v>1</v>
      </c>
      <c r="EL109" s="79">
        <v>1</v>
      </c>
      <c r="EM109" s="143">
        <f t="shared" si="213"/>
        <v>0</v>
      </c>
      <c r="EN109" s="143">
        <f t="shared" si="214"/>
        <v>0</v>
      </c>
      <c r="EO109" s="82">
        <f t="shared" si="215"/>
        <v>0</v>
      </c>
    </row>
    <row r="110" spans="1:145" x14ac:dyDescent="0.25">
      <c r="A110">
        <v>96</v>
      </c>
      <c r="B110" s="172" t="e">
        <f t="shared" si="172"/>
        <v>#N/A</v>
      </c>
      <c r="C110" s="121" t="e">
        <f t="shared" ref="C110:E110" si="279">AJ110-SUM(AB110:AB114)</f>
        <v>#N/A</v>
      </c>
      <c r="D110" s="122" t="e">
        <f t="shared" si="279"/>
        <v>#N/A</v>
      </c>
      <c r="E110" s="122" t="e">
        <f t="shared" si="279"/>
        <v>#N/A</v>
      </c>
      <c r="F110" s="176" t="e">
        <f t="shared" si="154"/>
        <v>#N/A</v>
      </c>
      <c r="G110" s="121">
        <f t="shared" si="174"/>
        <v>208</v>
      </c>
      <c r="H110" s="176" t="e">
        <f t="shared" si="175"/>
        <v>#N/A</v>
      </c>
      <c r="I110" s="48">
        <v>1</v>
      </c>
      <c r="J110" s="39"/>
      <c r="K110" s="350">
        <v>1</v>
      </c>
      <c r="L110" s="34" t="e">
        <f t="shared" si="155"/>
        <v>#N/A</v>
      </c>
      <c r="M110" s="38" t="e">
        <f>(HLOOKUP(J110,'Construction Times'!$B$3:$W$34,L110+2,FALSE)*HLOOKUP("hq modifier",'Construction Times'!$W$3:$W$34,BS110+2,FALSE))*(1-$H$9)</f>
        <v>#N/A</v>
      </c>
      <c r="N110" s="426" t="e">
        <f t="shared" si="176"/>
        <v>#N/A</v>
      </c>
      <c r="O110" s="427"/>
      <c r="P110" s="430" t="e">
        <f t="shared" si="177"/>
        <v>#N/A</v>
      </c>
      <c r="Q110" s="431"/>
      <c r="R110" s="103">
        <f t="shared" si="217"/>
        <v>0</v>
      </c>
      <c r="S110" s="104">
        <f t="shared" si="217"/>
        <v>0</v>
      </c>
      <c r="T110" s="104">
        <f t="shared" si="218"/>
        <v>0</v>
      </c>
      <c r="U110" s="104">
        <f t="shared" si="218"/>
        <v>0</v>
      </c>
      <c r="V110" s="104">
        <f t="shared" si="218"/>
        <v>9.9999999999999995E-8</v>
      </c>
      <c r="W110" s="104">
        <f t="shared" si="218"/>
        <v>0</v>
      </c>
      <c r="X110" s="104">
        <f t="shared" si="278"/>
        <v>0</v>
      </c>
      <c r="Y110" s="104">
        <f t="shared" si="278"/>
        <v>9.9999999999999995E-8</v>
      </c>
      <c r="Z110" s="104">
        <f t="shared" si="278"/>
        <v>9.9999999999999995E-8</v>
      </c>
      <c r="AA110" s="105">
        <f t="shared" si="278"/>
        <v>9.9999999999999995E-8</v>
      </c>
      <c r="AB110" s="101" t="e">
        <f>$DT110*HLOOKUP($J110,'Construction Costs (timber)'!$B$1:$V$32,'Construction Planner'!$L110+2,FALSE)</f>
        <v>#N/A</v>
      </c>
      <c r="AC110" s="14" t="e">
        <f>$DT110*HLOOKUP($J110,'Construction Costs (clay)'!$B$1:$V$32,'Construction Planner'!$L110+2,FALSE)</f>
        <v>#N/A</v>
      </c>
      <c r="AD110" s="14" t="e">
        <f>$DT110*HLOOKUP($J110,'Construction Costs (iron)'!$B$1:$V$32,'Construction Planner'!$L110+2,FALSE)</f>
        <v>#N/A</v>
      </c>
      <c r="AE110" s="34" t="e">
        <f t="shared" si="230"/>
        <v>#N/A</v>
      </c>
      <c r="AF110" s="33" t="e">
        <f t="shared" si="156"/>
        <v>#N/A</v>
      </c>
      <c r="AG110" s="14" t="e">
        <f t="shared" si="157"/>
        <v>#N/A</v>
      </c>
      <c r="AH110" s="14" t="e">
        <f t="shared" si="158"/>
        <v>#N/A</v>
      </c>
      <c r="AI110" s="34" t="e">
        <f t="shared" si="231"/>
        <v>#N/A</v>
      </c>
      <c r="AJ110" s="49" t="e">
        <f t="shared" si="178"/>
        <v>#N/A</v>
      </c>
      <c r="AK110" s="49" t="e">
        <f t="shared" si="179"/>
        <v>#N/A</v>
      </c>
      <c r="AL110" s="49" t="e">
        <f t="shared" si="180"/>
        <v>#N/A</v>
      </c>
      <c r="AM110" s="25">
        <f t="shared" si="159"/>
        <v>30</v>
      </c>
      <c r="AN110" s="25">
        <f t="shared" si="160"/>
        <v>30</v>
      </c>
      <c r="AO110" s="25">
        <f t="shared" si="161"/>
        <v>30</v>
      </c>
      <c r="AP110" s="52" t="e">
        <f t="shared" si="181"/>
        <v>#N/A</v>
      </c>
      <c r="AQ110" s="53" t="e">
        <f t="shared" si="181"/>
        <v>#N/A</v>
      </c>
      <c r="AR110" s="54" t="e">
        <f t="shared" si="181"/>
        <v>#N/A</v>
      </c>
      <c r="AS110" s="316">
        <f t="shared" si="263"/>
        <v>0</v>
      </c>
      <c r="AT110" s="106">
        <f>_xlfn.IFNA($M110/VLOOKUP($BT110,'Unit information'!$A$2:$K$29,2,FALSE)*R110,0)*(1+$E$9)</f>
        <v>0</v>
      </c>
      <c r="AU110" s="107">
        <f>_xlfn.IFNA($M110/VLOOKUP($BT110,'Unit information'!$A$2:$K$29,3,FALSE)*S110,0)*(1+$E$9)</f>
        <v>0</v>
      </c>
      <c r="AV110" s="107">
        <f>_xlfn.IFNA($M110/VLOOKUP($BT110,'Unit information'!$A$2:$K$29,4,FALSE)*T110,0)*(1+$E$9)</f>
        <v>0</v>
      </c>
      <c r="AW110" s="107">
        <f>_xlfn.IFNA($M110/VLOOKUP($BT110,'Unit information'!$A$2:$K$29,5,FALSE)*U110,0)*(1+$E$9)</f>
        <v>0</v>
      </c>
      <c r="AX110" s="107">
        <f>_xlfn.IFNA($M110/VLOOKUP($BU110,'Unit information'!$A$2:$K$29,6,FALSE)*V110,0)*(1+$E$9)</f>
        <v>0</v>
      </c>
      <c r="AY110" s="107">
        <f>_xlfn.IFNA($M110/VLOOKUP($BU110,'Unit information'!$A$2:$K$29,7,FALSE)*W110,0)*(1+$E$9)</f>
        <v>0</v>
      </c>
      <c r="AZ110" s="107">
        <f>_xlfn.IFNA($M110/VLOOKUP($BU110,'Unit information'!$A$2:$K$29,8,FALSE)*X110,0)*(1+$E$9)</f>
        <v>0</v>
      </c>
      <c r="BA110" s="107">
        <f>_xlfn.IFNA($M110/VLOOKUP($BU110,'Unit information'!$A$2:$K$29,9,FALSE)*Y110,0)*(1+$E$9)</f>
        <v>0</v>
      </c>
      <c r="BB110" s="107">
        <f>_xlfn.IFNA($M110/VLOOKUP($BV110,'Unit information'!$A$2:$K$29,10,FALSE)*Z110,0)*(1+$E$9)</f>
        <v>0</v>
      </c>
      <c r="BC110" s="108">
        <f>_xlfn.IFNA($M110/VLOOKUP($BV110,'Unit information'!$A$2:$K$29,11,FALSE)*AA110,0)*(1+$E$9)</f>
        <v>0</v>
      </c>
      <c r="BD110" s="106">
        <f t="shared" si="162"/>
        <v>0</v>
      </c>
      <c r="BE110" s="107">
        <f t="shared" si="163"/>
        <v>0</v>
      </c>
      <c r="BF110" s="108">
        <f t="shared" si="164"/>
        <v>0</v>
      </c>
      <c r="BG110" s="25" t="e">
        <f t="shared" si="165"/>
        <v>#N/A</v>
      </c>
      <c r="BH110" s="25" t="e">
        <f t="shared" si="166"/>
        <v>#N/A</v>
      </c>
      <c r="BI110" s="25" t="e">
        <f t="shared" si="167"/>
        <v>#N/A</v>
      </c>
      <c r="BJ110" s="27" t="e">
        <f t="shared" si="168"/>
        <v>#N/A</v>
      </c>
      <c r="BK110" s="18" t="e">
        <f t="shared" si="169"/>
        <v>#N/A</v>
      </c>
      <c r="BL110" s="18" t="e">
        <f t="shared" si="170"/>
        <v>#N/A</v>
      </c>
      <c r="BM110" s="28" t="e">
        <f t="shared" si="233"/>
        <v>#N/A</v>
      </c>
      <c r="BN110" s="33">
        <f>HLOOKUP("maximum population",Miscelaneous!$C$1:$C$33,CH110+3,FALSE)</f>
        <v>240</v>
      </c>
      <c r="BO110" s="14">
        <f t="shared" si="182"/>
        <v>32</v>
      </c>
      <c r="BP110" s="14">
        <f t="shared" si="183"/>
        <v>0</v>
      </c>
      <c r="BQ110" s="14">
        <f t="shared" si="184"/>
        <v>208</v>
      </c>
      <c r="BR110" s="34" t="e">
        <f>HLOOKUP(J110,Villagers!$B$1:$V$33,L110+3,FALSE)-HLOOKUP(J110,Villagers!$B$1:$V$33,L110+2,FALSE)</f>
        <v>#N/A</v>
      </c>
      <c r="BS110" s="49">
        <f t="shared" si="185"/>
        <v>1</v>
      </c>
      <c r="BT110" s="50">
        <f t="shared" si="186"/>
        <v>0</v>
      </c>
      <c r="BU110" s="50">
        <f t="shared" si="187"/>
        <v>0</v>
      </c>
      <c r="BV110" s="50">
        <f t="shared" si="188"/>
        <v>0</v>
      </c>
      <c r="BW110" s="50">
        <f t="shared" si="272"/>
        <v>0</v>
      </c>
      <c r="BX110" s="50">
        <f t="shared" si="273"/>
        <v>0</v>
      </c>
      <c r="BY110" s="50">
        <f t="shared" si="273"/>
        <v>0</v>
      </c>
      <c r="BZ110" s="50">
        <f t="shared" si="245"/>
        <v>0</v>
      </c>
      <c r="CA110" s="50">
        <f t="shared" si="246"/>
        <v>0</v>
      </c>
      <c r="CB110" s="50">
        <f t="shared" si="247"/>
        <v>1</v>
      </c>
      <c r="CC110" s="50">
        <f t="shared" si="248"/>
        <v>0</v>
      </c>
      <c r="CD110" s="50">
        <f t="shared" si="249"/>
        <v>0</v>
      </c>
      <c r="CE110" s="50">
        <f t="shared" si="250"/>
        <v>1</v>
      </c>
      <c r="CF110" s="50">
        <f t="shared" si="251"/>
        <v>1</v>
      </c>
      <c r="CG110" s="50">
        <f t="shared" si="252"/>
        <v>1</v>
      </c>
      <c r="CH110" s="50">
        <f t="shared" si="253"/>
        <v>1</v>
      </c>
      <c r="CI110" s="50">
        <f t="shared" si="254"/>
        <v>1</v>
      </c>
      <c r="CJ110" s="50">
        <f t="shared" si="255"/>
        <v>1</v>
      </c>
      <c r="CK110" s="50">
        <f t="shared" si="255"/>
        <v>0</v>
      </c>
      <c r="CL110" s="50">
        <f t="shared" si="255"/>
        <v>0</v>
      </c>
      <c r="CM110" s="51">
        <f t="shared" si="274"/>
        <v>0</v>
      </c>
      <c r="CN110" s="33">
        <f>ROUND(IF(BS110=0,0,HLOOKUP(BS$14,Villagers!$B$1:$V$33,BS110+3,FALSE)),)</f>
        <v>5</v>
      </c>
      <c r="CO110" s="14">
        <f>ROUND(IF(BT110=0,0,HLOOKUP(BT$14,Villagers!$B$1:$V$33,BT110+3,FALSE)),)</f>
        <v>0</v>
      </c>
      <c r="CP110" s="14">
        <f>ROUND(IF(BU110=0,0,HLOOKUP(BU$14,Villagers!$B$1:$V$33,BU110+3,FALSE)),)</f>
        <v>0</v>
      </c>
      <c r="CQ110" s="14">
        <f>ROUND(IF(BV110=0,0,HLOOKUP(BV$14,Villagers!$B$1:$V$33,BV110+3,FALSE)),)</f>
        <v>0</v>
      </c>
      <c r="CR110" s="14">
        <f>ROUND(IF(BW110=0,0,HLOOKUP(BW$14,Villagers!$B$1:$V$33,BW110+3,FALSE)),)</f>
        <v>0</v>
      </c>
      <c r="CS110" s="14">
        <f>ROUND(IF(BX110=0,0,HLOOKUP(BX$14,Villagers!$B$1:$V$33,BX110+3,FALSE)),)</f>
        <v>0</v>
      </c>
      <c r="CT110" s="14">
        <f>ROUND(IF(BY110=0,0,HLOOKUP(BY$14,Villagers!$B$1:$V$33,BY110+3,FALSE)),)</f>
        <v>0</v>
      </c>
      <c r="CU110" s="14">
        <f>ROUND(IF(BZ110=0,0,HLOOKUP(BZ$14,Villagers!$B$1:$V$33,BZ110+3,FALSE)),)</f>
        <v>0</v>
      </c>
      <c r="CV110" s="14">
        <f>ROUND(IF(CA110=0,0,HLOOKUP(CA$14,Villagers!$B$1:$V$33,CA110+3,FALSE)),)</f>
        <v>0</v>
      </c>
      <c r="CW110" s="14">
        <f>ROUND(IF(CB110=0,0,HLOOKUP(CB$14,Villagers!$B$1:$V$33,CB110+3,FALSE)),)</f>
        <v>0</v>
      </c>
      <c r="CX110" s="14">
        <f>ROUND(IF(CC110=0,0,HLOOKUP(CC$14,Villagers!$B$1:$V$33,CC110+3,FALSE)),)</f>
        <v>0</v>
      </c>
      <c r="CY110" s="14">
        <f>ROUND(IF(CD110=0,0,HLOOKUP(CD$14,Villagers!$B$1:$V$33,CD110+3,FALSE)),)</f>
        <v>0</v>
      </c>
      <c r="CZ110" s="14">
        <f>ROUND(IF(CE110=0,0,HLOOKUP(CE$14,Villagers!$B$1:$V$33,CE110+3,FALSE)),)</f>
        <v>5</v>
      </c>
      <c r="DA110" s="14">
        <f>ROUND(IF(CF110=0,0,HLOOKUP(CF$14,Villagers!$B$1:$V$33,CF110+3,FALSE)),)</f>
        <v>10</v>
      </c>
      <c r="DB110" s="14">
        <f>ROUND(IF(CG110=0,0,HLOOKUP(CG$14,Villagers!$B$1:$V$33,CG110+3,FALSE)),)</f>
        <v>10</v>
      </c>
      <c r="DC110" s="14">
        <f>ROUND(IF(CH110=0,0,HLOOKUP(CH$14,Villagers!$B$1:$V$33,CH110+3,FALSE)),)</f>
        <v>0</v>
      </c>
      <c r="DD110" s="14">
        <f>ROUND(IF(CI110=0,0,HLOOKUP(CI$14,Villagers!$B$1:$V$33,CI110+3,FALSE)),)</f>
        <v>0</v>
      </c>
      <c r="DE110" s="14">
        <f>ROUND(IF(CJ110=0,0,HLOOKUP(CJ$14,Villagers!$B$1:$V$33,CJ110+3,FALSE)),)</f>
        <v>2</v>
      </c>
      <c r="DF110" s="370">
        <f>ROUND(IF(CK110=0,0,HLOOKUP(CK$14,Villagers!$B$1:$V$33,CK110+3,FALSE)),)</f>
        <v>0</v>
      </c>
      <c r="DG110" s="370">
        <f>ROUND(IF(CL110=0,0,HLOOKUP(CL$14,Villagers!$B$1:$V$33,CL110+3,FALSE)),)</f>
        <v>0</v>
      </c>
      <c r="DH110" s="34">
        <f>ROUND(IF(CM110=0,0,HLOOKUP(CM$14,Villagers!$B$1:$V$33,CM110+3,FALSE)),)</f>
        <v>0</v>
      </c>
      <c r="DI110" s="109">
        <f t="shared" si="219"/>
        <v>0</v>
      </c>
      <c r="DJ110" s="50">
        <f t="shared" si="220"/>
        <v>0</v>
      </c>
      <c r="DK110" s="50">
        <f t="shared" si="221"/>
        <v>0</v>
      </c>
      <c r="DL110" s="50">
        <f t="shared" si="222"/>
        <v>0</v>
      </c>
      <c r="DM110" s="50">
        <f t="shared" si="223"/>
        <v>0</v>
      </c>
      <c r="DN110" s="50">
        <f t="shared" si="224"/>
        <v>0</v>
      </c>
      <c r="DO110" s="50">
        <f t="shared" si="225"/>
        <v>0</v>
      </c>
      <c r="DP110" s="50">
        <f t="shared" si="226"/>
        <v>0</v>
      </c>
      <c r="DQ110" s="50">
        <f t="shared" si="203"/>
        <v>0</v>
      </c>
      <c r="DR110" s="50">
        <f t="shared" si="204"/>
        <v>0</v>
      </c>
      <c r="DS110" s="96">
        <f>Miscelaneous!$D$4*Miscelaneous!$D$2^($CI110-1)</f>
        <v>1000</v>
      </c>
      <c r="DT110" s="333">
        <f t="shared" si="171"/>
        <v>1</v>
      </c>
      <c r="DU110" s="81">
        <v>1</v>
      </c>
      <c r="DV110" s="79">
        <f t="shared" si="205"/>
        <v>0</v>
      </c>
      <c r="DW110" s="79">
        <f t="shared" si="206"/>
        <v>0</v>
      </c>
      <c r="DX110" s="79">
        <f t="shared" si="207"/>
        <v>0</v>
      </c>
      <c r="DY110" s="79">
        <v>1</v>
      </c>
      <c r="DZ110" s="79">
        <f t="shared" si="208"/>
        <v>0</v>
      </c>
      <c r="EA110" s="79">
        <f t="shared" si="209"/>
        <v>0</v>
      </c>
      <c r="EB110" s="79">
        <f t="shared" si="210"/>
        <v>0</v>
      </c>
      <c r="EC110" s="79">
        <f t="shared" si="211"/>
        <v>0</v>
      </c>
      <c r="ED110" s="79">
        <v>1</v>
      </c>
      <c r="EE110" s="79">
        <v>1</v>
      </c>
      <c r="EF110" s="79">
        <f t="shared" si="212"/>
        <v>0</v>
      </c>
      <c r="EG110" s="79">
        <v>1</v>
      </c>
      <c r="EH110" s="79">
        <v>1</v>
      </c>
      <c r="EI110" s="79">
        <v>1</v>
      </c>
      <c r="EJ110" s="79">
        <v>1</v>
      </c>
      <c r="EK110" s="79">
        <v>1</v>
      </c>
      <c r="EL110" s="79">
        <v>1</v>
      </c>
      <c r="EM110" s="143">
        <f t="shared" si="213"/>
        <v>0</v>
      </c>
      <c r="EN110" s="143">
        <f t="shared" si="214"/>
        <v>0</v>
      </c>
      <c r="EO110" s="82">
        <f t="shared" si="215"/>
        <v>0</v>
      </c>
    </row>
    <row r="111" spans="1:145" x14ac:dyDescent="0.25">
      <c r="A111">
        <v>97</v>
      </c>
      <c r="B111" s="172" t="e">
        <f t="shared" si="172"/>
        <v>#N/A</v>
      </c>
      <c r="C111" s="121" t="e">
        <f t="shared" ref="C111:E111" si="280">AJ111-SUM(AB111:AB115)</f>
        <v>#N/A</v>
      </c>
      <c r="D111" s="122" t="e">
        <f t="shared" si="280"/>
        <v>#N/A</v>
      </c>
      <c r="E111" s="122" t="e">
        <f t="shared" si="280"/>
        <v>#N/A</v>
      </c>
      <c r="F111" s="176" t="e">
        <f t="shared" si="154"/>
        <v>#N/A</v>
      </c>
      <c r="G111" s="121">
        <f t="shared" si="174"/>
        <v>208</v>
      </c>
      <c r="H111" s="176" t="e">
        <f t="shared" si="175"/>
        <v>#N/A</v>
      </c>
      <c r="I111" s="48">
        <v>1</v>
      </c>
      <c r="J111" s="39"/>
      <c r="K111" s="350">
        <v>1</v>
      </c>
      <c r="L111" s="34" t="e">
        <f t="shared" si="155"/>
        <v>#N/A</v>
      </c>
      <c r="M111" s="38" t="e">
        <f>(HLOOKUP(J111,'Construction Times'!$B$3:$W$34,L111+2,FALSE)*HLOOKUP("hq modifier",'Construction Times'!$W$3:$W$34,BS111+2,FALSE))*(1-$H$9)</f>
        <v>#N/A</v>
      </c>
      <c r="N111" s="426" t="e">
        <f t="shared" si="176"/>
        <v>#N/A</v>
      </c>
      <c r="O111" s="427"/>
      <c r="P111" s="430" t="e">
        <f t="shared" si="177"/>
        <v>#N/A</v>
      </c>
      <c r="Q111" s="431"/>
      <c r="R111" s="103">
        <f t="shared" si="217"/>
        <v>0</v>
      </c>
      <c r="S111" s="104">
        <f t="shared" si="217"/>
        <v>0</v>
      </c>
      <c r="T111" s="104">
        <f t="shared" si="218"/>
        <v>0</v>
      </c>
      <c r="U111" s="104">
        <f t="shared" si="218"/>
        <v>0</v>
      </c>
      <c r="V111" s="104">
        <f t="shared" si="218"/>
        <v>9.9999999999999995E-8</v>
      </c>
      <c r="W111" s="104">
        <f t="shared" si="218"/>
        <v>0</v>
      </c>
      <c r="X111" s="104">
        <f t="shared" si="278"/>
        <v>0</v>
      </c>
      <c r="Y111" s="104">
        <f t="shared" si="278"/>
        <v>9.9999999999999995E-8</v>
      </c>
      <c r="Z111" s="104">
        <f t="shared" si="278"/>
        <v>9.9999999999999995E-8</v>
      </c>
      <c r="AA111" s="105">
        <f t="shared" si="278"/>
        <v>9.9999999999999995E-8</v>
      </c>
      <c r="AB111" s="101" t="e">
        <f>$DT111*HLOOKUP($J111,'Construction Costs (timber)'!$B$1:$V$32,'Construction Planner'!$L111+2,FALSE)</f>
        <v>#N/A</v>
      </c>
      <c r="AC111" s="14" t="e">
        <f>$DT111*HLOOKUP($J111,'Construction Costs (clay)'!$B$1:$V$32,'Construction Planner'!$L111+2,FALSE)</f>
        <v>#N/A</v>
      </c>
      <c r="AD111" s="14" t="e">
        <f>$DT111*HLOOKUP($J111,'Construction Costs (iron)'!$B$1:$V$32,'Construction Planner'!$L111+2,FALSE)</f>
        <v>#N/A</v>
      </c>
      <c r="AE111" s="34" t="e">
        <f t="shared" si="230"/>
        <v>#N/A</v>
      </c>
      <c r="AF111" s="33" t="e">
        <f t="shared" si="156"/>
        <v>#N/A</v>
      </c>
      <c r="AG111" s="14" t="e">
        <f t="shared" si="157"/>
        <v>#N/A</v>
      </c>
      <c r="AH111" s="14" t="e">
        <f t="shared" si="158"/>
        <v>#N/A</v>
      </c>
      <c r="AI111" s="34" t="e">
        <f t="shared" si="231"/>
        <v>#N/A</v>
      </c>
      <c r="AJ111" s="49" t="e">
        <f t="shared" si="178"/>
        <v>#N/A</v>
      </c>
      <c r="AK111" s="49" t="e">
        <f t="shared" si="179"/>
        <v>#N/A</v>
      </c>
      <c r="AL111" s="49" t="e">
        <f t="shared" si="180"/>
        <v>#N/A</v>
      </c>
      <c r="AM111" s="25">
        <f t="shared" si="159"/>
        <v>30</v>
      </c>
      <c r="AN111" s="25">
        <f t="shared" si="160"/>
        <v>30</v>
      </c>
      <c r="AO111" s="25">
        <f t="shared" si="161"/>
        <v>30</v>
      </c>
      <c r="AP111" s="52" t="e">
        <f t="shared" si="181"/>
        <v>#N/A</v>
      </c>
      <c r="AQ111" s="53" t="e">
        <f t="shared" si="181"/>
        <v>#N/A</v>
      </c>
      <c r="AR111" s="54" t="e">
        <f t="shared" si="181"/>
        <v>#N/A</v>
      </c>
      <c r="AS111" s="316">
        <f t="shared" si="263"/>
        <v>0</v>
      </c>
      <c r="AT111" s="106">
        <f>_xlfn.IFNA($M111/VLOOKUP($BT111,'Unit information'!$A$2:$K$29,2,FALSE)*R111,0)*(1+$E$9)</f>
        <v>0</v>
      </c>
      <c r="AU111" s="107">
        <f>_xlfn.IFNA($M111/VLOOKUP($BT111,'Unit information'!$A$2:$K$29,3,FALSE)*S111,0)*(1+$E$9)</f>
        <v>0</v>
      </c>
      <c r="AV111" s="107">
        <f>_xlfn.IFNA($M111/VLOOKUP($BT111,'Unit information'!$A$2:$K$29,4,FALSE)*T111,0)*(1+$E$9)</f>
        <v>0</v>
      </c>
      <c r="AW111" s="107">
        <f>_xlfn.IFNA($M111/VLOOKUP($BT111,'Unit information'!$A$2:$K$29,5,FALSE)*U111,0)*(1+$E$9)</f>
        <v>0</v>
      </c>
      <c r="AX111" s="107">
        <f>_xlfn.IFNA($M111/VLOOKUP($BU111,'Unit information'!$A$2:$K$29,6,FALSE)*V111,0)*(1+$E$9)</f>
        <v>0</v>
      </c>
      <c r="AY111" s="107">
        <f>_xlfn.IFNA($M111/VLOOKUP($BU111,'Unit information'!$A$2:$K$29,7,FALSE)*W111,0)*(1+$E$9)</f>
        <v>0</v>
      </c>
      <c r="AZ111" s="107">
        <f>_xlfn.IFNA($M111/VLOOKUP($BU111,'Unit information'!$A$2:$K$29,8,FALSE)*X111,0)*(1+$E$9)</f>
        <v>0</v>
      </c>
      <c r="BA111" s="107">
        <f>_xlfn.IFNA($M111/VLOOKUP($BU111,'Unit information'!$A$2:$K$29,9,FALSE)*Y111,0)*(1+$E$9)</f>
        <v>0</v>
      </c>
      <c r="BB111" s="107">
        <f>_xlfn.IFNA($M111/VLOOKUP($BV111,'Unit information'!$A$2:$K$29,10,FALSE)*Z111,0)*(1+$E$9)</f>
        <v>0</v>
      </c>
      <c r="BC111" s="108">
        <f>_xlfn.IFNA($M111/VLOOKUP($BV111,'Unit information'!$A$2:$K$29,11,FALSE)*AA111,0)*(1+$E$9)</f>
        <v>0</v>
      </c>
      <c r="BD111" s="106">
        <f t="shared" si="162"/>
        <v>0</v>
      </c>
      <c r="BE111" s="107">
        <f t="shared" si="163"/>
        <v>0</v>
      </c>
      <c r="BF111" s="108">
        <f t="shared" si="164"/>
        <v>0</v>
      </c>
      <c r="BG111" s="25" t="e">
        <f t="shared" si="165"/>
        <v>#N/A</v>
      </c>
      <c r="BH111" s="25" t="e">
        <f t="shared" si="166"/>
        <v>#N/A</v>
      </c>
      <c r="BI111" s="25" t="e">
        <f t="shared" si="167"/>
        <v>#N/A</v>
      </c>
      <c r="BJ111" s="27" t="e">
        <f t="shared" si="168"/>
        <v>#N/A</v>
      </c>
      <c r="BK111" s="18" t="e">
        <f t="shared" si="169"/>
        <v>#N/A</v>
      </c>
      <c r="BL111" s="18" t="e">
        <f t="shared" si="170"/>
        <v>#N/A</v>
      </c>
      <c r="BM111" s="28" t="e">
        <f t="shared" si="233"/>
        <v>#N/A</v>
      </c>
      <c r="BN111" s="33">
        <f>HLOOKUP("maximum population",Miscelaneous!$C$1:$C$33,CH111+3,FALSE)</f>
        <v>240</v>
      </c>
      <c r="BO111" s="14">
        <f t="shared" si="182"/>
        <v>32</v>
      </c>
      <c r="BP111" s="14">
        <f t="shared" si="183"/>
        <v>0</v>
      </c>
      <c r="BQ111" s="14">
        <f t="shared" si="184"/>
        <v>208</v>
      </c>
      <c r="BR111" s="34" t="e">
        <f>HLOOKUP(J111,Villagers!$B$1:$V$33,L111+3,FALSE)-HLOOKUP(J111,Villagers!$B$1:$V$33,L111+2,FALSE)</f>
        <v>#N/A</v>
      </c>
      <c r="BS111" s="49">
        <f t="shared" si="185"/>
        <v>1</v>
      </c>
      <c r="BT111" s="50">
        <f t="shared" si="186"/>
        <v>0</v>
      </c>
      <c r="BU111" s="50">
        <f t="shared" si="187"/>
        <v>0</v>
      </c>
      <c r="BV111" s="50">
        <f t="shared" si="188"/>
        <v>0</v>
      </c>
      <c r="BW111" s="50">
        <f t="shared" si="272"/>
        <v>0</v>
      </c>
      <c r="BX111" s="50">
        <f t="shared" si="273"/>
        <v>0</v>
      </c>
      <c r="BY111" s="50">
        <f t="shared" si="273"/>
        <v>0</v>
      </c>
      <c r="BZ111" s="50">
        <f t="shared" si="245"/>
        <v>0</v>
      </c>
      <c r="CA111" s="50">
        <f t="shared" si="246"/>
        <v>0</v>
      </c>
      <c r="CB111" s="50">
        <f t="shared" si="247"/>
        <v>1</v>
      </c>
      <c r="CC111" s="50">
        <f t="shared" si="248"/>
        <v>0</v>
      </c>
      <c r="CD111" s="50">
        <f t="shared" si="249"/>
        <v>0</v>
      </c>
      <c r="CE111" s="50">
        <f t="shared" si="250"/>
        <v>1</v>
      </c>
      <c r="CF111" s="50">
        <f t="shared" si="251"/>
        <v>1</v>
      </c>
      <c r="CG111" s="50">
        <f t="shared" si="252"/>
        <v>1</v>
      </c>
      <c r="CH111" s="50">
        <f t="shared" si="253"/>
        <v>1</v>
      </c>
      <c r="CI111" s="50">
        <f t="shared" si="254"/>
        <v>1</v>
      </c>
      <c r="CJ111" s="50">
        <f t="shared" si="255"/>
        <v>1</v>
      </c>
      <c r="CK111" s="50">
        <f t="shared" si="255"/>
        <v>0</v>
      </c>
      <c r="CL111" s="50">
        <f t="shared" si="255"/>
        <v>0</v>
      </c>
      <c r="CM111" s="51">
        <f t="shared" si="274"/>
        <v>0</v>
      </c>
      <c r="CN111" s="33">
        <f>ROUND(IF(BS111=0,0,HLOOKUP(BS$14,Villagers!$B$1:$V$33,BS111+3,FALSE)),)</f>
        <v>5</v>
      </c>
      <c r="CO111" s="14">
        <f>ROUND(IF(BT111=0,0,HLOOKUP(BT$14,Villagers!$B$1:$V$33,BT111+3,FALSE)),)</f>
        <v>0</v>
      </c>
      <c r="CP111" s="14">
        <f>ROUND(IF(BU111=0,0,HLOOKUP(BU$14,Villagers!$B$1:$V$33,BU111+3,FALSE)),)</f>
        <v>0</v>
      </c>
      <c r="CQ111" s="14">
        <f>ROUND(IF(BV111=0,0,HLOOKUP(BV$14,Villagers!$B$1:$V$33,BV111+3,FALSE)),)</f>
        <v>0</v>
      </c>
      <c r="CR111" s="14">
        <f>ROUND(IF(BW111=0,0,HLOOKUP(BW$14,Villagers!$B$1:$V$33,BW111+3,FALSE)),)</f>
        <v>0</v>
      </c>
      <c r="CS111" s="14">
        <f>ROUND(IF(BX111=0,0,HLOOKUP(BX$14,Villagers!$B$1:$V$33,BX111+3,FALSE)),)</f>
        <v>0</v>
      </c>
      <c r="CT111" s="14">
        <f>ROUND(IF(BY111=0,0,HLOOKUP(BY$14,Villagers!$B$1:$V$33,BY111+3,FALSE)),)</f>
        <v>0</v>
      </c>
      <c r="CU111" s="14">
        <f>ROUND(IF(BZ111=0,0,HLOOKUP(BZ$14,Villagers!$B$1:$V$33,BZ111+3,FALSE)),)</f>
        <v>0</v>
      </c>
      <c r="CV111" s="14">
        <f>ROUND(IF(CA111=0,0,HLOOKUP(CA$14,Villagers!$B$1:$V$33,CA111+3,FALSE)),)</f>
        <v>0</v>
      </c>
      <c r="CW111" s="14">
        <f>ROUND(IF(CB111=0,0,HLOOKUP(CB$14,Villagers!$B$1:$V$33,CB111+3,FALSE)),)</f>
        <v>0</v>
      </c>
      <c r="CX111" s="14">
        <f>ROUND(IF(CC111=0,0,HLOOKUP(CC$14,Villagers!$B$1:$V$33,CC111+3,FALSE)),)</f>
        <v>0</v>
      </c>
      <c r="CY111" s="14">
        <f>ROUND(IF(CD111=0,0,HLOOKUP(CD$14,Villagers!$B$1:$V$33,CD111+3,FALSE)),)</f>
        <v>0</v>
      </c>
      <c r="CZ111" s="14">
        <f>ROUND(IF(CE111=0,0,HLOOKUP(CE$14,Villagers!$B$1:$V$33,CE111+3,FALSE)),)</f>
        <v>5</v>
      </c>
      <c r="DA111" s="14">
        <f>ROUND(IF(CF111=0,0,HLOOKUP(CF$14,Villagers!$B$1:$V$33,CF111+3,FALSE)),)</f>
        <v>10</v>
      </c>
      <c r="DB111" s="14">
        <f>ROUND(IF(CG111=0,0,HLOOKUP(CG$14,Villagers!$B$1:$V$33,CG111+3,FALSE)),)</f>
        <v>10</v>
      </c>
      <c r="DC111" s="14">
        <f>ROUND(IF(CH111=0,0,HLOOKUP(CH$14,Villagers!$B$1:$V$33,CH111+3,FALSE)),)</f>
        <v>0</v>
      </c>
      <c r="DD111" s="14">
        <f>ROUND(IF(CI111=0,0,HLOOKUP(CI$14,Villagers!$B$1:$V$33,CI111+3,FALSE)),)</f>
        <v>0</v>
      </c>
      <c r="DE111" s="14">
        <f>ROUND(IF(CJ111=0,0,HLOOKUP(CJ$14,Villagers!$B$1:$V$33,CJ111+3,FALSE)),)</f>
        <v>2</v>
      </c>
      <c r="DF111" s="370">
        <f>ROUND(IF(CK111=0,0,HLOOKUP(CK$14,Villagers!$B$1:$V$33,CK111+3,FALSE)),)</f>
        <v>0</v>
      </c>
      <c r="DG111" s="370">
        <f>ROUND(IF(CL111=0,0,HLOOKUP(CL$14,Villagers!$B$1:$V$33,CL111+3,FALSE)),)</f>
        <v>0</v>
      </c>
      <c r="DH111" s="34">
        <f>ROUND(IF(CM111=0,0,HLOOKUP(CM$14,Villagers!$B$1:$V$33,CM111+3,FALSE)),)</f>
        <v>0</v>
      </c>
      <c r="DI111" s="109">
        <f t="shared" si="219"/>
        <v>0</v>
      </c>
      <c r="DJ111" s="50">
        <f t="shared" si="220"/>
        <v>0</v>
      </c>
      <c r="DK111" s="50">
        <f t="shared" si="221"/>
        <v>0</v>
      </c>
      <c r="DL111" s="50">
        <f t="shared" si="222"/>
        <v>0</v>
      </c>
      <c r="DM111" s="50">
        <f t="shared" si="223"/>
        <v>0</v>
      </c>
      <c r="DN111" s="50">
        <f t="shared" si="224"/>
        <v>0</v>
      </c>
      <c r="DO111" s="50">
        <f t="shared" si="225"/>
        <v>0</v>
      </c>
      <c r="DP111" s="50">
        <f t="shared" si="226"/>
        <v>0</v>
      </c>
      <c r="DQ111" s="50">
        <f t="shared" si="203"/>
        <v>0</v>
      </c>
      <c r="DR111" s="50">
        <f t="shared" si="204"/>
        <v>0</v>
      </c>
      <c r="DS111" s="96">
        <f>Miscelaneous!$D$4*Miscelaneous!$D$2^($CI111-1)</f>
        <v>1000</v>
      </c>
      <c r="DT111" s="333">
        <f t="shared" si="171"/>
        <v>1</v>
      </c>
      <c r="DU111" s="81">
        <v>1</v>
      </c>
      <c r="DV111" s="79">
        <f t="shared" si="205"/>
        <v>0</v>
      </c>
      <c r="DW111" s="79">
        <f t="shared" si="206"/>
        <v>0</v>
      </c>
      <c r="DX111" s="79">
        <f t="shared" si="207"/>
        <v>0</v>
      </c>
      <c r="DY111" s="79">
        <v>1</v>
      </c>
      <c r="DZ111" s="79">
        <f t="shared" si="208"/>
        <v>0</v>
      </c>
      <c r="EA111" s="79">
        <f t="shared" si="209"/>
        <v>0</v>
      </c>
      <c r="EB111" s="79">
        <f t="shared" si="210"/>
        <v>0</v>
      </c>
      <c r="EC111" s="79">
        <f t="shared" si="211"/>
        <v>0</v>
      </c>
      <c r="ED111" s="79">
        <v>1</v>
      </c>
      <c r="EE111" s="79">
        <v>1</v>
      </c>
      <c r="EF111" s="79">
        <f t="shared" si="212"/>
        <v>0</v>
      </c>
      <c r="EG111" s="79">
        <v>1</v>
      </c>
      <c r="EH111" s="79">
        <v>1</v>
      </c>
      <c r="EI111" s="79">
        <v>1</v>
      </c>
      <c r="EJ111" s="79">
        <v>1</v>
      </c>
      <c r="EK111" s="79">
        <v>1</v>
      </c>
      <c r="EL111" s="79">
        <v>1</v>
      </c>
      <c r="EM111" s="143">
        <f t="shared" si="213"/>
        <v>0</v>
      </c>
      <c r="EN111" s="143">
        <f t="shared" si="214"/>
        <v>0</v>
      </c>
      <c r="EO111" s="82">
        <f t="shared" si="215"/>
        <v>0</v>
      </c>
    </row>
    <row r="112" spans="1:145" x14ac:dyDescent="0.25">
      <c r="A112">
        <v>98</v>
      </c>
      <c r="B112" s="172" t="e">
        <f t="shared" si="172"/>
        <v>#N/A</v>
      </c>
      <c r="C112" s="121" t="e">
        <f t="shared" ref="C112:E112" si="281">AJ112-SUM(AB112:AB116)</f>
        <v>#N/A</v>
      </c>
      <c r="D112" s="122" t="e">
        <f t="shared" si="281"/>
        <v>#N/A</v>
      </c>
      <c r="E112" s="122" t="e">
        <f t="shared" si="281"/>
        <v>#N/A</v>
      </c>
      <c r="F112" s="176" t="e">
        <f t="shared" si="154"/>
        <v>#N/A</v>
      </c>
      <c r="G112" s="121">
        <f t="shared" si="174"/>
        <v>208</v>
      </c>
      <c r="H112" s="176" t="e">
        <f t="shared" si="175"/>
        <v>#N/A</v>
      </c>
      <c r="I112" s="48">
        <v>1</v>
      </c>
      <c r="J112" s="39"/>
      <c r="K112" s="350">
        <v>1</v>
      </c>
      <c r="L112" s="34" t="e">
        <f t="shared" si="155"/>
        <v>#N/A</v>
      </c>
      <c r="M112" s="38" t="e">
        <f>(HLOOKUP(J112,'Construction Times'!$B$3:$W$34,L112+2,FALSE)*HLOOKUP("hq modifier",'Construction Times'!$W$3:$W$34,BS112+2,FALSE))*(1-$H$9)</f>
        <v>#N/A</v>
      </c>
      <c r="N112" s="426" t="e">
        <f t="shared" si="176"/>
        <v>#N/A</v>
      </c>
      <c r="O112" s="427"/>
      <c r="P112" s="430" t="e">
        <f t="shared" si="177"/>
        <v>#N/A</v>
      </c>
      <c r="Q112" s="431"/>
      <c r="R112" s="103">
        <f t="shared" si="217"/>
        <v>0</v>
      </c>
      <c r="S112" s="104">
        <f t="shared" si="217"/>
        <v>0</v>
      </c>
      <c r="T112" s="104">
        <f t="shared" si="218"/>
        <v>0</v>
      </c>
      <c r="U112" s="104">
        <f t="shared" si="218"/>
        <v>0</v>
      </c>
      <c r="V112" s="104">
        <f t="shared" si="218"/>
        <v>9.9999999999999995E-8</v>
      </c>
      <c r="W112" s="104">
        <f t="shared" si="218"/>
        <v>0</v>
      </c>
      <c r="X112" s="104">
        <f t="shared" si="278"/>
        <v>0</v>
      </c>
      <c r="Y112" s="104">
        <f t="shared" si="278"/>
        <v>9.9999999999999995E-8</v>
      </c>
      <c r="Z112" s="104">
        <f t="shared" si="278"/>
        <v>9.9999999999999995E-8</v>
      </c>
      <c r="AA112" s="105">
        <f t="shared" si="278"/>
        <v>9.9999999999999995E-8</v>
      </c>
      <c r="AB112" s="101" t="e">
        <f>$DT112*HLOOKUP($J112,'Construction Costs (timber)'!$B$1:$V$32,'Construction Planner'!$L112+2,FALSE)</f>
        <v>#N/A</v>
      </c>
      <c r="AC112" s="14" t="e">
        <f>$DT112*HLOOKUP($J112,'Construction Costs (clay)'!$B$1:$V$32,'Construction Planner'!$L112+2,FALSE)</f>
        <v>#N/A</v>
      </c>
      <c r="AD112" s="14" t="e">
        <f>$DT112*HLOOKUP($J112,'Construction Costs (iron)'!$B$1:$V$32,'Construction Planner'!$L112+2,FALSE)</f>
        <v>#N/A</v>
      </c>
      <c r="AE112" s="34" t="e">
        <f t="shared" si="230"/>
        <v>#N/A</v>
      </c>
      <c r="AF112" s="33" t="e">
        <f t="shared" si="156"/>
        <v>#N/A</v>
      </c>
      <c r="AG112" s="14" t="e">
        <f t="shared" si="157"/>
        <v>#N/A</v>
      </c>
      <c r="AH112" s="14" t="e">
        <f t="shared" si="158"/>
        <v>#N/A</v>
      </c>
      <c r="AI112" s="34" t="e">
        <f t="shared" si="231"/>
        <v>#N/A</v>
      </c>
      <c r="AJ112" s="49" t="e">
        <f t="shared" si="178"/>
        <v>#N/A</v>
      </c>
      <c r="AK112" s="49" t="e">
        <f t="shared" si="179"/>
        <v>#N/A</v>
      </c>
      <c r="AL112" s="49" t="e">
        <f t="shared" si="180"/>
        <v>#N/A</v>
      </c>
      <c r="AM112" s="25">
        <f t="shared" si="159"/>
        <v>30</v>
      </c>
      <c r="AN112" s="25">
        <f t="shared" si="160"/>
        <v>30</v>
      </c>
      <c r="AO112" s="25">
        <f t="shared" si="161"/>
        <v>30</v>
      </c>
      <c r="AP112" s="52" t="e">
        <f t="shared" si="181"/>
        <v>#N/A</v>
      </c>
      <c r="AQ112" s="53" t="e">
        <f t="shared" si="181"/>
        <v>#N/A</v>
      </c>
      <c r="AR112" s="54" t="e">
        <f t="shared" si="181"/>
        <v>#N/A</v>
      </c>
      <c r="AS112" s="316">
        <f t="shared" si="263"/>
        <v>0</v>
      </c>
      <c r="AT112" s="106">
        <f>_xlfn.IFNA($M112/VLOOKUP($BT112,'Unit information'!$A$2:$K$29,2,FALSE)*R112,0)*(1+$E$9)</f>
        <v>0</v>
      </c>
      <c r="AU112" s="107">
        <f>_xlfn.IFNA($M112/VLOOKUP($BT112,'Unit information'!$A$2:$K$29,3,FALSE)*S112,0)*(1+$E$9)</f>
        <v>0</v>
      </c>
      <c r="AV112" s="107">
        <f>_xlfn.IFNA($M112/VLOOKUP($BT112,'Unit information'!$A$2:$K$29,4,FALSE)*T112,0)*(1+$E$9)</f>
        <v>0</v>
      </c>
      <c r="AW112" s="107">
        <f>_xlfn.IFNA($M112/VLOOKUP($BT112,'Unit information'!$A$2:$K$29,5,FALSE)*U112,0)*(1+$E$9)</f>
        <v>0</v>
      </c>
      <c r="AX112" s="107">
        <f>_xlfn.IFNA($M112/VLOOKUP($BU112,'Unit information'!$A$2:$K$29,6,FALSE)*V112,0)*(1+$E$9)</f>
        <v>0</v>
      </c>
      <c r="AY112" s="107">
        <f>_xlfn.IFNA($M112/VLOOKUP($BU112,'Unit information'!$A$2:$K$29,7,FALSE)*W112,0)*(1+$E$9)</f>
        <v>0</v>
      </c>
      <c r="AZ112" s="107">
        <f>_xlfn.IFNA($M112/VLOOKUP($BU112,'Unit information'!$A$2:$K$29,8,FALSE)*X112,0)*(1+$E$9)</f>
        <v>0</v>
      </c>
      <c r="BA112" s="107">
        <f>_xlfn.IFNA($M112/VLOOKUP($BU112,'Unit information'!$A$2:$K$29,9,FALSE)*Y112,0)*(1+$E$9)</f>
        <v>0</v>
      </c>
      <c r="BB112" s="107">
        <f>_xlfn.IFNA($M112/VLOOKUP($BV112,'Unit information'!$A$2:$K$29,10,FALSE)*Z112,0)*(1+$E$9)</f>
        <v>0</v>
      </c>
      <c r="BC112" s="108">
        <f>_xlfn.IFNA($M112/VLOOKUP($BV112,'Unit information'!$A$2:$K$29,11,FALSE)*AA112,0)*(1+$E$9)</f>
        <v>0</v>
      </c>
      <c r="BD112" s="106">
        <f t="shared" si="162"/>
        <v>0</v>
      </c>
      <c r="BE112" s="107">
        <f t="shared" si="163"/>
        <v>0</v>
      </c>
      <c r="BF112" s="108">
        <f t="shared" si="164"/>
        <v>0</v>
      </c>
      <c r="BG112" s="25" t="e">
        <f t="shared" si="165"/>
        <v>#N/A</v>
      </c>
      <c r="BH112" s="25" t="e">
        <f t="shared" si="166"/>
        <v>#N/A</v>
      </c>
      <c r="BI112" s="25" t="e">
        <f t="shared" si="167"/>
        <v>#N/A</v>
      </c>
      <c r="BJ112" s="27" t="e">
        <f t="shared" si="168"/>
        <v>#N/A</v>
      </c>
      <c r="BK112" s="18" t="e">
        <f t="shared" si="169"/>
        <v>#N/A</v>
      </c>
      <c r="BL112" s="18" t="e">
        <f t="shared" si="170"/>
        <v>#N/A</v>
      </c>
      <c r="BM112" s="28" t="e">
        <f t="shared" si="233"/>
        <v>#N/A</v>
      </c>
      <c r="BN112" s="33">
        <f>HLOOKUP("maximum population",Miscelaneous!$C$1:$C$33,CH112+3,FALSE)</f>
        <v>240</v>
      </c>
      <c r="BO112" s="14">
        <f t="shared" si="182"/>
        <v>32</v>
      </c>
      <c r="BP112" s="14">
        <f t="shared" si="183"/>
        <v>0</v>
      </c>
      <c r="BQ112" s="14">
        <f t="shared" si="184"/>
        <v>208</v>
      </c>
      <c r="BR112" s="34" t="e">
        <f>HLOOKUP(J112,Villagers!$B$1:$V$33,L112+3,FALSE)-HLOOKUP(J112,Villagers!$B$1:$V$33,L112+2,FALSE)</f>
        <v>#N/A</v>
      </c>
      <c r="BS112" s="49">
        <f t="shared" si="185"/>
        <v>1</v>
      </c>
      <c r="BT112" s="50">
        <f t="shared" si="186"/>
        <v>0</v>
      </c>
      <c r="BU112" s="50">
        <f t="shared" si="187"/>
        <v>0</v>
      </c>
      <c r="BV112" s="50">
        <f t="shared" si="188"/>
        <v>0</v>
      </c>
      <c r="BW112" s="50">
        <f t="shared" si="272"/>
        <v>0</v>
      </c>
      <c r="BX112" s="50">
        <f t="shared" si="273"/>
        <v>0</v>
      </c>
      <c r="BY112" s="50">
        <f t="shared" si="273"/>
        <v>0</v>
      </c>
      <c r="BZ112" s="50">
        <f t="shared" si="245"/>
        <v>0</v>
      </c>
      <c r="CA112" s="50">
        <f t="shared" si="246"/>
        <v>0</v>
      </c>
      <c r="CB112" s="50">
        <f t="shared" si="247"/>
        <v>1</v>
      </c>
      <c r="CC112" s="50">
        <f t="shared" si="248"/>
        <v>0</v>
      </c>
      <c r="CD112" s="50">
        <f t="shared" si="249"/>
        <v>0</v>
      </c>
      <c r="CE112" s="50">
        <f t="shared" si="250"/>
        <v>1</v>
      </c>
      <c r="CF112" s="50">
        <f t="shared" si="251"/>
        <v>1</v>
      </c>
      <c r="CG112" s="50">
        <f t="shared" si="252"/>
        <v>1</v>
      </c>
      <c r="CH112" s="50">
        <f t="shared" si="253"/>
        <v>1</v>
      </c>
      <c r="CI112" s="50">
        <f t="shared" si="254"/>
        <v>1</v>
      </c>
      <c r="CJ112" s="50">
        <f t="shared" si="255"/>
        <v>1</v>
      </c>
      <c r="CK112" s="50">
        <f t="shared" si="255"/>
        <v>0</v>
      </c>
      <c r="CL112" s="50">
        <f t="shared" si="255"/>
        <v>0</v>
      </c>
      <c r="CM112" s="51">
        <f t="shared" si="274"/>
        <v>0</v>
      </c>
      <c r="CN112" s="33">
        <f>ROUND(IF(BS112=0,0,HLOOKUP(BS$14,Villagers!$B$1:$V$33,BS112+3,FALSE)),)</f>
        <v>5</v>
      </c>
      <c r="CO112" s="14">
        <f>ROUND(IF(BT112=0,0,HLOOKUP(BT$14,Villagers!$B$1:$V$33,BT112+3,FALSE)),)</f>
        <v>0</v>
      </c>
      <c r="CP112" s="14">
        <f>ROUND(IF(BU112=0,0,HLOOKUP(BU$14,Villagers!$B$1:$V$33,BU112+3,FALSE)),)</f>
        <v>0</v>
      </c>
      <c r="CQ112" s="14">
        <f>ROUND(IF(BV112=0,0,HLOOKUP(BV$14,Villagers!$B$1:$V$33,BV112+3,FALSE)),)</f>
        <v>0</v>
      </c>
      <c r="CR112" s="14">
        <f>ROUND(IF(BW112=0,0,HLOOKUP(BW$14,Villagers!$B$1:$V$33,BW112+3,FALSE)),)</f>
        <v>0</v>
      </c>
      <c r="CS112" s="14">
        <f>ROUND(IF(BX112=0,0,HLOOKUP(BX$14,Villagers!$B$1:$V$33,BX112+3,FALSE)),)</f>
        <v>0</v>
      </c>
      <c r="CT112" s="14">
        <f>ROUND(IF(BY112=0,0,HLOOKUP(BY$14,Villagers!$B$1:$V$33,BY112+3,FALSE)),)</f>
        <v>0</v>
      </c>
      <c r="CU112" s="14">
        <f>ROUND(IF(BZ112=0,0,HLOOKUP(BZ$14,Villagers!$B$1:$V$33,BZ112+3,FALSE)),)</f>
        <v>0</v>
      </c>
      <c r="CV112" s="14">
        <f>ROUND(IF(CA112=0,0,HLOOKUP(CA$14,Villagers!$B$1:$V$33,CA112+3,FALSE)),)</f>
        <v>0</v>
      </c>
      <c r="CW112" s="14">
        <f>ROUND(IF(CB112=0,0,HLOOKUP(CB$14,Villagers!$B$1:$V$33,CB112+3,FALSE)),)</f>
        <v>0</v>
      </c>
      <c r="CX112" s="14">
        <f>ROUND(IF(CC112=0,0,HLOOKUP(CC$14,Villagers!$B$1:$V$33,CC112+3,FALSE)),)</f>
        <v>0</v>
      </c>
      <c r="CY112" s="14">
        <f>ROUND(IF(CD112=0,0,HLOOKUP(CD$14,Villagers!$B$1:$V$33,CD112+3,FALSE)),)</f>
        <v>0</v>
      </c>
      <c r="CZ112" s="14">
        <f>ROUND(IF(CE112=0,0,HLOOKUP(CE$14,Villagers!$B$1:$V$33,CE112+3,FALSE)),)</f>
        <v>5</v>
      </c>
      <c r="DA112" s="14">
        <f>ROUND(IF(CF112=0,0,HLOOKUP(CF$14,Villagers!$B$1:$V$33,CF112+3,FALSE)),)</f>
        <v>10</v>
      </c>
      <c r="DB112" s="14">
        <f>ROUND(IF(CG112=0,0,HLOOKUP(CG$14,Villagers!$B$1:$V$33,CG112+3,FALSE)),)</f>
        <v>10</v>
      </c>
      <c r="DC112" s="14">
        <f>ROUND(IF(CH112=0,0,HLOOKUP(CH$14,Villagers!$B$1:$V$33,CH112+3,FALSE)),)</f>
        <v>0</v>
      </c>
      <c r="DD112" s="14">
        <f>ROUND(IF(CI112=0,0,HLOOKUP(CI$14,Villagers!$B$1:$V$33,CI112+3,FALSE)),)</f>
        <v>0</v>
      </c>
      <c r="DE112" s="14">
        <f>ROUND(IF(CJ112=0,0,HLOOKUP(CJ$14,Villagers!$B$1:$V$33,CJ112+3,FALSE)),)</f>
        <v>2</v>
      </c>
      <c r="DF112" s="370">
        <f>ROUND(IF(CK112=0,0,HLOOKUP(CK$14,Villagers!$B$1:$V$33,CK112+3,FALSE)),)</f>
        <v>0</v>
      </c>
      <c r="DG112" s="370">
        <f>ROUND(IF(CL112=0,0,HLOOKUP(CL$14,Villagers!$B$1:$V$33,CL112+3,FALSE)),)</f>
        <v>0</v>
      </c>
      <c r="DH112" s="34">
        <f>ROUND(IF(CM112=0,0,HLOOKUP(CM$14,Villagers!$B$1:$V$33,CM112+3,FALSE)),)</f>
        <v>0</v>
      </c>
      <c r="DI112" s="109">
        <f t="shared" si="219"/>
        <v>0</v>
      </c>
      <c r="DJ112" s="50">
        <f t="shared" si="220"/>
        <v>0</v>
      </c>
      <c r="DK112" s="50">
        <f t="shared" si="221"/>
        <v>0</v>
      </c>
      <c r="DL112" s="50">
        <f t="shared" si="222"/>
        <v>0</v>
      </c>
      <c r="DM112" s="50">
        <f t="shared" si="223"/>
        <v>0</v>
      </c>
      <c r="DN112" s="50">
        <f t="shared" si="224"/>
        <v>0</v>
      </c>
      <c r="DO112" s="50">
        <f t="shared" si="225"/>
        <v>0</v>
      </c>
      <c r="DP112" s="50">
        <f t="shared" si="226"/>
        <v>0</v>
      </c>
      <c r="DQ112" s="50">
        <f t="shared" si="203"/>
        <v>0</v>
      </c>
      <c r="DR112" s="50">
        <f t="shared" si="204"/>
        <v>0</v>
      </c>
      <c r="DS112" s="96">
        <f>Miscelaneous!$D$4*Miscelaneous!$D$2^($CI112-1)</f>
        <v>1000</v>
      </c>
      <c r="DT112" s="333">
        <f t="shared" si="171"/>
        <v>1</v>
      </c>
      <c r="DU112" s="81">
        <v>1</v>
      </c>
      <c r="DV112" s="79">
        <f t="shared" si="205"/>
        <v>0</v>
      </c>
      <c r="DW112" s="79">
        <f t="shared" si="206"/>
        <v>0</v>
      </c>
      <c r="DX112" s="79">
        <f t="shared" si="207"/>
        <v>0</v>
      </c>
      <c r="DY112" s="79">
        <v>1</v>
      </c>
      <c r="DZ112" s="79">
        <f t="shared" si="208"/>
        <v>0</v>
      </c>
      <c r="EA112" s="79">
        <f t="shared" si="209"/>
        <v>0</v>
      </c>
      <c r="EB112" s="79">
        <f t="shared" si="210"/>
        <v>0</v>
      </c>
      <c r="EC112" s="79">
        <f t="shared" si="211"/>
        <v>0</v>
      </c>
      <c r="ED112" s="79">
        <v>1</v>
      </c>
      <c r="EE112" s="79">
        <v>1</v>
      </c>
      <c r="EF112" s="79">
        <f t="shared" si="212"/>
        <v>0</v>
      </c>
      <c r="EG112" s="79">
        <v>1</v>
      </c>
      <c r="EH112" s="79">
        <v>1</v>
      </c>
      <c r="EI112" s="79">
        <v>1</v>
      </c>
      <c r="EJ112" s="79">
        <v>1</v>
      </c>
      <c r="EK112" s="79">
        <v>1</v>
      </c>
      <c r="EL112" s="79">
        <v>1</v>
      </c>
      <c r="EM112" s="143">
        <f t="shared" si="213"/>
        <v>0</v>
      </c>
      <c r="EN112" s="143">
        <f t="shared" si="214"/>
        <v>0</v>
      </c>
      <c r="EO112" s="82">
        <f t="shared" si="215"/>
        <v>0</v>
      </c>
    </row>
    <row r="113" spans="1:145" x14ac:dyDescent="0.25">
      <c r="A113">
        <v>99</v>
      </c>
      <c r="B113" s="172" t="e">
        <f t="shared" si="172"/>
        <v>#N/A</v>
      </c>
      <c r="C113" s="121" t="e">
        <f t="shared" ref="C113:E113" si="282">AJ113-SUM(AB113:AB117)</f>
        <v>#N/A</v>
      </c>
      <c r="D113" s="122" t="e">
        <f t="shared" si="282"/>
        <v>#N/A</v>
      </c>
      <c r="E113" s="122" t="e">
        <f t="shared" si="282"/>
        <v>#N/A</v>
      </c>
      <c r="F113" s="176" t="e">
        <f t="shared" si="154"/>
        <v>#N/A</v>
      </c>
      <c r="G113" s="121">
        <f t="shared" si="174"/>
        <v>208</v>
      </c>
      <c r="H113" s="176" t="e">
        <f t="shared" si="175"/>
        <v>#N/A</v>
      </c>
      <c r="I113" s="48">
        <v>1</v>
      </c>
      <c r="J113" s="39"/>
      <c r="K113" s="350">
        <v>1</v>
      </c>
      <c r="L113" s="34" t="e">
        <f t="shared" si="155"/>
        <v>#N/A</v>
      </c>
      <c r="M113" s="38" t="e">
        <f>(HLOOKUP(J113,'Construction Times'!$B$3:$W$34,L113+2,FALSE)*HLOOKUP("hq modifier",'Construction Times'!$W$3:$W$34,BS113+2,FALSE))*(1-$H$9)</f>
        <v>#N/A</v>
      </c>
      <c r="N113" s="426" t="e">
        <f t="shared" si="176"/>
        <v>#N/A</v>
      </c>
      <c r="O113" s="427"/>
      <c r="P113" s="430" t="e">
        <f t="shared" si="177"/>
        <v>#N/A</v>
      </c>
      <c r="Q113" s="431"/>
      <c r="R113" s="103">
        <f t="shared" si="217"/>
        <v>0</v>
      </c>
      <c r="S113" s="104">
        <f t="shared" si="217"/>
        <v>0</v>
      </c>
      <c r="T113" s="104">
        <f t="shared" si="218"/>
        <v>0</v>
      </c>
      <c r="U113" s="104">
        <f t="shared" si="218"/>
        <v>0</v>
      </c>
      <c r="V113" s="104">
        <f t="shared" si="218"/>
        <v>9.9999999999999995E-8</v>
      </c>
      <c r="W113" s="104">
        <f t="shared" si="218"/>
        <v>0</v>
      </c>
      <c r="X113" s="104">
        <f t="shared" si="278"/>
        <v>0</v>
      </c>
      <c r="Y113" s="104">
        <f t="shared" si="278"/>
        <v>9.9999999999999995E-8</v>
      </c>
      <c r="Z113" s="104">
        <f t="shared" si="278"/>
        <v>9.9999999999999995E-8</v>
      </c>
      <c r="AA113" s="105">
        <f t="shared" si="278"/>
        <v>9.9999999999999995E-8</v>
      </c>
      <c r="AB113" s="101" t="e">
        <f>$DT113*HLOOKUP($J113,'Construction Costs (timber)'!$B$1:$V$32,'Construction Planner'!$L113+2,FALSE)</f>
        <v>#N/A</v>
      </c>
      <c r="AC113" s="14" t="e">
        <f>$DT113*HLOOKUP($J113,'Construction Costs (clay)'!$B$1:$V$32,'Construction Planner'!$L113+2,FALSE)</f>
        <v>#N/A</v>
      </c>
      <c r="AD113" s="14" t="e">
        <f>$DT113*HLOOKUP($J113,'Construction Costs (iron)'!$B$1:$V$32,'Construction Planner'!$L113+2,FALSE)</f>
        <v>#N/A</v>
      </c>
      <c r="AE113" s="34" t="e">
        <f t="shared" si="230"/>
        <v>#N/A</v>
      </c>
      <c r="AF113" s="33" t="e">
        <f t="shared" si="156"/>
        <v>#N/A</v>
      </c>
      <c r="AG113" s="14" t="e">
        <f t="shared" si="157"/>
        <v>#N/A</v>
      </c>
      <c r="AH113" s="14" t="e">
        <f t="shared" si="158"/>
        <v>#N/A</v>
      </c>
      <c r="AI113" s="34" t="e">
        <f t="shared" si="231"/>
        <v>#N/A</v>
      </c>
      <c r="AJ113" s="49" t="e">
        <f t="shared" si="178"/>
        <v>#N/A</v>
      </c>
      <c r="AK113" s="49" t="e">
        <f t="shared" si="179"/>
        <v>#N/A</v>
      </c>
      <c r="AL113" s="49" t="e">
        <f t="shared" si="180"/>
        <v>#N/A</v>
      </c>
      <c r="AM113" s="25">
        <f t="shared" si="159"/>
        <v>30</v>
      </c>
      <c r="AN113" s="25">
        <f t="shared" si="160"/>
        <v>30</v>
      </c>
      <c r="AO113" s="25">
        <f t="shared" si="161"/>
        <v>30</v>
      </c>
      <c r="AP113" s="52" t="e">
        <f t="shared" si="181"/>
        <v>#N/A</v>
      </c>
      <c r="AQ113" s="53" t="e">
        <f t="shared" si="181"/>
        <v>#N/A</v>
      </c>
      <c r="AR113" s="54" t="e">
        <f t="shared" si="181"/>
        <v>#N/A</v>
      </c>
      <c r="AS113" s="316">
        <f t="shared" si="263"/>
        <v>0</v>
      </c>
      <c r="AT113" s="106">
        <f>_xlfn.IFNA($M113/VLOOKUP($BT113,'Unit information'!$A$2:$K$29,2,FALSE)*R113,0)*(1+$E$9)</f>
        <v>0</v>
      </c>
      <c r="AU113" s="107">
        <f>_xlfn.IFNA($M113/VLOOKUP($BT113,'Unit information'!$A$2:$K$29,3,FALSE)*S113,0)*(1+$E$9)</f>
        <v>0</v>
      </c>
      <c r="AV113" s="107">
        <f>_xlfn.IFNA($M113/VLOOKUP($BT113,'Unit information'!$A$2:$K$29,4,FALSE)*T113,0)*(1+$E$9)</f>
        <v>0</v>
      </c>
      <c r="AW113" s="107">
        <f>_xlfn.IFNA($M113/VLOOKUP($BT113,'Unit information'!$A$2:$K$29,5,FALSE)*U113,0)*(1+$E$9)</f>
        <v>0</v>
      </c>
      <c r="AX113" s="107">
        <f>_xlfn.IFNA($M113/VLOOKUP($BU113,'Unit information'!$A$2:$K$29,6,FALSE)*V113,0)*(1+$E$9)</f>
        <v>0</v>
      </c>
      <c r="AY113" s="107">
        <f>_xlfn.IFNA($M113/VLOOKUP($BU113,'Unit information'!$A$2:$K$29,7,FALSE)*W113,0)*(1+$E$9)</f>
        <v>0</v>
      </c>
      <c r="AZ113" s="107">
        <f>_xlfn.IFNA($M113/VLOOKUP($BU113,'Unit information'!$A$2:$K$29,8,FALSE)*X113,0)*(1+$E$9)</f>
        <v>0</v>
      </c>
      <c r="BA113" s="107">
        <f>_xlfn.IFNA($M113/VLOOKUP($BU113,'Unit information'!$A$2:$K$29,9,FALSE)*Y113,0)*(1+$E$9)</f>
        <v>0</v>
      </c>
      <c r="BB113" s="107">
        <f>_xlfn.IFNA($M113/VLOOKUP($BV113,'Unit information'!$A$2:$K$29,10,FALSE)*Z113,0)*(1+$E$9)</f>
        <v>0</v>
      </c>
      <c r="BC113" s="108">
        <f>_xlfn.IFNA($M113/VLOOKUP($BV113,'Unit information'!$A$2:$K$29,11,FALSE)*AA113,0)*(1+$E$9)</f>
        <v>0</v>
      </c>
      <c r="BD113" s="106">
        <f t="shared" si="162"/>
        <v>0</v>
      </c>
      <c r="BE113" s="107">
        <f t="shared" si="163"/>
        <v>0</v>
      </c>
      <c r="BF113" s="108">
        <f t="shared" si="164"/>
        <v>0</v>
      </c>
      <c r="BG113" s="25" t="e">
        <f t="shared" si="165"/>
        <v>#N/A</v>
      </c>
      <c r="BH113" s="25" t="e">
        <f t="shared" si="166"/>
        <v>#N/A</v>
      </c>
      <c r="BI113" s="25" t="e">
        <f t="shared" si="167"/>
        <v>#N/A</v>
      </c>
      <c r="BJ113" s="27" t="e">
        <f t="shared" si="168"/>
        <v>#N/A</v>
      </c>
      <c r="BK113" s="18" t="e">
        <f t="shared" si="169"/>
        <v>#N/A</v>
      </c>
      <c r="BL113" s="18" t="e">
        <f t="shared" si="170"/>
        <v>#N/A</v>
      </c>
      <c r="BM113" s="28" t="e">
        <f t="shared" si="233"/>
        <v>#N/A</v>
      </c>
      <c r="BN113" s="33">
        <f>HLOOKUP("maximum population",Miscelaneous!$C$1:$C$33,CH113+3,FALSE)</f>
        <v>240</v>
      </c>
      <c r="BO113" s="14">
        <f t="shared" si="182"/>
        <v>32</v>
      </c>
      <c r="BP113" s="14">
        <f t="shared" si="183"/>
        <v>0</v>
      </c>
      <c r="BQ113" s="14">
        <f t="shared" si="184"/>
        <v>208</v>
      </c>
      <c r="BR113" s="34" t="e">
        <f>HLOOKUP(J113,Villagers!$B$1:$V$33,L113+3,FALSE)-HLOOKUP(J113,Villagers!$B$1:$V$33,L113+2,FALSE)</f>
        <v>#N/A</v>
      </c>
      <c r="BS113" s="49">
        <f t="shared" si="185"/>
        <v>1</v>
      </c>
      <c r="BT113" s="50">
        <f t="shared" si="186"/>
        <v>0</v>
      </c>
      <c r="BU113" s="50">
        <f t="shared" si="187"/>
        <v>0</v>
      </c>
      <c r="BV113" s="50">
        <f t="shared" si="188"/>
        <v>0</v>
      </c>
      <c r="BW113" s="50">
        <f t="shared" si="272"/>
        <v>0</v>
      </c>
      <c r="BX113" s="50">
        <f t="shared" si="273"/>
        <v>0</v>
      </c>
      <c r="BY113" s="50">
        <f t="shared" si="273"/>
        <v>0</v>
      </c>
      <c r="BZ113" s="50">
        <f t="shared" si="245"/>
        <v>0</v>
      </c>
      <c r="CA113" s="50">
        <f t="shared" si="246"/>
        <v>0</v>
      </c>
      <c r="CB113" s="50">
        <f t="shared" si="247"/>
        <v>1</v>
      </c>
      <c r="CC113" s="50">
        <f t="shared" si="248"/>
        <v>0</v>
      </c>
      <c r="CD113" s="50">
        <f t="shared" si="249"/>
        <v>0</v>
      </c>
      <c r="CE113" s="50">
        <f t="shared" si="250"/>
        <v>1</v>
      </c>
      <c r="CF113" s="50">
        <f t="shared" si="251"/>
        <v>1</v>
      </c>
      <c r="CG113" s="50">
        <f t="shared" si="252"/>
        <v>1</v>
      </c>
      <c r="CH113" s="50">
        <f t="shared" si="253"/>
        <v>1</v>
      </c>
      <c r="CI113" s="50">
        <f t="shared" si="254"/>
        <v>1</v>
      </c>
      <c r="CJ113" s="50">
        <f t="shared" si="255"/>
        <v>1</v>
      </c>
      <c r="CK113" s="50">
        <f t="shared" si="255"/>
        <v>0</v>
      </c>
      <c r="CL113" s="50">
        <f t="shared" si="255"/>
        <v>0</v>
      </c>
      <c r="CM113" s="51">
        <f t="shared" si="274"/>
        <v>0</v>
      </c>
      <c r="CN113" s="33">
        <f>ROUND(IF(BS113=0,0,HLOOKUP(BS$14,Villagers!$B$1:$V$33,BS113+3,FALSE)),)</f>
        <v>5</v>
      </c>
      <c r="CO113" s="14">
        <f>ROUND(IF(BT113=0,0,HLOOKUP(BT$14,Villagers!$B$1:$V$33,BT113+3,FALSE)),)</f>
        <v>0</v>
      </c>
      <c r="CP113" s="14">
        <f>ROUND(IF(BU113=0,0,HLOOKUP(BU$14,Villagers!$B$1:$V$33,BU113+3,FALSE)),)</f>
        <v>0</v>
      </c>
      <c r="CQ113" s="14">
        <f>ROUND(IF(BV113=0,0,HLOOKUP(BV$14,Villagers!$B$1:$V$33,BV113+3,FALSE)),)</f>
        <v>0</v>
      </c>
      <c r="CR113" s="14">
        <f>ROUND(IF(BW113=0,0,HLOOKUP(BW$14,Villagers!$B$1:$V$33,BW113+3,FALSE)),)</f>
        <v>0</v>
      </c>
      <c r="CS113" s="14">
        <f>ROUND(IF(BX113=0,0,HLOOKUP(BX$14,Villagers!$B$1:$V$33,BX113+3,FALSE)),)</f>
        <v>0</v>
      </c>
      <c r="CT113" s="14">
        <f>ROUND(IF(BY113=0,0,HLOOKUP(BY$14,Villagers!$B$1:$V$33,BY113+3,FALSE)),)</f>
        <v>0</v>
      </c>
      <c r="CU113" s="14">
        <f>ROUND(IF(BZ113=0,0,HLOOKUP(BZ$14,Villagers!$B$1:$V$33,BZ113+3,FALSE)),)</f>
        <v>0</v>
      </c>
      <c r="CV113" s="14">
        <f>ROUND(IF(CA113=0,0,HLOOKUP(CA$14,Villagers!$B$1:$V$33,CA113+3,FALSE)),)</f>
        <v>0</v>
      </c>
      <c r="CW113" s="14">
        <f>ROUND(IF(CB113=0,0,HLOOKUP(CB$14,Villagers!$B$1:$V$33,CB113+3,FALSE)),)</f>
        <v>0</v>
      </c>
      <c r="CX113" s="14">
        <f>ROUND(IF(CC113=0,0,HLOOKUP(CC$14,Villagers!$B$1:$V$33,CC113+3,FALSE)),)</f>
        <v>0</v>
      </c>
      <c r="CY113" s="14">
        <f>ROUND(IF(CD113=0,0,HLOOKUP(CD$14,Villagers!$B$1:$V$33,CD113+3,FALSE)),)</f>
        <v>0</v>
      </c>
      <c r="CZ113" s="14">
        <f>ROUND(IF(CE113=0,0,HLOOKUP(CE$14,Villagers!$B$1:$V$33,CE113+3,FALSE)),)</f>
        <v>5</v>
      </c>
      <c r="DA113" s="14">
        <f>ROUND(IF(CF113=0,0,HLOOKUP(CF$14,Villagers!$B$1:$V$33,CF113+3,FALSE)),)</f>
        <v>10</v>
      </c>
      <c r="DB113" s="14">
        <f>ROUND(IF(CG113=0,0,HLOOKUP(CG$14,Villagers!$B$1:$V$33,CG113+3,FALSE)),)</f>
        <v>10</v>
      </c>
      <c r="DC113" s="14">
        <f>ROUND(IF(CH113=0,0,HLOOKUP(CH$14,Villagers!$B$1:$V$33,CH113+3,FALSE)),)</f>
        <v>0</v>
      </c>
      <c r="DD113" s="14">
        <f>ROUND(IF(CI113=0,0,HLOOKUP(CI$14,Villagers!$B$1:$V$33,CI113+3,FALSE)),)</f>
        <v>0</v>
      </c>
      <c r="DE113" s="14">
        <f>ROUND(IF(CJ113=0,0,HLOOKUP(CJ$14,Villagers!$B$1:$V$33,CJ113+3,FALSE)),)</f>
        <v>2</v>
      </c>
      <c r="DF113" s="370">
        <f>ROUND(IF(CK113=0,0,HLOOKUP(CK$14,Villagers!$B$1:$V$33,CK113+3,FALSE)),)</f>
        <v>0</v>
      </c>
      <c r="DG113" s="370">
        <f>ROUND(IF(CL113=0,0,HLOOKUP(CL$14,Villagers!$B$1:$V$33,CL113+3,FALSE)),)</f>
        <v>0</v>
      </c>
      <c r="DH113" s="34">
        <f>ROUND(IF(CM113=0,0,HLOOKUP(CM$14,Villagers!$B$1:$V$33,CM113+3,FALSE)),)</f>
        <v>0</v>
      </c>
      <c r="DI113" s="109">
        <f t="shared" si="219"/>
        <v>0</v>
      </c>
      <c r="DJ113" s="50">
        <f t="shared" si="220"/>
        <v>0</v>
      </c>
      <c r="DK113" s="50">
        <f t="shared" si="221"/>
        <v>0</v>
      </c>
      <c r="DL113" s="50">
        <f t="shared" si="222"/>
        <v>0</v>
      </c>
      <c r="DM113" s="50">
        <f t="shared" si="223"/>
        <v>0</v>
      </c>
      <c r="DN113" s="50">
        <f t="shared" si="224"/>
        <v>0</v>
      </c>
      <c r="DO113" s="50">
        <f t="shared" si="225"/>
        <v>0</v>
      </c>
      <c r="DP113" s="50">
        <f t="shared" si="226"/>
        <v>0</v>
      </c>
      <c r="DQ113" s="50">
        <f t="shared" si="203"/>
        <v>0</v>
      </c>
      <c r="DR113" s="50">
        <f t="shared" si="204"/>
        <v>0</v>
      </c>
      <c r="DS113" s="96">
        <f>Miscelaneous!$D$4*Miscelaneous!$D$2^($CI113-1)</f>
        <v>1000</v>
      </c>
      <c r="DT113" s="333">
        <f t="shared" si="171"/>
        <v>1</v>
      </c>
      <c r="DU113" s="81">
        <v>1</v>
      </c>
      <c r="DV113" s="79">
        <f t="shared" si="205"/>
        <v>0</v>
      </c>
      <c r="DW113" s="79">
        <f t="shared" si="206"/>
        <v>0</v>
      </c>
      <c r="DX113" s="79">
        <f t="shared" si="207"/>
        <v>0</v>
      </c>
      <c r="DY113" s="79">
        <v>1</v>
      </c>
      <c r="DZ113" s="79">
        <f t="shared" si="208"/>
        <v>0</v>
      </c>
      <c r="EA113" s="79">
        <f t="shared" si="209"/>
        <v>0</v>
      </c>
      <c r="EB113" s="79">
        <f t="shared" si="210"/>
        <v>0</v>
      </c>
      <c r="EC113" s="79">
        <f t="shared" si="211"/>
        <v>0</v>
      </c>
      <c r="ED113" s="79">
        <v>1</v>
      </c>
      <c r="EE113" s="79">
        <v>1</v>
      </c>
      <c r="EF113" s="79">
        <f t="shared" si="212"/>
        <v>0</v>
      </c>
      <c r="EG113" s="79">
        <v>1</v>
      </c>
      <c r="EH113" s="79">
        <v>1</v>
      </c>
      <c r="EI113" s="79">
        <v>1</v>
      </c>
      <c r="EJ113" s="79">
        <v>1</v>
      </c>
      <c r="EK113" s="79">
        <v>1</v>
      </c>
      <c r="EL113" s="79">
        <v>1</v>
      </c>
      <c r="EM113" s="143">
        <f t="shared" si="213"/>
        <v>0</v>
      </c>
      <c r="EN113" s="143">
        <f t="shared" si="214"/>
        <v>0</v>
      </c>
      <c r="EO113" s="82">
        <f t="shared" si="215"/>
        <v>0</v>
      </c>
    </row>
    <row r="114" spans="1:145" x14ac:dyDescent="0.25">
      <c r="A114">
        <v>100</v>
      </c>
      <c r="B114" s="172" t="e">
        <f t="shared" si="172"/>
        <v>#N/A</v>
      </c>
      <c r="C114" s="121" t="e">
        <f t="shared" ref="C114:E114" si="283">AJ114-SUM(AB114:AB118)</f>
        <v>#N/A</v>
      </c>
      <c r="D114" s="122" t="e">
        <f t="shared" si="283"/>
        <v>#N/A</v>
      </c>
      <c r="E114" s="122" t="e">
        <f t="shared" si="283"/>
        <v>#N/A</v>
      </c>
      <c r="F114" s="176" t="e">
        <f t="shared" si="154"/>
        <v>#N/A</v>
      </c>
      <c r="G114" s="121">
        <f t="shared" si="174"/>
        <v>208</v>
      </c>
      <c r="H114" s="176" t="e">
        <f t="shared" si="175"/>
        <v>#N/A</v>
      </c>
      <c r="I114" s="48">
        <v>1</v>
      </c>
      <c r="J114" s="39"/>
      <c r="K114" s="350">
        <v>1</v>
      </c>
      <c r="L114" s="34" t="e">
        <f t="shared" si="155"/>
        <v>#N/A</v>
      </c>
      <c r="M114" s="38" t="e">
        <f>(HLOOKUP(J114,'Construction Times'!$B$3:$W$34,L114+2,FALSE)*HLOOKUP("hq modifier",'Construction Times'!$W$3:$W$34,BS114+2,FALSE))*(1-$H$9)</f>
        <v>#N/A</v>
      </c>
      <c r="N114" s="426" t="e">
        <f t="shared" si="176"/>
        <v>#N/A</v>
      </c>
      <c r="O114" s="427"/>
      <c r="P114" s="430" t="e">
        <f t="shared" si="177"/>
        <v>#N/A</v>
      </c>
      <c r="Q114" s="431"/>
      <c r="R114" s="103">
        <f t="shared" si="217"/>
        <v>0</v>
      </c>
      <c r="S114" s="104">
        <f t="shared" si="217"/>
        <v>0</v>
      </c>
      <c r="T114" s="104">
        <f t="shared" si="218"/>
        <v>0</v>
      </c>
      <c r="U114" s="104">
        <f t="shared" si="218"/>
        <v>0</v>
      </c>
      <c r="V114" s="104">
        <f t="shared" si="218"/>
        <v>9.9999999999999995E-8</v>
      </c>
      <c r="W114" s="104">
        <f t="shared" si="218"/>
        <v>0</v>
      </c>
      <c r="X114" s="104">
        <f t="shared" si="278"/>
        <v>0</v>
      </c>
      <c r="Y114" s="104">
        <f t="shared" si="278"/>
        <v>9.9999999999999995E-8</v>
      </c>
      <c r="Z114" s="104">
        <f t="shared" si="278"/>
        <v>9.9999999999999995E-8</v>
      </c>
      <c r="AA114" s="105">
        <f t="shared" si="278"/>
        <v>9.9999999999999995E-8</v>
      </c>
      <c r="AB114" s="101" t="e">
        <f>$DT114*HLOOKUP($J114,'Construction Costs (timber)'!$B$1:$V$32,'Construction Planner'!$L114+2,FALSE)</f>
        <v>#N/A</v>
      </c>
      <c r="AC114" s="14" t="e">
        <f>$DT114*HLOOKUP($J114,'Construction Costs (clay)'!$B$1:$V$32,'Construction Planner'!$L114+2,FALSE)</f>
        <v>#N/A</v>
      </c>
      <c r="AD114" s="14" t="e">
        <f>$DT114*HLOOKUP($J114,'Construction Costs (iron)'!$B$1:$V$32,'Construction Planner'!$L114+2,FALSE)</f>
        <v>#N/A</v>
      </c>
      <c r="AE114" s="34" t="e">
        <f t="shared" si="230"/>
        <v>#N/A</v>
      </c>
      <c r="AF114" s="33" t="e">
        <f t="shared" si="156"/>
        <v>#N/A</v>
      </c>
      <c r="AG114" s="14" t="e">
        <f t="shared" si="157"/>
        <v>#N/A</v>
      </c>
      <c r="AH114" s="14" t="e">
        <f t="shared" si="158"/>
        <v>#N/A</v>
      </c>
      <c r="AI114" s="34" t="e">
        <f t="shared" si="231"/>
        <v>#N/A</v>
      </c>
      <c r="AJ114" s="49" t="e">
        <f t="shared" si="178"/>
        <v>#N/A</v>
      </c>
      <c r="AK114" s="49" t="e">
        <f t="shared" si="179"/>
        <v>#N/A</v>
      </c>
      <c r="AL114" s="49" t="e">
        <f t="shared" si="180"/>
        <v>#N/A</v>
      </c>
      <c r="AM114" s="25">
        <f t="shared" si="159"/>
        <v>30</v>
      </c>
      <c r="AN114" s="25">
        <f t="shared" si="160"/>
        <v>30</v>
      </c>
      <c r="AO114" s="25">
        <f t="shared" si="161"/>
        <v>30</v>
      </c>
      <c r="AP114" s="52" t="e">
        <f t="shared" si="181"/>
        <v>#N/A</v>
      </c>
      <c r="AQ114" s="53" t="e">
        <f t="shared" si="181"/>
        <v>#N/A</v>
      </c>
      <c r="AR114" s="54" t="e">
        <f t="shared" si="181"/>
        <v>#N/A</v>
      </c>
      <c r="AS114" s="316">
        <f t="shared" si="263"/>
        <v>0</v>
      </c>
      <c r="AT114" s="106">
        <f>_xlfn.IFNA($M114/VLOOKUP($BT114,'Unit information'!$A$2:$K$29,2,FALSE)*R114,0)*(1+$E$9)</f>
        <v>0</v>
      </c>
      <c r="AU114" s="107">
        <f>_xlfn.IFNA($M114/VLOOKUP($BT114,'Unit information'!$A$2:$K$29,3,FALSE)*S114,0)*(1+$E$9)</f>
        <v>0</v>
      </c>
      <c r="AV114" s="107">
        <f>_xlfn.IFNA($M114/VLOOKUP($BT114,'Unit information'!$A$2:$K$29,4,FALSE)*T114,0)*(1+$E$9)</f>
        <v>0</v>
      </c>
      <c r="AW114" s="107">
        <f>_xlfn.IFNA($M114/VLOOKUP($BT114,'Unit information'!$A$2:$K$29,5,FALSE)*U114,0)*(1+$E$9)</f>
        <v>0</v>
      </c>
      <c r="AX114" s="107">
        <f>_xlfn.IFNA($M114/VLOOKUP($BU114,'Unit information'!$A$2:$K$29,6,FALSE)*V114,0)*(1+$E$9)</f>
        <v>0</v>
      </c>
      <c r="AY114" s="107">
        <f>_xlfn.IFNA($M114/VLOOKUP($BU114,'Unit information'!$A$2:$K$29,7,FALSE)*W114,0)*(1+$E$9)</f>
        <v>0</v>
      </c>
      <c r="AZ114" s="107">
        <f>_xlfn.IFNA($M114/VLOOKUP($BU114,'Unit information'!$A$2:$K$29,8,FALSE)*X114,0)*(1+$E$9)</f>
        <v>0</v>
      </c>
      <c r="BA114" s="107">
        <f>_xlfn.IFNA($M114/VLOOKUP($BU114,'Unit information'!$A$2:$K$29,9,FALSE)*Y114,0)*(1+$E$9)</f>
        <v>0</v>
      </c>
      <c r="BB114" s="107">
        <f>_xlfn.IFNA($M114/VLOOKUP($BV114,'Unit information'!$A$2:$K$29,10,FALSE)*Z114,0)*(1+$E$9)</f>
        <v>0</v>
      </c>
      <c r="BC114" s="108">
        <f>_xlfn.IFNA($M114/VLOOKUP($BV114,'Unit information'!$A$2:$K$29,11,FALSE)*AA114,0)*(1+$E$9)</f>
        <v>0</v>
      </c>
      <c r="BD114" s="106">
        <f t="shared" si="162"/>
        <v>0</v>
      </c>
      <c r="BE114" s="107">
        <f t="shared" si="163"/>
        <v>0</v>
      </c>
      <c r="BF114" s="108">
        <f t="shared" si="164"/>
        <v>0</v>
      </c>
      <c r="BG114" s="25" t="e">
        <f t="shared" si="165"/>
        <v>#N/A</v>
      </c>
      <c r="BH114" s="25" t="e">
        <f t="shared" si="166"/>
        <v>#N/A</v>
      </c>
      <c r="BI114" s="25" t="e">
        <f t="shared" si="167"/>
        <v>#N/A</v>
      </c>
      <c r="BJ114" s="27" t="e">
        <f t="shared" si="168"/>
        <v>#N/A</v>
      </c>
      <c r="BK114" s="18" t="e">
        <f t="shared" si="169"/>
        <v>#N/A</v>
      </c>
      <c r="BL114" s="18" t="e">
        <f t="shared" si="170"/>
        <v>#N/A</v>
      </c>
      <c r="BM114" s="28" t="e">
        <f t="shared" si="233"/>
        <v>#N/A</v>
      </c>
      <c r="BN114" s="33">
        <f>HLOOKUP("maximum population",Miscelaneous!$C$1:$C$33,CH114+3,FALSE)</f>
        <v>240</v>
      </c>
      <c r="BO114" s="14">
        <f t="shared" si="182"/>
        <v>32</v>
      </c>
      <c r="BP114" s="14">
        <f t="shared" si="183"/>
        <v>0</v>
      </c>
      <c r="BQ114" s="14">
        <f t="shared" si="184"/>
        <v>208</v>
      </c>
      <c r="BR114" s="34" t="e">
        <f>HLOOKUP(J114,Villagers!$B$1:$V$33,L114+3,FALSE)-HLOOKUP(J114,Villagers!$B$1:$V$33,L114+2,FALSE)</f>
        <v>#N/A</v>
      </c>
      <c r="BS114" s="49">
        <f t="shared" si="185"/>
        <v>1</v>
      </c>
      <c r="BT114" s="50">
        <f t="shared" si="186"/>
        <v>0</v>
      </c>
      <c r="BU114" s="50">
        <f t="shared" si="187"/>
        <v>0</v>
      </c>
      <c r="BV114" s="50">
        <f t="shared" si="188"/>
        <v>0</v>
      </c>
      <c r="BW114" s="50">
        <f t="shared" si="272"/>
        <v>0</v>
      </c>
      <c r="BX114" s="50">
        <f t="shared" si="273"/>
        <v>0</v>
      </c>
      <c r="BY114" s="50">
        <f t="shared" si="273"/>
        <v>0</v>
      </c>
      <c r="BZ114" s="50">
        <f t="shared" si="245"/>
        <v>0</v>
      </c>
      <c r="CA114" s="50">
        <f t="shared" si="246"/>
        <v>0</v>
      </c>
      <c r="CB114" s="50">
        <f t="shared" si="247"/>
        <v>1</v>
      </c>
      <c r="CC114" s="50">
        <f t="shared" si="248"/>
        <v>0</v>
      </c>
      <c r="CD114" s="50">
        <f t="shared" si="249"/>
        <v>0</v>
      </c>
      <c r="CE114" s="50">
        <f t="shared" si="250"/>
        <v>1</v>
      </c>
      <c r="CF114" s="50">
        <f t="shared" si="251"/>
        <v>1</v>
      </c>
      <c r="CG114" s="50">
        <f t="shared" si="252"/>
        <v>1</v>
      </c>
      <c r="CH114" s="50">
        <f t="shared" si="253"/>
        <v>1</v>
      </c>
      <c r="CI114" s="50">
        <f t="shared" si="254"/>
        <v>1</v>
      </c>
      <c r="CJ114" s="50">
        <f t="shared" si="255"/>
        <v>1</v>
      </c>
      <c r="CK114" s="50">
        <f t="shared" si="255"/>
        <v>0</v>
      </c>
      <c r="CL114" s="50">
        <f t="shared" si="255"/>
        <v>0</v>
      </c>
      <c r="CM114" s="51">
        <f t="shared" si="256"/>
        <v>0</v>
      </c>
      <c r="CN114" s="33">
        <f>ROUND(IF(BS114=0,0,HLOOKUP(BS$14,Villagers!$B$1:$V$33,BS114+3,FALSE)),)</f>
        <v>5</v>
      </c>
      <c r="CO114" s="14">
        <f>ROUND(IF(BT114=0,0,HLOOKUP(BT$14,Villagers!$B$1:$V$33,BT114+3,FALSE)),)</f>
        <v>0</v>
      </c>
      <c r="CP114" s="14">
        <f>ROUND(IF(BU114=0,0,HLOOKUP(BU$14,Villagers!$B$1:$V$33,BU114+3,FALSE)),)</f>
        <v>0</v>
      </c>
      <c r="CQ114" s="14">
        <f>ROUND(IF(BV114=0,0,HLOOKUP(BV$14,Villagers!$B$1:$V$33,BV114+3,FALSE)),)</f>
        <v>0</v>
      </c>
      <c r="CR114" s="14">
        <f>ROUND(IF(BW114=0,0,HLOOKUP(BW$14,Villagers!$B$1:$V$33,BW114+3,FALSE)),)</f>
        <v>0</v>
      </c>
      <c r="CS114" s="14">
        <f>ROUND(IF(BX114=0,0,HLOOKUP(BX$14,Villagers!$B$1:$V$33,BX114+3,FALSE)),)</f>
        <v>0</v>
      </c>
      <c r="CT114" s="14">
        <f>ROUND(IF(BY114=0,0,HLOOKUP(BY$14,Villagers!$B$1:$V$33,BY114+3,FALSE)),)</f>
        <v>0</v>
      </c>
      <c r="CU114" s="14">
        <f>ROUND(IF(BZ114=0,0,HLOOKUP(BZ$14,Villagers!$B$1:$V$33,BZ114+3,FALSE)),)</f>
        <v>0</v>
      </c>
      <c r="CV114" s="14">
        <f>ROUND(IF(CA114=0,0,HLOOKUP(CA$14,Villagers!$B$1:$V$33,CA114+3,FALSE)),)</f>
        <v>0</v>
      </c>
      <c r="CW114" s="14">
        <f>ROUND(IF(CB114=0,0,HLOOKUP(CB$14,Villagers!$B$1:$V$33,CB114+3,FALSE)),)</f>
        <v>0</v>
      </c>
      <c r="CX114" s="14">
        <f>ROUND(IF(CC114=0,0,HLOOKUP(CC$14,Villagers!$B$1:$V$33,CC114+3,FALSE)),)</f>
        <v>0</v>
      </c>
      <c r="CY114" s="14">
        <f>ROUND(IF(CD114=0,0,HLOOKUP(CD$14,Villagers!$B$1:$V$33,CD114+3,FALSE)),)</f>
        <v>0</v>
      </c>
      <c r="CZ114" s="14">
        <f>ROUND(IF(CE114=0,0,HLOOKUP(CE$14,Villagers!$B$1:$V$33,CE114+3,FALSE)),)</f>
        <v>5</v>
      </c>
      <c r="DA114" s="14">
        <f>ROUND(IF(CF114=0,0,HLOOKUP(CF$14,Villagers!$B$1:$V$33,CF114+3,FALSE)),)</f>
        <v>10</v>
      </c>
      <c r="DB114" s="14">
        <f>ROUND(IF(CG114=0,0,HLOOKUP(CG$14,Villagers!$B$1:$V$33,CG114+3,FALSE)),)</f>
        <v>10</v>
      </c>
      <c r="DC114" s="14">
        <f>ROUND(IF(CH114=0,0,HLOOKUP(CH$14,Villagers!$B$1:$V$33,CH114+3,FALSE)),)</f>
        <v>0</v>
      </c>
      <c r="DD114" s="14">
        <f>ROUND(IF(CI114=0,0,HLOOKUP(CI$14,Villagers!$B$1:$V$33,CI114+3,FALSE)),)</f>
        <v>0</v>
      </c>
      <c r="DE114" s="14">
        <f>ROUND(IF(CJ114=0,0,HLOOKUP(CJ$14,Villagers!$B$1:$V$33,CJ114+3,FALSE)),)</f>
        <v>2</v>
      </c>
      <c r="DF114" s="370">
        <f>ROUND(IF(CK114=0,0,HLOOKUP(CK$14,Villagers!$B$1:$V$33,CK114+3,FALSE)),)</f>
        <v>0</v>
      </c>
      <c r="DG114" s="370">
        <f>ROUND(IF(CL114=0,0,HLOOKUP(CL$14,Villagers!$B$1:$V$33,CL114+3,FALSE)),)</f>
        <v>0</v>
      </c>
      <c r="DH114" s="34">
        <f>ROUND(IF(CM114=0,0,HLOOKUP(CM$14,Villagers!$B$1:$V$33,CM114+3,FALSE)),)</f>
        <v>0</v>
      </c>
      <c r="DI114" s="109">
        <f t="shared" si="219"/>
        <v>0</v>
      </c>
      <c r="DJ114" s="50">
        <f t="shared" si="220"/>
        <v>0</v>
      </c>
      <c r="DK114" s="50">
        <f t="shared" si="221"/>
        <v>0</v>
      </c>
      <c r="DL114" s="50">
        <f t="shared" si="222"/>
        <v>0</v>
      </c>
      <c r="DM114" s="50">
        <f t="shared" si="223"/>
        <v>0</v>
      </c>
      <c r="DN114" s="50">
        <f t="shared" si="224"/>
        <v>0</v>
      </c>
      <c r="DO114" s="50">
        <f t="shared" si="225"/>
        <v>0</v>
      </c>
      <c r="DP114" s="50">
        <f t="shared" si="226"/>
        <v>0</v>
      </c>
      <c r="DQ114" s="50">
        <f t="shared" si="203"/>
        <v>0</v>
      </c>
      <c r="DR114" s="50">
        <f t="shared" si="204"/>
        <v>0</v>
      </c>
      <c r="DS114" s="96">
        <f>Miscelaneous!$D$4*Miscelaneous!$D$2^($CI114-1)</f>
        <v>1000</v>
      </c>
      <c r="DT114" s="333">
        <f t="shared" si="171"/>
        <v>1</v>
      </c>
      <c r="DU114" s="81">
        <v>1</v>
      </c>
      <c r="DV114" s="79">
        <f t="shared" si="205"/>
        <v>0</v>
      </c>
      <c r="DW114" s="79">
        <f t="shared" si="206"/>
        <v>0</v>
      </c>
      <c r="DX114" s="79">
        <f t="shared" si="207"/>
        <v>0</v>
      </c>
      <c r="DY114" s="79">
        <v>1</v>
      </c>
      <c r="DZ114" s="79">
        <f t="shared" si="208"/>
        <v>0</v>
      </c>
      <c r="EA114" s="79">
        <f t="shared" si="209"/>
        <v>0</v>
      </c>
      <c r="EB114" s="79">
        <f t="shared" si="210"/>
        <v>0</v>
      </c>
      <c r="EC114" s="79">
        <f t="shared" si="211"/>
        <v>0</v>
      </c>
      <c r="ED114" s="79">
        <v>1</v>
      </c>
      <c r="EE114" s="79">
        <v>1</v>
      </c>
      <c r="EF114" s="79">
        <f t="shared" si="212"/>
        <v>0</v>
      </c>
      <c r="EG114" s="79">
        <v>1</v>
      </c>
      <c r="EH114" s="79">
        <v>1</v>
      </c>
      <c r="EI114" s="79">
        <v>1</v>
      </c>
      <c r="EJ114" s="79">
        <v>1</v>
      </c>
      <c r="EK114" s="79">
        <v>1</v>
      </c>
      <c r="EL114" s="79">
        <v>1</v>
      </c>
      <c r="EM114" s="143">
        <f t="shared" si="213"/>
        <v>0</v>
      </c>
      <c r="EN114" s="143">
        <f t="shared" si="214"/>
        <v>0</v>
      </c>
      <c r="EO114" s="82">
        <f t="shared" si="215"/>
        <v>0</v>
      </c>
    </row>
    <row r="115" spans="1:145" x14ac:dyDescent="0.25">
      <c r="A115">
        <v>101</v>
      </c>
      <c r="B115" s="172" t="e">
        <f t="shared" si="172"/>
        <v>#N/A</v>
      </c>
      <c r="C115" s="121" t="e">
        <f t="shared" ref="C115:E115" si="284">AJ115-SUM(AB115:AB119)</f>
        <v>#N/A</v>
      </c>
      <c r="D115" s="122" t="e">
        <f t="shared" si="284"/>
        <v>#N/A</v>
      </c>
      <c r="E115" s="122" t="e">
        <f t="shared" si="284"/>
        <v>#N/A</v>
      </c>
      <c r="F115" s="176" t="e">
        <f t="shared" si="154"/>
        <v>#N/A</v>
      </c>
      <c r="G115" s="121">
        <f t="shared" si="174"/>
        <v>208</v>
      </c>
      <c r="H115" s="176" t="e">
        <f t="shared" si="175"/>
        <v>#N/A</v>
      </c>
      <c r="I115" s="48">
        <v>1</v>
      </c>
      <c r="J115" s="39"/>
      <c r="K115" s="350">
        <v>1</v>
      </c>
      <c r="L115" s="34" t="e">
        <f t="shared" si="155"/>
        <v>#N/A</v>
      </c>
      <c r="M115" s="38" t="e">
        <f>(HLOOKUP(J115,'Construction Times'!$B$3:$W$34,L115+2,FALSE)*HLOOKUP("hq modifier",'Construction Times'!$W$3:$W$34,BS115+2,FALSE))*(1-$H$9)</f>
        <v>#N/A</v>
      </c>
      <c r="N115" s="426" t="e">
        <f t="shared" si="176"/>
        <v>#N/A</v>
      </c>
      <c r="O115" s="427"/>
      <c r="P115" s="430" t="e">
        <f t="shared" si="177"/>
        <v>#N/A</v>
      </c>
      <c r="Q115" s="431"/>
      <c r="R115" s="103">
        <f t="shared" si="217"/>
        <v>0</v>
      </c>
      <c r="S115" s="104">
        <f t="shared" si="217"/>
        <v>0</v>
      </c>
      <c r="T115" s="104">
        <f t="shared" si="218"/>
        <v>0</v>
      </c>
      <c r="U115" s="104">
        <f t="shared" si="218"/>
        <v>0</v>
      </c>
      <c r="V115" s="104">
        <f t="shared" si="218"/>
        <v>9.9999999999999995E-8</v>
      </c>
      <c r="W115" s="104">
        <f t="shared" si="218"/>
        <v>0</v>
      </c>
      <c r="X115" s="104">
        <f t="shared" si="278"/>
        <v>0</v>
      </c>
      <c r="Y115" s="104">
        <f t="shared" si="278"/>
        <v>9.9999999999999995E-8</v>
      </c>
      <c r="Z115" s="104">
        <f t="shared" si="278"/>
        <v>9.9999999999999995E-8</v>
      </c>
      <c r="AA115" s="105">
        <f t="shared" si="278"/>
        <v>9.9999999999999995E-8</v>
      </c>
      <c r="AB115" s="101" t="e">
        <f>$DT115*HLOOKUP($J115,'Construction Costs (timber)'!$B$1:$V$32,'Construction Planner'!$L115+2,FALSE)</f>
        <v>#N/A</v>
      </c>
      <c r="AC115" s="14" t="e">
        <f>$DT115*HLOOKUP($J115,'Construction Costs (clay)'!$B$1:$V$32,'Construction Planner'!$L115+2,FALSE)</f>
        <v>#N/A</v>
      </c>
      <c r="AD115" s="14" t="e">
        <f>$DT115*HLOOKUP($J115,'Construction Costs (iron)'!$B$1:$V$32,'Construction Planner'!$L115+2,FALSE)</f>
        <v>#N/A</v>
      </c>
      <c r="AE115" s="34" t="e">
        <f t="shared" si="230"/>
        <v>#N/A</v>
      </c>
      <c r="AF115" s="33" t="e">
        <f t="shared" si="156"/>
        <v>#N/A</v>
      </c>
      <c r="AG115" s="14" t="e">
        <f t="shared" si="157"/>
        <v>#N/A</v>
      </c>
      <c r="AH115" s="14" t="e">
        <f t="shared" si="158"/>
        <v>#N/A</v>
      </c>
      <c r="AI115" s="34" t="e">
        <f t="shared" si="231"/>
        <v>#N/A</v>
      </c>
      <c r="AJ115" s="49" t="e">
        <f t="shared" si="178"/>
        <v>#N/A</v>
      </c>
      <c r="AK115" s="49" t="e">
        <f t="shared" si="179"/>
        <v>#N/A</v>
      </c>
      <c r="AL115" s="49" t="e">
        <f t="shared" si="180"/>
        <v>#N/A</v>
      </c>
      <c r="AM115" s="25">
        <f t="shared" si="159"/>
        <v>30</v>
      </c>
      <c r="AN115" s="25">
        <f t="shared" si="160"/>
        <v>30</v>
      </c>
      <c r="AO115" s="25">
        <f t="shared" si="161"/>
        <v>30</v>
      </c>
      <c r="AP115" s="52" t="e">
        <f t="shared" si="181"/>
        <v>#N/A</v>
      </c>
      <c r="AQ115" s="53" t="e">
        <f t="shared" si="181"/>
        <v>#N/A</v>
      </c>
      <c r="AR115" s="54" t="e">
        <f t="shared" si="181"/>
        <v>#N/A</v>
      </c>
      <c r="AS115" s="316">
        <f t="shared" si="263"/>
        <v>0</v>
      </c>
      <c r="AT115" s="106">
        <f>_xlfn.IFNA($M115/VLOOKUP($BT115,'Unit information'!$A$2:$K$29,2,FALSE)*R115,0)*(1+$E$9)</f>
        <v>0</v>
      </c>
      <c r="AU115" s="107">
        <f>_xlfn.IFNA($M115/VLOOKUP($BT115,'Unit information'!$A$2:$K$29,3,FALSE)*S115,0)*(1+$E$9)</f>
        <v>0</v>
      </c>
      <c r="AV115" s="107">
        <f>_xlfn.IFNA($M115/VLOOKUP($BT115,'Unit information'!$A$2:$K$29,4,FALSE)*T115,0)*(1+$E$9)</f>
        <v>0</v>
      </c>
      <c r="AW115" s="107">
        <f>_xlfn.IFNA($M115/VLOOKUP($BT115,'Unit information'!$A$2:$K$29,5,FALSE)*U115,0)*(1+$E$9)</f>
        <v>0</v>
      </c>
      <c r="AX115" s="107">
        <f>_xlfn.IFNA($M115/VLOOKUP($BU115,'Unit information'!$A$2:$K$29,6,FALSE)*V115,0)*(1+$E$9)</f>
        <v>0</v>
      </c>
      <c r="AY115" s="107">
        <f>_xlfn.IFNA($M115/VLOOKUP($BU115,'Unit information'!$A$2:$K$29,7,FALSE)*W115,0)*(1+$E$9)</f>
        <v>0</v>
      </c>
      <c r="AZ115" s="107">
        <f>_xlfn.IFNA($M115/VLOOKUP($BU115,'Unit information'!$A$2:$K$29,8,FALSE)*X115,0)*(1+$E$9)</f>
        <v>0</v>
      </c>
      <c r="BA115" s="107">
        <f>_xlfn.IFNA($M115/VLOOKUP($BU115,'Unit information'!$A$2:$K$29,9,FALSE)*Y115,0)*(1+$E$9)</f>
        <v>0</v>
      </c>
      <c r="BB115" s="107">
        <f>_xlfn.IFNA($M115/VLOOKUP($BV115,'Unit information'!$A$2:$K$29,10,FALSE)*Z115,0)*(1+$E$9)</f>
        <v>0</v>
      </c>
      <c r="BC115" s="108">
        <f>_xlfn.IFNA($M115/VLOOKUP($BV115,'Unit information'!$A$2:$K$29,11,FALSE)*AA115,0)*(1+$E$9)</f>
        <v>0</v>
      </c>
      <c r="BD115" s="106">
        <f t="shared" si="162"/>
        <v>0</v>
      </c>
      <c r="BE115" s="107">
        <f t="shared" si="163"/>
        <v>0</v>
      </c>
      <c r="BF115" s="108">
        <f t="shared" si="164"/>
        <v>0</v>
      </c>
      <c r="BG115" s="25" t="e">
        <f t="shared" si="165"/>
        <v>#N/A</v>
      </c>
      <c r="BH115" s="25" t="e">
        <f t="shared" si="166"/>
        <v>#N/A</v>
      </c>
      <c r="BI115" s="25" t="e">
        <f t="shared" si="167"/>
        <v>#N/A</v>
      </c>
      <c r="BJ115" s="27" t="e">
        <f t="shared" si="168"/>
        <v>#N/A</v>
      </c>
      <c r="BK115" s="18" t="e">
        <f t="shared" si="169"/>
        <v>#N/A</v>
      </c>
      <c r="BL115" s="18" t="e">
        <f t="shared" si="170"/>
        <v>#N/A</v>
      </c>
      <c r="BM115" s="28" t="e">
        <f t="shared" si="233"/>
        <v>#N/A</v>
      </c>
      <c r="BN115" s="33">
        <f>HLOOKUP("maximum population",Miscelaneous!$C$1:$C$33,CH115+3,FALSE)</f>
        <v>240</v>
      </c>
      <c r="BO115" s="14">
        <f t="shared" si="182"/>
        <v>32</v>
      </c>
      <c r="BP115" s="14">
        <f t="shared" si="183"/>
        <v>0</v>
      </c>
      <c r="BQ115" s="14">
        <f t="shared" si="184"/>
        <v>208</v>
      </c>
      <c r="BR115" s="34" t="e">
        <f>HLOOKUP(J115,Villagers!$B$1:$V$33,L115+3,FALSE)-HLOOKUP(J115,Villagers!$B$1:$V$33,L115+2,FALSE)</f>
        <v>#N/A</v>
      </c>
      <c r="BS115" s="49">
        <f t="shared" si="185"/>
        <v>1</v>
      </c>
      <c r="BT115" s="50">
        <f t="shared" si="186"/>
        <v>0</v>
      </c>
      <c r="BU115" s="50">
        <f t="shared" si="187"/>
        <v>0</v>
      </c>
      <c r="BV115" s="50">
        <f t="shared" si="188"/>
        <v>0</v>
      </c>
      <c r="BW115" s="50">
        <f t="shared" si="272"/>
        <v>0</v>
      </c>
      <c r="BX115" s="50">
        <f t="shared" si="273"/>
        <v>0</v>
      </c>
      <c r="BY115" s="50">
        <f t="shared" si="273"/>
        <v>0</v>
      </c>
      <c r="BZ115" s="50">
        <f t="shared" si="245"/>
        <v>0</v>
      </c>
      <c r="CA115" s="50">
        <f t="shared" si="246"/>
        <v>0</v>
      </c>
      <c r="CB115" s="50">
        <f t="shared" si="247"/>
        <v>1</v>
      </c>
      <c r="CC115" s="50">
        <f t="shared" si="248"/>
        <v>0</v>
      </c>
      <c r="CD115" s="50">
        <f t="shared" si="249"/>
        <v>0</v>
      </c>
      <c r="CE115" s="50">
        <f t="shared" si="250"/>
        <v>1</v>
      </c>
      <c r="CF115" s="50">
        <f t="shared" si="251"/>
        <v>1</v>
      </c>
      <c r="CG115" s="50">
        <f t="shared" si="252"/>
        <v>1</v>
      </c>
      <c r="CH115" s="50">
        <f t="shared" si="253"/>
        <v>1</v>
      </c>
      <c r="CI115" s="50">
        <f t="shared" si="254"/>
        <v>1</v>
      </c>
      <c r="CJ115" s="50">
        <f t="shared" si="255"/>
        <v>1</v>
      </c>
      <c r="CK115" s="50">
        <f t="shared" si="255"/>
        <v>0</v>
      </c>
      <c r="CL115" s="50">
        <f t="shared" si="255"/>
        <v>0</v>
      </c>
      <c r="CM115" s="51">
        <f t="shared" si="256"/>
        <v>0</v>
      </c>
      <c r="CN115" s="33">
        <f>ROUND(IF(BS115=0,0,HLOOKUP(BS$14,Villagers!$B$1:$V$33,BS115+3,FALSE)),)</f>
        <v>5</v>
      </c>
      <c r="CO115" s="14">
        <f>ROUND(IF(BT115=0,0,HLOOKUP(BT$14,Villagers!$B$1:$V$33,BT115+3,FALSE)),)</f>
        <v>0</v>
      </c>
      <c r="CP115" s="14">
        <f>ROUND(IF(BU115=0,0,HLOOKUP(BU$14,Villagers!$B$1:$V$33,BU115+3,FALSE)),)</f>
        <v>0</v>
      </c>
      <c r="CQ115" s="14">
        <f>ROUND(IF(BV115=0,0,HLOOKUP(BV$14,Villagers!$B$1:$V$33,BV115+3,FALSE)),)</f>
        <v>0</v>
      </c>
      <c r="CR115" s="14">
        <f>ROUND(IF(BW115=0,0,HLOOKUP(BW$14,Villagers!$B$1:$V$33,BW115+3,FALSE)),)</f>
        <v>0</v>
      </c>
      <c r="CS115" s="14">
        <f>ROUND(IF(BX115=0,0,HLOOKUP(BX$14,Villagers!$B$1:$V$33,BX115+3,FALSE)),)</f>
        <v>0</v>
      </c>
      <c r="CT115" s="14">
        <f>ROUND(IF(BY115=0,0,HLOOKUP(BY$14,Villagers!$B$1:$V$33,BY115+3,FALSE)),)</f>
        <v>0</v>
      </c>
      <c r="CU115" s="14">
        <f>ROUND(IF(BZ115=0,0,HLOOKUP(BZ$14,Villagers!$B$1:$V$33,BZ115+3,FALSE)),)</f>
        <v>0</v>
      </c>
      <c r="CV115" s="14">
        <f>ROUND(IF(CA115=0,0,HLOOKUP(CA$14,Villagers!$B$1:$V$33,CA115+3,FALSE)),)</f>
        <v>0</v>
      </c>
      <c r="CW115" s="14">
        <f>ROUND(IF(CB115=0,0,HLOOKUP(CB$14,Villagers!$B$1:$V$33,CB115+3,FALSE)),)</f>
        <v>0</v>
      </c>
      <c r="CX115" s="14">
        <f>ROUND(IF(CC115=0,0,HLOOKUP(CC$14,Villagers!$B$1:$V$33,CC115+3,FALSE)),)</f>
        <v>0</v>
      </c>
      <c r="CY115" s="14">
        <f>ROUND(IF(CD115=0,0,HLOOKUP(CD$14,Villagers!$B$1:$V$33,CD115+3,FALSE)),)</f>
        <v>0</v>
      </c>
      <c r="CZ115" s="14">
        <f>ROUND(IF(CE115=0,0,HLOOKUP(CE$14,Villagers!$B$1:$V$33,CE115+3,FALSE)),)</f>
        <v>5</v>
      </c>
      <c r="DA115" s="14">
        <f>ROUND(IF(CF115=0,0,HLOOKUP(CF$14,Villagers!$B$1:$V$33,CF115+3,FALSE)),)</f>
        <v>10</v>
      </c>
      <c r="DB115" s="14">
        <f>ROUND(IF(CG115=0,0,HLOOKUP(CG$14,Villagers!$B$1:$V$33,CG115+3,FALSE)),)</f>
        <v>10</v>
      </c>
      <c r="DC115" s="14">
        <f>ROUND(IF(CH115=0,0,HLOOKUP(CH$14,Villagers!$B$1:$V$33,CH115+3,FALSE)),)</f>
        <v>0</v>
      </c>
      <c r="DD115" s="14">
        <f>ROUND(IF(CI115=0,0,HLOOKUP(CI$14,Villagers!$B$1:$V$33,CI115+3,FALSE)),)</f>
        <v>0</v>
      </c>
      <c r="DE115" s="14">
        <f>ROUND(IF(CJ115=0,0,HLOOKUP(CJ$14,Villagers!$B$1:$V$33,CJ115+3,FALSE)),)</f>
        <v>2</v>
      </c>
      <c r="DF115" s="370">
        <f>ROUND(IF(CK115=0,0,HLOOKUP(CK$14,Villagers!$B$1:$V$33,CK115+3,FALSE)),)</f>
        <v>0</v>
      </c>
      <c r="DG115" s="370">
        <f>ROUND(IF(CL115=0,0,HLOOKUP(CL$14,Villagers!$B$1:$V$33,CL115+3,FALSE)),)</f>
        <v>0</v>
      </c>
      <c r="DH115" s="34">
        <f>ROUND(IF(CM115=0,0,HLOOKUP(CM$14,Villagers!$B$1:$V$33,CM115+3,FALSE)),)</f>
        <v>0</v>
      </c>
      <c r="DI115" s="109">
        <f t="shared" si="219"/>
        <v>0</v>
      </c>
      <c r="DJ115" s="50">
        <f t="shared" si="220"/>
        <v>0</v>
      </c>
      <c r="DK115" s="50">
        <f t="shared" si="221"/>
        <v>0</v>
      </c>
      <c r="DL115" s="50">
        <f t="shared" si="222"/>
        <v>0</v>
      </c>
      <c r="DM115" s="50">
        <f t="shared" si="223"/>
        <v>0</v>
      </c>
      <c r="DN115" s="50">
        <f t="shared" si="224"/>
        <v>0</v>
      </c>
      <c r="DO115" s="50">
        <f t="shared" si="225"/>
        <v>0</v>
      </c>
      <c r="DP115" s="50">
        <f t="shared" si="226"/>
        <v>0</v>
      </c>
      <c r="DQ115" s="50">
        <f t="shared" si="203"/>
        <v>0</v>
      </c>
      <c r="DR115" s="50">
        <f t="shared" si="204"/>
        <v>0</v>
      </c>
      <c r="DS115" s="96">
        <f>Miscelaneous!$D$4*Miscelaneous!$D$2^($CI115-1)</f>
        <v>1000</v>
      </c>
      <c r="DT115" s="333">
        <f t="shared" si="171"/>
        <v>1</v>
      </c>
      <c r="DU115" s="81">
        <v>1</v>
      </c>
      <c r="DV115" s="79">
        <f t="shared" si="205"/>
        <v>0</v>
      </c>
      <c r="DW115" s="79">
        <f t="shared" si="206"/>
        <v>0</v>
      </c>
      <c r="DX115" s="79">
        <f t="shared" si="207"/>
        <v>0</v>
      </c>
      <c r="DY115" s="79">
        <v>1</v>
      </c>
      <c r="DZ115" s="79">
        <f t="shared" si="208"/>
        <v>0</v>
      </c>
      <c r="EA115" s="79">
        <f t="shared" si="209"/>
        <v>0</v>
      </c>
      <c r="EB115" s="79">
        <f t="shared" si="210"/>
        <v>0</v>
      </c>
      <c r="EC115" s="79">
        <f t="shared" si="211"/>
        <v>0</v>
      </c>
      <c r="ED115" s="79">
        <v>1</v>
      </c>
      <c r="EE115" s="79">
        <v>1</v>
      </c>
      <c r="EF115" s="79">
        <f t="shared" si="212"/>
        <v>0</v>
      </c>
      <c r="EG115" s="79">
        <v>1</v>
      </c>
      <c r="EH115" s="79">
        <v>1</v>
      </c>
      <c r="EI115" s="79">
        <v>1</v>
      </c>
      <c r="EJ115" s="79">
        <v>1</v>
      </c>
      <c r="EK115" s="79">
        <v>1</v>
      </c>
      <c r="EL115" s="79">
        <v>1</v>
      </c>
      <c r="EM115" s="143">
        <f t="shared" si="213"/>
        <v>0</v>
      </c>
      <c r="EN115" s="143">
        <f t="shared" si="214"/>
        <v>0</v>
      </c>
      <c r="EO115" s="82">
        <f t="shared" si="215"/>
        <v>0</v>
      </c>
    </row>
    <row r="116" spans="1:145" x14ac:dyDescent="0.25">
      <c r="A116">
        <v>102</v>
      </c>
      <c r="B116" s="172" t="e">
        <f t="shared" si="172"/>
        <v>#N/A</v>
      </c>
      <c r="C116" s="121" t="e">
        <f t="shared" ref="C116:E116" si="285">AJ116-SUM(AB116:AB120)</f>
        <v>#N/A</v>
      </c>
      <c r="D116" s="122" t="e">
        <f t="shared" si="285"/>
        <v>#N/A</v>
      </c>
      <c r="E116" s="122" t="e">
        <f t="shared" si="285"/>
        <v>#N/A</v>
      </c>
      <c r="F116" s="176" t="e">
        <f t="shared" si="154"/>
        <v>#N/A</v>
      </c>
      <c r="G116" s="121">
        <f t="shared" si="174"/>
        <v>208</v>
      </c>
      <c r="H116" s="176" t="e">
        <f t="shared" si="175"/>
        <v>#N/A</v>
      </c>
      <c r="I116" s="48">
        <v>1</v>
      </c>
      <c r="J116" s="39"/>
      <c r="K116" s="350">
        <v>1</v>
      </c>
      <c r="L116" s="34" t="e">
        <f t="shared" si="155"/>
        <v>#N/A</v>
      </c>
      <c r="M116" s="38" t="e">
        <f>(HLOOKUP(J116,'Construction Times'!$B$3:$W$34,L116+2,FALSE)*HLOOKUP("hq modifier",'Construction Times'!$W$3:$W$34,BS116+2,FALSE))*(1-$H$9)</f>
        <v>#N/A</v>
      </c>
      <c r="N116" s="426" t="e">
        <f t="shared" si="176"/>
        <v>#N/A</v>
      </c>
      <c r="O116" s="427"/>
      <c r="P116" s="430" t="e">
        <f t="shared" si="177"/>
        <v>#N/A</v>
      </c>
      <c r="Q116" s="431"/>
      <c r="R116" s="103">
        <f t="shared" si="217"/>
        <v>0</v>
      </c>
      <c r="S116" s="104">
        <f t="shared" si="217"/>
        <v>0</v>
      </c>
      <c r="T116" s="104">
        <f t="shared" si="218"/>
        <v>0</v>
      </c>
      <c r="U116" s="104">
        <f t="shared" si="218"/>
        <v>0</v>
      </c>
      <c r="V116" s="104">
        <f t="shared" si="218"/>
        <v>9.9999999999999995E-8</v>
      </c>
      <c r="W116" s="104">
        <f t="shared" si="218"/>
        <v>0</v>
      </c>
      <c r="X116" s="104">
        <f t="shared" si="278"/>
        <v>0</v>
      </c>
      <c r="Y116" s="104">
        <f t="shared" si="278"/>
        <v>9.9999999999999995E-8</v>
      </c>
      <c r="Z116" s="104">
        <f t="shared" si="278"/>
        <v>9.9999999999999995E-8</v>
      </c>
      <c r="AA116" s="105">
        <f t="shared" si="278"/>
        <v>9.9999999999999995E-8</v>
      </c>
      <c r="AB116" s="101" t="e">
        <f>$DT116*HLOOKUP($J116,'Construction Costs (timber)'!$B$1:$V$32,'Construction Planner'!$L116+2,FALSE)</f>
        <v>#N/A</v>
      </c>
      <c r="AC116" s="14" t="e">
        <f>$DT116*HLOOKUP($J116,'Construction Costs (clay)'!$B$1:$V$32,'Construction Planner'!$L116+2,FALSE)</f>
        <v>#N/A</v>
      </c>
      <c r="AD116" s="14" t="e">
        <f>$DT116*HLOOKUP($J116,'Construction Costs (iron)'!$B$1:$V$32,'Construction Planner'!$L116+2,FALSE)</f>
        <v>#N/A</v>
      </c>
      <c r="AE116" s="34" t="e">
        <f t="shared" si="230"/>
        <v>#N/A</v>
      </c>
      <c r="AF116" s="33" t="e">
        <f t="shared" si="156"/>
        <v>#N/A</v>
      </c>
      <c r="AG116" s="14" t="e">
        <f t="shared" si="157"/>
        <v>#N/A</v>
      </c>
      <c r="AH116" s="14" t="e">
        <f t="shared" si="158"/>
        <v>#N/A</v>
      </c>
      <c r="AI116" s="34" t="e">
        <f t="shared" si="231"/>
        <v>#N/A</v>
      </c>
      <c r="AJ116" s="49" t="e">
        <f t="shared" si="178"/>
        <v>#N/A</v>
      </c>
      <c r="AK116" s="49" t="e">
        <f t="shared" si="179"/>
        <v>#N/A</v>
      </c>
      <c r="AL116" s="49" t="e">
        <f t="shared" si="180"/>
        <v>#N/A</v>
      </c>
      <c r="AM116" s="25">
        <f t="shared" si="159"/>
        <v>30</v>
      </c>
      <c r="AN116" s="25">
        <f t="shared" si="160"/>
        <v>30</v>
      </c>
      <c r="AO116" s="25">
        <f t="shared" si="161"/>
        <v>30</v>
      </c>
      <c r="AP116" s="52" t="e">
        <f t="shared" si="181"/>
        <v>#N/A</v>
      </c>
      <c r="AQ116" s="53" t="e">
        <f t="shared" si="181"/>
        <v>#N/A</v>
      </c>
      <c r="AR116" s="54" t="e">
        <f t="shared" si="181"/>
        <v>#N/A</v>
      </c>
      <c r="AS116" s="316">
        <f t="shared" ref="AS116:AS131" si="286">AS115</f>
        <v>0</v>
      </c>
      <c r="AT116" s="106">
        <f>_xlfn.IFNA($M116/VLOOKUP($BT116,'Unit information'!$A$2:$K$29,2,FALSE)*R116,0)*(1+$E$9)</f>
        <v>0</v>
      </c>
      <c r="AU116" s="107">
        <f>_xlfn.IFNA($M116/VLOOKUP($BT116,'Unit information'!$A$2:$K$29,3,FALSE)*S116,0)*(1+$E$9)</f>
        <v>0</v>
      </c>
      <c r="AV116" s="107">
        <f>_xlfn.IFNA($M116/VLOOKUP($BT116,'Unit information'!$A$2:$K$29,4,FALSE)*T116,0)*(1+$E$9)</f>
        <v>0</v>
      </c>
      <c r="AW116" s="107">
        <f>_xlfn.IFNA($M116/VLOOKUP($BT116,'Unit information'!$A$2:$K$29,5,FALSE)*U116,0)*(1+$E$9)</f>
        <v>0</v>
      </c>
      <c r="AX116" s="107">
        <f>_xlfn.IFNA($M116/VLOOKUP($BU116,'Unit information'!$A$2:$K$29,6,FALSE)*V116,0)*(1+$E$9)</f>
        <v>0</v>
      </c>
      <c r="AY116" s="107">
        <f>_xlfn.IFNA($M116/VLOOKUP($BU116,'Unit information'!$A$2:$K$29,7,FALSE)*W116,0)*(1+$E$9)</f>
        <v>0</v>
      </c>
      <c r="AZ116" s="107">
        <f>_xlfn.IFNA($M116/VLOOKUP($BU116,'Unit information'!$A$2:$K$29,8,FALSE)*X116,0)*(1+$E$9)</f>
        <v>0</v>
      </c>
      <c r="BA116" s="107">
        <f>_xlfn.IFNA($M116/VLOOKUP($BU116,'Unit information'!$A$2:$K$29,9,FALSE)*Y116,0)*(1+$E$9)</f>
        <v>0</v>
      </c>
      <c r="BB116" s="107">
        <f>_xlfn.IFNA($M116/VLOOKUP($BV116,'Unit information'!$A$2:$K$29,10,FALSE)*Z116,0)*(1+$E$9)</f>
        <v>0</v>
      </c>
      <c r="BC116" s="108">
        <f>_xlfn.IFNA($M116/VLOOKUP($BV116,'Unit information'!$A$2:$K$29,11,FALSE)*AA116,0)*(1+$E$9)</f>
        <v>0</v>
      </c>
      <c r="BD116" s="106">
        <f t="shared" si="162"/>
        <v>0</v>
      </c>
      <c r="BE116" s="107">
        <f t="shared" si="163"/>
        <v>0</v>
      </c>
      <c r="BF116" s="108">
        <f t="shared" si="164"/>
        <v>0</v>
      </c>
      <c r="BG116" s="25" t="e">
        <f t="shared" si="165"/>
        <v>#N/A</v>
      </c>
      <c r="BH116" s="25" t="e">
        <f t="shared" si="166"/>
        <v>#N/A</v>
      </c>
      <c r="BI116" s="25" t="e">
        <f t="shared" si="167"/>
        <v>#N/A</v>
      </c>
      <c r="BJ116" s="27" t="e">
        <f t="shared" si="168"/>
        <v>#N/A</v>
      </c>
      <c r="BK116" s="18" t="e">
        <f t="shared" si="169"/>
        <v>#N/A</v>
      </c>
      <c r="BL116" s="18" t="e">
        <f t="shared" si="170"/>
        <v>#N/A</v>
      </c>
      <c r="BM116" s="28" t="e">
        <f t="shared" si="233"/>
        <v>#N/A</v>
      </c>
      <c r="BN116" s="33">
        <f>HLOOKUP("maximum population",Miscelaneous!$C$1:$C$33,CH116+3,FALSE)</f>
        <v>240</v>
      </c>
      <c r="BO116" s="14">
        <f t="shared" si="182"/>
        <v>32</v>
      </c>
      <c r="BP116" s="14">
        <f t="shared" si="183"/>
        <v>0</v>
      </c>
      <c r="BQ116" s="14">
        <f t="shared" si="184"/>
        <v>208</v>
      </c>
      <c r="BR116" s="34" t="e">
        <f>HLOOKUP(J116,Villagers!$B$1:$V$33,L116+3,FALSE)-HLOOKUP(J116,Villagers!$B$1:$V$33,L116+2,FALSE)</f>
        <v>#N/A</v>
      </c>
      <c r="BS116" s="49">
        <f t="shared" si="185"/>
        <v>1</v>
      </c>
      <c r="BT116" s="50">
        <f t="shared" si="186"/>
        <v>0</v>
      </c>
      <c r="BU116" s="50">
        <f t="shared" si="187"/>
        <v>0</v>
      </c>
      <c r="BV116" s="50">
        <f t="shared" si="188"/>
        <v>0</v>
      </c>
      <c r="BW116" s="50">
        <f t="shared" si="272"/>
        <v>0</v>
      </c>
      <c r="BX116" s="50">
        <f t="shared" si="273"/>
        <v>0</v>
      </c>
      <c r="BY116" s="50">
        <f t="shared" si="273"/>
        <v>0</v>
      </c>
      <c r="BZ116" s="50">
        <f t="shared" si="245"/>
        <v>0</v>
      </c>
      <c r="CA116" s="50">
        <f t="shared" si="246"/>
        <v>0</v>
      </c>
      <c r="CB116" s="50">
        <f t="shared" si="247"/>
        <v>1</v>
      </c>
      <c r="CC116" s="50">
        <f t="shared" si="248"/>
        <v>0</v>
      </c>
      <c r="CD116" s="50">
        <f t="shared" si="249"/>
        <v>0</v>
      </c>
      <c r="CE116" s="50">
        <f t="shared" si="250"/>
        <v>1</v>
      </c>
      <c r="CF116" s="50">
        <f t="shared" si="251"/>
        <v>1</v>
      </c>
      <c r="CG116" s="50">
        <f t="shared" si="252"/>
        <v>1</v>
      </c>
      <c r="CH116" s="50">
        <f t="shared" si="253"/>
        <v>1</v>
      </c>
      <c r="CI116" s="50">
        <f t="shared" si="254"/>
        <v>1</v>
      </c>
      <c r="CJ116" s="50">
        <f t="shared" si="255"/>
        <v>1</v>
      </c>
      <c r="CK116" s="50">
        <f t="shared" si="255"/>
        <v>0</v>
      </c>
      <c r="CL116" s="50">
        <f t="shared" si="255"/>
        <v>0</v>
      </c>
      <c r="CM116" s="51">
        <f t="shared" si="256"/>
        <v>0</v>
      </c>
      <c r="CN116" s="33">
        <f>ROUND(IF(BS116=0,0,HLOOKUP(BS$14,Villagers!$B$1:$V$33,BS116+3,FALSE)),)</f>
        <v>5</v>
      </c>
      <c r="CO116" s="14">
        <f>ROUND(IF(BT116=0,0,HLOOKUP(BT$14,Villagers!$B$1:$V$33,BT116+3,FALSE)),)</f>
        <v>0</v>
      </c>
      <c r="CP116" s="14">
        <f>ROUND(IF(BU116=0,0,HLOOKUP(BU$14,Villagers!$B$1:$V$33,BU116+3,FALSE)),)</f>
        <v>0</v>
      </c>
      <c r="CQ116" s="14">
        <f>ROUND(IF(BV116=0,0,HLOOKUP(BV$14,Villagers!$B$1:$V$33,BV116+3,FALSE)),)</f>
        <v>0</v>
      </c>
      <c r="CR116" s="14">
        <f>ROUND(IF(BW116=0,0,HLOOKUP(BW$14,Villagers!$B$1:$V$33,BW116+3,FALSE)),)</f>
        <v>0</v>
      </c>
      <c r="CS116" s="14">
        <f>ROUND(IF(BX116=0,0,HLOOKUP(BX$14,Villagers!$B$1:$V$33,BX116+3,FALSE)),)</f>
        <v>0</v>
      </c>
      <c r="CT116" s="14">
        <f>ROUND(IF(BY116=0,0,HLOOKUP(BY$14,Villagers!$B$1:$V$33,BY116+3,FALSE)),)</f>
        <v>0</v>
      </c>
      <c r="CU116" s="14">
        <f>ROUND(IF(BZ116=0,0,HLOOKUP(BZ$14,Villagers!$B$1:$V$33,BZ116+3,FALSE)),)</f>
        <v>0</v>
      </c>
      <c r="CV116" s="14">
        <f>ROUND(IF(CA116=0,0,HLOOKUP(CA$14,Villagers!$B$1:$V$33,CA116+3,FALSE)),)</f>
        <v>0</v>
      </c>
      <c r="CW116" s="14">
        <f>ROUND(IF(CB116=0,0,HLOOKUP(CB$14,Villagers!$B$1:$V$33,CB116+3,FALSE)),)</f>
        <v>0</v>
      </c>
      <c r="CX116" s="14">
        <f>ROUND(IF(CC116=0,0,HLOOKUP(CC$14,Villagers!$B$1:$V$33,CC116+3,FALSE)),)</f>
        <v>0</v>
      </c>
      <c r="CY116" s="14">
        <f>ROUND(IF(CD116=0,0,HLOOKUP(CD$14,Villagers!$B$1:$V$33,CD116+3,FALSE)),)</f>
        <v>0</v>
      </c>
      <c r="CZ116" s="14">
        <f>ROUND(IF(CE116=0,0,HLOOKUP(CE$14,Villagers!$B$1:$V$33,CE116+3,FALSE)),)</f>
        <v>5</v>
      </c>
      <c r="DA116" s="14">
        <f>ROUND(IF(CF116=0,0,HLOOKUP(CF$14,Villagers!$B$1:$V$33,CF116+3,FALSE)),)</f>
        <v>10</v>
      </c>
      <c r="DB116" s="14">
        <f>ROUND(IF(CG116=0,0,HLOOKUP(CG$14,Villagers!$B$1:$V$33,CG116+3,FALSE)),)</f>
        <v>10</v>
      </c>
      <c r="DC116" s="14">
        <f>ROUND(IF(CH116=0,0,HLOOKUP(CH$14,Villagers!$B$1:$V$33,CH116+3,FALSE)),)</f>
        <v>0</v>
      </c>
      <c r="DD116" s="14">
        <f>ROUND(IF(CI116=0,0,HLOOKUP(CI$14,Villagers!$B$1:$V$33,CI116+3,FALSE)),)</f>
        <v>0</v>
      </c>
      <c r="DE116" s="14">
        <f>ROUND(IF(CJ116=0,0,HLOOKUP(CJ$14,Villagers!$B$1:$V$33,CJ116+3,FALSE)),)</f>
        <v>2</v>
      </c>
      <c r="DF116" s="370">
        <f>ROUND(IF(CK116=0,0,HLOOKUP(CK$14,Villagers!$B$1:$V$33,CK116+3,FALSE)),)</f>
        <v>0</v>
      </c>
      <c r="DG116" s="370">
        <f>ROUND(IF(CL116=0,0,HLOOKUP(CL$14,Villagers!$B$1:$V$33,CL116+3,FALSE)),)</f>
        <v>0</v>
      </c>
      <c r="DH116" s="34">
        <f>ROUND(IF(CM116=0,0,HLOOKUP(CM$14,Villagers!$B$1:$V$33,CM116+3,FALSE)),)</f>
        <v>0</v>
      </c>
      <c r="DI116" s="109">
        <f t="shared" si="219"/>
        <v>0</v>
      </c>
      <c r="DJ116" s="50">
        <f t="shared" si="220"/>
        <v>0</v>
      </c>
      <c r="DK116" s="50">
        <f t="shared" si="221"/>
        <v>0</v>
      </c>
      <c r="DL116" s="50">
        <f t="shared" si="222"/>
        <v>0</v>
      </c>
      <c r="DM116" s="50">
        <f t="shared" si="223"/>
        <v>0</v>
      </c>
      <c r="DN116" s="50">
        <f t="shared" si="224"/>
        <v>0</v>
      </c>
      <c r="DO116" s="50">
        <f t="shared" si="225"/>
        <v>0</v>
      </c>
      <c r="DP116" s="50">
        <f t="shared" si="226"/>
        <v>0</v>
      </c>
      <c r="DQ116" s="50">
        <f t="shared" si="203"/>
        <v>0</v>
      </c>
      <c r="DR116" s="50">
        <f t="shared" si="204"/>
        <v>0</v>
      </c>
      <c r="DS116" s="96">
        <f>Miscelaneous!$D$4*Miscelaneous!$D$2^($CI116-1)</f>
        <v>1000</v>
      </c>
      <c r="DT116" s="333">
        <f t="shared" si="171"/>
        <v>1</v>
      </c>
      <c r="DU116" s="81">
        <v>1</v>
      </c>
      <c r="DV116" s="79">
        <f t="shared" si="205"/>
        <v>0</v>
      </c>
      <c r="DW116" s="79">
        <f t="shared" si="206"/>
        <v>0</v>
      </c>
      <c r="DX116" s="79">
        <f t="shared" si="207"/>
        <v>0</v>
      </c>
      <c r="DY116" s="79">
        <v>1</v>
      </c>
      <c r="DZ116" s="79">
        <f t="shared" si="208"/>
        <v>0</v>
      </c>
      <c r="EA116" s="79">
        <f t="shared" si="209"/>
        <v>0</v>
      </c>
      <c r="EB116" s="79">
        <f t="shared" si="210"/>
        <v>0</v>
      </c>
      <c r="EC116" s="79">
        <f t="shared" si="211"/>
        <v>0</v>
      </c>
      <c r="ED116" s="79">
        <v>1</v>
      </c>
      <c r="EE116" s="79">
        <v>1</v>
      </c>
      <c r="EF116" s="79">
        <f t="shared" si="212"/>
        <v>0</v>
      </c>
      <c r="EG116" s="79">
        <v>1</v>
      </c>
      <c r="EH116" s="79">
        <v>1</v>
      </c>
      <c r="EI116" s="79">
        <v>1</v>
      </c>
      <c r="EJ116" s="79">
        <v>1</v>
      </c>
      <c r="EK116" s="79">
        <v>1</v>
      </c>
      <c r="EL116" s="79">
        <v>1</v>
      </c>
      <c r="EM116" s="143">
        <f t="shared" si="213"/>
        <v>0</v>
      </c>
      <c r="EN116" s="143">
        <f t="shared" si="214"/>
        <v>0</v>
      </c>
      <c r="EO116" s="82">
        <f t="shared" si="215"/>
        <v>0</v>
      </c>
    </row>
    <row r="117" spans="1:145" x14ac:dyDescent="0.25">
      <c r="A117">
        <v>103</v>
      </c>
      <c r="B117" s="172" t="e">
        <f t="shared" si="172"/>
        <v>#N/A</v>
      </c>
      <c r="C117" s="121" t="e">
        <f t="shared" ref="C117:E117" si="287">AJ117-SUM(AB117:AB121)</f>
        <v>#N/A</v>
      </c>
      <c r="D117" s="122" t="e">
        <f t="shared" si="287"/>
        <v>#N/A</v>
      </c>
      <c r="E117" s="122" t="e">
        <f t="shared" si="287"/>
        <v>#N/A</v>
      </c>
      <c r="F117" s="176" t="e">
        <f t="shared" si="154"/>
        <v>#N/A</v>
      </c>
      <c r="G117" s="121">
        <f t="shared" si="174"/>
        <v>208</v>
      </c>
      <c r="H117" s="176" t="e">
        <f t="shared" si="175"/>
        <v>#N/A</v>
      </c>
      <c r="I117" s="48">
        <v>1</v>
      </c>
      <c r="J117" s="39"/>
      <c r="K117" s="350">
        <v>1</v>
      </c>
      <c r="L117" s="34" t="e">
        <f t="shared" si="155"/>
        <v>#N/A</v>
      </c>
      <c r="M117" s="38" t="e">
        <f>(HLOOKUP(J117,'Construction Times'!$B$3:$W$34,L117+2,FALSE)*HLOOKUP("hq modifier",'Construction Times'!$W$3:$W$34,BS117+2,FALSE))*(1-$H$9)</f>
        <v>#N/A</v>
      </c>
      <c r="N117" s="426" t="e">
        <f t="shared" si="176"/>
        <v>#N/A</v>
      </c>
      <c r="O117" s="427"/>
      <c r="P117" s="430" t="e">
        <f t="shared" si="177"/>
        <v>#N/A</v>
      </c>
      <c r="Q117" s="431"/>
      <c r="R117" s="103">
        <f t="shared" si="217"/>
        <v>0</v>
      </c>
      <c r="S117" s="104">
        <f t="shared" si="217"/>
        <v>0</v>
      </c>
      <c r="T117" s="104">
        <f t="shared" si="218"/>
        <v>0</v>
      </c>
      <c r="U117" s="104">
        <f t="shared" si="218"/>
        <v>0</v>
      </c>
      <c r="V117" s="104">
        <f t="shared" si="218"/>
        <v>9.9999999999999995E-8</v>
      </c>
      <c r="W117" s="104">
        <f t="shared" si="218"/>
        <v>0</v>
      </c>
      <c r="X117" s="104">
        <f t="shared" si="278"/>
        <v>0</v>
      </c>
      <c r="Y117" s="104">
        <f t="shared" si="278"/>
        <v>9.9999999999999995E-8</v>
      </c>
      <c r="Z117" s="104">
        <f t="shared" si="278"/>
        <v>9.9999999999999995E-8</v>
      </c>
      <c r="AA117" s="105">
        <f t="shared" si="278"/>
        <v>9.9999999999999995E-8</v>
      </c>
      <c r="AB117" s="101" t="e">
        <f>$DT117*HLOOKUP($J117,'Construction Costs (timber)'!$B$1:$V$32,'Construction Planner'!$L117+2,FALSE)</f>
        <v>#N/A</v>
      </c>
      <c r="AC117" s="14" t="e">
        <f>$DT117*HLOOKUP($J117,'Construction Costs (clay)'!$B$1:$V$32,'Construction Planner'!$L117+2,FALSE)</f>
        <v>#N/A</v>
      </c>
      <c r="AD117" s="14" t="e">
        <f>$DT117*HLOOKUP($J117,'Construction Costs (iron)'!$B$1:$V$32,'Construction Planner'!$L117+2,FALSE)</f>
        <v>#N/A</v>
      </c>
      <c r="AE117" s="34" t="e">
        <f t="shared" si="230"/>
        <v>#N/A</v>
      </c>
      <c r="AF117" s="33" t="e">
        <f t="shared" si="156"/>
        <v>#N/A</v>
      </c>
      <c r="AG117" s="14" t="e">
        <f t="shared" si="157"/>
        <v>#N/A</v>
      </c>
      <c r="AH117" s="14" t="e">
        <f t="shared" si="158"/>
        <v>#N/A</v>
      </c>
      <c r="AI117" s="34" t="e">
        <f t="shared" si="231"/>
        <v>#N/A</v>
      </c>
      <c r="AJ117" s="49" t="e">
        <f t="shared" si="178"/>
        <v>#N/A</v>
      </c>
      <c r="AK117" s="49" t="e">
        <f t="shared" si="179"/>
        <v>#N/A</v>
      </c>
      <c r="AL117" s="49" t="e">
        <f t="shared" si="180"/>
        <v>#N/A</v>
      </c>
      <c r="AM117" s="25">
        <f t="shared" si="159"/>
        <v>30</v>
      </c>
      <c r="AN117" s="25">
        <f t="shared" si="160"/>
        <v>30</v>
      </c>
      <c r="AO117" s="25">
        <f t="shared" si="161"/>
        <v>30</v>
      </c>
      <c r="AP117" s="52" t="e">
        <f t="shared" si="181"/>
        <v>#N/A</v>
      </c>
      <c r="AQ117" s="53" t="e">
        <f t="shared" si="181"/>
        <v>#N/A</v>
      </c>
      <c r="AR117" s="54" t="e">
        <f t="shared" si="181"/>
        <v>#N/A</v>
      </c>
      <c r="AS117" s="316">
        <f t="shared" si="286"/>
        <v>0</v>
      </c>
      <c r="AT117" s="106">
        <f>_xlfn.IFNA($M117/VLOOKUP($BT117,'Unit information'!$A$2:$K$29,2,FALSE)*R117,0)*(1+$E$9)</f>
        <v>0</v>
      </c>
      <c r="AU117" s="107">
        <f>_xlfn.IFNA($M117/VLOOKUP($BT117,'Unit information'!$A$2:$K$29,3,FALSE)*S117,0)*(1+$E$9)</f>
        <v>0</v>
      </c>
      <c r="AV117" s="107">
        <f>_xlfn.IFNA($M117/VLOOKUP($BT117,'Unit information'!$A$2:$K$29,4,FALSE)*T117,0)*(1+$E$9)</f>
        <v>0</v>
      </c>
      <c r="AW117" s="107">
        <f>_xlfn.IFNA($M117/VLOOKUP($BT117,'Unit information'!$A$2:$K$29,5,FALSE)*U117,0)*(1+$E$9)</f>
        <v>0</v>
      </c>
      <c r="AX117" s="107">
        <f>_xlfn.IFNA($M117/VLOOKUP($BU117,'Unit information'!$A$2:$K$29,6,FALSE)*V117,0)*(1+$E$9)</f>
        <v>0</v>
      </c>
      <c r="AY117" s="107">
        <f>_xlfn.IFNA($M117/VLOOKUP($BU117,'Unit information'!$A$2:$K$29,7,FALSE)*W117,0)*(1+$E$9)</f>
        <v>0</v>
      </c>
      <c r="AZ117" s="107">
        <f>_xlfn.IFNA($M117/VLOOKUP($BU117,'Unit information'!$A$2:$K$29,8,FALSE)*X117,0)*(1+$E$9)</f>
        <v>0</v>
      </c>
      <c r="BA117" s="107">
        <f>_xlfn.IFNA($M117/VLOOKUP($BU117,'Unit information'!$A$2:$K$29,9,FALSE)*Y117,0)*(1+$E$9)</f>
        <v>0</v>
      </c>
      <c r="BB117" s="107">
        <f>_xlfn.IFNA($M117/VLOOKUP($BV117,'Unit information'!$A$2:$K$29,10,FALSE)*Z117,0)*(1+$E$9)</f>
        <v>0</v>
      </c>
      <c r="BC117" s="108">
        <f>_xlfn.IFNA($M117/VLOOKUP($BV117,'Unit information'!$A$2:$K$29,11,FALSE)*AA117,0)*(1+$E$9)</f>
        <v>0</v>
      </c>
      <c r="BD117" s="106">
        <f t="shared" si="162"/>
        <v>0</v>
      </c>
      <c r="BE117" s="107">
        <f t="shared" si="163"/>
        <v>0</v>
      </c>
      <c r="BF117" s="108">
        <f t="shared" si="164"/>
        <v>0</v>
      </c>
      <c r="BG117" s="25" t="e">
        <f t="shared" si="165"/>
        <v>#N/A</v>
      </c>
      <c r="BH117" s="25" t="e">
        <f t="shared" si="166"/>
        <v>#N/A</v>
      </c>
      <c r="BI117" s="25" t="e">
        <f t="shared" si="167"/>
        <v>#N/A</v>
      </c>
      <c r="BJ117" s="27" t="e">
        <f t="shared" si="168"/>
        <v>#N/A</v>
      </c>
      <c r="BK117" s="18" t="e">
        <f t="shared" si="169"/>
        <v>#N/A</v>
      </c>
      <c r="BL117" s="18" t="e">
        <f t="shared" si="170"/>
        <v>#N/A</v>
      </c>
      <c r="BM117" s="28" t="e">
        <f t="shared" si="233"/>
        <v>#N/A</v>
      </c>
      <c r="BN117" s="33">
        <f>HLOOKUP("maximum population",Miscelaneous!$C$1:$C$33,CH117+3,FALSE)</f>
        <v>240</v>
      </c>
      <c r="BO117" s="14">
        <f t="shared" si="182"/>
        <v>32</v>
      </c>
      <c r="BP117" s="14">
        <f t="shared" si="183"/>
        <v>0</v>
      </c>
      <c r="BQ117" s="14">
        <f t="shared" si="184"/>
        <v>208</v>
      </c>
      <c r="BR117" s="34" t="e">
        <f>HLOOKUP(J117,Villagers!$B$1:$V$33,L117+3,FALSE)-HLOOKUP(J117,Villagers!$B$1:$V$33,L117+2,FALSE)</f>
        <v>#N/A</v>
      </c>
      <c r="BS117" s="49">
        <f t="shared" si="185"/>
        <v>1</v>
      </c>
      <c r="BT117" s="50">
        <f t="shared" si="186"/>
        <v>0</v>
      </c>
      <c r="BU117" s="50">
        <f t="shared" si="187"/>
        <v>0</v>
      </c>
      <c r="BV117" s="50">
        <f t="shared" si="188"/>
        <v>0</v>
      </c>
      <c r="BW117" s="50">
        <f t="shared" si="272"/>
        <v>0</v>
      </c>
      <c r="BX117" s="50">
        <f t="shared" si="273"/>
        <v>0</v>
      </c>
      <c r="BY117" s="50">
        <f t="shared" si="273"/>
        <v>0</v>
      </c>
      <c r="BZ117" s="50">
        <f t="shared" si="245"/>
        <v>0</v>
      </c>
      <c r="CA117" s="50">
        <f t="shared" si="246"/>
        <v>0</v>
      </c>
      <c r="CB117" s="50">
        <f t="shared" si="247"/>
        <v>1</v>
      </c>
      <c r="CC117" s="50">
        <f t="shared" si="248"/>
        <v>0</v>
      </c>
      <c r="CD117" s="50">
        <f t="shared" si="249"/>
        <v>0</v>
      </c>
      <c r="CE117" s="50">
        <f t="shared" si="250"/>
        <v>1</v>
      </c>
      <c r="CF117" s="50">
        <f t="shared" si="251"/>
        <v>1</v>
      </c>
      <c r="CG117" s="50">
        <f t="shared" si="252"/>
        <v>1</v>
      </c>
      <c r="CH117" s="50">
        <f t="shared" si="253"/>
        <v>1</v>
      </c>
      <c r="CI117" s="50">
        <f t="shared" si="254"/>
        <v>1</v>
      </c>
      <c r="CJ117" s="50">
        <f t="shared" si="255"/>
        <v>1</v>
      </c>
      <c r="CK117" s="50">
        <f t="shared" si="255"/>
        <v>0</v>
      </c>
      <c r="CL117" s="50">
        <f t="shared" si="255"/>
        <v>0</v>
      </c>
      <c r="CM117" s="51">
        <f t="shared" si="256"/>
        <v>0</v>
      </c>
      <c r="CN117" s="33">
        <f>ROUND(IF(BS117=0,0,HLOOKUP(BS$14,Villagers!$B$1:$V$33,BS117+3,FALSE)),)</f>
        <v>5</v>
      </c>
      <c r="CO117" s="14">
        <f>ROUND(IF(BT117=0,0,HLOOKUP(BT$14,Villagers!$B$1:$V$33,BT117+3,FALSE)),)</f>
        <v>0</v>
      </c>
      <c r="CP117" s="14">
        <f>ROUND(IF(BU117=0,0,HLOOKUP(BU$14,Villagers!$B$1:$V$33,BU117+3,FALSE)),)</f>
        <v>0</v>
      </c>
      <c r="CQ117" s="14">
        <f>ROUND(IF(BV117=0,0,HLOOKUP(BV$14,Villagers!$B$1:$V$33,BV117+3,FALSE)),)</f>
        <v>0</v>
      </c>
      <c r="CR117" s="14">
        <f>ROUND(IF(BW117=0,0,HLOOKUP(BW$14,Villagers!$B$1:$V$33,BW117+3,FALSE)),)</f>
        <v>0</v>
      </c>
      <c r="CS117" s="14">
        <f>ROUND(IF(BX117=0,0,HLOOKUP(BX$14,Villagers!$B$1:$V$33,BX117+3,FALSE)),)</f>
        <v>0</v>
      </c>
      <c r="CT117" s="14">
        <f>ROUND(IF(BY117=0,0,HLOOKUP(BY$14,Villagers!$B$1:$V$33,BY117+3,FALSE)),)</f>
        <v>0</v>
      </c>
      <c r="CU117" s="14">
        <f>ROUND(IF(BZ117=0,0,HLOOKUP(BZ$14,Villagers!$B$1:$V$33,BZ117+3,FALSE)),)</f>
        <v>0</v>
      </c>
      <c r="CV117" s="14">
        <f>ROUND(IF(CA117=0,0,HLOOKUP(CA$14,Villagers!$B$1:$V$33,CA117+3,FALSE)),)</f>
        <v>0</v>
      </c>
      <c r="CW117" s="14">
        <f>ROUND(IF(CB117=0,0,HLOOKUP(CB$14,Villagers!$B$1:$V$33,CB117+3,FALSE)),)</f>
        <v>0</v>
      </c>
      <c r="CX117" s="14">
        <f>ROUND(IF(CC117=0,0,HLOOKUP(CC$14,Villagers!$B$1:$V$33,CC117+3,FALSE)),)</f>
        <v>0</v>
      </c>
      <c r="CY117" s="14">
        <f>ROUND(IF(CD117=0,0,HLOOKUP(CD$14,Villagers!$B$1:$V$33,CD117+3,FALSE)),)</f>
        <v>0</v>
      </c>
      <c r="CZ117" s="14">
        <f>ROUND(IF(CE117=0,0,HLOOKUP(CE$14,Villagers!$B$1:$V$33,CE117+3,FALSE)),)</f>
        <v>5</v>
      </c>
      <c r="DA117" s="14">
        <f>ROUND(IF(CF117=0,0,HLOOKUP(CF$14,Villagers!$B$1:$V$33,CF117+3,FALSE)),)</f>
        <v>10</v>
      </c>
      <c r="DB117" s="14">
        <f>ROUND(IF(CG117=0,0,HLOOKUP(CG$14,Villagers!$B$1:$V$33,CG117+3,FALSE)),)</f>
        <v>10</v>
      </c>
      <c r="DC117" s="14">
        <f>ROUND(IF(CH117=0,0,HLOOKUP(CH$14,Villagers!$B$1:$V$33,CH117+3,FALSE)),)</f>
        <v>0</v>
      </c>
      <c r="DD117" s="14">
        <f>ROUND(IF(CI117=0,0,HLOOKUP(CI$14,Villagers!$B$1:$V$33,CI117+3,FALSE)),)</f>
        <v>0</v>
      </c>
      <c r="DE117" s="14">
        <f>ROUND(IF(CJ117=0,0,HLOOKUP(CJ$14,Villagers!$B$1:$V$33,CJ117+3,FALSE)),)</f>
        <v>2</v>
      </c>
      <c r="DF117" s="370">
        <f>ROUND(IF(CK117=0,0,HLOOKUP(CK$14,Villagers!$B$1:$V$33,CK117+3,FALSE)),)</f>
        <v>0</v>
      </c>
      <c r="DG117" s="370">
        <f>ROUND(IF(CL117=0,0,HLOOKUP(CL$14,Villagers!$B$1:$V$33,CL117+3,FALSE)),)</f>
        <v>0</v>
      </c>
      <c r="DH117" s="34">
        <f>ROUND(IF(CM117=0,0,HLOOKUP(CM$14,Villagers!$B$1:$V$33,CM117+3,FALSE)),)</f>
        <v>0</v>
      </c>
      <c r="DI117" s="109">
        <f t="shared" si="219"/>
        <v>0</v>
      </c>
      <c r="DJ117" s="50">
        <f t="shared" si="220"/>
        <v>0</v>
      </c>
      <c r="DK117" s="50">
        <f t="shared" si="221"/>
        <v>0</v>
      </c>
      <c r="DL117" s="50">
        <f t="shared" si="222"/>
        <v>0</v>
      </c>
      <c r="DM117" s="50">
        <f t="shared" si="223"/>
        <v>0</v>
      </c>
      <c r="DN117" s="50">
        <f t="shared" si="224"/>
        <v>0</v>
      </c>
      <c r="DO117" s="50">
        <f t="shared" si="225"/>
        <v>0</v>
      </c>
      <c r="DP117" s="50">
        <f t="shared" si="226"/>
        <v>0</v>
      </c>
      <c r="DQ117" s="50">
        <f t="shared" si="203"/>
        <v>0</v>
      </c>
      <c r="DR117" s="50">
        <f t="shared" si="204"/>
        <v>0</v>
      </c>
      <c r="DS117" s="96">
        <f>Miscelaneous!$D$4*Miscelaneous!$D$2^($CI117-1)</f>
        <v>1000</v>
      </c>
      <c r="DT117" s="333">
        <f t="shared" si="171"/>
        <v>1</v>
      </c>
      <c r="DU117" s="81">
        <v>1</v>
      </c>
      <c r="DV117" s="79">
        <f t="shared" si="205"/>
        <v>0</v>
      </c>
      <c r="DW117" s="79">
        <f t="shared" si="206"/>
        <v>0</v>
      </c>
      <c r="DX117" s="79">
        <f t="shared" si="207"/>
        <v>0</v>
      </c>
      <c r="DY117" s="79">
        <v>1</v>
      </c>
      <c r="DZ117" s="79">
        <f t="shared" si="208"/>
        <v>0</v>
      </c>
      <c r="EA117" s="79">
        <f t="shared" si="209"/>
        <v>0</v>
      </c>
      <c r="EB117" s="79">
        <f t="shared" si="210"/>
        <v>0</v>
      </c>
      <c r="EC117" s="79">
        <f t="shared" si="211"/>
        <v>0</v>
      </c>
      <c r="ED117" s="79">
        <v>1</v>
      </c>
      <c r="EE117" s="79">
        <v>1</v>
      </c>
      <c r="EF117" s="79">
        <f t="shared" si="212"/>
        <v>0</v>
      </c>
      <c r="EG117" s="79">
        <v>1</v>
      </c>
      <c r="EH117" s="79">
        <v>1</v>
      </c>
      <c r="EI117" s="79">
        <v>1</v>
      </c>
      <c r="EJ117" s="79">
        <v>1</v>
      </c>
      <c r="EK117" s="79">
        <v>1</v>
      </c>
      <c r="EL117" s="79">
        <v>1</v>
      </c>
      <c r="EM117" s="143">
        <f t="shared" si="213"/>
        <v>0</v>
      </c>
      <c r="EN117" s="143">
        <f t="shared" si="214"/>
        <v>0</v>
      </c>
      <c r="EO117" s="82">
        <f t="shared" si="215"/>
        <v>0</v>
      </c>
    </row>
    <row r="118" spans="1:145" x14ac:dyDescent="0.25">
      <c r="A118">
        <v>104</v>
      </c>
      <c r="B118" s="172" t="e">
        <f t="shared" si="172"/>
        <v>#N/A</v>
      </c>
      <c r="C118" s="121" t="e">
        <f t="shared" ref="C118:E118" si="288">AJ118-SUM(AB118:AB122)</f>
        <v>#N/A</v>
      </c>
      <c r="D118" s="122" t="e">
        <f t="shared" si="288"/>
        <v>#N/A</v>
      </c>
      <c r="E118" s="122" t="e">
        <f t="shared" si="288"/>
        <v>#N/A</v>
      </c>
      <c r="F118" s="176" t="e">
        <f t="shared" si="154"/>
        <v>#N/A</v>
      </c>
      <c r="G118" s="121">
        <f t="shared" si="174"/>
        <v>208</v>
      </c>
      <c r="H118" s="176" t="e">
        <f t="shared" si="175"/>
        <v>#N/A</v>
      </c>
      <c r="I118" s="48">
        <v>1</v>
      </c>
      <c r="J118" s="39"/>
      <c r="K118" s="350">
        <v>1</v>
      </c>
      <c r="L118" s="34" t="e">
        <f t="shared" si="155"/>
        <v>#N/A</v>
      </c>
      <c r="M118" s="38" t="e">
        <f>(HLOOKUP(J118,'Construction Times'!$B$3:$W$34,L118+2,FALSE)*HLOOKUP("hq modifier",'Construction Times'!$W$3:$W$34,BS118+2,FALSE))*(1-$H$9)</f>
        <v>#N/A</v>
      </c>
      <c r="N118" s="426" t="e">
        <f t="shared" si="176"/>
        <v>#N/A</v>
      </c>
      <c r="O118" s="427"/>
      <c r="P118" s="430" t="e">
        <f t="shared" si="177"/>
        <v>#N/A</v>
      </c>
      <c r="Q118" s="431"/>
      <c r="R118" s="103">
        <f t="shared" si="217"/>
        <v>0</v>
      </c>
      <c r="S118" s="104">
        <f t="shared" si="217"/>
        <v>0</v>
      </c>
      <c r="T118" s="104">
        <f t="shared" si="218"/>
        <v>0</v>
      </c>
      <c r="U118" s="104">
        <f t="shared" si="218"/>
        <v>0</v>
      </c>
      <c r="V118" s="104">
        <f t="shared" si="218"/>
        <v>9.9999999999999995E-8</v>
      </c>
      <c r="W118" s="104">
        <f t="shared" si="218"/>
        <v>0</v>
      </c>
      <c r="X118" s="104">
        <f t="shared" si="278"/>
        <v>0</v>
      </c>
      <c r="Y118" s="104">
        <f t="shared" si="278"/>
        <v>9.9999999999999995E-8</v>
      </c>
      <c r="Z118" s="104">
        <f t="shared" si="278"/>
        <v>9.9999999999999995E-8</v>
      </c>
      <c r="AA118" s="105">
        <f t="shared" si="278"/>
        <v>9.9999999999999995E-8</v>
      </c>
      <c r="AB118" s="101" t="e">
        <f>$DT118*HLOOKUP($J118,'Construction Costs (timber)'!$B$1:$V$32,'Construction Planner'!$L118+2,FALSE)</f>
        <v>#N/A</v>
      </c>
      <c r="AC118" s="14" t="e">
        <f>$DT118*HLOOKUP($J118,'Construction Costs (clay)'!$B$1:$V$32,'Construction Planner'!$L118+2,FALSE)</f>
        <v>#N/A</v>
      </c>
      <c r="AD118" s="14" t="e">
        <f>$DT118*HLOOKUP($J118,'Construction Costs (iron)'!$B$1:$V$32,'Construction Planner'!$L118+2,FALSE)</f>
        <v>#N/A</v>
      </c>
      <c r="AE118" s="34" t="e">
        <f t="shared" si="230"/>
        <v>#N/A</v>
      </c>
      <c r="AF118" s="33" t="e">
        <f t="shared" si="156"/>
        <v>#N/A</v>
      </c>
      <c r="AG118" s="14" t="e">
        <f t="shared" si="157"/>
        <v>#N/A</v>
      </c>
      <c r="AH118" s="14" t="e">
        <f t="shared" si="158"/>
        <v>#N/A</v>
      </c>
      <c r="AI118" s="34" t="e">
        <f t="shared" si="231"/>
        <v>#N/A</v>
      </c>
      <c r="AJ118" s="49" t="e">
        <f t="shared" si="178"/>
        <v>#N/A</v>
      </c>
      <c r="AK118" s="49" t="e">
        <f t="shared" si="179"/>
        <v>#N/A</v>
      </c>
      <c r="AL118" s="49" t="e">
        <f t="shared" si="180"/>
        <v>#N/A</v>
      </c>
      <c r="AM118" s="25">
        <f t="shared" si="159"/>
        <v>30</v>
      </c>
      <c r="AN118" s="25">
        <f t="shared" si="160"/>
        <v>30</v>
      </c>
      <c r="AO118" s="25">
        <f t="shared" si="161"/>
        <v>30</v>
      </c>
      <c r="AP118" s="52" t="e">
        <f t="shared" si="181"/>
        <v>#N/A</v>
      </c>
      <c r="AQ118" s="53" t="e">
        <f t="shared" si="181"/>
        <v>#N/A</v>
      </c>
      <c r="AR118" s="54" t="e">
        <f t="shared" si="181"/>
        <v>#N/A</v>
      </c>
      <c r="AS118" s="316">
        <f t="shared" si="286"/>
        <v>0</v>
      </c>
      <c r="AT118" s="106">
        <f>_xlfn.IFNA($M118/VLOOKUP($BT118,'Unit information'!$A$2:$K$29,2,FALSE)*R118,0)*(1+$E$9)</f>
        <v>0</v>
      </c>
      <c r="AU118" s="107">
        <f>_xlfn.IFNA($M118/VLOOKUP($BT118,'Unit information'!$A$2:$K$29,3,FALSE)*S118,0)*(1+$E$9)</f>
        <v>0</v>
      </c>
      <c r="AV118" s="107">
        <f>_xlfn.IFNA($M118/VLOOKUP($BT118,'Unit information'!$A$2:$K$29,4,FALSE)*T118,0)*(1+$E$9)</f>
        <v>0</v>
      </c>
      <c r="AW118" s="107">
        <f>_xlfn.IFNA($M118/VLOOKUP($BT118,'Unit information'!$A$2:$K$29,5,FALSE)*U118,0)*(1+$E$9)</f>
        <v>0</v>
      </c>
      <c r="AX118" s="107">
        <f>_xlfn.IFNA($M118/VLOOKUP($BU118,'Unit information'!$A$2:$K$29,6,FALSE)*V118,0)*(1+$E$9)</f>
        <v>0</v>
      </c>
      <c r="AY118" s="107">
        <f>_xlfn.IFNA($M118/VLOOKUP($BU118,'Unit information'!$A$2:$K$29,7,FALSE)*W118,0)*(1+$E$9)</f>
        <v>0</v>
      </c>
      <c r="AZ118" s="107">
        <f>_xlfn.IFNA($M118/VLOOKUP($BU118,'Unit information'!$A$2:$K$29,8,FALSE)*X118,0)*(1+$E$9)</f>
        <v>0</v>
      </c>
      <c r="BA118" s="107">
        <f>_xlfn.IFNA($M118/VLOOKUP($BU118,'Unit information'!$A$2:$K$29,9,FALSE)*Y118,0)*(1+$E$9)</f>
        <v>0</v>
      </c>
      <c r="BB118" s="107">
        <f>_xlfn.IFNA($M118/VLOOKUP($BV118,'Unit information'!$A$2:$K$29,10,FALSE)*Z118,0)*(1+$E$9)</f>
        <v>0</v>
      </c>
      <c r="BC118" s="108">
        <f>_xlfn.IFNA($M118/VLOOKUP($BV118,'Unit information'!$A$2:$K$29,11,FALSE)*AA118,0)*(1+$E$9)</f>
        <v>0</v>
      </c>
      <c r="BD118" s="106">
        <f t="shared" si="162"/>
        <v>0</v>
      </c>
      <c r="BE118" s="107">
        <f t="shared" si="163"/>
        <v>0</v>
      </c>
      <c r="BF118" s="108">
        <f t="shared" si="164"/>
        <v>0</v>
      </c>
      <c r="BG118" s="25" t="e">
        <f t="shared" si="165"/>
        <v>#N/A</v>
      </c>
      <c r="BH118" s="25" t="e">
        <f t="shared" si="166"/>
        <v>#N/A</v>
      </c>
      <c r="BI118" s="25" t="e">
        <f t="shared" si="167"/>
        <v>#N/A</v>
      </c>
      <c r="BJ118" s="27" t="e">
        <f t="shared" si="168"/>
        <v>#N/A</v>
      </c>
      <c r="BK118" s="18" t="e">
        <f t="shared" si="169"/>
        <v>#N/A</v>
      </c>
      <c r="BL118" s="18" t="e">
        <f t="shared" si="170"/>
        <v>#N/A</v>
      </c>
      <c r="BM118" s="28" t="e">
        <f t="shared" si="233"/>
        <v>#N/A</v>
      </c>
      <c r="BN118" s="33">
        <f>HLOOKUP("maximum population",Miscelaneous!$C$1:$C$33,CH118+3,FALSE)</f>
        <v>240</v>
      </c>
      <c r="BO118" s="14">
        <f t="shared" si="182"/>
        <v>32</v>
      </c>
      <c r="BP118" s="14">
        <f t="shared" si="183"/>
        <v>0</v>
      </c>
      <c r="BQ118" s="14">
        <f t="shared" si="184"/>
        <v>208</v>
      </c>
      <c r="BR118" s="34" t="e">
        <f>HLOOKUP(J118,Villagers!$B$1:$V$33,L118+3,FALSE)-HLOOKUP(J118,Villagers!$B$1:$V$33,L118+2,FALSE)</f>
        <v>#N/A</v>
      </c>
      <c r="BS118" s="49">
        <f t="shared" si="185"/>
        <v>1</v>
      </c>
      <c r="BT118" s="50">
        <f t="shared" si="186"/>
        <v>0</v>
      </c>
      <c r="BU118" s="50">
        <f t="shared" si="187"/>
        <v>0</v>
      </c>
      <c r="BV118" s="50">
        <f t="shared" si="188"/>
        <v>0</v>
      </c>
      <c r="BW118" s="50">
        <f t="shared" si="272"/>
        <v>0</v>
      </c>
      <c r="BX118" s="50">
        <f t="shared" si="273"/>
        <v>0</v>
      </c>
      <c r="BY118" s="50">
        <f t="shared" si="273"/>
        <v>0</v>
      </c>
      <c r="BZ118" s="50">
        <f t="shared" si="245"/>
        <v>0</v>
      </c>
      <c r="CA118" s="50">
        <f t="shared" si="246"/>
        <v>0</v>
      </c>
      <c r="CB118" s="50">
        <f t="shared" si="247"/>
        <v>1</v>
      </c>
      <c r="CC118" s="50">
        <f t="shared" si="248"/>
        <v>0</v>
      </c>
      <c r="CD118" s="50">
        <f t="shared" si="249"/>
        <v>0</v>
      </c>
      <c r="CE118" s="50">
        <f t="shared" si="250"/>
        <v>1</v>
      </c>
      <c r="CF118" s="50">
        <f t="shared" si="251"/>
        <v>1</v>
      </c>
      <c r="CG118" s="50">
        <f t="shared" si="252"/>
        <v>1</v>
      </c>
      <c r="CH118" s="50">
        <f t="shared" si="253"/>
        <v>1</v>
      </c>
      <c r="CI118" s="50">
        <f t="shared" si="254"/>
        <v>1</v>
      </c>
      <c r="CJ118" s="50">
        <f t="shared" si="255"/>
        <v>1</v>
      </c>
      <c r="CK118" s="50">
        <f t="shared" si="255"/>
        <v>0</v>
      </c>
      <c r="CL118" s="50">
        <f t="shared" si="255"/>
        <v>0</v>
      </c>
      <c r="CM118" s="51">
        <f t="shared" si="256"/>
        <v>0</v>
      </c>
      <c r="CN118" s="33">
        <f>ROUND(IF(BS118=0,0,HLOOKUP(BS$14,Villagers!$B$1:$V$33,BS118+3,FALSE)),)</f>
        <v>5</v>
      </c>
      <c r="CO118" s="14">
        <f>ROUND(IF(BT118=0,0,HLOOKUP(BT$14,Villagers!$B$1:$V$33,BT118+3,FALSE)),)</f>
        <v>0</v>
      </c>
      <c r="CP118" s="14">
        <f>ROUND(IF(BU118=0,0,HLOOKUP(BU$14,Villagers!$B$1:$V$33,BU118+3,FALSE)),)</f>
        <v>0</v>
      </c>
      <c r="CQ118" s="14">
        <f>ROUND(IF(BV118=0,0,HLOOKUP(BV$14,Villagers!$B$1:$V$33,BV118+3,FALSE)),)</f>
        <v>0</v>
      </c>
      <c r="CR118" s="14">
        <f>ROUND(IF(BW118=0,0,HLOOKUP(BW$14,Villagers!$B$1:$V$33,BW118+3,FALSE)),)</f>
        <v>0</v>
      </c>
      <c r="CS118" s="14">
        <f>ROUND(IF(BX118=0,0,HLOOKUP(BX$14,Villagers!$B$1:$V$33,BX118+3,FALSE)),)</f>
        <v>0</v>
      </c>
      <c r="CT118" s="14">
        <f>ROUND(IF(BY118=0,0,HLOOKUP(BY$14,Villagers!$B$1:$V$33,BY118+3,FALSE)),)</f>
        <v>0</v>
      </c>
      <c r="CU118" s="14">
        <f>ROUND(IF(BZ118=0,0,HLOOKUP(BZ$14,Villagers!$B$1:$V$33,BZ118+3,FALSE)),)</f>
        <v>0</v>
      </c>
      <c r="CV118" s="14">
        <f>ROUND(IF(CA118=0,0,HLOOKUP(CA$14,Villagers!$B$1:$V$33,CA118+3,FALSE)),)</f>
        <v>0</v>
      </c>
      <c r="CW118" s="14">
        <f>ROUND(IF(CB118=0,0,HLOOKUP(CB$14,Villagers!$B$1:$V$33,CB118+3,FALSE)),)</f>
        <v>0</v>
      </c>
      <c r="CX118" s="14">
        <f>ROUND(IF(CC118=0,0,HLOOKUP(CC$14,Villagers!$B$1:$V$33,CC118+3,FALSE)),)</f>
        <v>0</v>
      </c>
      <c r="CY118" s="14">
        <f>ROUND(IF(CD118=0,0,HLOOKUP(CD$14,Villagers!$B$1:$V$33,CD118+3,FALSE)),)</f>
        <v>0</v>
      </c>
      <c r="CZ118" s="14">
        <f>ROUND(IF(CE118=0,0,HLOOKUP(CE$14,Villagers!$B$1:$V$33,CE118+3,FALSE)),)</f>
        <v>5</v>
      </c>
      <c r="DA118" s="14">
        <f>ROUND(IF(CF118=0,0,HLOOKUP(CF$14,Villagers!$B$1:$V$33,CF118+3,FALSE)),)</f>
        <v>10</v>
      </c>
      <c r="DB118" s="14">
        <f>ROUND(IF(CG118=0,0,HLOOKUP(CG$14,Villagers!$B$1:$V$33,CG118+3,FALSE)),)</f>
        <v>10</v>
      </c>
      <c r="DC118" s="14">
        <f>ROUND(IF(CH118=0,0,HLOOKUP(CH$14,Villagers!$B$1:$V$33,CH118+3,FALSE)),)</f>
        <v>0</v>
      </c>
      <c r="DD118" s="14">
        <f>ROUND(IF(CI118=0,0,HLOOKUP(CI$14,Villagers!$B$1:$V$33,CI118+3,FALSE)),)</f>
        <v>0</v>
      </c>
      <c r="DE118" s="14">
        <f>ROUND(IF(CJ118=0,0,HLOOKUP(CJ$14,Villagers!$B$1:$V$33,CJ118+3,FALSE)),)</f>
        <v>2</v>
      </c>
      <c r="DF118" s="370">
        <f>ROUND(IF(CK118=0,0,HLOOKUP(CK$14,Villagers!$B$1:$V$33,CK118+3,FALSE)),)</f>
        <v>0</v>
      </c>
      <c r="DG118" s="370">
        <f>ROUND(IF(CL118=0,0,HLOOKUP(CL$14,Villagers!$B$1:$V$33,CL118+3,FALSE)),)</f>
        <v>0</v>
      </c>
      <c r="DH118" s="34">
        <f>ROUND(IF(CM118=0,0,HLOOKUP(CM$14,Villagers!$B$1:$V$33,CM118+3,FALSE)),)</f>
        <v>0</v>
      </c>
      <c r="DI118" s="109">
        <f t="shared" si="219"/>
        <v>0</v>
      </c>
      <c r="DJ118" s="50">
        <f t="shared" si="220"/>
        <v>0</v>
      </c>
      <c r="DK118" s="50">
        <f t="shared" si="221"/>
        <v>0</v>
      </c>
      <c r="DL118" s="50">
        <f t="shared" si="222"/>
        <v>0</v>
      </c>
      <c r="DM118" s="50">
        <f t="shared" si="223"/>
        <v>0</v>
      </c>
      <c r="DN118" s="50">
        <f t="shared" si="224"/>
        <v>0</v>
      </c>
      <c r="DO118" s="50">
        <f t="shared" si="225"/>
        <v>0</v>
      </c>
      <c r="DP118" s="50">
        <f t="shared" si="226"/>
        <v>0</v>
      </c>
      <c r="DQ118" s="50">
        <f t="shared" si="203"/>
        <v>0</v>
      </c>
      <c r="DR118" s="50">
        <f t="shared" si="204"/>
        <v>0</v>
      </c>
      <c r="DS118" s="96">
        <f>Miscelaneous!$D$4*Miscelaneous!$D$2^($CI118-1)</f>
        <v>1000</v>
      </c>
      <c r="DT118" s="333">
        <f t="shared" si="171"/>
        <v>1</v>
      </c>
      <c r="DU118" s="81">
        <v>1</v>
      </c>
      <c r="DV118" s="79">
        <f t="shared" si="205"/>
        <v>0</v>
      </c>
      <c r="DW118" s="79">
        <f t="shared" si="206"/>
        <v>0</v>
      </c>
      <c r="DX118" s="79">
        <f t="shared" si="207"/>
        <v>0</v>
      </c>
      <c r="DY118" s="79">
        <v>1</v>
      </c>
      <c r="DZ118" s="79">
        <f t="shared" si="208"/>
        <v>0</v>
      </c>
      <c r="EA118" s="79">
        <f t="shared" si="209"/>
        <v>0</v>
      </c>
      <c r="EB118" s="79">
        <f t="shared" si="210"/>
        <v>0</v>
      </c>
      <c r="EC118" s="79">
        <f t="shared" si="211"/>
        <v>0</v>
      </c>
      <c r="ED118" s="79">
        <v>1</v>
      </c>
      <c r="EE118" s="79">
        <v>1</v>
      </c>
      <c r="EF118" s="79">
        <f t="shared" si="212"/>
        <v>0</v>
      </c>
      <c r="EG118" s="79">
        <v>1</v>
      </c>
      <c r="EH118" s="79">
        <v>1</v>
      </c>
      <c r="EI118" s="79">
        <v>1</v>
      </c>
      <c r="EJ118" s="79">
        <v>1</v>
      </c>
      <c r="EK118" s="79">
        <v>1</v>
      </c>
      <c r="EL118" s="79">
        <v>1</v>
      </c>
      <c r="EM118" s="143">
        <f t="shared" si="213"/>
        <v>0</v>
      </c>
      <c r="EN118" s="143">
        <f t="shared" si="214"/>
        <v>0</v>
      </c>
      <c r="EO118" s="82">
        <f t="shared" si="215"/>
        <v>0</v>
      </c>
    </row>
    <row r="119" spans="1:145" x14ac:dyDescent="0.25">
      <c r="A119">
        <v>105</v>
      </c>
      <c r="B119" s="172" t="e">
        <f t="shared" si="172"/>
        <v>#N/A</v>
      </c>
      <c r="C119" s="121" t="e">
        <f t="shared" ref="C119:E119" si="289">AJ119-SUM(AB119:AB123)</f>
        <v>#N/A</v>
      </c>
      <c r="D119" s="122" t="e">
        <f t="shared" si="289"/>
        <v>#N/A</v>
      </c>
      <c r="E119" s="122" t="e">
        <f t="shared" si="289"/>
        <v>#N/A</v>
      </c>
      <c r="F119" s="176" t="e">
        <f t="shared" si="154"/>
        <v>#N/A</v>
      </c>
      <c r="G119" s="121">
        <f t="shared" si="174"/>
        <v>208</v>
      </c>
      <c r="H119" s="176" t="e">
        <f t="shared" si="175"/>
        <v>#N/A</v>
      </c>
      <c r="I119" s="48">
        <v>1</v>
      </c>
      <c r="J119" s="39"/>
      <c r="K119" s="350">
        <v>1</v>
      </c>
      <c r="L119" s="34" t="e">
        <f t="shared" si="155"/>
        <v>#N/A</v>
      </c>
      <c r="M119" s="38" t="e">
        <f>(HLOOKUP(J119,'Construction Times'!$B$3:$W$34,L119+2,FALSE)*HLOOKUP("hq modifier",'Construction Times'!$W$3:$W$34,BS119+2,FALSE))*(1-$H$9)</f>
        <v>#N/A</v>
      </c>
      <c r="N119" s="426" t="e">
        <f t="shared" si="176"/>
        <v>#N/A</v>
      </c>
      <c r="O119" s="427"/>
      <c r="P119" s="430" t="e">
        <f t="shared" si="177"/>
        <v>#N/A</v>
      </c>
      <c r="Q119" s="431"/>
      <c r="R119" s="103">
        <f t="shared" si="217"/>
        <v>0</v>
      </c>
      <c r="S119" s="104">
        <f t="shared" si="217"/>
        <v>0</v>
      </c>
      <c r="T119" s="104">
        <f t="shared" si="218"/>
        <v>0</v>
      </c>
      <c r="U119" s="104">
        <f t="shared" si="218"/>
        <v>0</v>
      </c>
      <c r="V119" s="104">
        <f t="shared" si="218"/>
        <v>9.9999999999999995E-8</v>
      </c>
      <c r="W119" s="104">
        <f t="shared" si="218"/>
        <v>0</v>
      </c>
      <c r="X119" s="104">
        <f t="shared" si="278"/>
        <v>0</v>
      </c>
      <c r="Y119" s="104">
        <f t="shared" si="278"/>
        <v>9.9999999999999995E-8</v>
      </c>
      <c r="Z119" s="104">
        <f t="shared" si="278"/>
        <v>9.9999999999999995E-8</v>
      </c>
      <c r="AA119" s="105">
        <f t="shared" si="278"/>
        <v>9.9999999999999995E-8</v>
      </c>
      <c r="AB119" s="101" t="e">
        <f>$DT119*HLOOKUP($J119,'Construction Costs (timber)'!$B$1:$V$32,'Construction Planner'!$L119+2,FALSE)</f>
        <v>#N/A</v>
      </c>
      <c r="AC119" s="14" t="e">
        <f>$DT119*HLOOKUP($J119,'Construction Costs (clay)'!$B$1:$V$32,'Construction Planner'!$L119+2,FALSE)</f>
        <v>#N/A</v>
      </c>
      <c r="AD119" s="14" t="e">
        <f>$DT119*HLOOKUP($J119,'Construction Costs (iron)'!$B$1:$V$32,'Construction Planner'!$L119+2,FALSE)</f>
        <v>#N/A</v>
      </c>
      <c r="AE119" s="34" t="e">
        <f t="shared" si="230"/>
        <v>#N/A</v>
      </c>
      <c r="AF119" s="33" t="e">
        <f t="shared" si="156"/>
        <v>#N/A</v>
      </c>
      <c r="AG119" s="14" t="e">
        <f t="shared" si="157"/>
        <v>#N/A</v>
      </c>
      <c r="AH119" s="14" t="e">
        <f t="shared" si="158"/>
        <v>#N/A</v>
      </c>
      <c r="AI119" s="34" t="e">
        <f t="shared" si="231"/>
        <v>#N/A</v>
      </c>
      <c r="AJ119" s="49" t="e">
        <f t="shared" si="178"/>
        <v>#N/A</v>
      </c>
      <c r="AK119" s="49" t="e">
        <f t="shared" si="179"/>
        <v>#N/A</v>
      </c>
      <c r="AL119" s="49" t="e">
        <f t="shared" si="180"/>
        <v>#N/A</v>
      </c>
      <c r="AM119" s="25">
        <f t="shared" si="159"/>
        <v>30</v>
      </c>
      <c r="AN119" s="25">
        <f t="shared" si="160"/>
        <v>30</v>
      </c>
      <c r="AO119" s="25">
        <f t="shared" si="161"/>
        <v>30</v>
      </c>
      <c r="AP119" s="52" t="e">
        <f t="shared" si="181"/>
        <v>#N/A</v>
      </c>
      <c r="AQ119" s="53" t="e">
        <f t="shared" si="181"/>
        <v>#N/A</v>
      </c>
      <c r="AR119" s="54" t="e">
        <f t="shared" si="181"/>
        <v>#N/A</v>
      </c>
      <c r="AS119" s="316">
        <f t="shared" si="286"/>
        <v>0</v>
      </c>
      <c r="AT119" s="106">
        <f>_xlfn.IFNA($M119/VLOOKUP($BT119,'Unit information'!$A$2:$K$29,2,FALSE)*R119,0)*(1+$E$9)</f>
        <v>0</v>
      </c>
      <c r="AU119" s="107">
        <f>_xlfn.IFNA($M119/VLOOKUP($BT119,'Unit information'!$A$2:$K$29,3,FALSE)*S119,0)*(1+$E$9)</f>
        <v>0</v>
      </c>
      <c r="AV119" s="107">
        <f>_xlfn.IFNA($M119/VLOOKUP($BT119,'Unit information'!$A$2:$K$29,4,FALSE)*T119,0)*(1+$E$9)</f>
        <v>0</v>
      </c>
      <c r="AW119" s="107">
        <f>_xlfn.IFNA($M119/VLOOKUP($BT119,'Unit information'!$A$2:$K$29,5,FALSE)*U119,0)*(1+$E$9)</f>
        <v>0</v>
      </c>
      <c r="AX119" s="107">
        <f>_xlfn.IFNA($M119/VLOOKUP($BU119,'Unit information'!$A$2:$K$29,6,FALSE)*V119,0)*(1+$E$9)</f>
        <v>0</v>
      </c>
      <c r="AY119" s="107">
        <f>_xlfn.IFNA($M119/VLOOKUP($BU119,'Unit information'!$A$2:$K$29,7,FALSE)*W119,0)*(1+$E$9)</f>
        <v>0</v>
      </c>
      <c r="AZ119" s="107">
        <f>_xlfn.IFNA($M119/VLOOKUP($BU119,'Unit information'!$A$2:$K$29,8,FALSE)*X119,0)*(1+$E$9)</f>
        <v>0</v>
      </c>
      <c r="BA119" s="107">
        <f>_xlfn.IFNA($M119/VLOOKUP($BU119,'Unit information'!$A$2:$K$29,9,FALSE)*Y119,0)*(1+$E$9)</f>
        <v>0</v>
      </c>
      <c r="BB119" s="107">
        <f>_xlfn.IFNA($M119/VLOOKUP($BV119,'Unit information'!$A$2:$K$29,10,FALSE)*Z119,0)*(1+$E$9)</f>
        <v>0</v>
      </c>
      <c r="BC119" s="108">
        <f>_xlfn.IFNA($M119/VLOOKUP($BV119,'Unit information'!$A$2:$K$29,11,FALSE)*AA119,0)*(1+$E$9)</f>
        <v>0</v>
      </c>
      <c r="BD119" s="106">
        <f t="shared" si="162"/>
        <v>0</v>
      </c>
      <c r="BE119" s="107">
        <f t="shared" si="163"/>
        <v>0</v>
      </c>
      <c r="BF119" s="108">
        <f t="shared" si="164"/>
        <v>0</v>
      </c>
      <c r="BG119" s="25" t="e">
        <f t="shared" si="165"/>
        <v>#N/A</v>
      </c>
      <c r="BH119" s="25" t="e">
        <f t="shared" si="166"/>
        <v>#N/A</v>
      </c>
      <c r="BI119" s="25" t="e">
        <f t="shared" si="167"/>
        <v>#N/A</v>
      </c>
      <c r="BJ119" s="27" t="e">
        <f t="shared" si="168"/>
        <v>#N/A</v>
      </c>
      <c r="BK119" s="18" t="e">
        <f t="shared" si="169"/>
        <v>#N/A</v>
      </c>
      <c r="BL119" s="18" t="e">
        <f t="shared" si="170"/>
        <v>#N/A</v>
      </c>
      <c r="BM119" s="28" t="e">
        <f t="shared" si="233"/>
        <v>#N/A</v>
      </c>
      <c r="BN119" s="33">
        <f>HLOOKUP("maximum population",Miscelaneous!$C$1:$C$33,CH119+3,FALSE)</f>
        <v>240</v>
      </c>
      <c r="BO119" s="14">
        <f t="shared" si="182"/>
        <v>32</v>
      </c>
      <c r="BP119" s="14">
        <f t="shared" si="183"/>
        <v>0</v>
      </c>
      <c r="BQ119" s="14">
        <f t="shared" si="184"/>
        <v>208</v>
      </c>
      <c r="BR119" s="34" t="e">
        <f>HLOOKUP(J119,Villagers!$B$1:$V$33,L119+3,FALSE)-HLOOKUP(J119,Villagers!$B$1:$V$33,L119+2,FALSE)</f>
        <v>#N/A</v>
      </c>
      <c r="BS119" s="49">
        <f t="shared" si="185"/>
        <v>1</v>
      </c>
      <c r="BT119" s="50">
        <f t="shared" si="186"/>
        <v>0</v>
      </c>
      <c r="BU119" s="50">
        <f t="shared" si="187"/>
        <v>0</v>
      </c>
      <c r="BV119" s="50">
        <f t="shared" si="188"/>
        <v>0</v>
      </c>
      <c r="BW119" s="50">
        <f>IF($J118=BW$14,$L118,BW118)</f>
        <v>0</v>
      </c>
      <c r="BX119" s="50">
        <f t="shared" ref="BX119:BY127" si="290">IF($J118=BX$14,$L118,BX118)</f>
        <v>0</v>
      </c>
      <c r="BY119" s="50">
        <f t="shared" si="290"/>
        <v>0</v>
      </c>
      <c r="BZ119" s="50">
        <f t="shared" si="245"/>
        <v>0</v>
      </c>
      <c r="CA119" s="50">
        <f t="shared" si="246"/>
        <v>0</v>
      </c>
      <c r="CB119" s="50">
        <f t="shared" si="247"/>
        <v>1</v>
      </c>
      <c r="CC119" s="50">
        <f t="shared" si="248"/>
        <v>0</v>
      </c>
      <c r="CD119" s="50">
        <f t="shared" si="249"/>
        <v>0</v>
      </c>
      <c r="CE119" s="50">
        <f t="shared" si="250"/>
        <v>1</v>
      </c>
      <c r="CF119" s="50">
        <f t="shared" si="251"/>
        <v>1</v>
      </c>
      <c r="CG119" s="50">
        <f t="shared" si="252"/>
        <v>1</v>
      </c>
      <c r="CH119" s="50">
        <f t="shared" si="253"/>
        <v>1</v>
      </c>
      <c r="CI119" s="50">
        <f t="shared" si="254"/>
        <v>1</v>
      </c>
      <c r="CJ119" s="50">
        <f t="shared" si="255"/>
        <v>1</v>
      </c>
      <c r="CK119" s="50">
        <f t="shared" si="255"/>
        <v>0</v>
      </c>
      <c r="CL119" s="50">
        <f t="shared" si="255"/>
        <v>0</v>
      </c>
      <c r="CM119" s="51">
        <f t="shared" si="256"/>
        <v>0</v>
      </c>
      <c r="CN119" s="33">
        <f>ROUND(IF(BS119=0,0,HLOOKUP(BS$14,Villagers!$B$1:$V$33,BS119+3,FALSE)),)</f>
        <v>5</v>
      </c>
      <c r="CO119" s="14">
        <f>ROUND(IF(BT119=0,0,HLOOKUP(BT$14,Villagers!$B$1:$V$33,BT119+3,FALSE)),)</f>
        <v>0</v>
      </c>
      <c r="CP119" s="14">
        <f>ROUND(IF(BU119=0,0,HLOOKUP(BU$14,Villagers!$B$1:$V$33,BU119+3,FALSE)),)</f>
        <v>0</v>
      </c>
      <c r="CQ119" s="14">
        <f>ROUND(IF(BV119=0,0,HLOOKUP(BV$14,Villagers!$B$1:$V$33,BV119+3,FALSE)),)</f>
        <v>0</v>
      </c>
      <c r="CR119" s="14">
        <f>ROUND(IF(BW119=0,0,HLOOKUP(BW$14,Villagers!$B$1:$V$33,BW119+3,FALSE)),)</f>
        <v>0</v>
      </c>
      <c r="CS119" s="14">
        <f>ROUND(IF(BX119=0,0,HLOOKUP(BX$14,Villagers!$B$1:$V$33,BX119+3,FALSE)),)</f>
        <v>0</v>
      </c>
      <c r="CT119" s="14">
        <f>ROUND(IF(BY119=0,0,HLOOKUP(BY$14,Villagers!$B$1:$V$33,BY119+3,FALSE)),)</f>
        <v>0</v>
      </c>
      <c r="CU119" s="14">
        <f>ROUND(IF(BZ119=0,0,HLOOKUP(BZ$14,Villagers!$B$1:$V$33,BZ119+3,FALSE)),)</f>
        <v>0</v>
      </c>
      <c r="CV119" s="14">
        <f>ROUND(IF(CA119=0,0,HLOOKUP(CA$14,Villagers!$B$1:$V$33,CA119+3,FALSE)),)</f>
        <v>0</v>
      </c>
      <c r="CW119" s="14">
        <f>ROUND(IF(CB119=0,0,HLOOKUP(CB$14,Villagers!$B$1:$V$33,CB119+3,FALSE)),)</f>
        <v>0</v>
      </c>
      <c r="CX119" s="14">
        <f>ROUND(IF(CC119=0,0,HLOOKUP(CC$14,Villagers!$B$1:$V$33,CC119+3,FALSE)),)</f>
        <v>0</v>
      </c>
      <c r="CY119" s="14">
        <f>ROUND(IF(CD119=0,0,HLOOKUP(CD$14,Villagers!$B$1:$V$33,CD119+3,FALSE)),)</f>
        <v>0</v>
      </c>
      <c r="CZ119" s="14">
        <f>ROUND(IF(CE119=0,0,HLOOKUP(CE$14,Villagers!$B$1:$V$33,CE119+3,FALSE)),)</f>
        <v>5</v>
      </c>
      <c r="DA119" s="14">
        <f>ROUND(IF(CF119=0,0,HLOOKUP(CF$14,Villagers!$B$1:$V$33,CF119+3,FALSE)),)</f>
        <v>10</v>
      </c>
      <c r="DB119" s="14">
        <f>ROUND(IF(CG119=0,0,HLOOKUP(CG$14,Villagers!$B$1:$V$33,CG119+3,FALSE)),)</f>
        <v>10</v>
      </c>
      <c r="DC119" s="14">
        <f>ROUND(IF(CH119=0,0,HLOOKUP(CH$14,Villagers!$B$1:$V$33,CH119+3,FALSE)),)</f>
        <v>0</v>
      </c>
      <c r="DD119" s="14">
        <f>ROUND(IF(CI119=0,0,HLOOKUP(CI$14,Villagers!$B$1:$V$33,CI119+3,FALSE)),)</f>
        <v>0</v>
      </c>
      <c r="DE119" s="14">
        <f>ROUND(IF(CJ119=0,0,HLOOKUP(CJ$14,Villagers!$B$1:$V$33,CJ119+3,FALSE)),)</f>
        <v>2</v>
      </c>
      <c r="DF119" s="370">
        <f>ROUND(IF(CK119=0,0,HLOOKUP(CK$14,Villagers!$B$1:$V$33,CK119+3,FALSE)),)</f>
        <v>0</v>
      </c>
      <c r="DG119" s="370">
        <f>ROUND(IF(CL119=0,0,HLOOKUP(CL$14,Villagers!$B$1:$V$33,CL119+3,FALSE)),)</f>
        <v>0</v>
      </c>
      <c r="DH119" s="34">
        <f>ROUND(IF(CM119=0,0,HLOOKUP(CM$14,Villagers!$B$1:$V$33,CM119+3,FALSE)),)</f>
        <v>0</v>
      </c>
      <c r="DI119" s="109">
        <f t="shared" si="219"/>
        <v>0</v>
      </c>
      <c r="DJ119" s="50">
        <f t="shared" si="220"/>
        <v>0</v>
      </c>
      <c r="DK119" s="50">
        <f t="shared" si="221"/>
        <v>0</v>
      </c>
      <c r="DL119" s="50">
        <f t="shared" si="222"/>
        <v>0</v>
      </c>
      <c r="DM119" s="50">
        <f t="shared" si="223"/>
        <v>0</v>
      </c>
      <c r="DN119" s="50">
        <f t="shared" si="224"/>
        <v>0</v>
      </c>
      <c r="DO119" s="50">
        <f t="shared" si="225"/>
        <v>0</v>
      </c>
      <c r="DP119" s="50">
        <f t="shared" si="226"/>
        <v>0</v>
      </c>
      <c r="DQ119" s="50">
        <f t="shared" si="203"/>
        <v>0</v>
      </c>
      <c r="DR119" s="50">
        <f t="shared" si="204"/>
        <v>0</v>
      </c>
      <c r="DS119" s="96">
        <f>Miscelaneous!$D$4*Miscelaneous!$D$2^($CI119-1)</f>
        <v>1000</v>
      </c>
      <c r="DT119" s="333">
        <f t="shared" si="171"/>
        <v>1</v>
      </c>
      <c r="DU119" s="81">
        <v>1</v>
      </c>
      <c r="DV119" s="79">
        <f t="shared" si="205"/>
        <v>0</v>
      </c>
      <c r="DW119" s="79">
        <f t="shared" si="206"/>
        <v>0</v>
      </c>
      <c r="DX119" s="79">
        <f t="shared" si="207"/>
        <v>0</v>
      </c>
      <c r="DY119" s="79">
        <v>1</v>
      </c>
      <c r="DZ119" s="79">
        <f t="shared" si="208"/>
        <v>0</v>
      </c>
      <c r="EA119" s="79">
        <f t="shared" si="209"/>
        <v>0</v>
      </c>
      <c r="EB119" s="79">
        <f t="shared" si="210"/>
        <v>0</v>
      </c>
      <c r="EC119" s="79">
        <f t="shared" si="211"/>
        <v>0</v>
      </c>
      <c r="ED119" s="79">
        <v>1</v>
      </c>
      <c r="EE119" s="79">
        <v>1</v>
      </c>
      <c r="EF119" s="79">
        <f t="shared" si="212"/>
        <v>0</v>
      </c>
      <c r="EG119" s="79">
        <v>1</v>
      </c>
      <c r="EH119" s="79">
        <v>1</v>
      </c>
      <c r="EI119" s="79">
        <v>1</v>
      </c>
      <c r="EJ119" s="79">
        <v>1</v>
      </c>
      <c r="EK119" s="79">
        <v>1</v>
      </c>
      <c r="EL119" s="79">
        <v>1</v>
      </c>
      <c r="EM119" s="143">
        <f t="shared" si="213"/>
        <v>0</v>
      </c>
      <c r="EN119" s="143">
        <f t="shared" si="214"/>
        <v>0</v>
      </c>
      <c r="EO119" s="82">
        <f t="shared" si="215"/>
        <v>0</v>
      </c>
    </row>
    <row r="120" spans="1:145" x14ac:dyDescent="0.25">
      <c r="A120">
        <v>106</v>
      </c>
      <c r="B120" s="172" t="e">
        <f t="shared" si="172"/>
        <v>#N/A</v>
      </c>
      <c r="C120" s="121" t="e">
        <f t="shared" ref="C120:E120" si="291">AJ120-SUM(AB120:AB124)</f>
        <v>#N/A</v>
      </c>
      <c r="D120" s="122" t="e">
        <f t="shared" si="291"/>
        <v>#N/A</v>
      </c>
      <c r="E120" s="122" t="e">
        <f t="shared" si="291"/>
        <v>#N/A</v>
      </c>
      <c r="F120" s="176" t="e">
        <f t="shared" si="154"/>
        <v>#N/A</v>
      </c>
      <c r="G120" s="121">
        <f t="shared" si="174"/>
        <v>208</v>
      </c>
      <c r="H120" s="176" t="e">
        <f t="shared" si="175"/>
        <v>#N/A</v>
      </c>
      <c r="I120" s="48">
        <v>1</v>
      </c>
      <c r="J120" s="39"/>
      <c r="K120" s="350">
        <v>1</v>
      </c>
      <c r="L120" s="34" t="e">
        <f t="shared" si="155"/>
        <v>#N/A</v>
      </c>
      <c r="M120" s="38" t="e">
        <f>(HLOOKUP(J120,'Construction Times'!$B$3:$W$34,L120+2,FALSE)*HLOOKUP("hq modifier",'Construction Times'!$W$3:$W$34,BS120+2,FALSE))*(1-$H$9)</f>
        <v>#N/A</v>
      </c>
      <c r="N120" s="426" t="e">
        <f t="shared" si="176"/>
        <v>#N/A</v>
      </c>
      <c r="O120" s="427"/>
      <c r="P120" s="430" t="e">
        <f t="shared" si="177"/>
        <v>#N/A</v>
      </c>
      <c r="Q120" s="431"/>
      <c r="R120" s="103">
        <f t="shared" si="217"/>
        <v>0</v>
      </c>
      <c r="S120" s="104">
        <f t="shared" si="217"/>
        <v>0</v>
      </c>
      <c r="T120" s="104">
        <f t="shared" si="218"/>
        <v>0</v>
      </c>
      <c r="U120" s="104">
        <f t="shared" si="218"/>
        <v>0</v>
      </c>
      <c r="V120" s="104">
        <f t="shared" si="218"/>
        <v>9.9999999999999995E-8</v>
      </c>
      <c r="W120" s="104">
        <f t="shared" si="218"/>
        <v>0</v>
      </c>
      <c r="X120" s="104">
        <f t="shared" si="278"/>
        <v>0</v>
      </c>
      <c r="Y120" s="104">
        <f t="shared" si="278"/>
        <v>9.9999999999999995E-8</v>
      </c>
      <c r="Z120" s="104">
        <f t="shared" si="278"/>
        <v>9.9999999999999995E-8</v>
      </c>
      <c r="AA120" s="105">
        <f t="shared" si="278"/>
        <v>9.9999999999999995E-8</v>
      </c>
      <c r="AB120" s="101" t="e">
        <f>$DT120*HLOOKUP($J120,'Construction Costs (timber)'!$B$1:$V$32,'Construction Planner'!$L120+2,FALSE)</f>
        <v>#N/A</v>
      </c>
      <c r="AC120" s="14" t="e">
        <f>$DT120*HLOOKUP($J120,'Construction Costs (clay)'!$B$1:$V$32,'Construction Planner'!$L120+2,FALSE)</f>
        <v>#N/A</v>
      </c>
      <c r="AD120" s="14" t="e">
        <f>$DT120*HLOOKUP($J120,'Construction Costs (iron)'!$B$1:$V$32,'Construction Planner'!$L120+2,FALSE)</f>
        <v>#N/A</v>
      </c>
      <c r="AE120" s="34" t="e">
        <f t="shared" si="230"/>
        <v>#N/A</v>
      </c>
      <c r="AF120" s="33" t="e">
        <f t="shared" si="156"/>
        <v>#N/A</v>
      </c>
      <c r="AG120" s="14" t="e">
        <f t="shared" si="157"/>
        <v>#N/A</v>
      </c>
      <c r="AH120" s="14" t="e">
        <f t="shared" si="158"/>
        <v>#N/A</v>
      </c>
      <c r="AI120" s="34" t="e">
        <f t="shared" si="231"/>
        <v>#N/A</v>
      </c>
      <c r="AJ120" s="49" t="e">
        <f t="shared" si="178"/>
        <v>#N/A</v>
      </c>
      <c r="AK120" s="49" t="e">
        <f t="shared" si="179"/>
        <v>#N/A</v>
      </c>
      <c r="AL120" s="49" t="e">
        <f t="shared" si="180"/>
        <v>#N/A</v>
      </c>
      <c r="AM120" s="25">
        <f t="shared" si="159"/>
        <v>30</v>
      </c>
      <c r="AN120" s="25">
        <f t="shared" si="160"/>
        <v>30</v>
      </c>
      <c r="AO120" s="25">
        <f t="shared" si="161"/>
        <v>30</v>
      </c>
      <c r="AP120" s="52" t="e">
        <f t="shared" si="181"/>
        <v>#N/A</v>
      </c>
      <c r="AQ120" s="53" t="e">
        <f t="shared" si="181"/>
        <v>#N/A</v>
      </c>
      <c r="AR120" s="54" t="e">
        <f t="shared" si="181"/>
        <v>#N/A</v>
      </c>
      <c r="AS120" s="316">
        <f t="shared" si="286"/>
        <v>0</v>
      </c>
      <c r="AT120" s="106">
        <f>_xlfn.IFNA($M120/VLOOKUP($BT120,'Unit information'!$A$2:$K$29,2,FALSE)*R120,0)*(1+$E$9)</f>
        <v>0</v>
      </c>
      <c r="AU120" s="107">
        <f>_xlfn.IFNA($M120/VLOOKUP($BT120,'Unit information'!$A$2:$K$29,3,FALSE)*S120,0)*(1+$E$9)</f>
        <v>0</v>
      </c>
      <c r="AV120" s="107">
        <f>_xlfn.IFNA($M120/VLOOKUP($BT120,'Unit information'!$A$2:$K$29,4,FALSE)*T120,0)*(1+$E$9)</f>
        <v>0</v>
      </c>
      <c r="AW120" s="107">
        <f>_xlfn.IFNA($M120/VLOOKUP($BT120,'Unit information'!$A$2:$K$29,5,FALSE)*U120,0)*(1+$E$9)</f>
        <v>0</v>
      </c>
      <c r="AX120" s="107">
        <f>_xlfn.IFNA($M120/VLOOKUP($BU120,'Unit information'!$A$2:$K$29,6,FALSE)*V120,0)*(1+$E$9)</f>
        <v>0</v>
      </c>
      <c r="AY120" s="107">
        <f>_xlfn.IFNA($M120/VLOOKUP($BU120,'Unit information'!$A$2:$K$29,7,FALSE)*W120,0)*(1+$E$9)</f>
        <v>0</v>
      </c>
      <c r="AZ120" s="107">
        <f>_xlfn.IFNA($M120/VLOOKUP($BU120,'Unit information'!$A$2:$K$29,8,FALSE)*X120,0)*(1+$E$9)</f>
        <v>0</v>
      </c>
      <c r="BA120" s="107">
        <f>_xlfn.IFNA($M120/VLOOKUP($BU120,'Unit information'!$A$2:$K$29,9,FALSE)*Y120,0)*(1+$E$9)</f>
        <v>0</v>
      </c>
      <c r="BB120" s="107">
        <f>_xlfn.IFNA($M120/VLOOKUP($BV120,'Unit information'!$A$2:$K$29,10,FALSE)*Z120,0)*(1+$E$9)</f>
        <v>0</v>
      </c>
      <c r="BC120" s="108">
        <f>_xlfn.IFNA($M120/VLOOKUP($BV120,'Unit information'!$A$2:$K$29,11,FALSE)*AA120,0)*(1+$E$9)</f>
        <v>0</v>
      </c>
      <c r="BD120" s="106">
        <f t="shared" si="162"/>
        <v>0</v>
      </c>
      <c r="BE120" s="107">
        <f t="shared" si="163"/>
        <v>0</v>
      </c>
      <c r="BF120" s="108">
        <f t="shared" si="164"/>
        <v>0</v>
      </c>
      <c r="BG120" s="25" t="e">
        <f t="shared" si="165"/>
        <v>#N/A</v>
      </c>
      <c r="BH120" s="25" t="e">
        <f t="shared" si="166"/>
        <v>#N/A</v>
      </c>
      <c r="BI120" s="25" t="e">
        <f t="shared" si="167"/>
        <v>#N/A</v>
      </c>
      <c r="BJ120" s="27" t="e">
        <f t="shared" si="168"/>
        <v>#N/A</v>
      </c>
      <c r="BK120" s="18" t="e">
        <f t="shared" si="169"/>
        <v>#N/A</v>
      </c>
      <c r="BL120" s="18" t="e">
        <f t="shared" si="170"/>
        <v>#N/A</v>
      </c>
      <c r="BM120" s="28" t="e">
        <f t="shared" si="233"/>
        <v>#N/A</v>
      </c>
      <c r="BN120" s="33">
        <f>HLOOKUP("maximum population",Miscelaneous!$C$1:$C$33,CH120+3,FALSE)</f>
        <v>240</v>
      </c>
      <c r="BO120" s="14">
        <f t="shared" si="182"/>
        <v>32</v>
      </c>
      <c r="BP120" s="14">
        <f t="shared" si="183"/>
        <v>0</v>
      </c>
      <c r="BQ120" s="14">
        <f t="shared" si="184"/>
        <v>208</v>
      </c>
      <c r="BR120" s="34" t="e">
        <f>HLOOKUP(J120,Villagers!$B$1:$V$33,L120+3,FALSE)-HLOOKUP(J120,Villagers!$B$1:$V$33,L120+2,FALSE)</f>
        <v>#N/A</v>
      </c>
      <c r="BS120" s="49">
        <f t="shared" si="185"/>
        <v>1</v>
      </c>
      <c r="BT120" s="50">
        <f t="shared" si="186"/>
        <v>0</v>
      </c>
      <c r="BU120" s="50">
        <f t="shared" si="187"/>
        <v>0</v>
      </c>
      <c r="BV120" s="50">
        <f t="shared" si="188"/>
        <v>0</v>
      </c>
      <c r="BW120" s="50">
        <f t="shared" ref="BW120:BW127" si="292">IF($J119=BW$14,$L119,BW119)</f>
        <v>0</v>
      </c>
      <c r="BX120" s="50">
        <f t="shared" si="290"/>
        <v>0</v>
      </c>
      <c r="BY120" s="50">
        <f t="shared" si="290"/>
        <v>0</v>
      </c>
      <c r="BZ120" s="50">
        <f t="shared" si="245"/>
        <v>0</v>
      </c>
      <c r="CA120" s="50">
        <f t="shared" si="246"/>
        <v>0</v>
      </c>
      <c r="CB120" s="50">
        <f t="shared" si="247"/>
        <v>1</v>
      </c>
      <c r="CC120" s="50">
        <f t="shared" si="248"/>
        <v>0</v>
      </c>
      <c r="CD120" s="50">
        <f t="shared" si="249"/>
        <v>0</v>
      </c>
      <c r="CE120" s="50">
        <f t="shared" si="250"/>
        <v>1</v>
      </c>
      <c r="CF120" s="50">
        <f t="shared" si="251"/>
        <v>1</v>
      </c>
      <c r="CG120" s="50">
        <f t="shared" si="252"/>
        <v>1</v>
      </c>
      <c r="CH120" s="50">
        <f t="shared" si="253"/>
        <v>1</v>
      </c>
      <c r="CI120" s="50">
        <f t="shared" si="254"/>
        <v>1</v>
      </c>
      <c r="CJ120" s="50">
        <f t="shared" si="255"/>
        <v>1</v>
      </c>
      <c r="CK120" s="50">
        <f t="shared" si="255"/>
        <v>0</v>
      </c>
      <c r="CL120" s="50">
        <f t="shared" si="255"/>
        <v>0</v>
      </c>
      <c r="CM120" s="51">
        <f t="shared" si="256"/>
        <v>0</v>
      </c>
      <c r="CN120" s="33">
        <f>ROUND(IF(BS120=0,0,HLOOKUP(BS$14,Villagers!$B$1:$V$33,BS120+3,FALSE)),)</f>
        <v>5</v>
      </c>
      <c r="CO120" s="14">
        <f>ROUND(IF(BT120=0,0,HLOOKUP(BT$14,Villagers!$B$1:$V$33,BT120+3,FALSE)),)</f>
        <v>0</v>
      </c>
      <c r="CP120" s="14">
        <f>ROUND(IF(BU120=0,0,HLOOKUP(BU$14,Villagers!$B$1:$V$33,BU120+3,FALSE)),)</f>
        <v>0</v>
      </c>
      <c r="CQ120" s="14">
        <f>ROUND(IF(BV120=0,0,HLOOKUP(BV$14,Villagers!$B$1:$V$33,BV120+3,FALSE)),)</f>
        <v>0</v>
      </c>
      <c r="CR120" s="14">
        <f>ROUND(IF(BW120=0,0,HLOOKUP(BW$14,Villagers!$B$1:$V$33,BW120+3,FALSE)),)</f>
        <v>0</v>
      </c>
      <c r="CS120" s="14">
        <f>ROUND(IF(BX120=0,0,HLOOKUP(BX$14,Villagers!$B$1:$V$33,BX120+3,FALSE)),)</f>
        <v>0</v>
      </c>
      <c r="CT120" s="14">
        <f>ROUND(IF(BY120=0,0,HLOOKUP(BY$14,Villagers!$B$1:$V$33,BY120+3,FALSE)),)</f>
        <v>0</v>
      </c>
      <c r="CU120" s="14">
        <f>ROUND(IF(BZ120=0,0,HLOOKUP(BZ$14,Villagers!$B$1:$V$33,BZ120+3,FALSE)),)</f>
        <v>0</v>
      </c>
      <c r="CV120" s="14">
        <f>ROUND(IF(CA120=0,0,HLOOKUP(CA$14,Villagers!$B$1:$V$33,CA120+3,FALSE)),)</f>
        <v>0</v>
      </c>
      <c r="CW120" s="14">
        <f>ROUND(IF(CB120=0,0,HLOOKUP(CB$14,Villagers!$B$1:$V$33,CB120+3,FALSE)),)</f>
        <v>0</v>
      </c>
      <c r="CX120" s="14">
        <f>ROUND(IF(CC120=0,0,HLOOKUP(CC$14,Villagers!$B$1:$V$33,CC120+3,FALSE)),)</f>
        <v>0</v>
      </c>
      <c r="CY120" s="14">
        <f>ROUND(IF(CD120=0,0,HLOOKUP(CD$14,Villagers!$B$1:$V$33,CD120+3,FALSE)),)</f>
        <v>0</v>
      </c>
      <c r="CZ120" s="14">
        <f>ROUND(IF(CE120=0,0,HLOOKUP(CE$14,Villagers!$B$1:$V$33,CE120+3,FALSE)),)</f>
        <v>5</v>
      </c>
      <c r="DA120" s="14">
        <f>ROUND(IF(CF120=0,0,HLOOKUP(CF$14,Villagers!$B$1:$V$33,CF120+3,FALSE)),)</f>
        <v>10</v>
      </c>
      <c r="DB120" s="14">
        <f>ROUND(IF(CG120=0,0,HLOOKUP(CG$14,Villagers!$B$1:$V$33,CG120+3,FALSE)),)</f>
        <v>10</v>
      </c>
      <c r="DC120" s="14">
        <f>ROUND(IF(CH120=0,0,HLOOKUP(CH$14,Villagers!$B$1:$V$33,CH120+3,FALSE)),)</f>
        <v>0</v>
      </c>
      <c r="DD120" s="14">
        <f>ROUND(IF(CI120=0,0,HLOOKUP(CI$14,Villagers!$B$1:$V$33,CI120+3,FALSE)),)</f>
        <v>0</v>
      </c>
      <c r="DE120" s="14">
        <f>ROUND(IF(CJ120=0,0,HLOOKUP(CJ$14,Villagers!$B$1:$V$33,CJ120+3,FALSE)),)</f>
        <v>2</v>
      </c>
      <c r="DF120" s="370">
        <f>ROUND(IF(CK120=0,0,HLOOKUP(CK$14,Villagers!$B$1:$V$33,CK120+3,FALSE)),)</f>
        <v>0</v>
      </c>
      <c r="DG120" s="370">
        <f>ROUND(IF(CL120=0,0,HLOOKUP(CL$14,Villagers!$B$1:$V$33,CL120+3,FALSE)),)</f>
        <v>0</v>
      </c>
      <c r="DH120" s="34">
        <f>ROUND(IF(CM120=0,0,HLOOKUP(CM$14,Villagers!$B$1:$V$33,CM120+3,FALSE)),)</f>
        <v>0</v>
      </c>
      <c r="DI120" s="109">
        <f t="shared" si="219"/>
        <v>0</v>
      </c>
      <c r="DJ120" s="50">
        <f t="shared" si="220"/>
        <v>0</v>
      </c>
      <c r="DK120" s="50">
        <f t="shared" si="221"/>
        <v>0</v>
      </c>
      <c r="DL120" s="50">
        <f t="shared" si="222"/>
        <v>0</v>
      </c>
      <c r="DM120" s="50">
        <f t="shared" si="223"/>
        <v>0</v>
      </c>
      <c r="DN120" s="50">
        <f t="shared" si="224"/>
        <v>0</v>
      </c>
      <c r="DO120" s="50">
        <f t="shared" si="225"/>
        <v>0</v>
      </c>
      <c r="DP120" s="50">
        <f t="shared" si="226"/>
        <v>0</v>
      </c>
      <c r="DQ120" s="50">
        <f t="shared" si="203"/>
        <v>0</v>
      </c>
      <c r="DR120" s="50">
        <f t="shared" si="204"/>
        <v>0</v>
      </c>
      <c r="DS120" s="96">
        <f>Miscelaneous!$D$4*Miscelaneous!$D$2^($CI120-1)</f>
        <v>1000</v>
      </c>
      <c r="DT120" s="333">
        <f t="shared" si="171"/>
        <v>1</v>
      </c>
      <c r="DU120" s="81">
        <v>1</v>
      </c>
      <c r="DV120" s="79">
        <f t="shared" si="205"/>
        <v>0</v>
      </c>
      <c r="DW120" s="79">
        <f t="shared" si="206"/>
        <v>0</v>
      </c>
      <c r="DX120" s="79">
        <f t="shared" si="207"/>
        <v>0</v>
      </c>
      <c r="DY120" s="79">
        <v>1</v>
      </c>
      <c r="DZ120" s="79">
        <f t="shared" si="208"/>
        <v>0</v>
      </c>
      <c r="EA120" s="79">
        <f t="shared" si="209"/>
        <v>0</v>
      </c>
      <c r="EB120" s="79">
        <f t="shared" si="210"/>
        <v>0</v>
      </c>
      <c r="EC120" s="79">
        <f t="shared" si="211"/>
        <v>0</v>
      </c>
      <c r="ED120" s="79">
        <v>1</v>
      </c>
      <c r="EE120" s="79">
        <v>1</v>
      </c>
      <c r="EF120" s="79">
        <f t="shared" si="212"/>
        <v>0</v>
      </c>
      <c r="EG120" s="79">
        <v>1</v>
      </c>
      <c r="EH120" s="79">
        <v>1</v>
      </c>
      <c r="EI120" s="79">
        <v>1</v>
      </c>
      <c r="EJ120" s="79">
        <v>1</v>
      </c>
      <c r="EK120" s="79">
        <v>1</v>
      </c>
      <c r="EL120" s="79">
        <v>1</v>
      </c>
      <c r="EM120" s="143">
        <f t="shared" si="213"/>
        <v>0</v>
      </c>
      <c r="EN120" s="143">
        <f t="shared" si="214"/>
        <v>0</v>
      </c>
      <c r="EO120" s="82">
        <f t="shared" si="215"/>
        <v>0</v>
      </c>
    </row>
    <row r="121" spans="1:145" x14ac:dyDescent="0.25">
      <c r="A121">
        <v>107</v>
      </c>
      <c r="B121" s="172" t="e">
        <f t="shared" si="172"/>
        <v>#N/A</v>
      </c>
      <c r="C121" s="121" t="e">
        <f t="shared" ref="C121:E121" si="293">AJ121-SUM(AB121:AB125)</f>
        <v>#N/A</v>
      </c>
      <c r="D121" s="122" t="e">
        <f t="shared" si="293"/>
        <v>#N/A</v>
      </c>
      <c r="E121" s="122" t="e">
        <f t="shared" si="293"/>
        <v>#N/A</v>
      </c>
      <c r="F121" s="176" t="e">
        <f t="shared" si="154"/>
        <v>#N/A</v>
      </c>
      <c r="G121" s="121">
        <f t="shared" si="174"/>
        <v>208</v>
      </c>
      <c r="H121" s="176" t="e">
        <f t="shared" si="175"/>
        <v>#N/A</v>
      </c>
      <c r="I121" s="48">
        <v>1</v>
      </c>
      <c r="J121" s="39"/>
      <c r="K121" s="350">
        <v>1</v>
      </c>
      <c r="L121" s="34" t="e">
        <f t="shared" si="155"/>
        <v>#N/A</v>
      </c>
      <c r="M121" s="38" t="e">
        <f>(HLOOKUP(J121,'Construction Times'!$B$3:$W$34,L121+2,FALSE)*HLOOKUP("hq modifier",'Construction Times'!$W$3:$W$34,BS121+2,FALSE))*(1-$H$9)</f>
        <v>#N/A</v>
      </c>
      <c r="N121" s="426" t="e">
        <f t="shared" si="176"/>
        <v>#N/A</v>
      </c>
      <c r="O121" s="427"/>
      <c r="P121" s="430" t="e">
        <f t="shared" si="177"/>
        <v>#N/A</v>
      </c>
      <c r="Q121" s="431"/>
      <c r="R121" s="103">
        <f t="shared" si="217"/>
        <v>0</v>
      </c>
      <c r="S121" s="104">
        <f t="shared" si="217"/>
        <v>0</v>
      </c>
      <c r="T121" s="104">
        <f t="shared" si="218"/>
        <v>0</v>
      </c>
      <c r="U121" s="104">
        <f t="shared" si="218"/>
        <v>0</v>
      </c>
      <c r="V121" s="104">
        <f t="shared" si="218"/>
        <v>9.9999999999999995E-8</v>
      </c>
      <c r="W121" s="104">
        <f t="shared" si="218"/>
        <v>0</v>
      </c>
      <c r="X121" s="104">
        <f t="shared" si="278"/>
        <v>0</v>
      </c>
      <c r="Y121" s="104">
        <f t="shared" si="278"/>
        <v>9.9999999999999995E-8</v>
      </c>
      <c r="Z121" s="104">
        <f t="shared" si="278"/>
        <v>9.9999999999999995E-8</v>
      </c>
      <c r="AA121" s="105">
        <f t="shared" si="278"/>
        <v>9.9999999999999995E-8</v>
      </c>
      <c r="AB121" s="101" t="e">
        <f>$DT121*HLOOKUP($J121,'Construction Costs (timber)'!$B$1:$V$32,'Construction Planner'!$L121+2,FALSE)</f>
        <v>#N/A</v>
      </c>
      <c r="AC121" s="14" t="e">
        <f>$DT121*HLOOKUP($J121,'Construction Costs (clay)'!$B$1:$V$32,'Construction Planner'!$L121+2,FALSE)</f>
        <v>#N/A</v>
      </c>
      <c r="AD121" s="14" t="e">
        <f>$DT121*HLOOKUP($J121,'Construction Costs (iron)'!$B$1:$V$32,'Construction Planner'!$L121+2,FALSE)</f>
        <v>#N/A</v>
      </c>
      <c r="AE121" s="34" t="e">
        <f t="shared" si="230"/>
        <v>#N/A</v>
      </c>
      <c r="AF121" s="33" t="e">
        <f t="shared" si="156"/>
        <v>#N/A</v>
      </c>
      <c r="AG121" s="14" t="e">
        <f t="shared" si="157"/>
        <v>#N/A</v>
      </c>
      <c r="AH121" s="14" t="e">
        <f t="shared" si="158"/>
        <v>#N/A</v>
      </c>
      <c r="AI121" s="34" t="e">
        <f t="shared" si="231"/>
        <v>#N/A</v>
      </c>
      <c r="AJ121" s="49" t="e">
        <f t="shared" si="178"/>
        <v>#N/A</v>
      </c>
      <c r="AK121" s="49" t="e">
        <f t="shared" si="179"/>
        <v>#N/A</v>
      </c>
      <c r="AL121" s="49" t="e">
        <f t="shared" si="180"/>
        <v>#N/A</v>
      </c>
      <c r="AM121" s="25">
        <f t="shared" si="159"/>
        <v>30</v>
      </c>
      <c r="AN121" s="25">
        <f t="shared" si="160"/>
        <v>30</v>
      </c>
      <c r="AO121" s="25">
        <f t="shared" si="161"/>
        <v>30</v>
      </c>
      <c r="AP121" s="52" t="e">
        <f t="shared" si="181"/>
        <v>#N/A</v>
      </c>
      <c r="AQ121" s="53" t="e">
        <f t="shared" si="181"/>
        <v>#N/A</v>
      </c>
      <c r="AR121" s="54" t="e">
        <f t="shared" si="181"/>
        <v>#N/A</v>
      </c>
      <c r="AS121" s="316">
        <f t="shared" si="286"/>
        <v>0</v>
      </c>
      <c r="AT121" s="106">
        <f>_xlfn.IFNA($M121/VLOOKUP($BT121,'Unit information'!$A$2:$K$29,2,FALSE)*R121,0)*(1+$E$9)</f>
        <v>0</v>
      </c>
      <c r="AU121" s="107">
        <f>_xlfn.IFNA($M121/VLOOKUP($BT121,'Unit information'!$A$2:$K$29,3,FALSE)*S121,0)*(1+$E$9)</f>
        <v>0</v>
      </c>
      <c r="AV121" s="107">
        <f>_xlfn.IFNA($M121/VLOOKUP($BT121,'Unit information'!$A$2:$K$29,4,FALSE)*T121,0)*(1+$E$9)</f>
        <v>0</v>
      </c>
      <c r="AW121" s="107">
        <f>_xlfn.IFNA($M121/VLOOKUP($BT121,'Unit information'!$A$2:$K$29,5,FALSE)*U121,0)*(1+$E$9)</f>
        <v>0</v>
      </c>
      <c r="AX121" s="107">
        <f>_xlfn.IFNA($M121/VLOOKUP($BU121,'Unit information'!$A$2:$K$29,6,FALSE)*V121,0)*(1+$E$9)</f>
        <v>0</v>
      </c>
      <c r="AY121" s="107">
        <f>_xlfn.IFNA($M121/VLOOKUP($BU121,'Unit information'!$A$2:$K$29,7,FALSE)*W121,0)*(1+$E$9)</f>
        <v>0</v>
      </c>
      <c r="AZ121" s="107">
        <f>_xlfn.IFNA($M121/VLOOKUP($BU121,'Unit information'!$A$2:$K$29,8,FALSE)*X121,0)*(1+$E$9)</f>
        <v>0</v>
      </c>
      <c r="BA121" s="107">
        <f>_xlfn.IFNA($M121/VLOOKUP($BU121,'Unit information'!$A$2:$K$29,9,FALSE)*Y121,0)*(1+$E$9)</f>
        <v>0</v>
      </c>
      <c r="BB121" s="107">
        <f>_xlfn.IFNA($M121/VLOOKUP($BV121,'Unit information'!$A$2:$K$29,10,FALSE)*Z121,0)*(1+$E$9)</f>
        <v>0</v>
      </c>
      <c r="BC121" s="108">
        <f>_xlfn.IFNA($M121/VLOOKUP($BV121,'Unit information'!$A$2:$K$29,11,FALSE)*AA121,0)*(1+$E$9)</f>
        <v>0</v>
      </c>
      <c r="BD121" s="106">
        <f t="shared" si="162"/>
        <v>0</v>
      </c>
      <c r="BE121" s="107">
        <f t="shared" si="163"/>
        <v>0</v>
      </c>
      <c r="BF121" s="108">
        <f t="shared" si="164"/>
        <v>0</v>
      </c>
      <c r="BG121" s="25" t="e">
        <f t="shared" si="165"/>
        <v>#N/A</v>
      </c>
      <c r="BH121" s="25" t="e">
        <f t="shared" si="166"/>
        <v>#N/A</v>
      </c>
      <c r="BI121" s="25" t="e">
        <f t="shared" si="167"/>
        <v>#N/A</v>
      </c>
      <c r="BJ121" s="27" t="e">
        <f t="shared" si="168"/>
        <v>#N/A</v>
      </c>
      <c r="BK121" s="18" t="e">
        <f t="shared" si="169"/>
        <v>#N/A</v>
      </c>
      <c r="BL121" s="18" t="e">
        <f t="shared" si="170"/>
        <v>#N/A</v>
      </c>
      <c r="BM121" s="28" t="e">
        <f t="shared" si="233"/>
        <v>#N/A</v>
      </c>
      <c r="BN121" s="33">
        <f>HLOOKUP("maximum population",Miscelaneous!$C$1:$C$33,CH121+3,FALSE)</f>
        <v>240</v>
      </c>
      <c r="BO121" s="14">
        <f t="shared" si="182"/>
        <v>32</v>
      </c>
      <c r="BP121" s="14">
        <f t="shared" si="183"/>
        <v>0</v>
      </c>
      <c r="BQ121" s="14">
        <f t="shared" si="184"/>
        <v>208</v>
      </c>
      <c r="BR121" s="34" t="e">
        <f>HLOOKUP(J121,Villagers!$B$1:$V$33,L121+3,FALSE)-HLOOKUP(J121,Villagers!$B$1:$V$33,L121+2,FALSE)</f>
        <v>#N/A</v>
      </c>
      <c r="BS121" s="49">
        <f t="shared" si="185"/>
        <v>1</v>
      </c>
      <c r="BT121" s="50">
        <f t="shared" si="186"/>
        <v>0</v>
      </c>
      <c r="BU121" s="50">
        <f t="shared" si="187"/>
        <v>0</v>
      </c>
      <c r="BV121" s="50">
        <f t="shared" si="188"/>
        <v>0</v>
      </c>
      <c r="BW121" s="50">
        <f t="shared" si="292"/>
        <v>0</v>
      </c>
      <c r="BX121" s="50">
        <f t="shared" si="290"/>
        <v>0</v>
      </c>
      <c r="BY121" s="50">
        <f t="shared" si="290"/>
        <v>0</v>
      </c>
      <c r="BZ121" s="50">
        <f t="shared" si="245"/>
        <v>0</v>
      </c>
      <c r="CA121" s="50">
        <f t="shared" si="246"/>
        <v>0</v>
      </c>
      <c r="CB121" s="50">
        <f t="shared" si="247"/>
        <v>1</v>
      </c>
      <c r="CC121" s="50">
        <f t="shared" si="248"/>
        <v>0</v>
      </c>
      <c r="CD121" s="50">
        <f t="shared" si="249"/>
        <v>0</v>
      </c>
      <c r="CE121" s="50">
        <f t="shared" si="250"/>
        <v>1</v>
      </c>
      <c r="CF121" s="50">
        <f t="shared" si="251"/>
        <v>1</v>
      </c>
      <c r="CG121" s="50">
        <f t="shared" si="252"/>
        <v>1</v>
      </c>
      <c r="CH121" s="50">
        <f t="shared" si="253"/>
        <v>1</v>
      </c>
      <c r="CI121" s="50">
        <f t="shared" si="254"/>
        <v>1</v>
      </c>
      <c r="CJ121" s="50">
        <f t="shared" si="255"/>
        <v>1</v>
      </c>
      <c r="CK121" s="50">
        <f t="shared" si="255"/>
        <v>0</v>
      </c>
      <c r="CL121" s="50">
        <f t="shared" si="255"/>
        <v>0</v>
      </c>
      <c r="CM121" s="51">
        <f t="shared" si="256"/>
        <v>0</v>
      </c>
      <c r="CN121" s="33">
        <f>ROUND(IF(BS121=0,0,HLOOKUP(BS$14,Villagers!$B$1:$V$33,BS121+3,FALSE)),)</f>
        <v>5</v>
      </c>
      <c r="CO121" s="14">
        <f>ROUND(IF(BT121=0,0,HLOOKUP(BT$14,Villagers!$B$1:$V$33,BT121+3,FALSE)),)</f>
        <v>0</v>
      </c>
      <c r="CP121" s="14">
        <f>ROUND(IF(BU121=0,0,HLOOKUP(BU$14,Villagers!$B$1:$V$33,BU121+3,FALSE)),)</f>
        <v>0</v>
      </c>
      <c r="CQ121" s="14">
        <f>ROUND(IF(BV121=0,0,HLOOKUP(BV$14,Villagers!$B$1:$V$33,BV121+3,FALSE)),)</f>
        <v>0</v>
      </c>
      <c r="CR121" s="14">
        <f>ROUND(IF(BW121=0,0,HLOOKUP(BW$14,Villagers!$B$1:$V$33,BW121+3,FALSE)),)</f>
        <v>0</v>
      </c>
      <c r="CS121" s="14">
        <f>ROUND(IF(BX121=0,0,HLOOKUP(BX$14,Villagers!$B$1:$V$33,BX121+3,FALSE)),)</f>
        <v>0</v>
      </c>
      <c r="CT121" s="14">
        <f>ROUND(IF(BY121=0,0,HLOOKUP(BY$14,Villagers!$B$1:$V$33,BY121+3,FALSE)),)</f>
        <v>0</v>
      </c>
      <c r="CU121" s="14">
        <f>ROUND(IF(BZ121=0,0,HLOOKUP(BZ$14,Villagers!$B$1:$V$33,BZ121+3,FALSE)),)</f>
        <v>0</v>
      </c>
      <c r="CV121" s="14">
        <f>ROUND(IF(CA121=0,0,HLOOKUP(CA$14,Villagers!$B$1:$V$33,CA121+3,FALSE)),)</f>
        <v>0</v>
      </c>
      <c r="CW121" s="14">
        <f>ROUND(IF(CB121=0,0,HLOOKUP(CB$14,Villagers!$B$1:$V$33,CB121+3,FALSE)),)</f>
        <v>0</v>
      </c>
      <c r="CX121" s="14">
        <f>ROUND(IF(CC121=0,0,HLOOKUP(CC$14,Villagers!$B$1:$V$33,CC121+3,FALSE)),)</f>
        <v>0</v>
      </c>
      <c r="CY121" s="14">
        <f>ROUND(IF(CD121=0,0,HLOOKUP(CD$14,Villagers!$B$1:$V$33,CD121+3,FALSE)),)</f>
        <v>0</v>
      </c>
      <c r="CZ121" s="14">
        <f>ROUND(IF(CE121=0,0,HLOOKUP(CE$14,Villagers!$B$1:$V$33,CE121+3,FALSE)),)</f>
        <v>5</v>
      </c>
      <c r="DA121" s="14">
        <f>ROUND(IF(CF121=0,0,HLOOKUP(CF$14,Villagers!$B$1:$V$33,CF121+3,FALSE)),)</f>
        <v>10</v>
      </c>
      <c r="DB121" s="14">
        <f>ROUND(IF(CG121=0,0,HLOOKUP(CG$14,Villagers!$B$1:$V$33,CG121+3,FALSE)),)</f>
        <v>10</v>
      </c>
      <c r="DC121" s="14">
        <f>ROUND(IF(CH121=0,0,HLOOKUP(CH$14,Villagers!$B$1:$V$33,CH121+3,FALSE)),)</f>
        <v>0</v>
      </c>
      <c r="DD121" s="14">
        <f>ROUND(IF(CI121=0,0,HLOOKUP(CI$14,Villagers!$B$1:$V$33,CI121+3,FALSE)),)</f>
        <v>0</v>
      </c>
      <c r="DE121" s="14">
        <f>ROUND(IF(CJ121=0,0,HLOOKUP(CJ$14,Villagers!$B$1:$V$33,CJ121+3,FALSE)),)</f>
        <v>2</v>
      </c>
      <c r="DF121" s="370">
        <f>ROUND(IF(CK121=0,0,HLOOKUP(CK$14,Villagers!$B$1:$V$33,CK121+3,FALSE)),)</f>
        <v>0</v>
      </c>
      <c r="DG121" s="370">
        <f>ROUND(IF(CL121=0,0,HLOOKUP(CL$14,Villagers!$B$1:$V$33,CL121+3,FALSE)),)</f>
        <v>0</v>
      </c>
      <c r="DH121" s="34">
        <f>ROUND(IF(CM121=0,0,HLOOKUP(CM$14,Villagers!$B$1:$V$33,CM121+3,FALSE)),)</f>
        <v>0</v>
      </c>
      <c r="DI121" s="109">
        <f t="shared" si="219"/>
        <v>0</v>
      </c>
      <c r="DJ121" s="50">
        <f t="shared" si="220"/>
        <v>0</v>
      </c>
      <c r="DK121" s="50">
        <f t="shared" si="221"/>
        <v>0</v>
      </c>
      <c r="DL121" s="50">
        <f t="shared" si="222"/>
        <v>0</v>
      </c>
      <c r="DM121" s="50">
        <f t="shared" si="223"/>
        <v>0</v>
      </c>
      <c r="DN121" s="50">
        <f t="shared" si="224"/>
        <v>0</v>
      </c>
      <c r="DO121" s="50">
        <f t="shared" si="225"/>
        <v>0</v>
      </c>
      <c r="DP121" s="50">
        <f t="shared" si="226"/>
        <v>0</v>
      </c>
      <c r="DQ121" s="50">
        <f t="shared" si="203"/>
        <v>0</v>
      </c>
      <c r="DR121" s="50">
        <f t="shared" si="204"/>
        <v>0</v>
      </c>
      <c r="DS121" s="96">
        <f>Miscelaneous!$D$4*Miscelaneous!$D$2^($CI121-1)</f>
        <v>1000</v>
      </c>
      <c r="DT121" s="333">
        <f t="shared" si="171"/>
        <v>1</v>
      </c>
      <c r="DU121" s="81">
        <v>1</v>
      </c>
      <c r="DV121" s="79">
        <f t="shared" si="205"/>
        <v>0</v>
      </c>
      <c r="DW121" s="79">
        <f t="shared" si="206"/>
        <v>0</v>
      </c>
      <c r="DX121" s="79">
        <f t="shared" si="207"/>
        <v>0</v>
      </c>
      <c r="DY121" s="79">
        <v>1</v>
      </c>
      <c r="DZ121" s="79">
        <f t="shared" si="208"/>
        <v>0</v>
      </c>
      <c r="EA121" s="79">
        <f t="shared" si="209"/>
        <v>0</v>
      </c>
      <c r="EB121" s="79">
        <f t="shared" si="210"/>
        <v>0</v>
      </c>
      <c r="EC121" s="79">
        <f t="shared" si="211"/>
        <v>0</v>
      </c>
      <c r="ED121" s="79">
        <v>1</v>
      </c>
      <c r="EE121" s="79">
        <v>1</v>
      </c>
      <c r="EF121" s="79">
        <f t="shared" si="212"/>
        <v>0</v>
      </c>
      <c r="EG121" s="79">
        <v>1</v>
      </c>
      <c r="EH121" s="79">
        <v>1</v>
      </c>
      <c r="EI121" s="79">
        <v>1</v>
      </c>
      <c r="EJ121" s="79">
        <v>1</v>
      </c>
      <c r="EK121" s="79">
        <v>1</v>
      </c>
      <c r="EL121" s="79">
        <v>1</v>
      </c>
      <c r="EM121" s="143">
        <f t="shared" si="213"/>
        <v>0</v>
      </c>
      <c r="EN121" s="143">
        <f t="shared" si="214"/>
        <v>0</v>
      </c>
      <c r="EO121" s="82">
        <f t="shared" si="215"/>
        <v>0</v>
      </c>
    </row>
    <row r="122" spans="1:145" x14ac:dyDescent="0.25">
      <c r="A122">
        <v>108</v>
      </c>
      <c r="B122" s="172" t="e">
        <f t="shared" si="172"/>
        <v>#N/A</v>
      </c>
      <c r="C122" s="121" t="e">
        <f t="shared" ref="C122:E122" si="294">AJ122-SUM(AB122:AB126)</f>
        <v>#N/A</v>
      </c>
      <c r="D122" s="122" t="e">
        <f t="shared" si="294"/>
        <v>#N/A</v>
      </c>
      <c r="E122" s="122" t="e">
        <f t="shared" si="294"/>
        <v>#N/A</v>
      </c>
      <c r="F122" s="176" t="e">
        <f t="shared" si="154"/>
        <v>#N/A</v>
      </c>
      <c r="G122" s="121">
        <f t="shared" si="174"/>
        <v>208</v>
      </c>
      <c r="H122" s="176" t="e">
        <f t="shared" si="175"/>
        <v>#N/A</v>
      </c>
      <c r="I122" s="48">
        <v>1</v>
      </c>
      <c r="J122" s="39"/>
      <c r="K122" s="350">
        <v>1</v>
      </c>
      <c r="L122" s="34" t="e">
        <f t="shared" si="155"/>
        <v>#N/A</v>
      </c>
      <c r="M122" s="38" t="e">
        <f>(HLOOKUP(J122,'Construction Times'!$B$3:$W$34,L122+2,FALSE)*HLOOKUP("hq modifier",'Construction Times'!$W$3:$W$34,BS122+2,FALSE))*(1-$H$9)</f>
        <v>#N/A</v>
      </c>
      <c r="N122" s="426" t="e">
        <f t="shared" si="176"/>
        <v>#N/A</v>
      </c>
      <c r="O122" s="427"/>
      <c r="P122" s="430" t="e">
        <f t="shared" si="177"/>
        <v>#N/A</v>
      </c>
      <c r="Q122" s="431"/>
      <c r="R122" s="103">
        <f t="shared" si="217"/>
        <v>0</v>
      </c>
      <c r="S122" s="104">
        <f t="shared" si="217"/>
        <v>0</v>
      </c>
      <c r="T122" s="104">
        <f t="shared" si="218"/>
        <v>0</v>
      </c>
      <c r="U122" s="104">
        <f t="shared" si="218"/>
        <v>0</v>
      </c>
      <c r="V122" s="104">
        <f t="shared" si="218"/>
        <v>9.9999999999999995E-8</v>
      </c>
      <c r="W122" s="104">
        <f t="shared" si="218"/>
        <v>0</v>
      </c>
      <c r="X122" s="104">
        <f t="shared" si="278"/>
        <v>0</v>
      </c>
      <c r="Y122" s="104">
        <f t="shared" si="278"/>
        <v>9.9999999999999995E-8</v>
      </c>
      <c r="Z122" s="104">
        <f t="shared" si="278"/>
        <v>9.9999999999999995E-8</v>
      </c>
      <c r="AA122" s="105">
        <f t="shared" si="278"/>
        <v>9.9999999999999995E-8</v>
      </c>
      <c r="AB122" s="101" t="e">
        <f>$DT122*HLOOKUP($J122,'Construction Costs (timber)'!$B$1:$V$32,'Construction Planner'!$L122+2,FALSE)</f>
        <v>#N/A</v>
      </c>
      <c r="AC122" s="14" t="e">
        <f>$DT122*HLOOKUP($J122,'Construction Costs (clay)'!$B$1:$V$32,'Construction Planner'!$L122+2,FALSE)</f>
        <v>#N/A</v>
      </c>
      <c r="AD122" s="14" t="e">
        <f>$DT122*HLOOKUP($J122,'Construction Costs (iron)'!$B$1:$V$32,'Construction Planner'!$L122+2,FALSE)</f>
        <v>#N/A</v>
      </c>
      <c r="AE122" s="34" t="e">
        <f t="shared" si="230"/>
        <v>#N/A</v>
      </c>
      <c r="AF122" s="33" t="e">
        <f t="shared" si="156"/>
        <v>#N/A</v>
      </c>
      <c r="AG122" s="14" t="e">
        <f t="shared" si="157"/>
        <v>#N/A</v>
      </c>
      <c r="AH122" s="14" t="e">
        <f t="shared" si="158"/>
        <v>#N/A</v>
      </c>
      <c r="AI122" s="34" t="e">
        <f t="shared" si="231"/>
        <v>#N/A</v>
      </c>
      <c r="AJ122" s="49" t="e">
        <f t="shared" si="178"/>
        <v>#N/A</v>
      </c>
      <c r="AK122" s="49" t="e">
        <f t="shared" si="179"/>
        <v>#N/A</v>
      </c>
      <c r="AL122" s="49" t="e">
        <f t="shared" si="180"/>
        <v>#N/A</v>
      </c>
      <c r="AM122" s="25">
        <f t="shared" si="159"/>
        <v>30</v>
      </c>
      <c r="AN122" s="25">
        <f t="shared" si="160"/>
        <v>30</v>
      </c>
      <c r="AO122" s="25">
        <f t="shared" si="161"/>
        <v>30</v>
      </c>
      <c r="AP122" s="52" t="e">
        <f t="shared" si="181"/>
        <v>#N/A</v>
      </c>
      <c r="AQ122" s="53" t="e">
        <f t="shared" si="181"/>
        <v>#N/A</v>
      </c>
      <c r="AR122" s="54" t="e">
        <f t="shared" si="181"/>
        <v>#N/A</v>
      </c>
      <c r="AS122" s="316">
        <f t="shared" si="286"/>
        <v>0</v>
      </c>
      <c r="AT122" s="106">
        <f>_xlfn.IFNA($M122/VLOOKUP($BT122,'Unit information'!$A$2:$K$29,2,FALSE)*R122,0)*(1+$E$9)</f>
        <v>0</v>
      </c>
      <c r="AU122" s="107">
        <f>_xlfn.IFNA($M122/VLOOKUP($BT122,'Unit information'!$A$2:$K$29,3,FALSE)*S122,0)*(1+$E$9)</f>
        <v>0</v>
      </c>
      <c r="AV122" s="107">
        <f>_xlfn.IFNA($M122/VLOOKUP($BT122,'Unit information'!$A$2:$K$29,4,FALSE)*T122,0)*(1+$E$9)</f>
        <v>0</v>
      </c>
      <c r="AW122" s="107">
        <f>_xlfn.IFNA($M122/VLOOKUP($BT122,'Unit information'!$A$2:$K$29,5,FALSE)*U122,0)*(1+$E$9)</f>
        <v>0</v>
      </c>
      <c r="AX122" s="107">
        <f>_xlfn.IFNA($M122/VLOOKUP($BU122,'Unit information'!$A$2:$K$29,6,FALSE)*V122,0)*(1+$E$9)</f>
        <v>0</v>
      </c>
      <c r="AY122" s="107">
        <f>_xlfn.IFNA($M122/VLOOKUP($BU122,'Unit information'!$A$2:$K$29,7,FALSE)*W122,0)*(1+$E$9)</f>
        <v>0</v>
      </c>
      <c r="AZ122" s="107">
        <f>_xlfn.IFNA($M122/VLOOKUP($BU122,'Unit information'!$A$2:$K$29,8,FALSE)*X122,0)*(1+$E$9)</f>
        <v>0</v>
      </c>
      <c r="BA122" s="107">
        <f>_xlfn.IFNA($M122/VLOOKUP($BU122,'Unit information'!$A$2:$K$29,9,FALSE)*Y122,0)*(1+$E$9)</f>
        <v>0</v>
      </c>
      <c r="BB122" s="107">
        <f>_xlfn.IFNA($M122/VLOOKUP($BV122,'Unit information'!$A$2:$K$29,10,FALSE)*Z122,0)*(1+$E$9)</f>
        <v>0</v>
      </c>
      <c r="BC122" s="108">
        <f>_xlfn.IFNA($M122/VLOOKUP($BV122,'Unit information'!$A$2:$K$29,11,FALSE)*AA122,0)*(1+$E$9)</f>
        <v>0</v>
      </c>
      <c r="BD122" s="106">
        <f t="shared" si="162"/>
        <v>0</v>
      </c>
      <c r="BE122" s="107">
        <f t="shared" si="163"/>
        <v>0</v>
      </c>
      <c r="BF122" s="108">
        <f t="shared" si="164"/>
        <v>0</v>
      </c>
      <c r="BG122" s="25" t="e">
        <f t="shared" si="165"/>
        <v>#N/A</v>
      </c>
      <c r="BH122" s="25" t="e">
        <f t="shared" si="166"/>
        <v>#N/A</v>
      </c>
      <c r="BI122" s="25" t="e">
        <f t="shared" si="167"/>
        <v>#N/A</v>
      </c>
      <c r="BJ122" s="27" t="e">
        <f t="shared" si="168"/>
        <v>#N/A</v>
      </c>
      <c r="BK122" s="18" t="e">
        <f t="shared" si="169"/>
        <v>#N/A</v>
      </c>
      <c r="BL122" s="18" t="e">
        <f t="shared" si="170"/>
        <v>#N/A</v>
      </c>
      <c r="BM122" s="28" t="e">
        <f t="shared" si="233"/>
        <v>#N/A</v>
      </c>
      <c r="BN122" s="33">
        <f>HLOOKUP("maximum population",Miscelaneous!$C$1:$C$33,CH122+3,FALSE)</f>
        <v>240</v>
      </c>
      <c r="BO122" s="14">
        <f t="shared" si="182"/>
        <v>32</v>
      </c>
      <c r="BP122" s="14">
        <f t="shared" si="183"/>
        <v>0</v>
      </c>
      <c r="BQ122" s="14">
        <f t="shared" si="184"/>
        <v>208</v>
      </c>
      <c r="BR122" s="34" t="e">
        <f>HLOOKUP(J122,Villagers!$B$1:$V$33,L122+3,FALSE)-HLOOKUP(J122,Villagers!$B$1:$V$33,L122+2,FALSE)</f>
        <v>#N/A</v>
      </c>
      <c r="BS122" s="49">
        <f t="shared" si="185"/>
        <v>1</v>
      </c>
      <c r="BT122" s="50">
        <f t="shared" si="186"/>
        <v>0</v>
      </c>
      <c r="BU122" s="50">
        <f t="shared" si="187"/>
        <v>0</v>
      </c>
      <c r="BV122" s="50">
        <f t="shared" si="188"/>
        <v>0</v>
      </c>
      <c r="BW122" s="50">
        <f t="shared" si="292"/>
        <v>0</v>
      </c>
      <c r="BX122" s="50">
        <f t="shared" si="290"/>
        <v>0</v>
      </c>
      <c r="BY122" s="50">
        <f t="shared" si="290"/>
        <v>0</v>
      </c>
      <c r="BZ122" s="50">
        <f t="shared" si="245"/>
        <v>0</v>
      </c>
      <c r="CA122" s="50">
        <f t="shared" si="246"/>
        <v>0</v>
      </c>
      <c r="CB122" s="50">
        <f t="shared" si="247"/>
        <v>1</v>
      </c>
      <c r="CC122" s="50">
        <f t="shared" si="248"/>
        <v>0</v>
      </c>
      <c r="CD122" s="50">
        <f t="shared" si="249"/>
        <v>0</v>
      </c>
      <c r="CE122" s="50">
        <f t="shared" si="250"/>
        <v>1</v>
      </c>
      <c r="CF122" s="50">
        <f t="shared" si="251"/>
        <v>1</v>
      </c>
      <c r="CG122" s="50">
        <f t="shared" si="252"/>
        <v>1</v>
      </c>
      <c r="CH122" s="50">
        <f t="shared" si="253"/>
        <v>1</v>
      </c>
      <c r="CI122" s="50">
        <f t="shared" si="254"/>
        <v>1</v>
      </c>
      <c r="CJ122" s="50">
        <f t="shared" si="255"/>
        <v>1</v>
      </c>
      <c r="CK122" s="50">
        <f t="shared" si="255"/>
        <v>0</v>
      </c>
      <c r="CL122" s="50">
        <f t="shared" si="255"/>
        <v>0</v>
      </c>
      <c r="CM122" s="51">
        <f t="shared" si="256"/>
        <v>0</v>
      </c>
      <c r="CN122" s="33">
        <f>ROUND(IF(BS122=0,0,HLOOKUP(BS$14,Villagers!$B$1:$V$33,BS122+3,FALSE)),)</f>
        <v>5</v>
      </c>
      <c r="CO122" s="14">
        <f>ROUND(IF(BT122=0,0,HLOOKUP(BT$14,Villagers!$B$1:$V$33,BT122+3,FALSE)),)</f>
        <v>0</v>
      </c>
      <c r="CP122" s="14">
        <f>ROUND(IF(BU122=0,0,HLOOKUP(BU$14,Villagers!$B$1:$V$33,BU122+3,FALSE)),)</f>
        <v>0</v>
      </c>
      <c r="CQ122" s="14">
        <f>ROUND(IF(BV122=0,0,HLOOKUP(BV$14,Villagers!$B$1:$V$33,BV122+3,FALSE)),)</f>
        <v>0</v>
      </c>
      <c r="CR122" s="14">
        <f>ROUND(IF(BW122=0,0,HLOOKUP(BW$14,Villagers!$B$1:$V$33,BW122+3,FALSE)),)</f>
        <v>0</v>
      </c>
      <c r="CS122" s="14">
        <f>ROUND(IF(BX122=0,0,HLOOKUP(BX$14,Villagers!$B$1:$V$33,BX122+3,FALSE)),)</f>
        <v>0</v>
      </c>
      <c r="CT122" s="14">
        <f>ROUND(IF(BY122=0,0,HLOOKUP(BY$14,Villagers!$B$1:$V$33,BY122+3,FALSE)),)</f>
        <v>0</v>
      </c>
      <c r="CU122" s="14">
        <f>ROUND(IF(BZ122=0,0,HLOOKUP(BZ$14,Villagers!$B$1:$V$33,BZ122+3,FALSE)),)</f>
        <v>0</v>
      </c>
      <c r="CV122" s="14">
        <f>ROUND(IF(CA122=0,0,HLOOKUP(CA$14,Villagers!$B$1:$V$33,CA122+3,FALSE)),)</f>
        <v>0</v>
      </c>
      <c r="CW122" s="14">
        <f>ROUND(IF(CB122=0,0,HLOOKUP(CB$14,Villagers!$B$1:$V$33,CB122+3,FALSE)),)</f>
        <v>0</v>
      </c>
      <c r="CX122" s="14">
        <f>ROUND(IF(CC122=0,0,HLOOKUP(CC$14,Villagers!$B$1:$V$33,CC122+3,FALSE)),)</f>
        <v>0</v>
      </c>
      <c r="CY122" s="14">
        <f>ROUND(IF(CD122=0,0,HLOOKUP(CD$14,Villagers!$B$1:$V$33,CD122+3,FALSE)),)</f>
        <v>0</v>
      </c>
      <c r="CZ122" s="14">
        <f>ROUND(IF(CE122=0,0,HLOOKUP(CE$14,Villagers!$B$1:$V$33,CE122+3,FALSE)),)</f>
        <v>5</v>
      </c>
      <c r="DA122" s="14">
        <f>ROUND(IF(CF122=0,0,HLOOKUP(CF$14,Villagers!$B$1:$V$33,CF122+3,FALSE)),)</f>
        <v>10</v>
      </c>
      <c r="DB122" s="14">
        <f>ROUND(IF(CG122=0,0,HLOOKUP(CG$14,Villagers!$B$1:$V$33,CG122+3,FALSE)),)</f>
        <v>10</v>
      </c>
      <c r="DC122" s="14">
        <f>ROUND(IF(CH122=0,0,HLOOKUP(CH$14,Villagers!$B$1:$V$33,CH122+3,FALSE)),)</f>
        <v>0</v>
      </c>
      <c r="DD122" s="14">
        <f>ROUND(IF(CI122=0,0,HLOOKUP(CI$14,Villagers!$B$1:$V$33,CI122+3,FALSE)),)</f>
        <v>0</v>
      </c>
      <c r="DE122" s="14">
        <f>ROUND(IF(CJ122=0,0,HLOOKUP(CJ$14,Villagers!$B$1:$V$33,CJ122+3,FALSE)),)</f>
        <v>2</v>
      </c>
      <c r="DF122" s="370">
        <f>ROUND(IF(CK122=0,0,HLOOKUP(CK$14,Villagers!$B$1:$V$33,CK122+3,FALSE)),)</f>
        <v>0</v>
      </c>
      <c r="DG122" s="370">
        <f>ROUND(IF(CL122=0,0,HLOOKUP(CL$14,Villagers!$B$1:$V$33,CL122+3,FALSE)),)</f>
        <v>0</v>
      </c>
      <c r="DH122" s="34">
        <f>ROUND(IF(CM122=0,0,HLOOKUP(CM$14,Villagers!$B$1:$V$33,CM122+3,FALSE)),)</f>
        <v>0</v>
      </c>
      <c r="DI122" s="109">
        <f t="shared" si="219"/>
        <v>0</v>
      </c>
      <c r="DJ122" s="50">
        <f t="shared" si="220"/>
        <v>0</v>
      </c>
      <c r="DK122" s="50">
        <f t="shared" si="221"/>
        <v>0</v>
      </c>
      <c r="DL122" s="50">
        <f t="shared" si="222"/>
        <v>0</v>
      </c>
      <c r="DM122" s="50">
        <f t="shared" si="223"/>
        <v>0</v>
      </c>
      <c r="DN122" s="50">
        <f t="shared" si="224"/>
        <v>0</v>
      </c>
      <c r="DO122" s="50">
        <f t="shared" si="225"/>
        <v>0</v>
      </c>
      <c r="DP122" s="50">
        <f t="shared" si="226"/>
        <v>0</v>
      </c>
      <c r="DQ122" s="50">
        <f t="shared" si="203"/>
        <v>0</v>
      </c>
      <c r="DR122" s="50">
        <f t="shared" si="204"/>
        <v>0</v>
      </c>
      <c r="DS122" s="96">
        <f>Miscelaneous!$D$4*Miscelaneous!$D$2^($CI122-1)</f>
        <v>1000</v>
      </c>
      <c r="DT122" s="333">
        <f t="shared" si="171"/>
        <v>1</v>
      </c>
      <c r="DU122" s="81">
        <v>1</v>
      </c>
      <c r="DV122" s="79">
        <f t="shared" si="205"/>
        <v>0</v>
      </c>
      <c r="DW122" s="79">
        <f t="shared" si="206"/>
        <v>0</v>
      </c>
      <c r="DX122" s="79">
        <f t="shared" si="207"/>
        <v>0</v>
      </c>
      <c r="DY122" s="79">
        <v>1</v>
      </c>
      <c r="DZ122" s="79">
        <f t="shared" si="208"/>
        <v>0</v>
      </c>
      <c r="EA122" s="79">
        <f t="shared" si="209"/>
        <v>0</v>
      </c>
      <c r="EB122" s="79">
        <f t="shared" si="210"/>
        <v>0</v>
      </c>
      <c r="EC122" s="79">
        <f t="shared" si="211"/>
        <v>0</v>
      </c>
      <c r="ED122" s="79">
        <v>1</v>
      </c>
      <c r="EE122" s="79">
        <v>1</v>
      </c>
      <c r="EF122" s="79">
        <f t="shared" si="212"/>
        <v>0</v>
      </c>
      <c r="EG122" s="79">
        <v>1</v>
      </c>
      <c r="EH122" s="79">
        <v>1</v>
      </c>
      <c r="EI122" s="79">
        <v>1</v>
      </c>
      <c r="EJ122" s="79">
        <v>1</v>
      </c>
      <c r="EK122" s="79">
        <v>1</v>
      </c>
      <c r="EL122" s="79">
        <v>1</v>
      </c>
      <c r="EM122" s="143">
        <f t="shared" si="213"/>
        <v>0</v>
      </c>
      <c r="EN122" s="143">
        <f t="shared" si="214"/>
        <v>0</v>
      </c>
      <c r="EO122" s="82">
        <f t="shared" si="215"/>
        <v>0</v>
      </c>
    </row>
    <row r="123" spans="1:145" x14ac:dyDescent="0.25">
      <c r="A123">
        <v>109</v>
      </c>
      <c r="B123" s="172" t="e">
        <f t="shared" si="172"/>
        <v>#N/A</v>
      </c>
      <c r="C123" s="121" t="e">
        <f t="shared" ref="C123:E123" si="295">AJ123-SUM(AB123:AB127)</f>
        <v>#N/A</v>
      </c>
      <c r="D123" s="122" t="e">
        <f t="shared" si="295"/>
        <v>#N/A</v>
      </c>
      <c r="E123" s="122" t="e">
        <f t="shared" si="295"/>
        <v>#N/A</v>
      </c>
      <c r="F123" s="176" t="e">
        <f t="shared" si="154"/>
        <v>#N/A</v>
      </c>
      <c r="G123" s="121">
        <f t="shared" si="174"/>
        <v>208</v>
      </c>
      <c r="H123" s="176" t="e">
        <f t="shared" si="175"/>
        <v>#N/A</v>
      </c>
      <c r="I123" s="48">
        <v>1</v>
      </c>
      <c r="J123" s="39"/>
      <c r="K123" s="350">
        <v>1</v>
      </c>
      <c r="L123" s="34" t="e">
        <f t="shared" si="155"/>
        <v>#N/A</v>
      </c>
      <c r="M123" s="38" t="e">
        <f>(HLOOKUP(J123,'Construction Times'!$B$3:$W$34,L123+2,FALSE)*HLOOKUP("hq modifier",'Construction Times'!$W$3:$W$34,BS123+2,FALSE))*(1-$H$9)</f>
        <v>#N/A</v>
      </c>
      <c r="N123" s="426" t="e">
        <f t="shared" si="176"/>
        <v>#N/A</v>
      </c>
      <c r="O123" s="427"/>
      <c r="P123" s="430" t="e">
        <f t="shared" si="177"/>
        <v>#N/A</v>
      </c>
      <c r="Q123" s="431"/>
      <c r="R123" s="103">
        <f t="shared" si="217"/>
        <v>0</v>
      </c>
      <c r="S123" s="104">
        <f t="shared" si="217"/>
        <v>0</v>
      </c>
      <c r="T123" s="104">
        <f t="shared" si="218"/>
        <v>0</v>
      </c>
      <c r="U123" s="104">
        <f t="shared" si="218"/>
        <v>0</v>
      </c>
      <c r="V123" s="104">
        <f t="shared" si="218"/>
        <v>9.9999999999999995E-8</v>
      </c>
      <c r="W123" s="104">
        <f t="shared" si="218"/>
        <v>0</v>
      </c>
      <c r="X123" s="104">
        <f t="shared" si="278"/>
        <v>0</v>
      </c>
      <c r="Y123" s="104">
        <f t="shared" si="278"/>
        <v>9.9999999999999995E-8</v>
      </c>
      <c r="Z123" s="104">
        <f t="shared" si="278"/>
        <v>9.9999999999999995E-8</v>
      </c>
      <c r="AA123" s="105">
        <f t="shared" si="278"/>
        <v>9.9999999999999995E-8</v>
      </c>
      <c r="AB123" s="101" t="e">
        <f>$DT123*HLOOKUP($J123,'Construction Costs (timber)'!$B$1:$V$32,'Construction Planner'!$L123+2,FALSE)</f>
        <v>#N/A</v>
      </c>
      <c r="AC123" s="14" t="e">
        <f>$DT123*HLOOKUP($J123,'Construction Costs (clay)'!$B$1:$V$32,'Construction Planner'!$L123+2,FALSE)</f>
        <v>#N/A</v>
      </c>
      <c r="AD123" s="14" t="e">
        <f>$DT123*HLOOKUP($J123,'Construction Costs (iron)'!$B$1:$V$32,'Construction Planner'!$L123+2,FALSE)</f>
        <v>#N/A</v>
      </c>
      <c r="AE123" s="34" t="e">
        <f t="shared" si="230"/>
        <v>#N/A</v>
      </c>
      <c r="AF123" s="33" t="e">
        <f t="shared" si="156"/>
        <v>#N/A</v>
      </c>
      <c r="AG123" s="14" t="e">
        <f t="shared" si="157"/>
        <v>#N/A</v>
      </c>
      <c r="AH123" s="14" t="e">
        <f t="shared" si="158"/>
        <v>#N/A</v>
      </c>
      <c r="AI123" s="34" t="e">
        <f t="shared" si="231"/>
        <v>#N/A</v>
      </c>
      <c r="AJ123" s="49" t="e">
        <f t="shared" si="178"/>
        <v>#N/A</v>
      </c>
      <c r="AK123" s="49" t="e">
        <f t="shared" si="179"/>
        <v>#N/A</v>
      </c>
      <c r="AL123" s="49" t="e">
        <f t="shared" si="180"/>
        <v>#N/A</v>
      </c>
      <c r="AM123" s="25">
        <f t="shared" si="159"/>
        <v>30</v>
      </c>
      <c r="AN123" s="25">
        <f t="shared" si="160"/>
        <v>30</v>
      </c>
      <c r="AO123" s="25">
        <f t="shared" si="161"/>
        <v>30</v>
      </c>
      <c r="AP123" s="52" t="e">
        <f t="shared" si="181"/>
        <v>#N/A</v>
      </c>
      <c r="AQ123" s="53" t="e">
        <f t="shared" si="181"/>
        <v>#N/A</v>
      </c>
      <c r="AR123" s="54" t="e">
        <f t="shared" si="181"/>
        <v>#N/A</v>
      </c>
      <c r="AS123" s="316">
        <f t="shared" si="286"/>
        <v>0</v>
      </c>
      <c r="AT123" s="106">
        <f>_xlfn.IFNA($M123/VLOOKUP($BT123,'Unit information'!$A$2:$K$29,2,FALSE)*R123,0)*(1+$E$9)</f>
        <v>0</v>
      </c>
      <c r="AU123" s="107">
        <f>_xlfn.IFNA($M123/VLOOKUP($BT123,'Unit information'!$A$2:$K$29,3,FALSE)*S123,0)*(1+$E$9)</f>
        <v>0</v>
      </c>
      <c r="AV123" s="107">
        <f>_xlfn.IFNA($M123/VLOOKUP($BT123,'Unit information'!$A$2:$K$29,4,FALSE)*T123,0)*(1+$E$9)</f>
        <v>0</v>
      </c>
      <c r="AW123" s="107">
        <f>_xlfn.IFNA($M123/VLOOKUP($BT123,'Unit information'!$A$2:$K$29,5,FALSE)*U123,0)*(1+$E$9)</f>
        <v>0</v>
      </c>
      <c r="AX123" s="107">
        <f>_xlfn.IFNA($M123/VLOOKUP($BU123,'Unit information'!$A$2:$K$29,6,FALSE)*V123,0)*(1+$E$9)</f>
        <v>0</v>
      </c>
      <c r="AY123" s="107">
        <f>_xlfn.IFNA($M123/VLOOKUP($BU123,'Unit information'!$A$2:$K$29,7,FALSE)*W123,0)*(1+$E$9)</f>
        <v>0</v>
      </c>
      <c r="AZ123" s="107">
        <f>_xlfn.IFNA($M123/VLOOKUP($BU123,'Unit information'!$A$2:$K$29,8,FALSE)*X123,0)*(1+$E$9)</f>
        <v>0</v>
      </c>
      <c r="BA123" s="107">
        <f>_xlfn.IFNA($M123/VLOOKUP($BU123,'Unit information'!$A$2:$K$29,9,FALSE)*Y123,0)*(1+$E$9)</f>
        <v>0</v>
      </c>
      <c r="BB123" s="107">
        <f>_xlfn.IFNA($M123/VLOOKUP($BV123,'Unit information'!$A$2:$K$29,10,FALSE)*Z123,0)*(1+$E$9)</f>
        <v>0</v>
      </c>
      <c r="BC123" s="108">
        <f>_xlfn.IFNA($M123/VLOOKUP($BV123,'Unit information'!$A$2:$K$29,11,FALSE)*AA123,0)*(1+$E$9)</f>
        <v>0</v>
      </c>
      <c r="BD123" s="106">
        <f t="shared" si="162"/>
        <v>0</v>
      </c>
      <c r="BE123" s="107">
        <f t="shared" si="163"/>
        <v>0</v>
      </c>
      <c r="BF123" s="108">
        <f t="shared" si="164"/>
        <v>0</v>
      </c>
      <c r="BG123" s="25" t="e">
        <f t="shared" si="165"/>
        <v>#N/A</v>
      </c>
      <c r="BH123" s="25" t="e">
        <f t="shared" si="166"/>
        <v>#N/A</v>
      </c>
      <c r="BI123" s="25" t="e">
        <f t="shared" si="167"/>
        <v>#N/A</v>
      </c>
      <c r="BJ123" s="27" t="e">
        <f t="shared" si="168"/>
        <v>#N/A</v>
      </c>
      <c r="BK123" s="18" t="e">
        <f t="shared" si="169"/>
        <v>#N/A</v>
      </c>
      <c r="BL123" s="18" t="e">
        <f t="shared" si="170"/>
        <v>#N/A</v>
      </c>
      <c r="BM123" s="28" t="e">
        <f t="shared" si="233"/>
        <v>#N/A</v>
      </c>
      <c r="BN123" s="33">
        <f>HLOOKUP("maximum population",Miscelaneous!$C$1:$C$33,CH123+3,FALSE)</f>
        <v>240</v>
      </c>
      <c r="BO123" s="14">
        <f t="shared" si="182"/>
        <v>32</v>
      </c>
      <c r="BP123" s="14">
        <f t="shared" si="183"/>
        <v>0</v>
      </c>
      <c r="BQ123" s="14">
        <f t="shared" si="184"/>
        <v>208</v>
      </c>
      <c r="BR123" s="34" t="e">
        <f>HLOOKUP(J123,Villagers!$B$1:$V$33,L123+3,FALSE)-HLOOKUP(J123,Villagers!$B$1:$V$33,L123+2,FALSE)</f>
        <v>#N/A</v>
      </c>
      <c r="BS123" s="49">
        <f t="shared" si="185"/>
        <v>1</v>
      </c>
      <c r="BT123" s="50">
        <f t="shared" si="186"/>
        <v>0</v>
      </c>
      <c r="BU123" s="50">
        <f t="shared" si="187"/>
        <v>0</v>
      </c>
      <c r="BV123" s="50">
        <f t="shared" si="188"/>
        <v>0</v>
      </c>
      <c r="BW123" s="50">
        <f t="shared" si="292"/>
        <v>0</v>
      </c>
      <c r="BX123" s="50">
        <f t="shared" si="290"/>
        <v>0</v>
      </c>
      <c r="BY123" s="50">
        <f t="shared" si="290"/>
        <v>0</v>
      </c>
      <c r="BZ123" s="50">
        <f t="shared" si="245"/>
        <v>0</v>
      </c>
      <c r="CA123" s="50">
        <f t="shared" si="246"/>
        <v>0</v>
      </c>
      <c r="CB123" s="50">
        <f t="shared" si="247"/>
        <v>1</v>
      </c>
      <c r="CC123" s="50">
        <f t="shared" si="248"/>
        <v>0</v>
      </c>
      <c r="CD123" s="50">
        <f t="shared" si="249"/>
        <v>0</v>
      </c>
      <c r="CE123" s="50">
        <f t="shared" si="250"/>
        <v>1</v>
      </c>
      <c r="CF123" s="50">
        <f t="shared" si="251"/>
        <v>1</v>
      </c>
      <c r="CG123" s="50">
        <f t="shared" si="252"/>
        <v>1</v>
      </c>
      <c r="CH123" s="50">
        <f t="shared" si="253"/>
        <v>1</v>
      </c>
      <c r="CI123" s="50">
        <f t="shared" si="254"/>
        <v>1</v>
      </c>
      <c r="CJ123" s="50">
        <f t="shared" si="255"/>
        <v>1</v>
      </c>
      <c r="CK123" s="50">
        <f t="shared" si="255"/>
        <v>0</v>
      </c>
      <c r="CL123" s="50">
        <f t="shared" si="255"/>
        <v>0</v>
      </c>
      <c r="CM123" s="51">
        <f t="shared" si="256"/>
        <v>0</v>
      </c>
      <c r="CN123" s="33">
        <f>ROUND(IF(BS123=0,0,HLOOKUP(BS$14,Villagers!$B$1:$V$33,BS123+3,FALSE)),)</f>
        <v>5</v>
      </c>
      <c r="CO123" s="14">
        <f>ROUND(IF(BT123=0,0,HLOOKUP(BT$14,Villagers!$B$1:$V$33,BT123+3,FALSE)),)</f>
        <v>0</v>
      </c>
      <c r="CP123" s="14">
        <f>ROUND(IF(BU123=0,0,HLOOKUP(BU$14,Villagers!$B$1:$V$33,BU123+3,FALSE)),)</f>
        <v>0</v>
      </c>
      <c r="CQ123" s="14">
        <f>ROUND(IF(BV123=0,0,HLOOKUP(BV$14,Villagers!$B$1:$V$33,BV123+3,FALSE)),)</f>
        <v>0</v>
      </c>
      <c r="CR123" s="14">
        <f>ROUND(IF(BW123=0,0,HLOOKUP(BW$14,Villagers!$B$1:$V$33,BW123+3,FALSE)),)</f>
        <v>0</v>
      </c>
      <c r="CS123" s="14">
        <f>ROUND(IF(BX123=0,0,HLOOKUP(BX$14,Villagers!$B$1:$V$33,BX123+3,FALSE)),)</f>
        <v>0</v>
      </c>
      <c r="CT123" s="14">
        <f>ROUND(IF(BY123=0,0,HLOOKUP(BY$14,Villagers!$B$1:$V$33,BY123+3,FALSE)),)</f>
        <v>0</v>
      </c>
      <c r="CU123" s="14">
        <f>ROUND(IF(BZ123=0,0,HLOOKUP(BZ$14,Villagers!$B$1:$V$33,BZ123+3,FALSE)),)</f>
        <v>0</v>
      </c>
      <c r="CV123" s="14">
        <f>ROUND(IF(CA123=0,0,HLOOKUP(CA$14,Villagers!$B$1:$V$33,CA123+3,FALSE)),)</f>
        <v>0</v>
      </c>
      <c r="CW123" s="14">
        <f>ROUND(IF(CB123=0,0,HLOOKUP(CB$14,Villagers!$B$1:$V$33,CB123+3,FALSE)),)</f>
        <v>0</v>
      </c>
      <c r="CX123" s="14">
        <f>ROUND(IF(CC123=0,0,HLOOKUP(CC$14,Villagers!$B$1:$V$33,CC123+3,FALSE)),)</f>
        <v>0</v>
      </c>
      <c r="CY123" s="14">
        <f>ROUND(IF(CD123=0,0,HLOOKUP(CD$14,Villagers!$B$1:$V$33,CD123+3,FALSE)),)</f>
        <v>0</v>
      </c>
      <c r="CZ123" s="14">
        <f>ROUND(IF(CE123=0,0,HLOOKUP(CE$14,Villagers!$B$1:$V$33,CE123+3,FALSE)),)</f>
        <v>5</v>
      </c>
      <c r="DA123" s="14">
        <f>ROUND(IF(CF123=0,0,HLOOKUP(CF$14,Villagers!$B$1:$V$33,CF123+3,FALSE)),)</f>
        <v>10</v>
      </c>
      <c r="DB123" s="14">
        <f>ROUND(IF(CG123=0,0,HLOOKUP(CG$14,Villagers!$B$1:$V$33,CG123+3,FALSE)),)</f>
        <v>10</v>
      </c>
      <c r="DC123" s="14">
        <f>ROUND(IF(CH123=0,0,HLOOKUP(CH$14,Villagers!$B$1:$V$33,CH123+3,FALSE)),)</f>
        <v>0</v>
      </c>
      <c r="DD123" s="14">
        <f>ROUND(IF(CI123=0,0,HLOOKUP(CI$14,Villagers!$B$1:$V$33,CI123+3,FALSE)),)</f>
        <v>0</v>
      </c>
      <c r="DE123" s="14">
        <f>ROUND(IF(CJ123=0,0,HLOOKUP(CJ$14,Villagers!$B$1:$V$33,CJ123+3,FALSE)),)</f>
        <v>2</v>
      </c>
      <c r="DF123" s="370">
        <f>ROUND(IF(CK123=0,0,HLOOKUP(CK$14,Villagers!$B$1:$V$33,CK123+3,FALSE)),)</f>
        <v>0</v>
      </c>
      <c r="DG123" s="370">
        <f>ROUND(IF(CL123=0,0,HLOOKUP(CL$14,Villagers!$B$1:$V$33,CL123+3,FALSE)),)</f>
        <v>0</v>
      </c>
      <c r="DH123" s="34">
        <f>ROUND(IF(CM123=0,0,HLOOKUP(CM$14,Villagers!$B$1:$V$33,CM123+3,FALSE)),)</f>
        <v>0</v>
      </c>
      <c r="DI123" s="109">
        <f t="shared" si="219"/>
        <v>0</v>
      </c>
      <c r="DJ123" s="50">
        <f t="shared" si="220"/>
        <v>0</v>
      </c>
      <c r="DK123" s="50">
        <f t="shared" si="221"/>
        <v>0</v>
      </c>
      <c r="DL123" s="50">
        <f t="shared" si="222"/>
        <v>0</v>
      </c>
      <c r="DM123" s="50">
        <f t="shared" si="223"/>
        <v>0</v>
      </c>
      <c r="DN123" s="50">
        <f t="shared" si="224"/>
        <v>0</v>
      </c>
      <c r="DO123" s="50">
        <f t="shared" si="225"/>
        <v>0</v>
      </c>
      <c r="DP123" s="50">
        <f t="shared" si="226"/>
        <v>0</v>
      </c>
      <c r="DQ123" s="50">
        <f t="shared" si="203"/>
        <v>0</v>
      </c>
      <c r="DR123" s="50">
        <f t="shared" si="204"/>
        <v>0</v>
      </c>
      <c r="DS123" s="96">
        <f>Miscelaneous!$D$4*Miscelaneous!$D$2^($CI123-1)</f>
        <v>1000</v>
      </c>
      <c r="DT123" s="333">
        <f t="shared" si="171"/>
        <v>1</v>
      </c>
      <c r="DU123" s="81">
        <v>1</v>
      </c>
      <c r="DV123" s="79">
        <f t="shared" si="205"/>
        <v>0</v>
      </c>
      <c r="DW123" s="79">
        <f t="shared" si="206"/>
        <v>0</v>
      </c>
      <c r="DX123" s="79">
        <f t="shared" si="207"/>
        <v>0</v>
      </c>
      <c r="DY123" s="79">
        <v>1</v>
      </c>
      <c r="DZ123" s="79">
        <f t="shared" si="208"/>
        <v>0</v>
      </c>
      <c r="EA123" s="79">
        <f t="shared" si="209"/>
        <v>0</v>
      </c>
      <c r="EB123" s="79">
        <f t="shared" si="210"/>
        <v>0</v>
      </c>
      <c r="EC123" s="79">
        <f t="shared" si="211"/>
        <v>0</v>
      </c>
      <c r="ED123" s="79">
        <v>1</v>
      </c>
      <c r="EE123" s="79">
        <v>1</v>
      </c>
      <c r="EF123" s="79">
        <f t="shared" si="212"/>
        <v>0</v>
      </c>
      <c r="EG123" s="79">
        <v>1</v>
      </c>
      <c r="EH123" s="79">
        <v>1</v>
      </c>
      <c r="EI123" s="79">
        <v>1</v>
      </c>
      <c r="EJ123" s="79">
        <v>1</v>
      </c>
      <c r="EK123" s="79">
        <v>1</v>
      </c>
      <c r="EL123" s="79">
        <v>1</v>
      </c>
      <c r="EM123" s="143">
        <f t="shared" si="213"/>
        <v>0</v>
      </c>
      <c r="EN123" s="143">
        <f t="shared" si="214"/>
        <v>0</v>
      </c>
      <c r="EO123" s="82">
        <f t="shared" si="215"/>
        <v>0</v>
      </c>
    </row>
    <row r="124" spans="1:145" x14ac:dyDescent="0.25">
      <c r="A124">
        <v>110</v>
      </c>
      <c r="B124" s="172" t="e">
        <f t="shared" si="172"/>
        <v>#N/A</v>
      </c>
      <c r="C124" s="121" t="e">
        <f t="shared" ref="C124:E124" si="296">AJ124-SUM(AB124:AB128)</f>
        <v>#N/A</v>
      </c>
      <c r="D124" s="122" t="e">
        <f t="shared" si="296"/>
        <v>#N/A</v>
      </c>
      <c r="E124" s="122" t="e">
        <f t="shared" si="296"/>
        <v>#N/A</v>
      </c>
      <c r="F124" s="176" t="e">
        <f t="shared" si="154"/>
        <v>#N/A</v>
      </c>
      <c r="G124" s="121">
        <f t="shared" si="174"/>
        <v>208</v>
      </c>
      <c r="H124" s="176" t="e">
        <f t="shared" si="175"/>
        <v>#N/A</v>
      </c>
      <c r="I124" s="48">
        <v>1</v>
      </c>
      <c r="J124" s="39"/>
      <c r="K124" s="350">
        <v>1</v>
      </c>
      <c r="L124" s="34" t="e">
        <f t="shared" si="155"/>
        <v>#N/A</v>
      </c>
      <c r="M124" s="38" t="e">
        <f>(HLOOKUP(J124,'Construction Times'!$B$3:$W$34,L124+2,FALSE)*HLOOKUP("hq modifier",'Construction Times'!$W$3:$W$34,BS124+2,FALSE))*(1-$H$9)</f>
        <v>#N/A</v>
      </c>
      <c r="N124" s="426" t="e">
        <f t="shared" si="176"/>
        <v>#N/A</v>
      </c>
      <c r="O124" s="427"/>
      <c r="P124" s="430" t="e">
        <f t="shared" si="177"/>
        <v>#N/A</v>
      </c>
      <c r="Q124" s="431"/>
      <c r="R124" s="103">
        <f t="shared" si="217"/>
        <v>0</v>
      </c>
      <c r="S124" s="104">
        <f t="shared" si="217"/>
        <v>0</v>
      </c>
      <c r="T124" s="104">
        <f t="shared" si="218"/>
        <v>0</v>
      </c>
      <c r="U124" s="104">
        <f t="shared" si="218"/>
        <v>0</v>
      </c>
      <c r="V124" s="104">
        <f t="shared" si="218"/>
        <v>9.9999999999999995E-8</v>
      </c>
      <c r="W124" s="104">
        <f t="shared" si="218"/>
        <v>0</v>
      </c>
      <c r="X124" s="104">
        <f t="shared" si="278"/>
        <v>0</v>
      </c>
      <c r="Y124" s="104">
        <f t="shared" si="278"/>
        <v>9.9999999999999995E-8</v>
      </c>
      <c r="Z124" s="104">
        <f t="shared" si="278"/>
        <v>9.9999999999999995E-8</v>
      </c>
      <c r="AA124" s="105">
        <f t="shared" si="278"/>
        <v>9.9999999999999995E-8</v>
      </c>
      <c r="AB124" s="101" t="e">
        <f>$DT124*HLOOKUP($J124,'Construction Costs (timber)'!$B$1:$V$32,'Construction Planner'!$L124+2,FALSE)</f>
        <v>#N/A</v>
      </c>
      <c r="AC124" s="14" t="e">
        <f>$DT124*HLOOKUP($J124,'Construction Costs (clay)'!$B$1:$V$32,'Construction Planner'!$L124+2,FALSE)</f>
        <v>#N/A</v>
      </c>
      <c r="AD124" s="14" t="e">
        <f>$DT124*HLOOKUP($J124,'Construction Costs (iron)'!$B$1:$V$32,'Construction Planner'!$L124+2,FALSE)</f>
        <v>#N/A</v>
      </c>
      <c r="AE124" s="34" t="e">
        <f t="shared" si="230"/>
        <v>#N/A</v>
      </c>
      <c r="AF124" s="33" t="e">
        <f t="shared" si="156"/>
        <v>#N/A</v>
      </c>
      <c r="AG124" s="14" t="e">
        <f t="shared" si="157"/>
        <v>#N/A</v>
      </c>
      <c r="AH124" s="14" t="e">
        <f t="shared" si="158"/>
        <v>#N/A</v>
      </c>
      <c r="AI124" s="34" t="e">
        <f t="shared" si="231"/>
        <v>#N/A</v>
      </c>
      <c r="AJ124" s="49" t="e">
        <f t="shared" si="178"/>
        <v>#N/A</v>
      </c>
      <c r="AK124" s="49" t="e">
        <f t="shared" si="179"/>
        <v>#N/A</v>
      </c>
      <c r="AL124" s="49" t="e">
        <f t="shared" si="180"/>
        <v>#N/A</v>
      </c>
      <c r="AM124" s="25">
        <f t="shared" si="159"/>
        <v>30</v>
      </c>
      <c r="AN124" s="25">
        <f t="shared" si="160"/>
        <v>30</v>
      </c>
      <c r="AO124" s="25">
        <f t="shared" si="161"/>
        <v>30</v>
      </c>
      <c r="AP124" s="52" t="e">
        <f t="shared" si="181"/>
        <v>#N/A</v>
      </c>
      <c r="AQ124" s="53" t="e">
        <f t="shared" si="181"/>
        <v>#N/A</v>
      </c>
      <c r="AR124" s="54" t="e">
        <f t="shared" si="181"/>
        <v>#N/A</v>
      </c>
      <c r="AS124" s="316">
        <f t="shared" si="286"/>
        <v>0</v>
      </c>
      <c r="AT124" s="106">
        <f>_xlfn.IFNA($M124/VLOOKUP($BT124,'Unit information'!$A$2:$K$29,2,FALSE)*R124,0)*(1+$E$9)</f>
        <v>0</v>
      </c>
      <c r="AU124" s="107">
        <f>_xlfn.IFNA($M124/VLOOKUP($BT124,'Unit information'!$A$2:$K$29,3,FALSE)*S124,0)*(1+$E$9)</f>
        <v>0</v>
      </c>
      <c r="AV124" s="107">
        <f>_xlfn.IFNA($M124/VLOOKUP($BT124,'Unit information'!$A$2:$K$29,4,FALSE)*T124,0)*(1+$E$9)</f>
        <v>0</v>
      </c>
      <c r="AW124" s="107">
        <f>_xlfn.IFNA($M124/VLOOKUP($BT124,'Unit information'!$A$2:$K$29,5,FALSE)*U124,0)*(1+$E$9)</f>
        <v>0</v>
      </c>
      <c r="AX124" s="107">
        <f>_xlfn.IFNA($M124/VLOOKUP($BU124,'Unit information'!$A$2:$K$29,6,FALSE)*V124,0)*(1+$E$9)</f>
        <v>0</v>
      </c>
      <c r="AY124" s="107">
        <f>_xlfn.IFNA($M124/VLOOKUP($BU124,'Unit information'!$A$2:$K$29,7,FALSE)*W124,0)*(1+$E$9)</f>
        <v>0</v>
      </c>
      <c r="AZ124" s="107">
        <f>_xlfn.IFNA($M124/VLOOKUP($BU124,'Unit information'!$A$2:$K$29,8,FALSE)*X124,0)*(1+$E$9)</f>
        <v>0</v>
      </c>
      <c r="BA124" s="107">
        <f>_xlfn.IFNA($M124/VLOOKUP($BU124,'Unit information'!$A$2:$K$29,9,FALSE)*Y124,0)*(1+$E$9)</f>
        <v>0</v>
      </c>
      <c r="BB124" s="107">
        <f>_xlfn.IFNA($M124/VLOOKUP($BV124,'Unit information'!$A$2:$K$29,10,FALSE)*Z124,0)*(1+$E$9)</f>
        <v>0</v>
      </c>
      <c r="BC124" s="108">
        <f>_xlfn.IFNA($M124/VLOOKUP($BV124,'Unit information'!$A$2:$K$29,11,FALSE)*AA124,0)*(1+$E$9)</f>
        <v>0</v>
      </c>
      <c r="BD124" s="106">
        <f t="shared" si="162"/>
        <v>0</v>
      </c>
      <c r="BE124" s="107">
        <f t="shared" si="163"/>
        <v>0</v>
      </c>
      <c r="BF124" s="108">
        <f t="shared" si="164"/>
        <v>0</v>
      </c>
      <c r="BG124" s="25" t="e">
        <f t="shared" si="165"/>
        <v>#N/A</v>
      </c>
      <c r="BH124" s="25" t="e">
        <f t="shared" si="166"/>
        <v>#N/A</v>
      </c>
      <c r="BI124" s="25" t="e">
        <f t="shared" si="167"/>
        <v>#N/A</v>
      </c>
      <c r="BJ124" s="27" t="e">
        <f t="shared" si="168"/>
        <v>#N/A</v>
      </c>
      <c r="BK124" s="18" t="e">
        <f t="shared" si="169"/>
        <v>#N/A</v>
      </c>
      <c r="BL124" s="18" t="e">
        <f t="shared" si="170"/>
        <v>#N/A</v>
      </c>
      <c r="BM124" s="28" t="e">
        <f t="shared" si="233"/>
        <v>#N/A</v>
      </c>
      <c r="BN124" s="33">
        <f>HLOOKUP("maximum population",Miscelaneous!$C$1:$C$33,CH124+3,FALSE)</f>
        <v>240</v>
      </c>
      <c r="BO124" s="14">
        <f t="shared" si="182"/>
        <v>32</v>
      </c>
      <c r="BP124" s="14">
        <f t="shared" si="183"/>
        <v>0</v>
      </c>
      <c r="BQ124" s="14">
        <f t="shared" si="184"/>
        <v>208</v>
      </c>
      <c r="BR124" s="34" t="e">
        <f>HLOOKUP(J124,Villagers!$B$1:$V$33,L124+3,FALSE)-HLOOKUP(J124,Villagers!$B$1:$V$33,L124+2,FALSE)</f>
        <v>#N/A</v>
      </c>
      <c r="BS124" s="49">
        <f t="shared" si="185"/>
        <v>1</v>
      </c>
      <c r="BT124" s="50">
        <f t="shared" si="186"/>
        <v>0</v>
      </c>
      <c r="BU124" s="50">
        <f t="shared" si="187"/>
        <v>0</v>
      </c>
      <c r="BV124" s="50">
        <f t="shared" si="188"/>
        <v>0</v>
      </c>
      <c r="BW124" s="50">
        <f t="shared" si="292"/>
        <v>0</v>
      </c>
      <c r="BX124" s="50">
        <f t="shared" si="290"/>
        <v>0</v>
      </c>
      <c r="BY124" s="50">
        <f t="shared" si="290"/>
        <v>0</v>
      </c>
      <c r="BZ124" s="50">
        <f t="shared" si="245"/>
        <v>0</v>
      </c>
      <c r="CA124" s="50">
        <f t="shared" si="246"/>
        <v>0</v>
      </c>
      <c r="CB124" s="50">
        <f t="shared" si="247"/>
        <v>1</v>
      </c>
      <c r="CC124" s="50">
        <f t="shared" si="248"/>
        <v>0</v>
      </c>
      <c r="CD124" s="50">
        <f t="shared" si="249"/>
        <v>0</v>
      </c>
      <c r="CE124" s="50">
        <f t="shared" si="250"/>
        <v>1</v>
      </c>
      <c r="CF124" s="50">
        <f t="shared" si="251"/>
        <v>1</v>
      </c>
      <c r="CG124" s="50">
        <f t="shared" si="252"/>
        <v>1</v>
      </c>
      <c r="CH124" s="50">
        <f t="shared" si="253"/>
        <v>1</v>
      </c>
      <c r="CI124" s="50">
        <f t="shared" si="254"/>
        <v>1</v>
      </c>
      <c r="CJ124" s="50">
        <f t="shared" si="255"/>
        <v>1</v>
      </c>
      <c r="CK124" s="50">
        <f t="shared" si="255"/>
        <v>0</v>
      </c>
      <c r="CL124" s="50">
        <f t="shared" si="255"/>
        <v>0</v>
      </c>
      <c r="CM124" s="51">
        <f t="shared" si="256"/>
        <v>0</v>
      </c>
      <c r="CN124" s="33">
        <f>ROUND(IF(BS124=0,0,HLOOKUP(BS$14,Villagers!$B$1:$V$33,BS124+3,FALSE)),)</f>
        <v>5</v>
      </c>
      <c r="CO124" s="14">
        <f>ROUND(IF(BT124=0,0,HLOOKUP(BT$14,Villagers!$B$1:$V$33,BT124+3,FALSE)),)</f>
        <v>0</v>
      </c>
      <c r="CP124" s="14">
        <f>ROUND(IF(BU124=0,0,HLOOKUP(BU$14,Villagers!$B$1:$V$33,BU124+3,FALSE)),)</f>
        <v>0</v>
      </c>
      <c r="CQ124" s="14">
        <f>ROUND(IF(BV124=0,0,HLOOKUP(BV$14,Villagers!$B$1:$V$33,BV124+3,FALSE)),)</f>
        <v>0</v>
      </c>
      <c r="CR124" s="14">
        <f>ROUND(IF(BW124=0,0,HLOOKUP(BW$14,Villagers!$B$1:$V$33,BW124+3,FALSE)),)</f>
        <v>0</v>
      </c>
      <c r="CS124" s="14">
        <f>ROUND(IF(BX124=0,0,HLOOKUP(BX$14,Villagers!$B$1:$V$33,BX124+3,FALSE)),)</f>
        <v>0</v>
      </c>
      <c r="CT124" s="14">
        <f>ROUND(IF(BY124=0,0,HLOOKUP(BY$14,Villagers!$B$1:$V$33,BY124+3,FALSE)),)</f>
        <v>0</v>
      </c>
      <c r="CU124" s="14">
        <f>ROUND(IF(BZ124=0,0,HLOOKUP(BZ$14,Villagers!$B$1:$V$33,BZ124+3,FALSE)),)</f>
        <v>0</v>
      </c>
      <c r="CV124" s="14">
        <f>ROUND(IF(CA124=0,0,HLOOKUP(CA$14,Villagers!$B$1:$V$33,CA124+3,FALSE)),)</f>
        <v>0</v>
      </c>
      <c r="CW124" s="14">
        <f>ROUND(IF(CB124=0,0,HLOOKUP(CB$14,Villagers!$B$1:$V$33,CB124+3,FALSE)),)</f>
        <v>0</v>
      </c>
      <c r="CX124" s="14">
        <f>ROUND(IF(CC124=0,0,HLOOKUP(CC$14,Villagers!$B$1:$V$33,CC124+3,FALSE)),)</f>
        <v>0</v>
      </c>
      <c r="CY124" s="14">
        <f>ROUND(IF(CD124=0,0,HLOOKUP(CD$14,Villagers!$B$1:$V$33,CD124+3,FALSE)),)</f>
        <v>0</v>
      </c>
      <c r="CZ124" s="14">
        <f>ROUND(IF(CE124=0,0,HLOOKUP(CE$14,Villagers!$B$1:$V$33,CE124+3,FALSE)),)</f>
        <v>5</v>
      </c>
      <c r="DA124" s="14">
        <f>ROUND(IF(CF124=0,0,HLOOKUP(CF$14,Villagers!$B$1:$V$33,CF124+3,FALSE)),)</f>
        <v>10</v>
      </c>
      <c r="DB124" s="14">
        <f>ROUND(IF(CG124=0,0,HLOOKUP(CG$14,Villagers!$B$1:$V$33,CG124+3,FALSE)),)</f>
        <v>10</v>
      </c>
      <c r="DC124" s="14">
        <f>ROUND(IF(CH124=0,0,HLOOKUP(CH$14,Villagers!$B$1:$V$33,CH124+3,FALSE)),)</f>
        <v>0</v>
      </c>
      <c r="DD124" s="14">
        <f>ROUND(IF(CI124=0,0,HLOOKUP(CI$14,Villagers!$B$1:$V$33,CI124+3,FALSE)),)</f>
        <v>0</v>
      </c>
      <c r="DE124" s="14">
        <f>ROUND(IF(CJ124=0,0,HLOOKUP(CJ$14,Villagers!$B$1:$V$33,CJ124+3,FALSE)),)</f>
        <v>2</v>
      </c>
      <c r="DF124" s="370">
        <f>ROUND(IF(CK124=0,0,HLOOKUP(CK$14,Villagers!$B$1:$V$33,CK124+3,FALSE)),)</f>
        <v>0</v>
      </c>
      <c r="DG124" s="370">
        <f>ROUND(IF(CL124=0,0,HLOOKUP(CL$14,Villagers!$B$1:$V$33,CL124+3,FALSE)),)</f>
        <v>0</v>
      </c>
      <c r="DH124" s="34">
        <f>ROUND(IF(CM124=0,0,HLOOKUP(CM$14,Villagers!$B$1:$V$33,CM124+3,FALSE)),)</f>
        <v>0</v>
      </c>
      <c r="DI124" s="109">
        <f t="shared" si="219"/>
        <v>0</v>
      </c>
      <c r="DJ124" s="50">
        <f t="shared" si="220"/>
        <v>0</v>
      </c>
      <c r="DK124" s="50">
        <f t="shared" si="221"/>
        <v>0</v>
      </c>
      <c r="DL124" s="50">
        <f t="shared" si="222"/>
        <v>0</v>
      </c>
      <c r="DM124" s="50">
        <f t="shared" si="223"/>
        <v>0</v>
      </c>
      <c r="DN124" s="50">
        <f t="shared" si="224"/>
        <v>0</v>
      </c>
      <c r="DO124" s="50">
        <f t="shared" si="225"/>
        <v>0</v>
      </c>
      <c r="DP124" s="50">
        <f t="shared" si="226"/>
        <v>0</v>
      </c>
      <c r="DQ124" s="50">
        <f t="shared" si="203"/>
        <v>0</v>
      </c>
      <c r="DR124" s="50">
        <f t="shared" si="204"/>
        <v>0</v>
      </c>
      <c r="DS124" s="96">
        <f>Miscelaneous!$D$4*Miscelaneous!$D$2^($CI124-1)</f>
        <v>1000</v>
      </c>
      <c r="DT124" s="333">
        <f t="shared" si="171"/>
        <v>1</v>
      </c>
      <c r="DU124" s="81">
        <v>1</v>
      </c>
      <c r="DV124" s="79">
        <f t="shared" si="205"/>
        <v>0</v>
      </c>
      <c r="DW124" s="79">
        <f t="shared" si="206"/>
        <v>0</v>
      </c>
      <c r="DX124" s="79">
        <f t="shared" si="207"/>
        <v>0</v>
      </c>
      <c r="DY124" s="79">
        <v>1</v>
      </c>
      <c r="DZ124" s="79">
        <f t="shared" si="208"/>
        <v>0</v>
      </c>
      <c r="EA124" s="79">
        <f t="shared" si="209"/>
        <v>0</v>
      </c>
      <c r="EB124" s="79">
        <f t="shared" si="210"/>
        <v>0</v>
      </c>
      <c r="EC124" s="79">
        <f t="shared" si="211"/>
        <v>0</v>
      </c>
      <c r="ED124" s="79">
        <v>1</v>
      </c>
      <c r="EE124" s="79">
        <v>1</v>
      </c>
      <c r="EF124" s="79">
        <f t="shared" si="212"/>
        <v>0</v>
      </c>
      <c r="EG124" s="79">
        <v>1</v>
      </c>
      <c r="EH124" s="79">
        <v>1</v>
      </c>
      <c r="EI124" s="79">
        <v>1</v>
      </c>
      <c r="EJ124" s="79">
        <v>1</v>
      </c>
      <c r="EK124" s="79">
        <v>1</v>
      </c>
      <c r="EL124" s="79">
        <v>1</v>
      </c>
      <c r="EM124" s="143">
        <f t="shared" si="213"/>
        <v>0</v>
      </c>
      <c r="EN124" s="143">
        <f t="shared" si="214"/>
        <v>0</v>
      </c>
      <c r="EO124" s="82">
        <f t="shared" si="215"/>
        <v>0</v>
      </c>
    </row>
    <row r="125" spans="1:145" x14ac:dyDescent="0.25">
      <c r="A125">
        <v>111</v>
      </c>
      <c r="B125" s="172" t="e">
        <f t="shared" si="172"/>
        <v>#N/A</v>
      </c>
      <c r="C125" s="121" t="e">
        <f t="shared" ref="C125:E125" si="297">AJ125-SUM(AB125:AB129)</f>
        <v>#N/A</v>
      </c>
      <c r="D125" s="122" t="e">
        <f t="shared" si="297"/>
        <v>#N/A</v>
      </c>
      <c r="E125" s="122" t="e">
        <f t="shared" si="297"/>
        <v>#N/A</v>
      </c>
      <c r="F125" s="176" t="e">
        <f t="shared" si="154"/>
        <v>#N/A</v>
      </c>
      <c r="G125" s="121">
        <f t="shared" si="174"/>
        <v>208</v>
      </c>
      <c r="H125" s="176" t="e">
        <f t="shared" si="175"/>
        <v>#N/A</v>
      </c>
      <c r="I125" s="48">
        <v>1</v>
      </c>
      <c r="J125" s="39"/>
      <c r="K125" s="350">
        <v>1</v>
      </c>
      <c r="L125" s="34" t="e">
        <f t="shared" si="155"/>
        <v>#N/A</v>
      </c>
      <c r="M125" s="38" t="e">
        <f>(HLOOKUP(J125,'Construction Times'!$B$3:$W$34,L125+2,FALSE)*HLOOKUP("hq modifier",'Construction Times'!$W$3:$W$34,BS125+2,FALSE))*(1-$H$9)</f>
        <v>#N/A</v>
      </c>
      <c r="N125" s="426" t="e">
        <f t="shared" si="176"/>
        <v>#N/A</v>
      </c>
      <c r="O125" s="427"/>
      <c r="P125" s="430" t="e">
        <f t="shared" si="177"/>
        <v>#N/A</v>
      </c>
      <c r="Q125" s="431"/>
      <c r="R125" s="103">
        <f t="shared" si="217"/>
        <v>0</v>
      </c>
      <c r="S125" s="104">
        <f t="shared" si="217"/>
        <v>0</v>
      </c>
      <c r="T125" s="104">
        <f t="shared" si="218"/>
        <v>0</v>
      </c>
      <c r="U125" s="104">
        <f t="shared" si="218"/>
        <v>0</v>
      </c>
      <c r="V125" s="104">
        <f t="shared" si="218"/>
        <v>9.9999999999999995E-8</v>
      </c>
      <c r="W125" s="104">
        <f t="shared" si="218"/>
        <v>0</v>
      </c>
      <c r="X125" s="104">
        <f t="shared" si="278"/>
        <v>0</v>
      </c>
      <c r="Y125" s="104">
        <f t="shared" si="278"/>
        <v>9.9999999999999995E-8</v>
      </c>
      <c r="Z125" s="104">
        <f t="shared" si="278"/>
        <v>9.9999999999999995E-8</v>
      </c>
      <c r="AA125" s="105">
        <f t="shared" si="278"/>
        <v>9.9999999999999995E-8</v>
      </c>
      <c r="AB125" s="101" t="e">
        <f>$DT125*HLOOKUP($J125,'Construction Costs (timber)'!$B$1:$V$32,'Construction Planner'!$L125+2,FALSE)</f>
        <v>#N/A</v>
      </c>
      <c r="AC125" s="14" t="e">
        <f>$DT125*HLOOKUP($J125,'Construction Costs (clay)'!$B$1:$V$32,'Construction Planner'!$L125+2,FALSE)</f>
        <v>#N/A</v>
      </c>
      <c r="AD125" s="14" t="e">
        <f>$DT125*HLOOKUP($J125,'Construction Costs (iron)'!$B$1:$V$32,'Construction Planner'!$L125+2,FALSE)</f>
        <v>#N/A</v>
      </c>
      <c r="AE125" s="34" t="e">
        <f t="shared" si="230"/>
        <v>#N/A</v>
      </c>
      <c r="AF125" s="33" t="e">
        <f t="shared" si="156"/>
        <v>#N/A</v>
      </c>
      <c r="AG125" s="14" t="e">
        <f t="shared" si="157"/>
        <v>#N/A</v>
      </c>
      <c r="AH125" s="14" t="e">
        <f t="shared" si="158"/>
        <v>#N/A</v>
      </c>
      <c r="AI125" s="34" t="e">
        <f t="shared" si="231"/>
        <v>#N/A</v>
      </c>
      <c r="AJ125" s="49" t="e">
        <f t="shared" si="178"/>
        <v>#N/A</v>
      </c>
      <c r="AK125" s="49" t="e">
        <f t="shared" si="179"/>
        <v>#N/A</v>
      </c>
      <c r="AL125" s="49" t="e">
        <f t="shared" si="180"/>
        <v>#N/A</v>
      </c>
      <c r="AM125" s="25">
        <f t="shared" si="159"/>
        <v>30</v>
      </c>
      <c r="AN125" s="25">
        <f t="shared" si="160"/>
        <v>30</v>
      </c>
      <c r="AO125" s="25">
        <f t="shared" si="161"/>
        <v>30</v>
      </c>
      <c r="AP125" s="52" t="e">
        <f t="shared" si="181"/>
        <v>#N/A</v>
      </c>
      <c r="AQ125" s="53" t="e">
        <f t="shared" si="181"/>
        <v>#N/A</v>
      </c>
      <c r="AR125" s="54" t="e">
        <f t="shared" si="181"/>
        <v>#N/A</v>
      </c>
      <c r="AS125" s="316">
        <f t="shared" si="286"/>
        <v>0</v>
      </c>
      <c r="AT125" s="106">
        <f>_xlfn.IFNA($M125/VLOOKUP($BT125,'Unit information'!$A$2:$K$29,2,FALSE)*R125,0)*(1+$E$9)</f>
        <v>0</v>
      </c>
      <c r="AU125" s="107">
        <f>_xlfn.IFNA($M125/VLOOKUP($BT125,'Unit information'!$A$2:$K$29,3,FALSE)*S125,0)*(1+$E$9)</f>
        <v>0</v>
      </c>
      <c r="AV125" s="107">
        <f>_xlfn.IFNA($M125/VLOOKUP($BT125,'Unit information'!$A$2:$K$29,4,FALSE)*T125,0)*(1+$E$9)</f>
        <v>0</v>
      </c>
      <c r="AW125" s="107">
        <f>_xlfn.IFNA($M125/VLOOKUP($BT125,'Unit information'!$A$2:$K$29,5,FALSE)*U125,0)*(1+$E$9)</f>
        <v>0</v>
      </c>
      <c r="AX125" s="107">
        <f>_xlfn.IFNA($M125/VLOOKUP($BU125,'Unit information'!$A$2:$K$29,6,FALSE)*V125,0)*(1+$E$9)</f>
        <v>0</v>
      </c>
      <c r="AY125" s="107">
        <f>_xlfn.IFNA($M125/VLOOKUP($BU125,'Unit information'!$A$2:$K$29,7,FALSE)*W125,0)*(1+$E$9)</f>
        <v>0</v>
      </c>
      <c r="AZ125" s="107">
        <f>_xlfn.IFNA($M125/VLOOKUP($BU125,'Unit information'!$A$2:$K$29,8,FALSE)*X125,0)*(1+$E$9)</f>
        <v>0</v>
      </c>
      <c r="BA125" s="107">
        <f>_xlfn.IFNA($M125/VLOOKUP($BU125,'Unit information'!$A$2:$K$29,9,FALSE)*Y125,0)*(1+$E$9)</f>
        <v>0</v>
      </c>
      <c r="BB125" s="107">
        <f>_xlfn.IFNA($M125/VLOOKUP($BV125,'Unit information'!$A$2:$K$29,10,FALSE)*Z125,0)*(1+$E$9)</f>
        <v>0</v>
      </c>
      <c r="BC125" s="108">
        <f>_xlfn.IFNA($M125/VLOOKUP($BV125,'Unit information'!$A$2:$K$29,11,FALSE)*AA125,0)*(1+$E$9)</f>
        <v>0</v>
      </c>
      <c r="BD125" s="106">
        <f t="shared" si="162"/>
        <v>0</v>
      </c>
      <c r="BE125" s="107">
        <f t="shared" si="163"/>
        <v>0</v>
      </c>
      <c r="BF125" s="108">
        <f t="shared" si="164"/>
        <v>0</v>
      </c>
      <c r="BG125" s="25" t="e">
        <f t="shared" si="165"/>
        <v>#N/A</v>
      </c>
      <c r="BH125" s="25" t="e">
        <f t="shared" si="166"/>
        <v>#N/A</v>
      </c>
      <c r="BI125" s="25" t="e">
        <f t="shared" si="167"/>
        <v>#N/A</v>
      </c>
      <c r="BJ125" s="27" t="e">
        <f t="shared" si="168"/>
        <v>#N/A</v>
      </c>
      <c r="BK125" s="18" t="e">
        <f t="shared" si="169"/>
        <v>#N/A</v>
      </c>
      <c r="BL125" s="18" t="e">
        <f t="shared" si="170"/>
        <v>#N/A</v>
      </c>
      <c r="BM125" s="28" t="e">
        <f t="shared" si="233"/>
        <v>#N/A</v>
      </c>
      <c r="BN125" s="33">
        <f>HLOOKUP("maximum population",Miscelaneous!$C$1:$C$33,CH125+3,FALSE)</f>
        <v>240</v>
      </c>
      <c r="BO125" s="14">
        <f t="shared" si="182"/>
        <v>32</v>
      </c>
      <c r="BP125" s="14">
        <f t="shared" si="183"/>
        <v>0</v>
      </c>
      <c r="BQ125" s="14">
        <f t="shared" si="184"/>
        <v>208</v>
      </c>
      <c r="BR125" s="34" t="e">
        <f>HLOOKUP(J125,Villagers!$B$1:$V$33,L125+3,FALSE)-HLOOKUP(J125,Villagers!$B$1:$V$33,L125+2,FALSE)</f>
        <v>#N/A</v>
      </c>
      <c r="BS125" s="49">
        <f t="shared" si="185"/>
        <v>1</v>
      </c>
      <c r="BT125" s="50">
        <f t="shared" si="186"/>
        <v>0</v>
      </c>
      <c r="BU125" s="50">
        <f t="shared" si="187"/>
        <v>0</v>
      </c>
      <c r="BV125" s="50">
        <f t="shared" si="188"/>
        <v>0</v>
      </c>
      <c r="BW125" s="50">
        <f t="shared" si="292"/>
        <v>0</v>
      </c>
      <c r="BX125" s="50">
        <f t="shared" si="290"/>
        <v>0</v>
      </c>
      <c r="BY125" s="50">
        <f t="shared" si="290"/>
        <v>0</v>
      </c>
      <c r="BZ125" s="50">
        <f t="shared" si="245"/>
        <v>0</v>
      </c>
      <c r="CA125" s="50">
        <f t="shared" si="246"/>
        <v>0</v>
      </c>
      <c r="CB125" s="50">
        <f t="shared" si="247"/>
        <v>1</v>
      </c>
      <c r="CC125" s="50">
        <f t="shared" si="248"/>
        <v>0</v>
      </c>
      <c r="CD125" s="50">
        <f t="shared" si="249"/>
        <v>0</v>
      </c>
      <c r="CE125" s="50">
        <f t="shared" si="250"/>
        <v>1</v>
      </c>
      <c r="CF125" s="50">
        <f t="shared" si="251"/>
        <v>1</v>
      </c>
      <c r="CG125" s="50">
        <f t="shared" si="252"/>
        <v>1</v>
      </c>
      <c r="CH125" s="50">
        <f t="shared" si="253"/>
        <v>1</v>
      </c>
      <c r="CI125" s="50">
        <f t="shared" si="254"/>
        <v>1</v>
      </c>
      <c r="CJ125" s="50">
        <f t="shared" si="255"/>
        <v>1</v>
      </c>
      <c r="CK125" s="50">
        <f t="shared" si="255"/>
        <v>0</v>
      </c>
      <c r="CL125" s="50">
        <f t="shared" si="255"/>
        <v>0</v>
      </c>
      <c r="CM125" s="51">
        <f t="shared" si="256"/>
        <v>0</v>
      </c>
      <c r="CN125" s="33">
        <f>ROUND(IF(BS125=0,0,HLOOKUP(BS$14,Villagers!$B$1:$V$33,BS125+3,FALSE)),)</f>
        <v>5</v>
      </c>
      <c r="CO125" s="14">
        <f>ROUND(IF(BT125=0,0,HLOOKUP(BT$14,Villagers!$B$1:$V$33,BT125+3,FALSE)),)</f>
        <v>0</v>
      </c>
      <c r="CP125" s="14">
        <f>ROUND(IF(BU125=0,0,HLOOKUP(BU$14,Villagers!$B$1:$V$33,BU125+3,FALSE)),)</f>
        <v>0</v>
      </c>
      <c r="CQ125" s="14">
        <f>ROUND(IF(BV125=0,0,HLOOKUP(BV$14,Villagers!$B$1:$V$33,BV125+3,FALSE)),)</f>
        <v>0</v>
      </c>
      <c r="CR125" s="14">
        <f>ROUND(IF(BW125=0,0,HLOOKUP(BW$14,Villagers!$B$1:$V$33,BW125+3,FALSE)),)</f>
        <v>0</v>
      </c>
      <c r="CS125" s="14">
        <f>ROUND(IF(BX125=0,0,HLOOKUP(BX$14,Villagers!$B$1:$V$33,BX125+3,FALSE)),)</f>
        <v>0</v>
      </c>
      <c r="CT125" s="14">
        <f>ROUND(IF(BY125=0,0,HLOOKUP(BY$14,Villagers!$B$1:$V$33,BY125+3,FALSE)),)</f>
        <v>0</v>
      </c>
      <c r="CU125" s="14">
        <f>ROUND(IF(BZ125=0,0,HLOOKUP(BZ$14,Villagers!$B$1:$V$33,BZ125+3,FALSE)),)</f>
        <v>0</v>
      </c>
      <c r="CV125" s="14">
        <f>ROUND(IF(CA125=0,0,HLOOKUP(CA$14,Villagers!$B$1:$V$33,CA125+3,FALSE)),)</f>
        <v>0</v>
      </c>
      <c r="CW125" s="14">
        <f>ROUND(IF(CB125=0,0,HLOOKUP(CB$14,Villagers!$B$1:$V$33,CB125+3,FALSE)),)</f>
        <v>0</v>
      </c>
      <c r="CX125" s="14">
        <f>ROUND(IF(CC125=0,0,HLOOKUP(CC$14,Villagers!$B$1:$V$33,CC125+3,FALSE)),)</f>
        <v>0</v>
      </c>
      <c r="CY125" s="14">
        <f>ROUND(IF(CD125=0,0,HLOOKUP(CD$14,Villagers!$B$1:$V$33,CD125+3,FALSE)),)</f>
        <v>0</v>
      </c>
      <c r="CZ125" s="14">
        <f>ROUND(IF(CE125=0,0,HLOOKUP(CE$14,Villagers!$B$1:$V$33,CE125+3,FALSE)),)</f>
        <v>5</v>
      </c>
      <c r="DA125" s="14">
        <f>ROUND(IF(CF125=0,0,HLOOKUP(CF$14,Villagers!$B$1:$V$33,CF125+3,FALSE)),)</f>
        <v>10</v>
      </c>
      <c r="DB125" s="14">
        <f>ROUND(IF(CG125=0,0,HLOOKUP(CG$14,Villagers!$B$1:$V$33,CG125+3,FALSE)),)</f>
        <v>10</v>
      </c>
      <c r="DC125" s="14">
        <f>ROUND(IF(CH125=0,0,HLOOKUP(CH$14,Villagers!$B$1:$V$33,CH125+3,FALSE)),)</f>
        <v>0</v>
      </c>
      <c r="DD125" s="14">
        <f>ROUND(IF(CI125=0,0,HLOOKUP(CI$14,Villagers!$B$1:$V$33,CI125+3,FALSE)),)</f>
        <v>0</v>
      </c>
      <c r="DE125" s="14">
        <f>ROUND(IF(CJ125=0,0,HLOOKUP(CJ$14,Villagers!$B$1:$V$33,CJ125+3,FALSE)),)</f>
        <v>2</v>
      </c>
      <c r="DF125" s="370">
        <f>ROUND(IF(CK125=0,0,HLOOKUP(CK$14,Villagers!$B$1:$V$33,CK125+3,FALSE)),)</f>
        <v>0</v>
      </c>
      <c r="DG125" s="370">
        <f>ROUND(IF(CL125=0,0,HLOOKUP(CL$14,Villagers!$B$1:$V$33,CL125+3,FALSE)),)</f>
        <v>0</v>
      </c>
      <c r="DH125" s="34">
        <f>ROUND(IF(CM125=0,0,HLOOKUP(CM$14,Villagers!$B$1:$V$33,CM125+3,FALSE)),)</f>
        <v>0</v>
      </c>
      <c r="DI125" s="109">
        <f t="shared" si="219"/>
        <v>0</v>
      </c>
      <c r="DJ125" s="50">
        <f t="shared" si="220"/>
        <v>0</v>
      </c>
      <c r="DK125" s="50">
        <f t="shared" si="221"/>
        <v>0</v>
      </c>
      <c r="DL125" s="50">
        <f t="shared" si="222"/>
        <v>0</v>
      </c>
      <c r="DM125" s="50">
        <f t="shared" si="223"/>
        <v>0</v>
      </c>
      <c r="DN125" s="50">
        <f t="shared" si="224"/>
        <v>0</v>
      </c>
      <c r="DO125" s="50">
        <f t="shared" si="225"/>
        <v>0</v>
      </c>
      <c r="DP125" s="50">
        <f t="shared" si="226"/>
        <v>0</v>
      </c>
      <c r="DQ125" s="50">
        <f t="shared" si="203"/>
        <v>0</v>
      </c>
      <c r="DR125" s="50">
        <f t="shared" si="204"/>
        <v>0</v>
      </c>
      <c r="DS125" s="96">
        <f>Miscelaneous!$D$4*Miscelaneous!$D$2^($CI125-1)</f>
        <v>1000</v>
      </c>
      <c r="DT125" s="333">
        <f t="shared" si="171"/>
        <v>1</v>
      </c>
      <c r="DU125" s="81">
        <v>1</v>
      </c>
      <c r="DV125" s="79">
        <f t="shared" si="205"/>
        <v>0</v>
      </c>
      <c r="DW125" s="79">
        <f t="shared" si="206"/>
        <v>0</v>
      </c>
      <c r="DX125" s="79">
        <f t="shared" si="207"/>
        <v>0</v>
      </c>
      <c r="DY125" s="79">
        <v>1</v>
      </c>
      <c r="DZ125" s="79">
        <f t="shared" si="208"/>
        <v>0</v>
      </c>
      <c r="EA125" s="79">
        <f t="shared" si="209"/>
        <v>0</v>
      </c>
      <c r="EB125" s="79">
        <f t="shared" si="210"/>
        <v>0</v>
      </c>
      <c r="EC125" s="79">
        <f t="shared" si="211"/>
        <v>0</v>
      </c>
      <c r="ED125" s="79">
        <v>1</v>
      </c>
      <c r="EE125" s="79">
        <v>1</v>
      </c>
      <c r="EF125" s="79">
        <f t="shared" si="212"/>
        <v>0</v>
      </c>
      <c r="EG125" s="79">
        <v>1</v>
      </c>
      <c r="EH125" s="79">
        <v>1</v>
      </c>
      <c r="EI125" s="79">
        <v>1</v>
      </c>
      <c r="EJ125" s="79">
        <v>1</v>
      </c>
      <c r="EK125" s="79">
        <v>1</v>
      </c>
      <c r="EL125" s="79">
        <v>1</v>
      </c>
      <c r="EM125" s="143">
        <f t="shared" si="213"/>
        <v>0</v>
      </c>
      <c r="EN125" s="143">
        <f t="shared" si="214"/>
        <v>0</v>
      </c>
      <c r="EO125" s="82">
        <f t="shared" si="215"/>
        <v>0</v>
      </c>
    </row>
    <row r="126" spans="1:145" x14ac:dyDescent="0.25">
      <c r="A126">
        <v>112</v>
      </c>
      <c r="B126" s="172" t="e">
        <f t="shared" si="172"/>
        <v>#N/A</v>
      </c>
      <c r="C126" s="121" t="e">
        <f t="shared" ref="C126:E126" si="298">AJ126-SUM(AB126:AB130)</f>
        <v>#N/A</v>
      </c>
      <c r="D126" s="122" t="e">
        <f t="shared" si="298"/>
        <v>#N/A</v>
      </c>
      <c r="E126" s="122" t="e">
        <f t="shared" si="298"/>
        <v>#N/A</v>
      </c>
      <c r="F126" s="176" t="e">
        <f t="shared" si="154"/>
        <v>#N/A</v>
      </c>
      <c r="G126" s="121">
        <f t="shared" si="174"/>
        <v>208</v>
      </c>
      <c r="H126" s="176" t="e">
        <f t="shared" si="175"/>
        <v>#N/A</v>
      </c>
      <c r="I126" s="48">
        <v>1</v>
      </c>
      <c r="J126" s="39"/>
      <c r="K126" s="350">
        <v>1</v>
      </c>
      <c r="L126" s="34" t="e">
        <f t="shared" si="155"/>
        <v>#N/A</v>
      </c>
      <c r="M126" s="38" t="e">
        <f>(HLOOKUP(J126,'Construction Times'!$B$3:$W$34,L126+2,FALSE)*HLOOKUP("hq modifier",'Construction Times'!$W$3:$W$34,BS126+2,FALSE))*(1-$H$9)</f>
        <v>#N/A</v>
      </c>
      <c r="N126" s="426" t="e">
        <f t="shared" si="176"/>
        <v>#N/A</v>
      </c>
      <c r="O126" s="427"/>
      <c r="P126" s="430" t="e">
        <f t="shared" si="177"/>
        <v>#N/A</v>
      </c>
      <c r="Q126" s="431"/>
      <c r="R126" s="103">
        <f t="shared" si="217"/>
        <v>0</v>
      </c>
      <c r="S126" s="104">
        <f t="shared" si="217"/>
        <v>0</v>
      </c>
      <c r="T126" s="104">
        <f t="shared" si="218"/>
        <v>0</v>
      </c>
      <c r="U126" s="104">
        <f t="shared" si="218"/>
        <v>0</v>
      </c>
      <c r="V126" s="104">
        <f t="shared" si="218"/>
        <v>9.9999999999999995E-8</v>
      </c>
      <c r="W126" s="104">
        <f t="shared" si="218"/>
        <v>0</v>
      </c>
      <c r="X126" s="104">
        <f t="shared" si="278"/>
        <v>0</v>
      </c>
      <c r="Y126" s="104">
        <f t="shared" si="278"/>
        <v>9.9999999999999995E-8</v>
      </c>
      <c r="Z126" s="104">
        <f t="shared" si="278"/>
        <v>9.9999999999999995E-8</v>
      </c>
      <c r="AA126" s="105">
        <f t="shared" si="278"/>
        <v>9.9999999999999995E-8</v>
      </c>
      <c r="AB126" s="101" t="e">
        <f>$DT126*HLOOKUP($J126,'Construction Costs (timber)'!$B$1:$V$32,'Construction Planner'!$L126+2,FALSE)</f>
        <v>#N/A</v>
      </c>
      <c r="AC126" s="14" t="e">
        <f>$DT126*HLOOKUP($J126,'Construction Costs (clay)'!$B$1:$V$32,'Construction Planner'!$L126+2,FALSE)</f>
        <v>#N/A</v>
      </c>
      <c r="AD126" s="14" t="e">
        <f>$DT126*HLOOKUP($J126,'Construction Costs (iron)'!$B$1:$V$32,'Construction Planner'!$L126+2,FALSE)</f>
        <v>#N/A</v>
      </c>
      <c r="AE126" s="34" t="e">
        <f t="shared" si="230"/>
        <v>#N/A</v>
      </c>
      <c r="AF126" s="33" t="e">
        <f t="shared" si="156"/>
        <v>#N/A</v>
      </c>
      <c r="AG126" s="14" t="e">
        <f t="shared" si="157"/>
        <v>#N/A</v>
      </c>
      <c r="AH126" s="14" t="e">
        <f t="shared" si="158"/>
        <v>#N/A</v>
      </c>
      <c r="AI126" s="34" t="e">
        <f t="shared" si="231"/>
        <v>#N/A</v>
      </c>
      <c r="AJ126" s="49" t="e">
        <f t="shared" si="178"/>
        <v>#N/A</v>
      </c>
      <c r="AK126" s="49" t="e">
        <f t="shared" si="179"/>
        <v>#N/A</v>
      </c>
      <c r="AL126" s="49" t="e">
        <f t="shared" si="180"/>
        <v>#N/A</v>
      </c>
      <c r="AM126" s="25">
        <f t="shared" si="159"/>
        <v>30</v>
      </c>
      <c r="AN126" s="25">
        <f t="shared" si="160"/>
        <v>30</v>
      </c>
      <c r="AO126" s="25">
        <f t="shared" si="161"/>
        <v>30</v>
      </c>
      <c r="AP126" s="52" t="e">
        <f t="shared" si="181"/>
        <v>#N/A</v>
      </c>
      <c r="AQ126" s="53" t="e">
        <f t="shared" si="181"/>
        <v>#N/A</v>
      </c>
      <c r="AR126" s="54" t="e">
        <f t="shared" si="181"/>
        <v>#N/A</v>
      </c>
      <c r="AS126" s="316">
        <f t="shared" si="286"/>
        <v>0</v>
      </c>
      <c r="AT126" s="106">
        <f>_xlfn.IFNA($M126/VLOOKUP($BT126,'Unit information'!$A$2:$K$29,2,FALSE)*R126,0)*(1+$E$9)</f>
        <v>0</v>
      </c>
      <c r="AU126" s="107">
        <f>_xlfn.IFNA($M126/VLOOKUP($BT126,'Unit information'!$A$2:$K$29,3,FALSE)*S126,0)*(1+$E$9)</f>
        <v>0</v>
      </c>
      <c r="AV126" s="107">
        <f>_xlfn.IFNA($M126/VLOOKUP($BT126,'Unit information'!$A$2:$K$29,4,FALSE)*T126,0)*(1+$E$9)</f>
        <v>0</v>
      </c>
      <c r="AW126" s="107">
        <f>_xlfn.IFNA($M126/VLOOKUP($BT126,'Unit information'!$A$2:$K$29,5,FALSE)*U126,0)*(1+$E$9)</f>
        <v>0</v>
      </c>
      <c r="AX126" s="107">
        <f>_xlfn.IFNA($M126/VLOOKUP($BU126,'Unit information'!$A$2:$K$29,6,FALSE)*V126,0)*(1+$E$9)</f>
        <v>0</v>
      </c>
      <c r="AY126" s="107">
        <f>_xlfn.IFNA($M126/VLOOKUP($BU126,'Unit information'!$A$2:$K$29,7,FALSE)*W126,0)*(1+$E$9)</f>
        <v>0</v>
      </c>
      <c r="AZ126" s="107">
        <f>_xlfn.IFNA($M126/VLOOKUP($BU126,'Unit information'!$A$2:$K$29,8,FALSE)*X126,0)*(1+$E$9)</f>
        <v>0</v>
      </c>
      <c r="BA126" s="107">
        <f>_xlfn.IFNA($M126/VLOOKUP($BU126,'Unit information'!$A$2:$K$29,9,FALSE)*Y126,0)*(1+$E$9)</f>
        <v>0</v>
      </c>
      <c r="BB126" s="107">
        <f>_xlfn.IFNA($M126/VLOOKUP($BV126,'Unit information'!$A$2:$K$29,10,FALSE)*Z126,0)*(1+$E$9)</f>
        <v>0</v>
      </c>
      <c r="BC126" s="108">
        <f>_xlfn.IFNA($M126/VLOOKUP($BV126,'Unit information'!$A$2:$K$29,11,FALSE)*AA126,0)*(1+$E$9)</f>
        <v>0</v>
      </c>
      <c r="BD126" s="106">
        <f t="shared" si="162"/>
        <v>0</v>
      </c>
      <c r="BE126" s="107">
        <f t="shared" si="163"/>
        <v>0</v>
      </c>
      <c r="BF126" s="108">
        <f t="shared" si="164"/>
        <v>0</v>
      </c>
      <c r="BG126" s="25" t="e">
        <f t="shared" si="165"/>
        <v>#N/A</v>
      </c>
      <c r="BH126" s="25" t="e">
        <f t="shared" si="166"/>
        <v>#N/A</v>
      </c>
      <c r="BI126" s="25" t="e">
        <f t="shared" si="167"/>
        <v>#N/A</v>
      </c>
      <c r="BJ126" s="27" t="e">
        <f t="shared" si="168"/>
        <v>#N/A</v>
      </c>
      <c r="BK126" s="18" t="e">
        <f t="shared" si="169"/>
        <v>#N/A</v>
      </c>
      <c r="BL126" s="18" t="e">
        <f t="shared" si="170"/>
        <v>#N/A</v>
      </c>
      <c r="BM126" s="28" t="e">
        <f t="shared" si="233"/>
        <v>#N/A</v>
      </c>
      <c r="BN126" s="33">
        <f>HLOOKUP("maximum population",Miscelaneous!$C$1:$C$33,CH126+3,FALSE)</f>
        <v>240</v>
      </c>
      <c r="BO126" s="14">
        <f t="shared" si="182"/>
        <v>32</v>
      </c>
      <c r="BP126" s="14">
        <f t="shared" si="183"/>
        <v>0</v>
      </c>
      <c r="BQ126" s="14">
        <f t="shared" si="184"/>
        <v>208</v>
      </c>
      <c r="BR126" s="34" t="e">
        <f>HLOOKUP(J126,Villagers!$B$1:$V$33,L126+3,FALSE)-HLOOKUP(J126,Villagers!$B$1:$V$33,L126+2,FALSE)</f>
        <v>#N/A</v>
      </c>
      <c r="BS126" s="49">
        <f t="shared" si="185"/>
        <v>1</v>
      </c>
      <c r="BT126" s="50">
        <f t="shared" si="186"/>
        <v>0</v>
      </c>
      <c r="BU126" s="50">
        <f t="shared" si="187"/>
        <v>0</v>
      </c>
      <c r="BV126" s="50">
        <f t="shared" si="188"/>
        <v>0</v>
      </c>
      <c r="BW126" s="50">
        <f t="shared" si="292"/>
        <v>0</v>
      </c>
      <c r="BX126" s="50">
        <f t="shared" si="290"/>
        <v>0</v>
      </c>
      <c r="BY126" s="50">
        <f t="shared" si="290"/>
        <v>0</v>
      </c>
      <c r="BZ126" s="50">
        <f t="shared" si="245"/>
        <v>0</v>
      </c>
      <c r="CA126" s="50">
        <f t="shared" si="246"/>
        <v>0</v>
      </c>
      <c r="CB126" s="50">
        <f t="shared" si="247"/>
        <v>1</v>
      </c>
      <c r="CC126" s="50">
        <f t="shared" si="248"/>
        <v>0</v>
      </c>
      <c r="CD126" s="50">
        <f t="shared" si="249"/>
        <v>0</v>
      </c>
      <c r="CE126" s="50">
        <f t="shared" si="250"/>
        <v>1</v>
      </c>
      <c r="CF126" s="50">
        <f t="shared" si="251"/>
        <v>1</v>
      </c>
      <c r="CG126" s="50">
        <f t="shared" si="252"/>
        <v>1</v>
      </c>
      <c r="CH126" s="50">
        <f t="shared" si="253"/>
        <v>1</v>
      </c>
      <c r="CI126" s="50">
        <f t="shared" si="254"/>
        <v>1</v>
      </c>
      <c r="CJ126" s="50">
        <f t="shared" si="255"/>
        <v>1</v>
      </c>
      <c r="CK126" s="50">
        <f t="shared" si="255"/>
        <v>0</v>
      </c>
      <c r="CL126" s="50">
        <f t="shared" si="255"/>
        <v>0</v>
      </c>
      <c r="CM126" s="51">
        <f t="shared" si="256"/>
        <v>0</v>
      </c>
      <c r="CN126" s="33">
        <f>ROUND(IF(BS126=0,0,HLOOKUP(BS$14,Villagers!$B$1:$V$33,BS126+3,FALSE)),)</f>
        <v>5</v>
      </c>
      <c r="CO126" s="14">
        <f>ROUND(IF(BT126=0,0,HLOOKUP(BT$14,Villagers!$B$1:$V$33,BT126+3,FALSE)),)</f>
        <v>0</v>
      </c>
      <c r="CP126" s="14">
        <f>ROUND(IF(BU126=0,0,HLOOKUP(BU$14,Villagers!$B$1:$V$33,BU126+3,FALSE)),)</f>
        <v>0</v>
      </c>
      <c r="CQ126" s="14">
        <f>ROUND(IF(BV126=0,0,HLOOKUP(BV$14,Villagers!$B$1:$V$33,BV126+3,FALSE)),)</f>
        <v>0</v>
      </c>
      <c r="CR126" s="14">
        <f>ROUND(IF(BW126=0,0,HLOOKUP(BW$14,Villagers!$B$1:$V$33,BW126+3,FALSE)),)</f>
        <v>0</v>
      </c>
      <c r="CS126" s="14">
        <f>ROUND(IF(BX126=0,0,HLOOKUP(BX$14,Villagers!$B$1:$V$33,BX126+3,FALSE)),)</f>
        <v>0</v>
      </c>
      <c r="CT126" s="14">
        <f>ROUND(IF(BY126=0,0,HLOOKUP(BY$14,Villagers!$B$1:$V$33,BY126+3,FALSE)),)</f>
        <v>0</v>
      </c>
      <c r="CU126" s="14">
        <f>ROUND(IF(BZ126=0,0,HLOOKUP(BZ$14,Villagers!$B$1:$V$33,BZ126+3,FALSE)),)</f>
        <v>0</v>
      </c>
      <c r="CV126" s="14">
        <f>ROUND(IF(CA126=0,0,HLOOKUP(CA$14,Villagers!$B$1:$V$33,CA126+3,FALSE)),)</f>
        <v>0</v>
      </c>
      <c r="CW126" s="14">
        <f>ROUND(IF(CB126=0,0,HLOOKUP(CB$14,Villagers!$B$1:$V$33,CB126+3,FALSE)),)</f>
        <v>0</v>
      </c>
      <c r="CX126" s="14">
        <f>ROUND(IF(CC126=0,0,HLOOKUP(CC$14,Villagers!$B$1:$V$33,CC126+3,FALSE)),)</f>
        <v>0</v>
      </c>
      <c r="CY126" s="14">
        <f>ROUND(IF(CD126=0,0,HLOOKUP(CD$14,Villagers!$B$1:$V$33,CD126+3,FALSE)),)</f>
        <v>0</v>
      </c>
      <c r="CZ126" s="14">
        <f>ROUND(IF(CE126=0,0,HLOOKUP(CE$14,Villagers!$B$1:$V$33,CE126+3,FALSE)),)</f>
        <v>5</v>
      </c>
      <c r="DA126" s="14">
        <f>ROUND(IF(CF126=0,0,HLOOKUP(CF$14,Villagers!$B$1:$V$33,CF126+3,FALSE)),)</f>
        <v>10</v>
      </c>
      <c r="DB126" s="14">
        <f>ROUND(IF(CG126=0,0,HLOOKUP(CG$14,Villagers!$B$1:$V$33,CG126+3,FALSE)),)</f>
        <v>10</v>
      </c>
      <c r="DC126" s="14">
        <f>ROUND(IF(CH126=0,0,HLOOKUP(CH$14,Villagers!$B$1:$V$33,CH126+3,FALSE)),)</f>
        <v>0</v>
      </c>
      <c r="DD126" s="14">
        <f>ROUND(IF(CI126=0,0,HLOOKUP(CI$14,Villagers!$B$1:$V$33,CI126+3,FALSE)),)</f>
        <v>0</v>
      </c>
      <c r="DE126" s="14">
        <f>ROUND(IF(CJ126=0,0,HLOOKUP(CJ$14,Villagers!$B$1:$V$33,CJ126+3,FALSE)),)</f>
        <v>2</v>
      </c>
      <c r="DF126" s="370">
        <f>ROUND(IF(CK126=0,0,HLOOKUP(CK$14,Villagers!$B$1:$V$33,CK126+3,FALSE)),)</f>
        <v>0</v>
      </c>
      <c r="DG126" s="370">
        <f>ROUND(IF(CL126=0,0,HLOOKUP(CL$14,Villagers!$B$1:$V$33,CL126+3,FALSE)),)</f>
        <v>0</v>
      </c>
      <c r="DH126" s="34">
        <f>ROUND(IF(CM126=0,0,HLOOKUP(CM$14,Villagers!$B$1:$V$33,CM126+3,FALSE)),)</f>
        <v>0</v>
      </c>
      <c r="DI126" s="109">
        <f t="shared" si="219"/>
        <v>0</v>
      </c>
      <c r="DJ126" s="50">
        <f t="shared" si="220"/>
        <v>0</v>
      </c>
      <c r="DK126" s="50">
        <f t="shared" si="221"/>
        <v>0</v>
      </c>
      <c r="DL126" s="50">
        <f t="shared" si="222"/>
        <v>0</v>
      </c>
      <c r="DM126" s="50">
        <f t="shared" si="223"/>
        <v>0</v>
      </c>
      <c r="DN126" s="50">
        <f t="shared" si="224"/>
        <v>0</v>
      </c>
      <c r="DO126" s="50">
        <f t="shared" si="225"/>
        <v>0</v>
      </c>
      <c r="DP126" s="50">
        <f t="shared" si="226"/>
        <v>0</v>
      </c>
      <c r="DQ126" s="50">
        <f t="shared" si="203"/>
        <v>0</v>
      </c>
      <c r="DR126" s="50">
        <f t="shared" si="204"/>
        <v>0</v>
      </c>
      <c r="DS126" s="96">
        <f>Miscelaneous!$D$4*Miscelaneous!$D$2^($CI126-1)</f>
        <v>1000</v>
      </c>
      <c r="DT126" s="333">
        <f t="shared" si="171"/>
        <v>1</v>
      </c>
      <c r="DU126" s="81">
        <v>1</v>
      </c>
      <c r="DV126" s="79">
        <f t="shared" si="205"/>
        <v>0</v>
      </c>
      <c r="DW126" s="79">
        <f t="shared" si="206"/>
        <v>0</v>
      </c>
      <c r="DX126" s="79">
        <f t="shared" si="207"/>
        <v>0</v>
      </c>
      <c r="DY126" s="79">
        <v>1</v>
      </c>
      <c r="DZ126" s="79">
        <f t="shared" si="208"/>
        <v>0</v>
      </c>
      <c r="EA126" s="79">
        <f t="shared" si="209"/>
        <v>0</v>
      </c>
      <c r="EB126" s="79">
        <f t="shared" si="210"/>
        <v>0</v>
      </c>
      <c r="EC126" s="79">
        <f t="shared" si="211"/>
        <v>0</v>
      </c>
      <c r="ED126" s="79">
        <v>1</v>
      </c>
      <c r="EE126" s="79">
        <v>1</v>
      </c>
      <c r="EF126" s="79">
        <f t="shared" si="212"/>
        <v>0</v>
      </c>
      <c r="EG126" s="79">
        <v>1</v>
      </c>
      <c r="EH126" s="79">
        <v>1</v>
      </c>
      <c r="EI126" s="79">
        <v>1</v>
      </c>
      <c r="EJ126" s="79">
        <v>1</v>
      </c>
      <c r="EK126" s="79">
        <v>1</v>
      </c>
      <c r="EL126" s="79">
        <v>1</v>
      </c>
      <c r="EM126" s="143">
        <f t="shared" si="213"/>
        <v>0</v>
      </c>
      <c r="EN126" s="143">
        <f t="shared" si="214"/>
        <v>0</v>
      </c>
      <c r="EO126" s="82">
        <f t="shared" si="215"/>
        <v>0</v>
      </c>
    </row>
    <row r="127" spans="1:145" x14ac:dyDescent="0.25">
      <c r="A127">
        <v>113</v>
      </c>
      <c r="B127" s="172" t="e">
        <f t="shared" si="172"/>
        <v>#N/A</v>
      </c>
      <c r="C127" s="121" t="e">
        <f t="shared" ref="C127:E127" si="299">AJ127-SUM(AB127:AB131)</f>
        <v>#N/A</v>
      </c>
      <c r="D127" s="122" t="e">
        <f t="shared" si="299"/>
        <v>#N/A</v>
      </c>
      <c r="E127" s="122" t="e">
        <f t="shared" si="299"/>
        <v>#N/A</v>
      </c>
      <c r="F127" s="176" t="e">
        <f t="shared" si="154"/>
        <v>#N/A</v>
      </c>
      <c r="G127" s="121">
        <f t="shared" si="174"/>
        <v>208</v>
      </c>
      <c r="H127" s="176" t="e">
        <f t="shared" si="175"/>
        <v>#N/A</v>
      </c>
      <c r="I127" s="48">
        <v>1</v>
      </c>
      <c r="J127" s="39"/>
      <c r="K127" s="350">
        <v>1</v>
      </c>
      <c r="L127" s="34" t="e">
        <f t="shared" si="155"/>
        <v>#N/A</v>
      </c>
      <c r="M127" s="38" t="e">
        <f>(HLOOKUP(J127,'Construction Times'!$B$3:$W$34,L127+2,FALSE)*HLOOKUP("hq modifier",'Construction Times'!$W$3:$W$34,BS127+2,FALSE))*(1-$H$9)</f>
        <v>#N/A</v>
      </c>
      <c r="N127" s="426" t="e">
        <f t="shared" si="176"/>
        <v>#N/A</v>
      </c>
      <c r="O127" s="427"/>
      <c r="P127" s="430" t="e">
        <f t="shared" si="177"/>
        <v>#N/A</v>
      </c>
      <c r="Q127" s="431"/>
      <c r="R127" s="103">
        <f t="shared" si="217"/>
        <v>0</v>
      </c>
      <c r="S127" s="104">
        <f t="shared" si="217"/>
        <v>0</v>
      </c>
      <c r="T127" s="104">
        <f t="shared" si="218"/>
        <v>0</v>
      </c>
      <c r="U127" s="104">
        <f t="shared" si="218"/>
        <v>0</v>
      </c>
      <c r="V127" s="104">
        <f t="shared" si="218"/>
        <v>9.9999999999999995E-8</v>
      </c>
      <c r="W127" s="104">
        <f t="shared" si="218"/>
        <v>0</v>
      </c>
      <c r="X127" s="104">
        <f t="shared" si="278"/>
        <v>0</v>
      </c>
      <c r="Y127" s="104">
        <f t="shared" si="278"/>
        <v>9.9999999999999995E-8</v>
      </c>
      <c r="Z127" s="104">
        <f t="shared" si="278"/>
        <v>9.9999999999999995E-8</v>
      </c>
      <c r="AA127" s="105">
        <f t="shared" si="278"/>
        <v>9.9999999999999995E-8</v>
      </c>
      <c r="AB127" s="101" t="e">
        <f>$DT127*HLOOKUP($J127,'Construction Costs (timber)'!$B$1:$V$32,'Construction Planner'!$L127+2,FALSE)</f>
        <v>#N/A</v>
      </c>
      <c r="AC127" s="14" t="e">
        <f>$DT127*HLOOKUP($J127,'Construction Costs (clay)'!$B$1:$V$32,'Construction Planner'!$L127+2,FALSE)</f>
        <v>#N/A</v>
      </c>
      <c r="AD127" s="14" t="e">
        <f>$DT127*HLOOKUP($J127,'Construction Costs (iron)'!$B$1:$V$32,'Construction Planner'!$L127+2,FALSE)</f>
        <v>#N/A</v>
      </c>
      <c r="AE127" s="34" t="e">
        <f t="shared" si="230"/>
        <v>#N/A</v>
      </c>
      <c r="AF127" s="33" t="e">
        <f t="shared" si="156"/>
        <v>#N/A</v>
      </c>
      <c r="AG127" s="14" t="e">
        <f t="shared" si="157"/>
        <v>#N/A</v>
      </c>
      <c r="AH127" s="14" t="e">
        <f t="shared" si="158"/>
        <v>#N/A</v>
      </c>
      <c r="AI127" s="34" t="e">
        <f t="shared" si="231"/>
        <v>#N/A</v>
      </c>
      <c r="AJ127" s="49" t="e">
        <f t="shared" si="178"/>
        <v>#N/A</v>
      </c>
      <c r="AK127" s="49" t="e">
        <f t="shared" si="179"/>
        <v>#N/A</v>
      </c>
      <c r="AL127" s="49" t="e">
        <f t="shared" si="180"/>
        <v>#N/A</v>
      </c>
      <c r="AM127" s="25">
        <f t="shared" si="159"/>
        <v>30</v>
      </c>
      <c r="AN127" s="25">
        <f t="shared" si="160"/>
        <v>30</v>
      </c>
      <c r="AO127" s="25">
        <f t="shared" si="161"/>
        <v>30</v>
      </c>
      <c r="AP127" s="52" t="e">
        <f t="shared" si="181"/>
        <v>#N/A</v>
      </c>
      <c r="AQ127" s="53" t="e">
        <f t="shared" si="181"/>
        <v>#N/A</v>
      </c>
      <c r="AR127" s="54" t="e">
        <f t="shared" si="181"/>
        <v>#N/A</v>
      </c>
      <c r="AS127" s="316">
        <f t="shared" si="286"/>
        <v>0</v>
      </c>
      <c r="AT127" s="106">
        <f>_xlfn.IFNA($M127/VLOOKUP($BT127,'Unit information'!$A$2:$K$29,2,FALSE)*R127,0)*(1+$E$9)</f>
        <v>0</v>
      </c>
      <c r="AU127" s="107">
        <f>_xlfn.IFNA($M127/VLOOKUP($BT127,'Unit information'!$A$2:$K$29,3,FALSE)*S127,0)*(1+$E$9)</f>
        <v>0</v>
      </c>
      <c r="AV127" s="107">
        <f>_xlfn.IFNA($M127/VLOOKUP($BT127,'Unit information'!$A$2:$K$29,4,FALSE)*T127,0)*(1+$E$9)</f>
        <v>0</v>
      </c>
      <c r="AW127" s="107">
        <f>_xlfn.IFNA($M127/VLOOKUP($BT127,'Unit information'!$A$2:$K$29,5,FALSE)*U127,0)*(1+$E$9)</f>
        <v>0</v>
      </c>
      <c r="AX127" s="107">
        <f>_xlfn.IFNA($M127/VLOOKUP($BU127,'Unit information'!$A$2:$K$29,6,FALSE)*V127,0)*(1+$E$9)</f>
        <v>0</v>
      </c>
      <c r="AY127" s="107">
        <f>_xlfn.IFNA($M127/VLOOKUP($BU127,'Unit information'!$A$2:$K$29,7,FALSE)*W127,0)*(1+$E$9)</f>
        <v>0</v>
      </c>
      <c r="AZ127" s="107">
        <f>_xlfn.IFNA($M127/VLOOKUP($BU127,'Unit information'!$A$2:$K$29,8,FALSE)*X127,0)*(1+$E$9)</f>
        <v>0</v>
      </c>
      <c r="BA127" s="107">
        <f>_xlfn.IFNA($M127/VLOOKUP($BU127,'Unit information'!$A$2:$K$29,9,FALSE)*Y127,0)*(1+$E$9)</f>
        <v>0</v>
      </c>
      <c r="BB127" s="107">
        <f>_xlfn.IFNA($M127/VLOOKUP($BV127,'Unit information'!$A$2:$K$29,10,FALSE)*Z127,0)*(1+$E$9)</f>
        <v>0</v>
      </c>
      <c r="BC127" s="108">
        <f>_xlfn.IFNA($M127/VLOOKUP($BV127,'Unit information'!$A$2:$K$29,11,FALSE)*AA127,0)*(1+$E$9)</f>
        <v>0</v>
      </c>
      <c r="BD127" s="106">
        <f t="shared" si="162"/>
        <v>0</v>
      </c>
      <c r="BE127" s="107">
        <f t="shared" si="163"/>
        <v>0</v>
      </c>
      <c r="BF127" s="108">
        <f t="shared" si="164"/>
        <v>0</v>
      </c>
      <c r="BG127" s="25" t="e">
        <f t="shared" si="165"/>
        <v>#N/A</v>
      </c>
      <c r="BH127" s="25" t="e">
        <f t="shared" si="166"/>
        <v>#N/A</v>
      </c>
      <c r="BI127" s="25" t="e">
        <f t="shared" si="167"/>
        <v>#N/A</v>
      </c>
      <c r="BJ127" s="27" t="e">
        <f t="shared" si="168"/>
        <v>#N/A</v>
      </c>
      <c r="BK127" s="18" t="e">
        <f t="shared" si="169"/>
        <v>#N/A</v>
      </c>
      <c r="BL127" s="18" t="e">
        <f t="shared" si="170"/>
        <v>#N/A</v>
      </c>
      <c r="BM127" s="28" t="e">
        <f t="shared" si="233"/>
        <v>#N/A</v>
      </c>
      <c r="BN127" s="33">
        <f>HLOOKUP("maximum population",Miscelaneous!$C$1:$C$33,CH127+3,FALSE)</f>
        <v>240</v>
      </c>
      <c r="BO127" s="14">
        <f t="shared" si="182"/>
        <v>32</v>
      </c>
      <c r="BP127" s="14">
        <f t="shared" si="183"/>
        <v>0</v>
      </c>
      <c r="BQ127" s="14">
        <f t="shared" si="184"/>
        <v>208</v>
      </c>
      <c r="BR127" s="34" t="e">
        <f>HLOOKUP(J127,Villagers!$B$1:$V$33,L127+3,FALSE)-HLOOKUP(J127,Villagers!$B$1:$V$33,L127+2,FALSE)</f>
        <v>#N/A</v>
      </c>
      <c r="BS127" s="49">
        <f t="shared" si="185"/>
        <v>1</v>
      </c>
      <c r="BT127" s="50">
        <f t="shared" si="186"/>
        <v>0</v>
      </c>
      <c r="BU127" s="50">
        <f t="shared" si="187"/>
        <v>0</v>
      </c>
      <c r="BV127" s="50">
        <f t="shared" si="188"/>
        <v>0</v>
      </c>
      <c r="BW127" s="50">
        <f t="shared" si="292"/>
        <v>0</v>
      </c>
      <c r="BX127" s="50">
        <f t="shared" si="290"/>
        <v>0</v>
      </c>
      <c r="BY127" s="50">
        <f t="shared" si="290"/>
        <v>0</v>
      </c>
      <c r="BZ127" s="50">
        <f t="shared" si="245"/>
        <v>0</v>
      </c>
      <c r="CA127" s="50">
        <f t="shared" si="246"/>
        <v>0</v>
      </c>
      <c r="CB127" s="50">
        <f t="shared" si="247"/>
        <v>1</v>
      </c>
      <c r="CC127" s="50">
        <f t="shared" si="248"/>
        <v>0</v>
      </c>
      <c r="CD127" s="50">
        <f t="shared" si="249"/>
        <v>0</v>
      </c>
      <c r="CE127" s="50">
        <f t="shared" si="250"/>
        <v>1</v>
      </c>
      <c r="CF127" s="50">
        <f t="shared" si="251"/>
        <v>1</v>
      </c>
      <c r="CG127" s="50">
        <f t="shared" si="252"/>
        <v>1</v>
      </c>
      <c r="CH127" s="50">
        <f t="shared" si="253"/>
        <v>1</v>
      </c>
      <c r="CI127" s="50">
        <f t="shared" si="254"/>
        <v>1</v>
      </c>
      <c r="CJ127" s="50">
        <f t="shared" si="255"/>
        <v>1</v>
      </c>
      <c r="CK127" s="50">
        <f t="shared" si="255"/>
        <v>0</v>
      </c>
      <c r="CL127" s="50">
        <f t="shared" si="255"/>
        <v>0</v>
      </c>
      <c r="CM127" s="51">
        <f t="shared" si="256"/>
        <v>0</v>
      </c>
      <c r="CN127" s="33">
        <f>ROUND(IF(BS127=0,0,HLOOKUP(BS$14,Villagers!$B$1:$V$33,BS127+3,FALSE)),)</f>
        <v>5</v>
      </c>
      <c r="CO127" s="14">
        <f>ROUND(IF(BT127=0,0,HLOOKUP(BT$14,Villagers!$B$1:$V$33,BT127+3,FALSE)),)</f>
        <v>0</v>
      </c>
      <c r="CP127" s="14">
        <f>ROUND(IF(BU127=0,0,HLOOKUP(BU$14,Villagers!$B$1:$V$33,BU127+3,FALSE)),)</f>
        <v>0</v>
      </c>
      <c r="CQ127" s="14">
        <f>ROUND(IF(BV127=0,0,HLOOKUP(BV$14,Villagers!$B$1:$V$33,BV127+3,FALSE)),)</f>
        <v>0</v>
      </c>
      <c r="CR127" s="14">
        <f>ROUND(IF(BW127=0,0,HLOOKUP(BW$14,Villagers!$B$1:$V$33,BW127+3,FALSE)),)</f>
        <v>0</v>
      </c>
      <c r="CS127" s="14">
        <f>ROUND(IF(BX127=0,0,HLOOKUP(BX$14,Villagers!$B$1:$V$33,BX127+3,FALSE)),)</f>
        <v>0</v>
      </c>
      <c r="CT127" s="14">
        <f>ROUND(IF(BY127=0,0,HLOOKUP(BY$14,Villagers!$B$1:$V$33,BY127+3,FALSE)),)</f>
        <v>0</v>
      </c>
      <c r="CU127" s="14">
        <f>ROUND(IF(BZ127=0,0,HLOOKUP(BZ$14,Villagers!$B$1:$V$33,BZ127+3,FALSE)),)</f>
        <v>0</v>
      </c>
      <c r="CV127" s="14">
        <f>ROUND(IF(CA127=0,0,HLOOKUP(CA$14,Villagers!$B$1:$V$33,CA127+3,FALSE)),)</f>
        <v>0</v>
      </c>
      <c r="CW127" s="14">
        <f>ROUND(IF(CB127=0,0,HLOOKUP(CB$14,Villagers!$B$1:$V$33,CB127+3,FALSE)),)</f>
        <v>0</v>
      </c>
      <c r="CX127" s="14">
        <f>ROUND(IF(CC127=0,0,HLOOKUP(CC$14,Villagers!$B$1:$V$33,CC127+3,FALSE)),)</f>
        <v>0</v>
      </c>
      <c r="CY127" s="14">
        <f>ROUND(IF(CD127=0,0,HLOOKUP(CD$14,Villagers!$B$1:$V$33,CD127+3,FALSE)),)</f>
        <v>0</v>
      </c>
      <c r="CZ127" s="14">
        <f>ROUND(IF(CE127=0,0,HLOOKUP(CE$14,Villagers!$B$1:$V$33,CE127+3,FALSE)),)</f>
        <v>5</v>
      </c>
      <c r="DA127" s="14">
        <f>ROUND(IF(CF127=0,0,HLOOKUP(CF$14,Villagers!$B$1:$V$33,CF127+3,FALSE)),)</f>
        <v>10</v>
      </c>
      <c r="DB127" s="14">
        <f>ROUND(IF(CG127=0,0,HLOOKUP(CG$14,Villagers!$B$1:$V$33,CG127+3,FALSE)),)</f>
        <v>10</v>
      </c>
      <c r="DC127" s="14">
        <f>ROUND(IF(CH127=0,0,HLOOKUP(CH$14,Villagers!$B$1:$V$33,CH127+3,FALSE)),)</f>
        <v>0</v>
      </c>
      <c r="DD127" s="14">
        <f>ROUND(IF(CI127=0,0,HLOOKUP(CI$14,Villagers!$B$1:$V$33,CI127+3,FALSE)),)</f>
        <v>0</v>
      </c>
      <c r="DE127" s="14">
        <f>ROUND(IF(CJ127=0,0,HLOOKUP(CJ$14,Villagers!$B$1:$V$33,CJ127+3,FALSE)),)</f>
        <v>2</v>
      </c>
      <c r="DF127" s="370">
        <f>ROUND(IF(CK127=0,0,HLOOKUP(CK$14,Villagers!$B$1:$V$33,CK127+3,FALSE)),)</f>
        <v>0</v>
      </c>
      <c r="DG127" s="370">
        <f>ROUND(IF(CL127=0,0,HLOOKUP(CL$14,Villagers!$B$1:$V$33,CL127+3,FALSE)),)</f>
        <v>0</v>
      </c>
      <c r="DH127" s="34">
        <f>ROUND(IF(CM127=0,0,HLOOKUP(CM$14,Villagers!$B$1:$V$33,CM127+3,FALSE)),)</f>
        <v>0</v>
      </c>
      <c r="DI127" s="109">
        <f t="shared" si="219"/>
        <v>0</v>
      </c>
      <c r="DJ127" s="50">
        <f t="shared" si="220"/>
        <v>0</v>
      </c>
      <c r="DK127" s="50">
        <f t="shared" si="221"/>
        <v>0</v>
      </c>
      <c r="DL127" s="50">
        <f t="shared" si="222"/>
        <v>0</v>
      </c>
      <c r="DM127" s="50">
        <f t="shared" si="223"/>
        <v>0</v>
      </c>
      <c r="DN127" s="50">
        <f t="shared" si="224"/>
        <v>0</v>
      </c>
      <c r="DO127" s="50">
        <f t="shared" si="225"/>
        <v>0</v>
      </c>
      <c r="DP127" s="50">
        <f t="shared" si="226"/>
        <v>0</v>
      </c>
      <c r="DQ127" s="50">
        <f t="shared" si="203"/>
        <v>0</v>
      </c>
      <c r="DR127" s="50">
        <f t="shared" si="204"/>
        <v>0</v>
      </c>
      <c r="DS127" s="96">
        <f>Miscelaneous!$D$4*Miscelaneous!$D$2^($CI127-1)</f>
        <v>1000</v>
      </c>
      <c r="DT127" s="333">
        <f t="shared" si="171"/>
        <v>1</v>
      </c>
      <c r="DU127" s="81">
        <v>1</v>
      </c>
      <c r="DV127" s="79">
        <f t="shared" si="205"/>
        <v>0</v>
      </c>
      <c r="DW127" s="79">
        <f t="shared" si="206"/>
        <v>0</v>
      </c>
      <c r="DX127" s="79">
        <f t="shared" si="207"/>
        <v>0</v>
      </c>
      <c r="DY127" s="79">
        <v>1</v>
      </c>
      <c r="DZ127" s="79">
        <f t="shared" si="208"/>
        <v>0</v>
      </c>
      <c r="EA127" s="79">
        <f t="shared" si="209"/>
        <v>0</v>
      </c>
      <c r="EB127" s="79">
        <f t="shared" si="210"/>
        <v>0</v>
      </c>
      <c r="EC127" s="79">
        <f t="shared" si="211"/>
        <v>0</v>
      </c>
      <c r="ED127" s="79">
        <v>1</v>
      </c>
      <c r="EE127" s="79">
        <v>1</v>
      </c>
      <c r="EF127" s="79">
        <f t="shared" si="212"/>
        <v>0</v>
      </c>
      <c r="EG127" s="79">
        <v>1</v>
      </c>
      <c r="EH127" s="79">
        <v>1</v>
      </c>
      <c r="EI127" s="79">
        <v>1</v>
      </c>
      <c r="EJ127" s="79">
        <v>1</v>
      </c>
      <c r="EK127" s="79">
        <v>1</v>
      </c>
      <c r="EL127" s="79">
        <v>1</v>
      </c>
      <c r="EM127" s="143">
        <f t="shared" si="213"/>
        <v>0</v>
      </c>
      <c r="EN127" s="143">
        <f t="shared" si="214"/>
        <v>0</v>
      </c>
      <c r="EO127" s="82">
        <f t="shared" si="215"/>
        <v>0</v>
      </c>
    </row>
    <row r="128" spans="1:145" x14ac:dyDescent="0.25">
      <c r="A128">
        <v>114</v>
      </c>
      <c r="B128" s="172" t="e">
        <f t="shared" si="172"/>
        <v>#N/A</v>
      </c>
      <c r="C128" s="121" t="e">
        <f t="shared" ref="C128:E128" si="300">AJ128-SUM(AB128:AB132)</f>
        <v>#N/A</v>
      </c>
      <c r="D128" s="122" t="e">
        <f t="shared" si="300"/>
        <v>#N/A</v>
      </c>
      <c r="E128" s="122" t="e">
        <f t="shared" si="300"/>
        <v>#N/A</v>
      </c>
      <c r="F128" s="176" t="e">
        <f t="shared" si="154"/>
        <v>#N/A</v>
      </c>
      <c r="G128" s="121">
        <f t="shared" si="174"/>
        <v>208</v>
      </c>
      <c r="H128" s="176" t="e">
        <f t="shared" si="175"/>
        <v>#N/A</v>
      </c>
      <c r="I128" s="48">
        <v>1</v>
      </c>
      <c r="J128" s="39"/>
      <c r="K128" s="350">
        <v>1</v>
      </c>
      <c r="L128" s="34" t="e">
        <f t="shared" si="155"/>
        <v>#N/A</v>
      </c>
      <c r="M128" s="38" t="e">
        <f>(HLOOKUP(J128,'Construction Times'!$B$3:$W$34,L128+2,FALSE)*HLOOKUP("hq modifier",'Construction Times'!$W$3:$W$34,BS128+2,FALSE))*(1-$H$9)</f>
        <v>#N/A</v>
      </c>
      <c r="N128" s="426" t="e">
        <f t="shared" si="176"/>
        <v>#N/A</v>
      </c>
      <c r="O128" s="427"/>
      <c r="P128" s="430" t="e">
        <f t="shared" si="177"/>
        <v>#N/A</v>
      </c>
      <c r="Q128" s="431"/>
      <c r="R128" s="103">
        <f t="shared" si="217"/>
        <v>0</v>
      </c>
      <c r="S128" s="104">
        <f t="shared" si="217"/>
        <v>0</v>
      </c>
      <c r="T128" s="104">
        <f t="shared" si="218"/>
        <v>0</v>
      </c>
      <c r="U128" s="104">
        <f t="shared" si="218"/>
        <v>0</v>
      </c>
      <c r="V128" s="104">
        <f t="shared" si="218"/>
        <v>9.9999999999999995E-8</v>
      </c>
      <c r="W128" s="104">
        <f t="shared" si="218"/>
        <v>0</v>
      </c>
      <c r="X128" s="104">
        <f t="shared" si="278"/>
        <v>0</v>
      </c>
      <c r="Y128" s="104">
        <f t="shared" si="278"/>
        <v>9.9999999999999995E-8</v>
      </c>
      <c r="Z128" s="104">
        <f t="shared" si="278"/>
        <v>9.9999999999999995E-8</v>
      </c>
      <c r="AA128" s="105">
        <f t="shared" si="278"/>
        <v>9.9999999999999995E-8</v>
      </c>
      <c r="AB128" s="101" t="e">
        <f>$DT128*HLOOKUP($J128,'Construction Costs (timber)'!$B$1:$V$32,'Construction Planner'!$L128+2,FALSE)</f>
        <v>#N/A</v>
      </c>
      <c r="AC128" s="14" t="e">
        <f>$DT128*HLOOKUP($J128,'Construction Costs (clay)'!$B$1:$V$32,'Construction Planner'!$L128+2,FALSE)</f>
        <v>#N/A</v>
      </c>
      <c r="AD128" s="14" t="e">
        <f>$DT128*HLOOKUP($J128,'Construction Costs (iron)'!$B$1:$V$32,'Construction Planner'!$L128+2,FALSE)</f>
        <v>#N/A</v>
      </c>
      <c r="AE128" s="34" t="e">
        <f t="shared" si="230"/>
        <v>#N/A</v>
      </c>
      <c r="AF128" s="33" t="e">
        <f t="shared" si="156"/>
        <v>#N/A</v>
      </c>
      <c r="AG128" s="14" t="e">
        <f t="shared" si="157"/>
        <v>#N/A</v>
      </c>
      <c r="AH128" s="14" t="e">
        <f t="shared" si="158"/>
        <v>#N/A</v>
      </c>
      <c r="AI128" s="34" t="e">
        <f t="shared" si="231"/>
        <v>#N/A</v>
      </c>
      <c r="AJ128" s="49" t="e">
        <f t="shared" si="178"/>
        <v>#N/A</v>
      </c>
      <c r="AK128" s="49" t="e">
        <f t="shared" si="179"/>
        <v>#N/A</v>
      </c>
      <c r="AL128" s="49" t="e">
        <f t="shared" si="180"/>
        <v>#N/A</v>
      </c>
      <c r="AM128" s="25">
        <f t="shared" si="159"/>
        <v>30</v>
      </c>
      <c r="AN128" s="25">
        <f t="shared" si="160"/>
        <v>30</v>
      </c>
      <c r="AO128" s="25">
        <f t="shared" si="161"/>
        <v>30</v>
      </c>
      <c r="AP128" s="52" t="e">
        <f t="shared" si="181"/>
        <v>#N/A</v>
      </c>
      <c r="AQ128" s="53" t="e">
        <f t="shared" si="181"/>
        <v>#N/A</v>
      </c>
      <c r="AR128" s="54" t="e">
        <f t="shared" si="181"/>
        <v>#N/A</v>
      </c>
      <c r="AS128" s="316">
        <f t="shared" si="286"/>
        <v>0</v>
      </c>
      <c r="AT128" s="106">
        <f>_xlfn.IFNA($M128/VLOOKUP($BT128,'Unit information'!$A$2:$K$29,2,FALSE)*R128,0)*(1+$E$9)</f>
        <v>0</v>
      </c>
      <c r="AU128" s="107">
        <f>_xlfn.IFNA($M128/VLOOKUP($BT128,'Unit information'!$A$2:$K$29,3,FALSE)*S128,0)*(1+$E$9)</f>
        <v>0</v>
      </c>
      <c r="AV128" s="107">
        <f>_xlfn.IFNA($M128/VLOOKUP($BT128,'Unit information'!$A$2:$K$29,4,FALSE)*T128,0)*(1+$E$9)</f>
        <v>0</v>
      </c>
      <c r="AW128" s="107">
        <f>_xlfn.IFNA($M128/VLOOKUP($BT128,'Unit information'!$A$2:$K$29,5,FALSE)*U128,0)*(1+$E$9)</f>
        <v>0</v>
      </c>
      <c r="AX128" s="107">
        <f>_xlfn.IFNA($M128/VLOOKUP($BU128,'Unit information'!$A$2:$K$29,6,FALSE)*V128,0)*(1+$E$9)</f>
        <v>0</v>
      </c>
      <c r="AY128" s="107">
        <f>_xlfn.IFNA($M128/VLOOKUP($BU128,'Unit information'!$A$2:$K$29,7,FALSE)*W128,0)*(1+$E$9)</f>
        <v>0</v>
      </c>
      <c r="AZ128" s="107">
        <f>_xlfn.IFNA($M128/VLOOKUP($BU128,'Unit information'!$A$2:$K$29,8,FALSE)*X128,0)*(1+$E$9)</f>
        <v>0</v>
      </c>
      <c r="BA128" s="107">
        <f>_xlfn.IFNA($M128/VLOOKUP($BU128,'Unit information'!$A$2:$K$29,9,FALSE)*Y128,0)*(1+$E$9)</f>
        <v>0</v>
      </c>
      <c r="BB128" s="107">
        <f>_xlfn.IFNA($M128/VLOOKUP($BV128,'Unit information'!$A$2:$K$29,10,FALSE)*Z128,0)*(1+$E$9)</f>
        <v>0</v>
      </c>
      <c r="BC128" s="108">
        <f>_xlfn.IFNA($M128/VLOOKUP($BV128,'Unit information'!$A$2:$K$29,11,FALSE)*AA128,0)*(1+$E$9)</f>
        <v>0</v>
      </c>
      <c r="BD128" s="106">
        <f t="shared" si="162"/>
        <v>0</v>
      </c>
      <c r="BE128" s="107">
        <f t="shared" si="163"/>
        <v>0</v>
      </c>
      <c r="BF128" s="108">
        <f t="shared" si="164"/>
        <v>0</v>
      </c>
      <c r="BG128" s="25" t="e">
        <f t="shared" si="165"/>
        <v>#N/A</v>
      </c>
      <c r="BH128" s="25" t="e">
        <f t="shared" si="166"/>
        <v>#N/A</v>
      </c>
      <c r="BI128" s="25" t="e">
        <f t="shared" si="167"/>
        <v>#N/A</v>
      </c>
      <c r="BJ128" s="27" t="e">
        <f t="shared" si="168"/>
        <v>#N/A</v>
      </c>
      <c r="BK128" s="18" t="e">
        <f t="shared" si="169"/>
        <v>#N/A</v>
      </c>
      <c r="BL128" s="18" t="e">
        <f t="shared" si="170"/>
        <v>#N/A</v>
      </c>
      <c r="BM128" s="28" t="e">
        <f t="shared" si="233"/>
        <v>#N/A</v>
      </c>
      <c r="BN128" s="33">
        <f>HLOOKUP("maximum population",Miscelaneous!$C$1:$C$33,CH128+3,FALSE)</f>
        <v>240</v>
      </c>
      <c r="BO128" s="14">
        <f t="shared" si="182"/>
        <v>32</v>
      </c>
      <c r="BP128" s="14">
        <f t="shared" si="183"/>
        <v>0</v>
      </c>
      <c r="BQ128" s="14">
        <f t="shared" si="184"/>
        <v>208</v>
      </c>
      <c r="BR128" s="34" t="e">
        <f>HLOOKUP(J128,Villagers!$B$1:$V$33,L128+3,FALSE)-HLOOKUP(J128,Villagers!$B$1:$V$33,L128+2,FALSE)</f>
        <v>#N/A</v>
      </c>
      <c r="BS128" s="49">
        <f t="shared" si="185"/>
        <v>1</v>
      </c>
      <c r="BT128" s="50">
        <f t="shared" si="186"/>
        <v>0</v>
      </c>
      <c r="BU128" s="50">
        <f t="shared" si="187"/>
        <v>0</v>
      </c>
      <c r="BV128" s="50">
        <f t="shared" si="188"/>
        <v>0</v>
      </c>
      <c r="BW128" s="50">
        <f t="shared" ref="BW128:BY134" si="301">IF($J127=BW$14,$L127,BW127)</f>
        <v>0</v>
      </c>
      <c r="BX128" s="50">
        <f t="shared" si="301"/>
        <v>0</v>
      </c>
      <c r="BY128" s="50">
        <f t="shared" si="301"/>
        <v>0</v>
      </c>
      <c r="BZ128" s="50">
        <f t="shared" si="245"/>
        <v>0</v>
      </c>
      <c r="CA128" s="50">
        <f t="shared" si="246"/>
        <v>0</v>
      </c>
      <c r="CB128" s="50">
        <f t="shared" si="247"/>
        <v>1</v>
      </c>
      <c r="CC128" s="50">
        <f t="shared" si="248"/>
        <v>0</v>
      </c>
      <c r="CD128" s="50">
        <f t="shared" si="249"/>
        <v>0</v>
      </c>
      <c r="CE128" s="50">
        <f t="shared" si="250"/>
        <v>1</v>
      </c>
      <c r="CF128" s="50">
        <f t="shared" si="251"/>
        <v>1</v>
      </c>
      <c r="CG128" s="50">
        <f t="shared" si="252"/>
        <v>1</v>
      </c>
      <c r="CH128" s="50">
        <f t="shared" si="253"/>
        <v>1</v>
      </c>
      <c r="CI128" s="50">
        <f t="shared" si="254"/>
        <v>1</v>
      </c>
      <c r="CJ128" s="50">
        <f t="shared" si="255"/>
        <v>1</v>
      </c>
      <c r="CK128" s="50">
        <f t="shared" si="255"/>
        <v>0</v>
      </c>
      <c r="CL128" s="50">
        <f t="shared" si="255"/>
        <v>0</v>
      </c>
      <c r="CM128" s="51">
        <f t="shared" si="256"/>
        <v>0</v>
      </c>
      <c r="CN128" s="33">
        <f>ROUND(IF(BS128=0,0,HLOOKUP(BS$14,Villagers!$B$1:$V$33,BS128+3,FALSE)),)</f>
        <v>5</v>
      </c>
      <c r="CO128" s="14">
        <f>ROUND(IF(BT128=0,0,HLOOKUP(BT$14,Villagers!$B$1:$V$33,BT128+3,FALSE)),)</f>
        <v>0</v>
      </c>
      <c r="CP128" s="14">
        <f>ROUND(IF(BU128=0,0,HLOOKUP(BU$14,Villagers!$B$1:$V$33,BU128+3,FALSE)),)</f>
        <v>0</v>
      </c>
      <c r="CQ128" s="14">
        <f>ROUND(IF(BV128=0,0,HLOOKUP(BV$14,Villagers!$B$1:$V$33,BV128+3,FALSE)),)</f>
        <v>0</v>
      </c>
      <c r="CR128" s="14">
        <f>ROUND(IF(BW128=0,0,HLOOKUP(BW$14,Villagers!$B$1:$V$33,BW128+3,FALSE)),)</f>
        <v>0</v>
      </c>
      <c r="CS128" s="14">
        <f>ROUND(IF(BX128=0,0,HLOOKUP(BX$14,Villagers!$B$1:$V$33,BX128+3,FALSE)),)</f>
        <v>0</v>
      </c>
      <c r="CT128" s="14">
        <f>ROUND(IF(BY128=0,0,HLOOKUP(BY$14,Villagers!$B$1:$V$33,BY128+3,FALSE)),)</f>
        <v>0</v>
      </c>
      <c r="CU128" s="14">
        <f>ROUND(IF(BZ128=0,0,HLOOKUP(BZ$14,Villagers!$B$1:$V$33,BZ128+3,FALSE)),)</f>
        <v>0</v>
      </c>
      <c r="CV128" s="14">
        <f>ROUND(IF(CA128=0,0,HLOOKUP(CA$14,Villagers!$B$1:$V$33,CA128+3,FALSE)),)</f>
        <v>0</v>
      </c>
      <c r="CW128" s="14">
        <f>ROUND(IF(CB128=0,0,HLOOKUP(CB$14,Villagers!$B$1:$V$33,CB128+3,FALSE)),)</f>
        <v>0</v>
      </c>
      <c r="CX128" s="14">
        <f>ROUND(IF(CC128=0,0,HLOOKUP(CC$14,Villagers!$B$1:$V$33,CC128+3,FALSE)),)</f>
        <v>0</v>
      </c>
      <c r="CY128" s="14">
        <f>ROUND(IF(CD128=0,0,HLOOKUP(CD$14,Villagers!$B$1:$V$33,CD128+3,FALSE)),)</f>
        <v>0</v>
      </c>
      <c r="CZ128" s="14">
        <f>ROUND(IF(CE128=0,0,HLOOKUP(CE$14,Villagers!$B$1:$V$33,CE128+3,FALSE)),)</f>
        <v>5</v>
      </c>
      <c r="DA128" s="14">
        <f>ROUND(IF(CF128=0,0,HLOOKUP(CF$14,Villagers!$B$1:$V$33,CF128+3,FALSE)),)</f>
        <v>10</v>
      </c>
      <c r="DB128" s="14">
        <f>ROUND(IF(CG128=0,0,HLOOKUP(CG$14,Villagers!$B$1:$V$33,CG128+3,FALSE)),)</f>
        <v>10</v>
      </c>
      <c r="DC128" s="14">
        <f>ROUND(IF(CH128=0,0,HLOOKUP(CH$14,Villagers!$B$1:$V$33,CH128+3,FALSE)),)</f>
        <v>0</v>
      </c>
      <c r="DD128" s="14">
        <f>ROUND(IF(CI128=0,0,HLOOKUP(CI$14,Villagers!$B$1:$V$33,CI128+3,FALSE)),)</f>
        <v>0</v>
      </c>
      <c r="DE128" s="14">
        <f>ROUND(IF(CJ128=0,0,HLOOKUP(CJ$14,Villagers!$B$1:$V$33,CJ128+3,FALSE)),)</f>
        <v>2</v>
      </c>
      <c r="DF128" s="370">
        <f>ROUND(IF(CK128=0,0,HLOOKUP(CK$14,Villagers!$B$1:$V$33,CK128+3,FALSE)),)</f>
        <v>0</v>
      </c>
      <c r="DG128" s="370">
        <f>ROUND(IF(CL128=0,0,HLOOKUP(CL$14,Villagers!$B$1:$V$33,CL128+3,FALSE)),)</f>
        <v>0</v>
      </c>
      <c r="DH128" s="34">
        <f>ROUND(IF(CM128=0,0,HLOOKUP(CM$14,Villagers!$B$1:$V$33,CM128+3,FALSE)),)</f>
        <v>0</v>
      </c>
      <c r="DI128" s="109">
        <f t="shared" si="219"/>
        <v>0</v>
      </c>
      <c r="DJ128" s="50">
        <f t="shared" si="220"/>
        <v>0</v>
      </c>
      <c r="DK128" s="50">
        <f t="shared" si="221"/>
        <v>0</v>
      </c>
      <c r="DL128" s="50">
        <f t="shared" si="222"/>
        <v>0</v>
      </c>
      <c r="DM128" s="50">
        <f t="shared" si="223"/>
        <v>0</v>
      </c>
      <c r="DN128" s="50">
        <f t="shared" si="224"/>
        <v>0</v>
      </c>
      <c r="DO128" s="50">
        <f t="shared" si="225"/>
        <v>0</v>
      </c>
      <c r="DP128" s="50">
        <f t="shared" si="226"/>
        <v>0</v>
      </c>
      <c r="DQ128" s="50">
        <f t="shared" si="203"/>
        <v>0</v>
      </c>
      <c r="DR128" s="50">
        <f t="shared" si="204"/>
        <v>0</v>
      </c>
      <c r="DS128" s="96">
        <f>Miscelaneous!$D$4*Miscelaneous!$D$2^($CI128-1)</f>
        <v>1000</v>
      </c>
      <c r="DT128" s="333">
        <f t="shared" si="171"/>
        <v>1</v>
      </c>
      <c r="DU128" s="81">
        <v>1</v>
      </c>
      <c r="DV128" s="79">
        <f t="shared" si="205"/>
        <v>0</v>
      </c>
      <c r="DW128" s="79">
        <f t="shared" si="206"/>
        <v>0</v>
      </c>
      <c r="DX128" s="79">
        <f t="shared" si="207"/>
        <v>0</v>
      </c>
      <c r="DY128" s="79">
        <v>1</v>
      </c>
      <c r="DZ128" s="79">
        <f t="shared" si="208"/>
        <v>0</v>
      </c>
      <c r="EA128" s="79">
        <f t="shared" si="209"/>
        <v>0</v>
      </c>
      <c r="EB128" s="79">
        <f t="shared" si="210"/>
        <v>0</v>
      </c>
      <c r="EC128" s="79">
        <f t="shared" si="211"/>
        <v>0</v>
      </c>
      <c r="ED128" s="79">
        <v>1</v>
      </c>
      <c r="EE128" s="79">
        <v>1</v>
      </c>
      <c r="EF128" s="79">
        <f t="shared" si="212"/>
        <v>0</v>
      </c>
      <c r="EG128" s="79">
        <v>1</v>
      </c>
      <c r="EH128" s="79">
        <v>1</v>
      </c>
      <c r="EI128" s="79">
        <v>1</v>
      </c>
      <c r="EJ128" s="79">
        <v>1</v>
      </c>
      <c r="EK128" s="79">
        <v>1</v>
      </c>
      <c r="EL128" s="79">
        <v>1</v>
      </c>
      <c r="EM128" s="143">
        <f t="shared" si="213"/>
        <v>0</v>
      </c>
      <c r="EN128" s="143">
        <f t="shared" si="214"/>
        <v>0</v>
      </c>
      <c r="EO128" s="82">
        <f t="shared" si="215"/>
        <v>0</v>
      </c>
    </row>
    <row r="129" spans="1:145" x14ac:dyDescent="0.25">
      <c r="A129">
        <v>115</v>
      </c>
      <c r="B129" s="172" t="e">
        <f t="shared" si="172"/>
        <v>#N/A</v>
      </c>
      <c r="C129" s="121" t="e">
        <f t="shared" ref="C129:E129" si="302">AJ129-SUM(AB129:AB133)</f>
        <v>#N/A</v>
      </c>
      <c r="D129" s="122" t="e">
        <f t="shared" si="302"/>
        <v>#N/A</v>
      </c>
      <c r="E129" s="122" t="e">
        <f t="shared" si="302"/>
        <v>#N/A</v>
      </c>
      <c r="F129" s="176" t="e">
        <f t="shared" si="154"/>
        <v>#N/A</v>
      </c>
      <c r="G129" s="121">
        <f t="shared" si="174"/>
        <v>208</v>
      </c>
      <c r="H129" s="176" t="e">
        <f t="shared" si="175"/>
        <v>#N/A</v>
      </c>
      <c r="I129" s="48">
        <v>1</v>
      </c>
      <c r="J129" s="39"/>
      <c r="K129" s="350">
        <v>1</v>
      </c>
      <c r="L129" s="34" t="e">
        <f t="shared" si="155"/>
        <v>#N/A</v>
      </c>
      <c r="M129" s="38" t="e">
        <f>(HLOOKUP(J129,'Construction Times'!$B$3:$W$34,L129+2,FALSE)*HLOOKUP("hq modifier",'Construction Times'!$W$3:$W$34,BS129+2,FALSE))*(1-$H$9)</f>
        <v>#N/A</v>
      </c>
      <c r="N129" s="426" t="e">
        <f t="shared" si="176"/>
        <v>#N/A</v>
      </c>
      <c r="O129" s="427"/>
      <c r="P129" s="430" t="e">
        <f t="shared" si="177"/>
        <v>#N/A</v>
      </c>
      <c r="Q129" s="431"/>
      <c r="R129" s="103">
        <f t="shared" si="217"/>
        <v>0</v>
      </c>
      <c r="S129" s="104">
        <f t="shared" si="217"/>
        <v>0</v>
      </c>
      <c r="T129" s="104">
        <f t="shared" si="218"/>
        <v>0</v>
      </c>
      <c r="U129" s="104">
        <f t="shared" si="218"/>
        <v>0</v>
      </c>
      <c r="V129" s="104">
        <f t="shared" si="218"/>
        <v>9.9999999999999995E-8</v>
      </c>
      <c r="W129" s="104">
        <f t="shared" si="218"/>
        <v>0</v>
      </c>
      <c r="X129" s="104">
        <f t="shared" si="278"/>
        <v>0</v>
      </c>
      <c r="Y129" s="104">
        <f t="shared" si="278"/>
        <v>9.9999999999999995E-8</v>
      </c>
      <c r="Z129" s="104">
        <f t="shared" si="278"/>
        <v>9.9999999999999995E-8</v>
      </c>
      <c r="AA129" s="105">
        <f t="shared" si="278"/>
        <v>9.9999999999999995E-8</v>
      </c>
      <c r="AB129" s="101" t="e">
        <f>$DT129*HLOOKUP($J129,'Construction Costs (timber)'!$B$1:$V$32,'Construction Planner'!$L129+2,FALSE)</f>
        <v>#N/A</v>
      </c>
      <c r="AC129" s="14" t="e">
        <f>$DT129*HLOOKUP($J129,'Construction Costs (clay)'!$B$1:$V$32,'Construction Planner'!$L129+2,FALSE)</f>
        <v>#N/A</v>
      </c>
      <c r="AD129" s="14" t="e">
        <f>$DT129*HLOOKUP($J129,'Construction Costs (iron)'!$B$1:$V$32,'Construction Planner'!$L129+2,FALSE)</f>
        <v>#N/A</v>
      </c>
      <c r="AE129" s="34" t="e">
        <f t="shared" si="230"/>
        <v>#N/A</v>
      </c>
      <c r="AF129" s="33" t="e">
        <f t="shared" si="156"/>
        <v>#N/A</v>
      </c>
      <c r="AG129" s="14" t="e">
        <f t="shared" si="157"/>
        <v>#N/A</v>
      </c>
      <c r="AH129" s="14" t="e">
        <f t="shared" si="158"/>
        <v>#N/A</v>
      </c>
      <c r="AI129" s="34" t="e">
        <f t="shared" si="231"/>
        <v>#N/A</v>
      </c>
      <c r="AJ129" s="49" t="e">
        <f t="shared" si="178"/>
        <v>#N/A</v>
      </c>
      <c r="AK129" s="49" t="e">
        <f t="shared" si="179"/>
        <v>#N/A</v>
      </c>
      <c r="AL129" s="49" t="e">
        <f t="shared" si="180"/>
        <v>#N/A</v>
      </c>
      <c r="AM129" s="25">
        <f t="shared" si="159"/>
        <v>30</v>
      </c>
      <c r="AN129" s="25">
        <f t="shared" si="160"/>
        <v>30</v>
      </c>
      <c r="AO129" s="25">
        <f t="shared" si="161"/>
        <v>30</v>
      </c>
      <c r="AP129" s="52" t="e">
        <f t="shared" si="181"/>
        <v>#N/A</v>
      </c>
      <c r="AQ129" s="53" t="e">
        <f t="shared" si="181"/>
        <v>#N/A</v>
      </c>
      <c r="AR129" s="54" t="e">
        <f t="shared" si="181"/>
        <v>#N/A</v>
      </c>
      <c r="AS129" s="316">
        <f t="shared" si="286"/>
        <v>0</v>
      </c>
      <c r="AT129" s="106">
        <f>_xlfn.IFNA($M129/VLOOKUP($BT129,'Unit information'!$A$2:$K$29,2,FALSE)*R129,0)*(1+$E$9)</f>
        <v>0</v>
      </c>
      <c r="AU129" s="107">
        <f>_xlfn.IFNA($M129/VLOOKUP($BT129,'Unit information'!$A$2:$K$29,3,FALSE)*S129,0)*(1+$E$9)</f>
        <v>0</v>
      </c>
      <c r="AV129" s="107">
        <f>_xlfn.IFNA($M129/VLOOKUP($BT129,'Unit information'!$A$2:$K$29,4,FALSE)*T129,0)*(1+$E$9)</f>
        <v>0</v>
      </c>
      <c r="AW129" s="107">
        <f>_xlfn.IFNA($M129/VLOOKUP($BT129,'Unit information'!$A$2:$K$29,5,FALSE)*U129,0)*(1+$E$9)</f>
        <v>0</v>
      </c>
      <c r="AX129" s="107">
        <f>_xlfn.IFNA($M129/VLOOKUP($BU129,'Unit information'!$A$2:$K$29,6,FALSE)*V129,0)*(1+$E$9)</f>
        <v>0</v>
      </c>
      <c r="AY129" s="107">
        <f>_xlfn.IFNA($M129/VLOOKUP($BU129,'Unit information'!$A$2:$K$29,7,FALSE)*W129,0)*(1+$E$9)</f>
        <v>0</v>
      </c>
      <c r="AZ129" s="107">
        <f>_xlfn.IFNA($M129/VLOOKUP($BU129,'Unit information'!$A$2:$K$29,8,FALSE)*X129,0)*(1+$E$9)</f>
        <v>0</v>
      </c>
      <c r="BA129" s="107">
        <f>_xlfn.IFNA($M129/VLOOKUP($BU129,'Unit information'!$A$2:$K$29,9,FALSE)*Y129,0)*(1+$E$9)</f>
        <v>0</v>
      </c>
      <c r="BB129" s="107">
        <f>_xlfn.IFNA($M129/VLOOKUP($BV129,'Unit information'!$A$2:$K$29,10,FALSE)*Z129,0)*(1+$E$9)</f>
        <v>0</v>
      </c>
      <c r="BC129" s="108">
        <f>_xlfn.IFNA($M129/VLOOKUP($BV129,'Unit information'!$A$2:$K$29,11,FALSE)*AA129,0)*(1+$E$9)</f>
        <v>0</v>
      </c>
      <c r="BD129" s="106">
        <f t="shared" si="162"/>
        <v>0</v>
      </c>
      <c r="BE129" s="107">
        <f t="shared" si="163"/>
        <v>0</v>
      </c>
      <c r="BF129" s="108">
        <f t="shared" si="164"/>
        <v>0</v>
      </c>
      <c r="BG129" s="25" t="e">
        <f t="shared" si="165"/>
        <v>#N/A</v>
      </c>
      <c r="BH129" s="25" t="e">
        <f t="shared" si="166"/>
        <v>#N/A</v>
      </c>
      <c r="BI129" s="25" t="e">
        <f t="shared" si="167"/>
        <v>#N/A</v>
      </c>
      <c r="BJ129" s="27" t="e">
        <f t="shared" si="168"/>
        <v>#N/A</v>
      </c>
      <c r="BK129" s="18" t="e">
        <f t="shared" si="169"/>
        <v>#N/A</v>
      </c>
      <c r="BL129" s="18" t="e">
        <f t="shared" si="170"/>
        <v>#N/A</v>
      </c>
      <c r="BM129" s="28" t="e">
        <f t="shared" si="233"/>
        <v>#N/A</v>
      </c>
      <c r="BN129" s="33">
        <f>HLOOKUP("maximum population",Miscelaneous!$C$1:$C$33,CH129+3,FALSE)</f>
        <v>240</v>
      </c>
      <c r="BO129" s="14">
        <f t="shared" si="182"/>
        <v>32</v>
      </c>
      <c r="BP129" s="14">
        <f t="shared" si="183"/>
        <v>0</v>
      </c>
      <c r="BQ129" s="14">
        <f t="shared" si="184"/>
        <v>208</v>
      </c>
      <c r="BR129" s="34" t="e">
        <f>HLOOKUP(J129,Villagers!$B$1:$V$33,L129+3,FALSE)-HLOOKUP(J129,Villagers!$B$1:$V$33,L129+2,FALSE)</f>
        <v>#N/A</v>
      </c>
      <c r="BS129" s="49">
        <f t="shared" si="185"/>
        <v>1</v>
      </c>
      <c r="BT129" s="50">
        <f t="shared" si="186"/>
        <v>0</v>
      </c>
      <c r="BU129" s="50">
        <f t="shared" si="187"/>
        <v>0</v>
      </c>
      <c r="BV129" s="50">
        <f t="shared" si="188"/>
        <v>0</v>
      </c>
      <c r="BW129" s="50">
        <f t="shared" si="301"/>
        <v>0</v>
      </c>
      <c r="BX129" s="50">
        <f t="shared" si="301"/>
        <v>0</v>
      </c>
      <c r="BY129" s="50">
        <f t="shared" si="301"/>
        <v>0</v>
      </c>
      <c r="BZ129" s="50">
        <f t="shared" si="245"/>
        <v>0</v>
      </c>
      <c r="CA129" s="50">
        <f t="shared" si="246"/>
        <v>0</v>
      </c>
      <c r="CB129" s="50">
        <f t="shared" si="247"/>
        <v>1</v>
      </c>
      <c r="CC129" s="50">
        <f t="shared" si="248"/>
        <v>0</v>
      </c>
      <c r="CD129" s="50">
        <f t="shared" si="249"/>
        <v>0</v>
      </c>
      <c r="CE129" s="50">
        <f t="shared" si="250"/>
        <v>1</v>
      </c>
      <c r="CF129" s="50">
        <f t="shared" si="251"/>
        <v>1</v>
      </c>
      <c r="CG129" s="50">
        <f t="shared" si="252"/>
        <v>1</v>
      </c>
      <c r="CH129" s="50">
        <f t="shared" si="253"/>
        <v>1</v>
      </c>
      <c r="CI129" s="50">
        <f t="shared" si="254"/>
        <v>1</v>
      </c>
      <c r="CJ129" s="50">
        <f t="shared" si="255"/>
        <v>1</v>
      </c>
      <c r="CK129" s="50">
        <f t="shared" si="255"/>
        <v>0</v>
      </c>
      <c r="CL129" s="50">
        <f t="shared" si="255"/>
        <v>0</v>
      </c>
      <c r="CM129" s="51">
        <f t="shared" si="256"/>
        <v>0</v>
      </c>
      <c r="CN129" s="33">
        <f>ROUND(IF(BS129=0,0,HLOOKUP(BS$14,Villagers!$B$1:$V$33,BS129+3,FALSE)),)</f>
        <v>5</v>
      </c>
      <c r="CO129" s="14">
        <f>ROUND(IF(BT129=0,0,HLOOKUP(BT$14,Villagers!$B$1:$V$33,BT129+3,FALSE)),)</f>
        <v>0</v>
      </c>
      <c r="CP129" s="14">
        <f>ROUND(IF(BU129=0,0,HLOOKUP(BU$14,Villagers!$B$1:$V$33,BU129+3,FALSE)),)</f>
        <v>0</v>
      </c>
      <c r="CQ129" s="14">
        <f>ROUND(IF(BV129=0,0,HLOOKUP(BV$14,Villagers!$B$1:$V$33,BV129+3,FALSE)),)</f>
        <v>0</v>
      </c>
      <c r="CR129" s="14">
        <f>ROUND(IF(BW129=0,0,HLOOKUP(BW$14,Villagers!$B$1:$V$33,BW129+3,FALSE)),)</f>
        <v>0</v>
      </c>
      <c r="CS129" s="14">
        <f>ROUND(IF(BX129=0,0,HLOOKUP(BX$14,Villagers!$B$1:$V$33,BX129+3,FALSE)),)</f>
        <v>0</v>
      </c>
      <c r="CT129" s="14">
        <f>ROUND(IF(BY129=0,0,HLOOKUP(BY$14,Villagers!$B$1:$V$33,BY129+3,FALSE)),)</f>
        <v>0</v>
      </c>
      <c r="CU129" s="14">
        <f>ROUND(IF(BZ129=0,0,HLOOKUP(BZ$14,Villagers!$B$1:$V$33,BZ129+3,FALSE)),)</f>
        <v>0</v>
      </c>
      <c r="CV129" s="14">
        <f>ROUND(IF(CA129=0,0,HLOOKUP(CA$14,Villagers!$B$1:$V$33,CA129+3,FALSE)),)</f>
        <v>0</v>
      </c>
      <c r="CW129" s="14">
        <f>ROUND(IF(CB129=0,0,HLOOKUP(CB$14,Villagers!$B$1:$V$33,CB129+3,FALSE)),)</f>
        <v>0</v>
      </c>
      <c r="CX129" s="14">
        <f>ROUND(IF(CC129=0,0,HLOOKUP(CC$14,Villagers!$B$1:$V$33,CC129+3,FALSE)),)</f>
        <v>0</v>
      </c>
      <c r="CY129" s="14">
        <f>ROUND(IF(CD129=0,0,HLOOKUP(CD$14,Villagers!$B$1:$V$33,CD129+3,FALSE)),)</f>
        <v>0</v>
      </c>
      <c r="CZ129" s="14">
        <f>ROUND(IF(CE129=0,0,HLOOKUP(CE$14,Villagers!$B$1:$V$33,CE129+3,FALSE)),)</f>
        <v>5</v>
      </c>
      <c r="DA129" s="14">
        <f>ROUND(IF(CF129=0,0,HLOOKUP(CF$14,Villagers!$B$1:$V$33,CF129+3,FALSE)),)</f>
        <v>10</v>
      </c>
      <c r="DB129" s="14">
        <f>ROUND(IF(CG129=0,0,HLOOKUP(CG$14,Villagers!$B$1:$V$33,CG129+3,FALSE)),)</f>
        <v>10</v>
      </c>
      <c r="DC129" s="14">
        <f>ROUND(IF(CH129=0,0,HLOOKUP(CH$14,Villagers!$B$1:$V$33,CH129+3,FALSE)),)</f>
        <v>0</v>
      </c>
      <c r="DD129" s="14">
        <f>ROUND(IF(CI129=0,0,HLOOKUP(CI$14,Villagers!$B$1:$V$33,CI129+3,FALSE)),)</f>
        <v>0</v>
      </c>
      <c r="DE129" s="14">
        <f>ROUND(IF(CJ129=0,0,HLOOKUP(CJ$14,Villagers!$B$1:$V$33,CJ129+3,FALSE)),)</f>
        <v>2</v>
      </c>
      <c r="DF129" s="370">
        <f>ROUND(IF(CK129=0,0,HLOOKUP(CK$14,Villagers!$B$1:$V$33,CK129+3,FALSE)),)</f>
        <v>0</v>
      </c>
      <c r="DG129" s="370">
        <f>ROUND(IF(CL129=0,0,HLOOKUP(CL$14,Villagers!$B$1:$V$33,CL129+3,FALSE)),)</f>
        <v>0</v>
      </c>
      <c r="DH129" s="34">
        <f>ROUND(IF(CM129=0,0,HLOOKUP(CM$14,Villagers!$B$1:$V$33,CM129+3,FALSE)),)</f>
        <v>0</v>
      </c>
      <c r="DI129" s="109">
        <f t="shared" si="219"/>
        <v>0</v>
      </c>
      <c r="DJ129" s="50">
        <f t="shared" si="220"/>
        <v>0</v>
      </c>
      <c r="DK129" s="50">
        <f t="shared" si="221"/>
        <v>0</v>
      </c>
      <c r="DL129" s="50">
        <f t="shared" si="222"/>
        <v>0</v>
      </c>
      <c r="DM129" s="50">
        <f t="shared" si="223"/>
        <v>0</v>
      </c>
      <c r="DN129" s="50">
        <f t="shared" si="224"/>
        <v>0</v>
      </c>
      <c r="DO129" s="50">
        <f t="shared" si="225"/>
        <v>0</v>
      </c>
      <c r="DP129" s="50">
        <f t="shared" si="226"/>
        <v>0</v>
      </c>
      <c r="DQ129" s="50">
        <f t="shared" si="203"/>
        <v>0</v>
      </c>
      <c r="DR129" s="50">
        <f t="shared" si="204"/>
        <v>0</v>
      </c>
      <c r="DS129" s="96">
        <f>Miscelaneous!$D$4*Miscelaneous!$D$2^($CI129-1)</f>
        <v>1000</v>
      </c>
      <c r="DT129" s="333">
        <f t="shared" si="171"/>
        <v>1</v>
      </c>
      <c r="DU129" s="81">
        <v>1</v>
      </c>
      <c r="DV129" s="79">
        <f t="shared" si="205"/>
        <v>0</v>
      </c>
      <c r="DW129" s="79">
        <f t="shared" si="206"/>
        <v>0</v>
      </c>
      <c r="DX129" s="79">
        <f t="shared" si="207"/>
        <v>0</v>
      </c>
      <c r="DY129" s="79">
        <v>1</v>
      </c>
      <c r="DZ129" s="79">
        <f t="shared" si="208"/>
        <v>0</v>
      </c>
      <c r="EA129" s="79">
        <f t="shared" si="209"/>
        <v>0</v>
      </c>
      <c r="EB129" s="79">
        <f t="shared" si="210"/>
        <v>0</v>
      </c>
      <c r="EC129" s="79">
        <f t="shared" si="211"/>
        <v>0</v>
      </c>
      <c r="ED129" s="79">
        <v>1</v>
      </c>
      <c r="EE129" s="79">
        <v>1</v>
      </c>
      <c r="EF129" s="79">
        <f t="shared" si="212"/>
        <v>0</v>
      </c>
      <c r="EG129" s="79">
        <v>1</v>
      </c>
      <c r="EH129" s="79">
        <v>1</v>
      </c>
      <c r="EI129" s="79">
        <v>1</v>
      </c>
      <c r="EJ129" s="79">
        <v>1</v>
      </c>
      <c r="EK129" s="79">
        <v>1</v>
      </c>
      <c r="EL129" s="79">
        <v>1</v>
      </c>
      <c r="EM129" s="143">
        <f t="shared" si="213"/>
        <v>0</v>
      </c>
      <c r="EN129" s="143">
        <f t="shared" si="214"/>
        <v>0</v>
      </c>
      <c r="EO129" s="82">
        <f t="shared" si="215"/>
        <v>0</v>
      </c>
    </row>
    <row r="130" spans="1:145" x14ac:dyDescent="0.25">
      <c r="A130">
        <v>116</v>
      </c>
      <c r="B130" s="172" t="e">
        <f t="shared" si="172"/>
        <v>#N/A</v>
      </c>
      <c r="C130" s="121" t="e">
        <f t="shared" ref="C130:E130" si="303">AJ130-SUM(AB130:AB134)</f>
        <v>#N/A</v>
      </c>
      <c r="D130" s="122" t="e">
        <f t="shared" si="303"/>
        <v>#N/A</v>
      </c>
      <c r="E130" s="122" t="e">
        <f t="shared" si="303"/>
        <v>#N/A</v>
      </c>
      <c r="F130" s="176" t="e">
        <f t="shared" si="154"/>
        <v>#N/A</v>
      </c>
      <c r="G130" s="121">
        <f t="shared" si="174"/>
        <v>208</v>
      </c>
      <c r="H130" s="176" t="e">
        <f t="shared" si="175"/>
        <v>#N/A</v>
      </c>
      <c r="I130" s="48">
        <v>1</v>
      </c>
      <c r="J130" s="39"/>
      <c r="K130" s="350">
        <v>1</v>
      </c>
      <c r="L130" s="34" t="e">
        <f t="shared" si="155"/>
        <v>#N/A</v>
      </c>
      <c r="M130" s="38" t="e">
        <f>(HLOOKUP(J130,'Construction Times'!$B$3:$W$34,L130+2,FALSE)*HLOOKUP("hq modifier",'Construction Times'!$W$3:$W$34,BS130+2,FALSE))*(1-$H$9)</f>
        <v>#N/A</v>
      </c>
      <c r="N130" s="426" t="e">
        <f t="shared" si="176"/>
        <v>#N/A</v>
      </c>
      <c r="O130" s="427"/>
      <c r="P130" s="430" t="e">
        <f t="shared" si="177"/>
        <v>#N/A</v>
      </c>
      <c r="Q130" s="431"/>
      <c r="R130" s="103">
        <f t="shared" si="217"/>
        <v>0</v>
      </c>
      <c r="S130" s="104">
        <f t="shared" si="217"/>
        <v>0</v>
      </c>
      <c r="T130" s="104">
        <f t="shared" si="218"/>
        <v>0</v>
      </c>
      <c r="U130" s="104">
        <f t="shared" si="218"/>
        <v>0</v>
      </c>
      <c r="V130" s="104">
        <f t="shared" si="218"/>
        <v>9.9999999999999995E-8</v>
      </c>
      <c r="W130" s="104">
        <f t="shared" si="218"/>
        <v>0</v>
      </c>
      <c r="X130" s="104">
        <f t="shared" si="278"/>
        <v>0</v>
      </c>
      <c r="Y130" s="104">
        <f t="shared" si="278"/>
        <v>9.9999999999999995E-8</v>
      </c>
      <c r="Z130" s="104">
        <f t="shared" si="278"/>
        <v>9.9999999999999995E-8</v>
      </c>
      <c r="AA130" s="105">
        <f t="shared" si="278"/>
        <v>9.9999999999999995E-8</v>
      </c>
      <c r="AB130" s="101" t="e">
        <f>$DT130*HLOOKUP($J130,'Construction Costs (timber)'!$B$1:$V$32,'Construction Planner'!$L130+2,FALSE)</f>
        <v>#N/A</v>
      </c>
      <c r="AC130" s="14" t="e">
        <f>$DT130*HLOOKUP($J130,'Construction Costs (clay)'!$B$1:$V$32,'Construction Planner'!$L130+2,FALSE)</f>
        <v>#N/A</v>
      </c>
      <c r="AD130" s="14" t="e">
        <f>$DT130*HLOOKUP($J130,'Construction Costs (iron)'!$B$1:$V$32,'Construction Planner'!$L130+2,FALSE)</f>
        <v>#N/A</v>
      </c>
      <c r="AE130" s="34" t="e">
        <f t="shared" si="230"/>
        <v>#N/A</v>
      </c>
      <c r="AF130" s="33" t="e">
        <f t="shared" si="156"/>
        <v>#N/A</v>
      </c>
      <c r="AG130" s="14" t="e">
        <f t="shared" si="157"/>
        <v>#N/A</v>
      </c>
      <c r="AH130" s="14" t="e">
        <f t="shared" si="158"/>
        <v>#N/A</v>
      </c>
      <c r="AI130" s="34" t="e">
        <f t="shared" si="231"/>
        <v>#N/A</v>
      </c>
      <c r="AJ130" s="49" t="e">
        <f t="shared" si="178"/>
        <v>#N/A</v>
      </c>
      <c r="AK130" s="49" t="e">
        <f t="shared" si="179"/>
        <v>#N/A</v>
      </c>
      <c r="AL130" s="49" t="e">
        <f t="shared" si="180"/>
        <v>#N/A</v>
      </c>
      <c r="AM130" s="25">
        <f t="shared" si="159"/>
        <v>30</v>
      </c>
      <c r="AN130" s="25">
        <f t="shared" si="160"/>
        <v>30</v>
      </c>
      <c r="AO130" s="25">
        <f t="shared" si="161"/>
        <v>30</v>
      </c>
      <c r="AP130" s="52" t="e">
        <f t="shared" si="181"/>
        <v>#N/A</v>
      </c>
      <c r="AQ130" s="53" t="e">
        <f t="shared" si="181"/>
        <v>#N/A</v>
      </c>
      <c r="AR130" s="54" t="e">
        <f t="shared" si="181"/>
        <v>#N/A</v>
      </c>
      <c r="AS130" s="316">
        <f t="shared" si="286"/>
        <v>0</v>
      </c>
      <c r="AT130" s="106">
        <f>_xlfn.IFNA($M130/VLOOKUP($BT130,'Unit information'!$A$2:$K$29,2,FALSE)*R130,0)*(1+$E$9)</f>
        <v>0</v>
      </c>
      <c r="AU130" s="107">
        <f>_xlfn.IFNA($M130/VLOOKUP($BT130,'Unit information'!$A$2:$K$29,3,FALSE)*S130,0)*(1+$E$9)</f>
        <v>0</v>
      </c>
      <c r="AV130" s="107">
        <f>_xlfn.IFNA($M130/VLOOKUP($BT130,'Unit information'!$A$2:$K$29,4,FALSE)*T130,0)*(1+$E$9)</f>
        <v>0</v>
      </c>
      <c r="AW130" s="107">
        <f>_xlfn.IFNA($M130/VLOOKUP($BT130,'Unit information'!$A$2:$K$29,5,FALSE)*U130,0)*(1+$E$9)</f>
        <v>0</v>
      </c>
      <c r="AX130" s="107">
        <f>_xlfn.IFNA($M130/VLOOKUP($BU130,'Unit information'!$A$2:$K$29,6,FALSE)*V130,0)*(1+$E$9)</f>
        <v>0</v>
      </c>
      <c r="AY130" s="107">
        <f>_xlfn.IFNA($M130/VLOOKUP($BU130,'Unit information'!$A$2:$K$29,7,FALSE)*W130,0)*(1+$E$9)</f>
        <v>0</v>
      </c>
      <c r="AZ130" s="107">
        <f>_xlfn.IFNA($M130/VLOOKUP($BU130,'Unit information'!$A$2:$K$29,8,FALSE)*X130,0)*(1+$E$9)</f>
        <v>0</v>
      </c>
      <c r="BA130" s="107">
        <f>_xlfn.IFNA($M130/VLOOKUP($BU130,'Unit information'!$A$2:$K$29,9,FALSE)*Y130,0)*(1+$E$9)</f>
        <v>0</v>
      </c>
      <c r="BB130" s="107">
        <f>_xlfn.IFNA($M130/VLOOKUP($BV130,'Unit information'!$A$2:$K$29,10,FALSE)*Z130,0)*(1+$E$9)</f>
        <v>0</v>
      </c>
      <c r="BC130" s="108">
        <f>_xlfn.IFNA($M130/VLOOKUP($BV130,'Unit information'!$A$2:$K$29,11,FALSE)*AA130,0)*(1+$E$9)</f>
        <v>0</v>
      </c>
      <c r="BD130" s="106">
        <f t="shared" si="162"/>
        <v>0</v>
      </c>
      <c r="BE130" s="107">
        <f t="shared" si="163"/>
        <v>0</v>
      </c>
      <c r="BF130" s="108">
        <f t="shared" si="164"/>
        <v>0</v>
      </c>
      <c r="BG130" s="25" t="e">
        <f t="shared" si="165"/>
        <v>#N/A</v>
      </c>
      <c r="BH130" s="25" t="e">
        <f t="shared" si="166"/>
        <v>#N/A</v>
      </c>
      <c r="BI130" s="25" t="e">
        <f t="shared" si="167"/>
        <v>#N/A</v>
      </c>
      <c r="BJ130" s="27" t="e">
        <f t="shared" si="168"/>
        <v>#N/A</v>
      </c>
      <c r="BK130" s="18" t="e">
        <f t="shared" si="169"/>
        <v>#N/A</v>
      </c>
      <c r="BL130" s="18" t="e">
        <f t="shared" si="170"/>
        <v>#N/A</v>
      </c>
      <c r="BM130" s="28" t="e">
        <f t="shared" si="233"/>
        <v>#N/A</v>
      </c>
      <c r="BN130" s="33">
        <f>HLOOKUP("maximum population",Miscelaneous!$C$1:$C$33,CH130+3,FALSE)</f>
        <v>240</v>
      </c>
      <c r="BO130" s="14">
        <f t="shared" si="182"/>
        <v>32</v>
      </c>
      <c r="BP130" s="14">
        <f t="shared" si="183"/>
        <v>0</v>
      </c>
      <c r="BQ130" s="14">
        <f t="shared" si="184"/>
        <v>208</v>
      </c>
      <c r="BR130" s="34" t="e">
        <f>HLOOKUP(J130,Villagers!$B$1:$V$33,L130+3,FALSE)-HLOOKUP(J130,Villagers!$B$1:$V$33,L130+2,FALSE)</f>
        <v>#N/A</v>
      </c>
      <c r="BS130" s="49">
        <f t="shared" si="185"/>
        <v>1</v>
      </c>
      <c r="BT130" s="50">
        <f t="shared" si="186"/>
        <v>0</v>
      </c>
      <c r="BU130" s="50">
        <f t="shared" si="187"/>
        <v>0</v>
      </c>
      <c r="BV130" s="50">
        <f t="shared" si="188"/>
        <v>0</v>
      </c>
      <c r="BW130" s="50">
        <f t="shared" si="301"/>
        <v>0</v>
      </c>
      <c r="BX130" s="50">
        <f t="shared" si="301"/>
        <v>0</v>
      </c>
      <c r="BY130" s="50">
        <f t="shared" si="301"/>
        <v>0</v>
      </c>
      <c r="BZ130" s="50">
        <f t="shared" si="245"/>
        <v>0</v>
      </c>
      <c r="CA130" s="50">
        <f t="shared" si="246"/>
        <v>0</v>
      </c>
      <c r="CB130" s="50">
        <f t="shared" si="247"/>
        <v>1</v>
      </c>
      <c r="CC130" s="50">
        <f t="shared" si="248"/>
        <v>0</v>
      </c>
      <c r="CD130" s="50">
        <f t="shared" si="249"/>
        <v>0</v>
      </c>
      <c r="CE130" s="50">
        <f t="shared" si="250"/>
        <v>1</v>
      </c>
      <c r="CF130" s="50">
        <f t="shared" si="251"/>
        <v>1</v>
      </c>
      <c r="CG130" s="50">
        <f t="shared" si="252"/>
        <v>1</v>
      </c>
      <c r="CH130" s="50">
        <f t="shared" si="253"/>
        <v>1</v>
      </c>
      <c r="CI130" s="50">
        <f t="shared" si="254"/>
        <v>1</v>
      </c>
      <c r="CJ130" s="50">
        <f t="shared" si="255"/>
        <v>1</v>
      </c>
      <c r="CK130" s="50">
        <f t="shared" si="255"/>
        <v>0</v>
      </c>
      <c r="CL130" s="50">
        <f t="shared" si="255"/>
        <v>0</v>
      </c>
      <c r="CM130" s="51">
        <f t="shared" si="256"/>
        <v>0</v>
      </c>
      <c r="CN130" s="33">
        <f>ROUND(IF(BS130=0,0,HLOOKUP(BS$14,Villagers!$B$1:$V$33,BS130+3,FALSE)),)</f>
        <v>5</v>
      </c>
      <c r="CO130" s="14">
        <f>ROUND(IF(BT130=0,0,HLOOKUP(BT$14,Villagers!$B$1:$V$33,BT130+3,FALSE)),)</f>
        <v>0</v>
      </c>
      <c r="CP130" s="14">
        <f>ROUND(IF(BU130=0,0,HLOOKUP(BU$14,Villagers!$B$1:$V$33,BU130+3,FALSE)),)</f>
        <v>0</v>
      </c>
      <c r="CQ130" s="14">
        <f>ROUND(IF(BV130=0,0,HLOOKUP(BV$14,Villagers!$B$1:$V$33,BV130+3,FALSE)),)</f>
        <v>0</v>
      </c>
      <c r="CR130" s="14">
        <f>ROUND(IF(BW130=0,0,HLOOKUP(BW$14,Villagers!$B$1:$V$33,BW130+3,FALSE)),)</f>
        <v>0</v>
      </c>
      <c r="CS130" s="14">
        <f>ROUND(IF(BX130=0,0,HLOOKUP(BX$14,Villagers!$B$1:$V$33,BX130+3,FALSE)),)</f>
        <v>0</v>
      </c>
      <c r="CT130" s="14">
        <f>ROUND(IF(BY130=0,0,HLOOKUP(BY$14,Villagers!$B$1:$V$33,BY130+3,FALSE)),)</f>
        <v>0</v>
      </c>
      <c r="CU130" s="14">
        <f>ROUND(IF(BZ130=0,0,HLOOKUP(BZ$14,Villagers!$B$1:$V$33,BZ130+3,FALSE)),)</f>
        <v>0</v>
      </c>
      <c r="CV130" s="14">
        <f>ROUND(IF(CA130=0,0,HLOOKUP(CA$14,Villagers!$B$1:$V$33,CA130+3,FALSE)),)</f>
        <v>0</v>
      </c>
      <c r="CW130" s="14">
        <f>ROUND(IF(CB130=0,0,HLOOKUP(CB$14,Villagers!$B$1:$V$33,CB130+3,FALSE)),)</f>
        <v>0</v>
      </c>
      <c r="CX130" s="14">
        <f>ROUND(IF(CC130=0,0,HLOOKUP(CC$14,Villagers!$B$1:$V$33,CC130+3,FALSE)),)</f>
        <v>0</v>
      </c>
      <c r="CY130" s="14">
        <f>ROUND(IF(CD130=0,0,HLOOKUP(CD$14,Villagers!$B$1:$V$33,CD130+3,FALSE)),)</f>
        <v>0</v>
      </c>
      <c r="CZ130" s="14">
        <f>ROUND(IF(CE130=0,0,HLOOKUP(CE$14,Villagers!$B$1:$V$33,CE130+3,FALSE)),)</f>
        <v>5</v>
      </c>
      <c r="DA130" s="14">
        <f>ROUND(IF(CF130=0,0,HLOOKUP(CF$14,Villagers!$B$1:$V$33,CF130+3,FALSE)),)</f>
        <v>10</v>
      </c>
      <c r="DB130" s="14">
        <f>ROUND(IF(CG130=0,0,HLOOKUP(CG$14,Villagers!$B$1:$V$33,CG130+3,FALSE)),)</f>
        <v>10</v>
      </c>
      <c r="DC130" s="14">
        <f>ROUND(IF(CH130=0,0,HLOOKUP(CH$14,Villagers!$B$1:$V$33,CH130+3,FALSE)),)</f>
        <v>0</v>
      </c>
      <c r="DD130" s="14">
        <f>ROUND(IF(CI130=0,0,HLOOKUP(CI$14,Villagers!$B$1:$V$33,CI130+3,FALSE)),)</f>
        <v>0</v>
      </c>
      <c r="DE130" s="14">
        <f>ROUND(IF(CJ130=0,0,HLOOKUP(CJ$14,Villagers!$B$1:$V$33,CJ130+3,FALSE)),)</f>
        <v>2</v>
      </c>
      <c r="DF130" s="370">
        <f>ROUND(IF(CK130=0,0,HLOOKUP(CK$14,Villagers!$B$1:$V$33,CK130+3,FALSE)),)</f>
        <v>0</v>
      </c>
      <c r="DG130" s="370">
        <f>ROUND(IF(CL130=0,0,HLOOKUP(CL$14,Villagers!$B$1:$V$33,CL130+3,FALSE)),)</f>
        <v>0</v>
      </c>
      <c r="DH130" s="34">
        <f>ROUND(IF(CM130=0,0,HLOOKUP(CM$14,Villagers!$B$1:$V$33,CM130+3,FALSE)),)</f>
        <v>0</v>
      </c>
      <c r="DI130" s="109">
        <f t="shared" si="219"/>
        <v>0</v>
      </c>
      <c r="DJ130" s="50">
        <f t="shared" si="220"/>
        <v>0</v>
      </c>
      <c r="DK130" s="50">
        <f t="shared" si="221"/>
        <v>0</v>
      </c>
      <c r="DL130" s="50">
        <f t="shared" si="222"/>
        <v>0</v>
      </c>
      <c r="DM130" s="50">
        <f t="shared" si="223"/>
        <v>0</v>
      </c>
      <c r="DN130" s="50">
        <f t="shared" si="224"/>
        <v>0</v>
      </c>
      <c r="DO130" s="50">
        <f t="shared" si="225"/>
        <v>0</v>
      </c>
      <c r="DP130" s="50">
        <f t="shared" si="226"/>
        <v>0</v>
      </c>
      <c r="DQ130" s="50">
        <f t="shared" si="203"/>
        <v>0</v>
      </c>
      <c r="DR130" s="50">
        <f t="shared" si="204"/>
        <v>0</v>
      </c>
      <c r="DS130" s="96">
        <f>Miscelaneous!$D$4*Miscelaneous!$D$2^($CI130-1)</f>
        <v>1000</v>
      </c>
      <c r="DT130" s="333">
        <f t="shared" si="171"/>
        <v>1</v>
      </c>
      <c r="DU130" s="81">
        <v>1</v>
      </c>
      <c r="DV130" s="79">
        <f t="shared" si="205"/>
        <v>0</v>
      </c>
      <c r="DW130" s="79">
        <f t="shared" si="206"/>
        <v>0</v>
      </c>
      <c r="DX130" s="79">
        <f t="shared" si="207"/>
        <v>0</v>
      </c>
      <c r="DY130" s="79">
        <v>1</v>
      </c>
      <c r="DZ130" s="79">
        <f t="shared" si="208"/>
        <v>0</v>
      </c>
      <c r="EA130" s="79">
        <f t="shared" si="209"/>
        <v>0</v>
      </c>
      <c r="EB130" s="79">
        <f t="shared" si="210"/>
        <v>0</v>
      </c>
      <c r="EC130" s="79">
        <f t="shared" si="211"/>
        <v>0</v>
      </c>
      <c r="ED130" s="79">
        <v>1</v>
      </c>
      <c r="EE130" s="79">
        <v>1</v>
      </c>
      <c r="EF130" s="79">
        <f t="shared" si="212"/>
        <v>0</v>
      </c>
      <c r="EG130" s="79">
        <v>1</v>
      </c>
      <c r="EH130" s="79">
        <v>1</v>
      </c>
      <c r="EI130" s="79">
        <v>1</v>
      </c>
      <c r="EJ130" s="79">
        <v>1</v>
      </c>
      <c r="EK130" s="79">
        <v>1</v>
      </c>
      <c r="EL130" s="79">
        <v>1</v>
      </c>
      <c r="EM130" s="143">
        <f t="shared" si="213"/>
        <v>0</v>
      </c>
      <c r="EN130" s="143">
        <f t="shared" si="214"/>
        <v>0</v>
      </c>
      <c r="EO130" s="82">
        <f t="shared" si="215"/>
        <v>0</v>
      </c>
    </row>
    <row r="131" spans="1:145" x14ac:dyDescent="0.25">
      <c r="A131">
        <v>117</v>
      </c>
      <c r="B131" s="172" t="e">
        <f t="shared" si="172"/>
        <v>#N/A</v>
      </c>
      <c r="C131" s="121" t="e">
        <f t="shared" ref="C131:E131" si="304">AJ131-SUM(AB131:AB135)</f>
        <v>#N/A</v>
      </c>
      <c r="D131" s="122" t="e">
        <f t="shared" si="304"/>
        <v>#N/A</v>
      </c>
      <c r="E131" s="122" t="e">
        <f t="shared" si="304"/>
        <v>#N/A</v>
      </c>
      <c r="F131" s="176" t="e">
        <f t="shared" si="154"/>
        <v>#N/A</v>
      </c>
      <c r="G131" s="121">
        <f t="shared" si="174"/>
        <v>208</v>
      </c>
      <c r="H131" s="176" t="e">
        <f t="shared" si="175"/>
        <v>#N/A</v>
      </c>
      <c r="I131" s="48">
        <v>1</v>
      </c>
      <c r="J131" s="39"/>
      <c r="K131" s="350">
        <v>1</v>
      </c>
      <c r="L131" s="34" t="e">
        <f t="shared" si="155"/>
        <v>#N/A</v>
      </c>
      <c r="M131" s="38" t="e">
        <f>(HLOOKUP(J131,'Construction Times'!$B$3:$W$34,L131+2,FALSE)*HLOOKUP("hq modifier",'Construction Times'!$W$3:$W$34,BS131+2,FALSE))*(1-$H$9)</f>
        <v>#N/A</v>
      </c>
      <c r="N131" s="426" t="e">
        <f t="shared" si="176"/>
        <v>#N/A</v>
      </c>
      <c r="O131" s="427"/>
      <c r="P131" s="430" t="e">
        <f t="shared" si="177"/>
        <v>#N/A</v>
      </c>
      <c r="Q131" s="431"/>
      <c r="R131" s="103">
        <f t="shared" si="217"/>
        <v>0</v>
      </c>
      <c r="S131" s="104">
        <f t="shared" si="217"/>
        <v>0</v>
      </c>
      <c r="T131" s="104">
        <f t="shared" si="218"/>
        <v>0</v>
      </c>
      <c r="U131" s="104">
        <f t="shared" si="218"/>
        <v>0</v>
      </c>
      <c r="V131" s="104">
        <f t="shared" si="218"/>
        <v>9.9999999999999995E-8</v>
      </c>
      <c r="W131" s="104">
        <f t="shared" si="218"/>
        <v>0</v>
      </c>
      <c r="X131" s="104">
        <f t="shared" si="278"/>
        <v>0</v>
      </c>
      <c r="Y131" s="104">
        <f t="shared" si="278"/>
        <v>9.9999999999999995E-8</v>
      </c>
      <c r="Z131" s="104">
        <f t="shared" si="278"/>
        <v>9.9999999999999995E-8</v>
      </c>
      <c r="AA131" s="105">
        <f t="shared" si="278"/>
        <v>9.9999999999999995E-8</v>
      </c>
      <c r="AB131" s="101" t="e">
        <f>$DT131*HLOOKUP($J131,'Construction Costs (timber)'!$B$1:$V$32,'Construction Planner'!$L131+2,FALSE)</f>
        <v>#N/A</v>
      </c>
      <c r="AC131" s="14" t="e">
        <f>$DT131*HLOOKUP($J131,'Construction Costs (clay)'!$B$1:$V$32,'Construction Planner'!$L131+2,FALSE)</f>
        <v>#N/A</v>
      </c>
      <c r="AD131" s="14" t="e">
        <f>$DT131*HLOOKUP($J131,'Construction Costs (iron)'!$B$1:$V$32,'Construction Planner'!$L131+2,FALSE)</f>
        <v>#N/A</v>
      </c>
      <c r="AE131" s="34" t="e">
        <f t="shared" si="230"/>
        <v>#N/A</v>
      </c>
      <c r="AF131" s="33" t="e">
        <f t="shared" si="156"/>
        <v>#N/A</v>
      </c>
      <c r="AG131" s="14" t="e">
        <f t="shared" si="157"/>
        <v>#N/A</v>
      </c>
      <c r="AH131" s="14" t="e">
        <f t="shared" si="158"/>
        <v>#N/A</v>
      </c>
      <c r="AI131" s="34" t="e">
        <f t="shared" si="231"/>
        <v>#N/A</v>
      </c>
      <c r="AJ131" s="49" t="e">
        <f t="shared" si="178"/>
        <v>#N/A</v>
      </c>
      <c r="AK131" s="49" t="e">
        <f t="shared" si="179"/>
        <v>#N/A</v>
      </c>
      <c r="AL131" s="49" t="e">
        <f t="shared" si="180"/>
        <v>#N/A</v>
      </c>
      <c r="AM131" s="25">
        <f t="shared" si="159"/>
        <v>30</v>
      </c>
      <c r="AN131" s="25">
        <f t="shared" si="160"/>
        <v>30</v>
      </c>
      <c r="AO131" s="25">
        <f t="shared" si="161"/>
        <v>30</v>
      </c>
      <c r="AP131" s="52" t="e">
        <f t="shared" si="181"/>
        <v>#N/A</v>
      </c>
      <c r="AQ131" s="53" t="e">
        <f t="shared" si="181"/>
        <v>#N/A</v>
      </c>
      <c r="AR131" s="54" t="e">
        <f t="shared" si="181"/>
        <v>#N/A</v>
      </c>
      <c r="AS131" s="316">
        <f t="shared" si="286"/>
        <v>0</v>
      </c>
      <c r="AT131" s="106">
        <f>_xlfn.IFNA($M131/VLOOKUP($BT131,'Unit information'!$A$2:$K$29,2,FALSE)*R131,0)*(1+$E$9)</f>
        <v>0</v>
      </c>
      <c r="AU131" s="107">
        <f>_xlfn.IFNA($M131/VLOOKUP($BT131,'Unit information'!$A$2:$K$29,3,FALSE)*S131,0)*(1+$E$9)</f>
        <v>0</v>
      </c>
      <c r="AV131" s="107">
        <f>_xlfn.IFNA($M131/VLOOKUP($BT131,'Unit information'!$A$2:$K$29,4,FALSE)*T131,0)*(1+$E$9)</f>
        <v>0</v>
      </c>
      <c r="AW131" s="107">
        <f>_xlfn.IFNA($M131/VLOOKUP($BT131,'Unit information'!$A$2:$K$29,5,FALSE)*U131,0)*(1+$E$9)</f>
        <v>0</v>
      </c>
      <c r="AX131" s="107">
        <f>_xlfn.IFNA($M131/VLOOKUP($BU131,'Unit information'!$A$2:$K$29,6,FALSE)*V131,0)*(1+$E$9)</f>
        <v>0</v>
      </c>
      <c r="AY131" s="107">
        <f>_xlfn.IFNA($M131/VLOOKUP($BU131,'Unit information'!$A$2:$K$29,7,FALSE)*W131,0)*(1+$E$9)</f>
        <v>0</v>
      </c>
      <c r="AZ131" s="107">
        <f>_xlfn.IFNA($M131/VLOOKUP($BU131,'Unit information'!$A$2:$K$29,8,FALSE)*X131,0)*(1+$E$9)</f>
        <v>0</v>
      </c>
      <c r="BA131" s="107">
        <f>_xlfn.IFNA($M131/VLOOKUP($BU131,'Unit information'!$A$2:$K$29,9,FALSE)*Y131,0)*(1+$E$9)</f>
        <v>0</v>
      </c>
      <c r="BB131" s="107">
        <f>_xlfn.IFNA($M131/VLOOKUP($BV131,'Unit information'!$A$2:$K$29,10,FALSE)*Z131,0)*(1+$E$9)</f>
        <v>0</v>
      </c>
      <c r="BC131" s="108">
        <f>_xlfn.IFNA($M131/VLOOKUP($BV131,'Unit information'!$A$2:$K$29,11,FALSE)*AA131,0)*(1+$E$9)</f>
        <v>0</v>
      </c>
      <c r="BD131" s="106">
        <f t="shared" si="162"/>
        <v>0</v>
      </c>
      <c r="BE131" s="107">
        <f t="shared" si="163"/>
        <v>0</v>
      </c>
      <c r="BF131" s="108">
        <f t="shared" si="164"/>
        <v>0</v>
      </c>
      <c r="BG131" s="25" t="e">
        <f t="shared" si="165"/>
        <v>#N/A</v>
      </c>
      <c r="BH131" s="25" t="e">
        <f t="shared" si="166"/>
        <v>#N/A</v>
      </c>
      <c r="BI131" s="25" t="e">
        <f t="shared" si="167"/>
        <v>#N/A</v>
      </c>
      <c r="BJ131" s="27" t="e">
        <f t="shared" si="168"/>
        <v>#N/A</v>
      </c>
      <c r="BK131" s="18" t="e">
        <f t="shared" si="169"/>
        <v>#N/A</v>
      </c>
      <c r="BL131" s="18" t="e">
        <f t="shared" si="170"/>
        <v>#N/A</v>
      </c>
      <c r="BM131" s="28" t="e">
        <f t="shared" si="233"/>
        <v>#N/A</v>
      </c>
      <c r="BN131" s="33">
        <f>HLOOKUP("maximum population",Miscelaneous!$C$1:$C$33,CH131+3,FALSE)</f>
        <v>240</v>
      </c>
      <c r="BO131" s="14">
        <f t="shared" si="182"/>
        <v>32</v>
      </c>
      <c r="BP131" s="14">
        <f t="shared" si="183"/>
        <v>0</v>
      </c>
      <c r="BQ131" s="14">
        <f t="shared" si="184"/>
        <v>208</v>
      </c>
      <c r="BR131" s="34" t="e">
        <f>HLOOKUP(J131,Villagers!$B$1:$V$33,L131+3,FALSE)-HLOOKUP(J131,Villagers!$B$1:$V$33,L131+2,FALSE)</f>
        <v>#N/A</v>
      </c>
      <c r="BS131" s="49">
        <f t="shared" si="185"/>
        <v>1</v>
      </c>
      <c r="BT131" s="50">
        <f t="shared" si="186"/>
        <v>0</v>
      </c>
      <c r="BU131" s="50">
        <f t="shared" si="187"/>
        <v>0</v>
      </c>
      <c r="BV131" s="50">
        <f t="shared" si="188"/>
        <v>0</v>
      </c>
      <c r="BW131" s="50">
        <f t="shared" si="301"/>
        <v>0</v>
      </c>
      <c r="BX131" s="50">
        <f t="shared" si="301"/>
        <v>0</v>
      </c>
      <c r="BY131" s="50">
        <f t="shared" si="301"/>
        <v>0</v>
      </c>
      <c r="BZ131" s="50">
        <f t="shared" si="245"/>
        <v>0</v>
      </c>
      <c r="CA131" s="50">
        <f t="shared" si="246"/>
        <v>0</v>
      </c>
      <c r="CB131" s="50">
        <f t="shared" si="247"/>
        <v>1</v>
      </c>
      <c r="CC131" s="50">
        <f t="shared" si="248"/>
        <v>0</v>
      </c>
      <c r="CD131" s="50">
        <f t="shared" si="249"/>
        <v>0</v>
      </c>
      <c r="CE131" s="50">
        <f t="shared" si="250"/>
        <v>1</v>
      </c>
      <c r="CF131" s="50">
        <f t="shared" si="251"/>
        <v>1</v>
      </c>
      <c r="CG131" s="50">
        <f t="shared" si="252"/>
        <v>1</v>
      </c>
      <c r="CH131" s="50">
        <f t="shared" si="253"/>
        <v>1</v>
      </c>
      <c r="CI131" s="50">
        <f t="shared" si="254"/>
        <v>1</v>
      </c>
      <c r="CJ131" s="50">
        <f t="shared" si="255"/>
        <v>1</v>
      </c>
      <c r="CK131" s="50">
        <f t="shared" si="255"/>
        <v>0</v>
      </c>
      <c r="CL131" s="50">
        <f t="shared" si="255"/>
        <v>0</v>
      </c>
      <c r="CM131" s="51">
        <f t="shared" si="256"/>
        <v>0</v>
      </c>
      <c r="CN131" s="33">
        <f>ROUND(IF(BS131=0,0,HLOOKUP(BS$14,Villagers!$B$1:$V$33,BS131+3,FALSE)),)</f>
        <v>5</v>
      </c>
      <c r="CO131" s="14">
        <f>ROUND(IF(BT131=0,0,HLOOKUP(BT$14,Villagers!$B$1:$V$33,BT131+3,FALSE)),)</f>
        <v>0</v>
      </c>
      <c r="CP131" s="14">
        <f>ROUND(IF(BU131=0,0,HLOOKUP(BU$14,Villagers!$B$1:$V$33,BU131+3,FALSE)),)</f>
        <v>0</v>
      </c>
      <c r="CQ131" s="14">
        <f>ROUND(IF(BV131=0,0,HLOOKUP(BV$14,Villagers!$B$1:$V$33,BV131+3,FALSE)),)</f>
        <v>0</v>
      </c>
      <c r="CR131" s="14">
        <f>ROUND(IF(BW131=0,0,HLOOKUP(BW$14,Villagers!$B$1:$V$33,BW131+3,FALSE)),)</f>
        <v>0</v>
      </c>
      <c r="CS131" s="14">
        <f>ROUND(IF(BX131=0,0,HLOOKUP(BX$14,Villagers!$B$1:$V$33,BX131+3,FALSE)),)</f>
        <v>0</v>
      </c>
      <c r="CT131" s="14">
        <f>ROUND(IF(BY131=0,0,HLOOKUP(BY$14,Villagers!$B$1:$V$33,BY131+3,FALSE)),)</f>
        <v>0</v>
      </c>
      <c r="CU131" s="14">
        <f>ROUND(IF(BZ131=0,0,HLOOKUP(BZ$14,Villagers!$B$1:$V$33,BZ131+3,FALSE)),)</f>
        <v>0</v>
      </c>
      <c r="CV131" s="14">
        <f>ROUND(IF(CA131=0,0,HLOOKUP(CA$14,Villagers!$B$1:$V$33,CA131+3,FALSE)),)</f>
        <v>0</v>
      </c>
      <c r="CW131" s="14">
        <f>ROUND(IF(CB131=0,0,HLOOKUP(CB$14,Villagers!$B$1:$V$33,CB131+3,FALSE)),)</f>
        <v>0</v>
      </c>
      <c r="CX131" s="14">
        <f>ROUND(IF(CC131=0,0,HLOOKUP(CC$14,Villagers!$B$1:$V$33,CC131+3,FALSE)),)</f>
        <v>0</v>
      </c>
      <c r="CY131" s="14">
        <f>ROUND(IF(CD131=0,0,HLOOKUP(CD$14,Villagers!$B$1:$V$33,CD131+3,FALSE)),)</f>
        <v>0</v>
      </c>
      <c r="CZ131" s="14">
        <f>ROUND(IF(CE131=0,0,HLOOKUP(CE$14,Villagers!$B$1:$V$33,CE131+3,FALSE)),)</f>
        <v>5</v>
      </c>
      <c r="DA131" s="14">
        <f>ROUND(IF(CF131=0,0,HLOOKUP(CF$14,Villagers!$B$1:$V$33,CF131+3,FALSE)),)</f>
        <v>10</v>
      </c>
      <c r="DB131" s="14">
        <f>ROUND(IF(CG131=0,0,HLOOKUP(CG$14,Villagers!$B$1:$V$33,CG131+3,FALSE)),)</f>
        <v>10</v>
      </c>
      <c r="DC131" s="14">
        <f>ROUND(IF(CH131=0,0,HLOOKUP(CH$14,Villagers!$B$1:$V$33,CH131+3,FALSE)),)</f>
        <v>0</v>
      </c>
      <c r="DD131" s="14">
        <f>ROUND(IF(CI131=0,0,HLOOKUP(CI$14,Villagers!$B$1:$V$33,CI131+3,FALSE)),)</f>
        <v>0</v>
      </c>
      <c r="DE131" s="14">
        <f>ROUND(IF(CJ131=0,0,HLOOKUP(CJ$14,Villagers!$B$1:$V$33,CJ131+3,FALSE)),)</f>
        <v>2</v>
      </c>
      <c r="DF131" s="370">
        <f>ROUND(IF(CK131=0,0,HLOOKUP(CK$14,Villagers!$B$1:$V$33,CK131+3,FALSE)),)</f>
        <v>0</v>
      </c>
      <c r="DG131" s="370">
        <f>ROUND(IF(CL131=0,0,HLOOKUP(CL$14,Villagers!$B$1:$V$33,CL131+3,FALSE)),)</f>
        <v>0</v>
      </c>
      <c r="DH131" s="34">
        <f>ROUND(IF(CM131=0,0,HLOOKUP(CM$14,Villagers!$B$1:$V$33,CM131+3,FALSE)),)</f>
        <v>0</v>
      </c>
      <c r="DI131" s="109">
        <f t="shared" si="219"/>
        <v>0</v>
      </c>
      <c r="DJ131" s="50">
        <f t="shared" si="220"/>
        <v>0</v>
      </c>
      <c r="DK131" s="50">
        <f t="shared" si="221"/>
        <v>0</v>
      </c>
      <c r="DL131" s="50">
        <f t="shared" si="222"/>
        <v>0</v>
      </c>
      <c r="DM131" s="50">
        <f t="shared" si="223"/>
        <v>0</v>
      </c>
      <c r="DN131" s="50">
        <f t="shared" si="224"/>
        <v>0</v>
      </c>
      <c r="DO131" s="50">
        <f t="shared" si="225"/>
        <v>0</v>
      </c>
      <c r="DP131" s="50">
        <f t="shared" si="226"/>
        <v>0</v>
      </c>
      <c r="DQ131" s="50">
        <f t="shared" si="203"/>
        <v>0</v>
      </c>
      <c r="DR131" s="50">
        <f t="shared" si="204"/>
        <v>0</v>
      </c>
      <c r="DS131" s="96">
        <f>Miscelaneous!$D$4*Miscelaneous!$D$2^($CI131-1)</f>
        <v>1000</v>
      </c>
      <c r="DT131" s="333">
        <f t="shared" si="171"/>
        <v>1</v>
      </c>
      <c r="DU131" s="81">
        <v>1</v>
      </c>
      <c r="DV131" s="79">
        <f t="shared" si="205"/>
        <v>0</v>
      </c>
      <c r="DW131" s="79">
        <f t="shared" si="206"/>
        <v>0</v>
      </c>
      <c r="DX131" s="79">
        <f t="shared" si="207"/>
        <v>0</v>
      </c>
      <c r="DY131" s="79">
        <v>1</v>
      </c>
      <c r="DZ131" s="79">
        <f t="shared" si="208"/>
        <v>0</v>
      </c>
      <c r="EA131" s="79">
        <f t="shared" si="209"/>
        <v>0</v>
      </c>
      <c r="EB131" s="79">
        <f t="shared" si="210"/>
        <v>0</v>
      </c>
      <c r="EC131" s="79">
        <f t="shared" si="211"/>
        <v>0</v>
      </c>
      <c r="ED131" s="79">
        <v>1</v>
      </c>
      <c r="EE131" s="79">
        <v>1</v>
      </c>
      <c r="EF131" s="79">
        <f t="shared" si="212"/>
        <v>0</v>
      </c>
      <c r="EG131" s="79">
        <v>1</v>
      </c>
      <c r="EH131" s="79">
        <v>1</v>
      </c>
      <c r="EI131" s="79">
        <v>1</v>
      </c>
      <c r="EJ131" s="79">
        <v>1</v>
      </c>
      <c r="EK131" s="79">
        <v>1</v>
      </c>
      <c r="EL131" s="79">
        <v>1</v>
      </c>
      <c r="EM131" s="143">
        <f t="shared" si="213"/>
        <v>0</v>
      </c>
      <c r="EN131" s="143">
        <f t="shared" si="214"/>
        <v>0</v>
      </c>
      <c r="EO131" s="82">
        <f t="shared" si="215"/>
        <v>0</v>
      </c>
    </row>
    <row r="132" spans="1:145" x14ac:dyDescent="0.25">
      <c r="A132">
        <v>118</v>
      </c>
      <c r="B132" s="172" t="e">
        <f t="shared" si="172"/>
        <v>#N/A</v>
      </c>
      <c r="C132" s="121" t="e">
        <f t="shared" ref="C132:E132" si="305">AJ132-SUM(AB132:AB136)</f>
        <v>#N/A</v>
      </c>
      <c r="D132" s="122" t="e">
        <f t="shared" si="305"/>
        <v>#N/A</v>
      </c>
      <c r="E132" s="122" t="e">
        <f t="shared" si="305"/>
        <v>#N/A</v>
      </c>
      <c r="F132" s="176" t="e">
        <f t="shared" si="154"/>
        <v>#N/A</v>
      </c>
      <c r="G132" s="121">
        <f t="shared" si="174"/>
        <v>208</v>
      </c>
      <c r="H132" s="176" t="e">
        <f t="shared" si="175"/>
        <v>#N/A</v>
      </c>
      <c r="I132" s="48">
        <v>1</v>
      </c>
      <c r="J132" s="39"/>
      <c r="K132" s="350">
        <v>1</v>
      </c>
      <c r="L132" s="34" t="e">
        <f t="shared" si="155"/>
        <v>#N/A</v>
      </c>
      <c r="M132" s="38" t="e">
        <f>(HLOOKUP(J132,'Construction Times'!$B$3:$W$34,L132+2,FALSE)*HLOOKUP("hq modifier",'Construction Times'!$W$3:$W$34,BS132+2,FALSE))*(1-$H$9)</f>
        <v>#N/A</v>
      </c>
      <c r="N132" s="426" t="e">
        <f t="shared" si="176"/>
        <v>#N/A</v>
      </c>
      <c r="O132" s="427"/>
      <c r="P132" s="430" t="e">
        <f t="shared" si="177"/>
        <v>#N/A</v>
      </c>
      <c r="Q132" s="431"/>
      <c r="R132" s="103">
        <f t="shared" si="217"/>
        <v>0</v>
      </c>
      <c r="S132" s="104">
        <f t="shared" si="217"/>
        <v>0</v>
      </c>
      <c r="T132" s="104">
        <f t="shared" si="218"/>
        <v>0</v>
      </c>
      <c r="U132" s="104">
        <f t="shared" si="218"/>
        <v>0</v>
      </c>
      <c r="V132" s="104">
        <f t="shared" si="218"/>
        <v>9.9999999999999995E-8</v>
      </c>
      <c r="W132" s="104">
        <f t="shared" si="218"/>
        <v>0</v>
      </c>
      <c r="X132" s="104">
        <f t="shared" si="278"/>
        <v>0</v>
      </c>
      <c r="Y132" s="104">
        <f t="shared" si="278"/>
        <v>9.9999999999999995E-8</v>
      </c>
      <c r="Z132" s="104">
        <f t="shared" si="278"/>
        <v>9.9999999999999995E-8</v>
      </c>
      <c r="AA132" s="105">
        <f t="shared" si="278"/>
        <v>9.9999999999999995E-8</v>
      </c>
      <c r="AB132" s="101" t="e">
        <f>$DT132*HLOOKUP($J132,'Construction Costs (timber)'!$B$1:$V$32,'Construction Planner'!$L132+2,FALSE)</f>
        <v>#N/A</v>
      </c>
      <c r="AC132" s="14" t="e">
        <f>$DT132*HLOOKUP($J132,'Construction Costs (clay)'!$B$1:$V$32,'Construction Planner'!$L132+2,FALSE)</f>
        <v>#N/A</v>
      </c>
      <c r="AD132" s="14" t="e">
        <f>$DT132*HLOOKUP($J132,'Construction Costs (iron)'!$B$1:$V$32,'Construction Planner'!$L132+2,FALSE)</f>
        <v>#N/A</v>
      </c>
      <c r="AE132" s="34" t="e">
        <f t="shared" si="230"/>
        <v>#N/A</v>
      </c>
      <c r="AF132" s="33" t="e">
        <f t="shared" si="156"/>
        <v>#N/A</v>
      </c>
      <c r="AG132" s="14" t="e">
        <f t="shared" si="157"/>
        <v>#N/A</v>
      </c>
      <c r="AH132" s="14" t="e">
        <f t="shared" si="158"/>
        <v>#N/A</v>
      </c>
      <c r="AI132" s="34" t="e">
        <f t="shared" si="231"/>
        <v>#N/A</v>
      </c>
      <c r="AJ132" s="49" t="e">
        <f t="shared" si="178"/>
        <v>#N/A</v>
      </c>
      <c r="AK132" s="49" t="e">
        <f t="shared" si="179"/>
        <v>#N/A</v>
      </c>
      <c r="AL132" s="49" t="e">
        <f t="shared" si="180"/>
        <v>#N/A</v>
      </c>
      <c r="AM132" s="25">
        <f t="shared" si="159"/>
        <v>30</v>
      </c>
      <c r="AN132" s="25">
        <f t="shared" si="160"/>
        <v>30</v>
      </c>
      <c r="AO132" s="25">
        <f t="shared" si="161"/>
        <v>30</v>
      </c>
      <c r="AP132" s="52" t="e">
        <f t="shared" si="181"/>
        <v>#N/A</v>
      </c>
      <c r="AQ132" s="53" t="e">
        <f t="shared" si="181"/>
        <v>#N/A</v>
      </c>
      <c r="AR132" s="54" t="e">
        <f t="shared" si="181"/>
        <v>#N/A</v>
      </c>
      <c r="AS132" s="316">
        <f t="shared" ref="AS132:AS147" si="306">AS131</f>
        <v>0</v>
      </c>
      <c r="AT132" s="106">
        <f>_xlfn.IFNA($M132/VLOOKUP($BT132,'Unit information'!$A$2:$K$29,2,FALSE)*R132,0)*(1+$E$9)</f>
        <v>0</v>
      </c>
      <c r="AU132" s="107">
        <f>_xlfn.IFNA($M132/VLOOKUP($BT132,'Unit information'!$A$2:$K$29,3,FALSE)*S132,0)*(1+$E$9)</f>
        <v>0</v>
      </c>
      <c r="AV132" s="107">
        <f>_xlfn.IFNA($M132/VLOOKUP($BT132,'Unit information'!$A$2:$K$29,4,FALSE)*T132,0)*(1+$E$9)</f>
        <v>0</v>
      </c>
      <c r="AW132" s="107">
        <f>_xlfn.IFNA($M132/VLOOKUP($BT132,'Unit information'!$A$2:$K$29,5,FALSE)*U132,0)*(1+$E$9)</f>
        <v>0</v>
      </c>
      <c r="AX132" s="107">
        <f>_xlfn.IFNA($M132/VLOOKUP($BU132,'Unit information'!$A$2:$K$29,6,FALSE)*V132,0)*(1+$E$9)</f>
        <v>0</v>
      </c>
      <c r="AY132" s="107">
        <f>_xlfn.IFNA($M132/VLOOKUP($BU132,'Unit information'!$A$2:$K$29,7,FALSE)*W132,0)*(1+$E$9)</f>
        <v>0</v>
      </c>
      <c r="AZ132" s="107">
        <f>_xlfn.IFNA($M132/VLOOKUP($BU132,'Unit information'!$A$2:$K$29,8,FALSE)*X132,0)*(1+$E$9)</f>
        <v>0</v>
      </c>
      <c r="BA132" s="107">
        <f>_xlfn.IFNA($M132/VLOOKUP($BU132,'Unit information'!$A$2:$K$29,9,FALSE)*Y132,0)*(1+$E$9)</f>
        <v>0</v>
      </c>
      <c r="BB132" s="107">
        <f>_xlfn.IFNA($M132/VLOOKUP($BV132,'Unit information'!$A$2:$K$29,10,FALSE)*Z132,0)*(1+$E$9)</f>
        <v>0</v>
      </c>
      <c r="BC132" s="108">
        <f>_xlfn.IFNA($M132/VLOOKUP($BV132,'Unit information'!$A$2:$K$29,11,FALSE)*AA132,0)*(1+$E$9)</f>
        <v>0</v>
      </c>
      <c r="BD132" s="106">
        <f t="shared" si="162"/>
        <v>0</v>
      </c>
      <c r="BE132" s="107">
        <f t="shared" si="163"/>
        <v>0</v>
      </c>
      <c r="BF132" s="108">
        <f t="shared" si="164"/>
        <v>0</v>
      </c>
      <c r="BG132" s="25" t="e">
        <f t="shared" si="165"/>
        <v>#N/A</v>
      </c>
      <c r="BH132" s="25" t="e">
        <f t="shared" si="166"/>
        <v>#N/A</v>
      </c>
      <c r="BI132" s="25" t="e">
        <f t="shared" si="167"/>
        <v>#N/A</v>
      </c>
      <c r="BJ132" s="27" t="e">
        <f t="shared" si="168"/>
        <v>#N/A</v>
      </c>
      <c r="BK132" s="18" t="e">
        <f t="shared" si="169"/>
        <v>#N/A</v>
      </c>
      <c r="BL132" s="18" t="e">
        <f t="shared" si="170"/>
        <v>#N/A</v>
      </c>
      <c r="BM132" s="28" t="e">
        <f t="shared" si="233"/>
        <v>#N/A</v>
      </c>
      <c r="BN132" s="33">
        <f>HLOOKUP("maximum population",Miscelaneous!$C$1:$C$33,CH132+3,FALSE)</f>
        <v>240</v>
      </c>
      <c r="BO132" s="14">
        <f t="shared" si="182"/>
        <v>32</v>
      </c>
      <c r="BP132" s="14">
        <f t="shared" si="183"/>
        <v>0</v>
      </c>
      <c r="BQ132" s="14">
        <f t="shared" si="184"/>
        <v>208</v>
      </c>
      <c r="BR132" s="34" t="e">
        <f>HLOOKUP(J132,Villagers!$B$1:$V$33,L132+3,FALSE)-HLOOKUP(J132,Villagers!$B$1:$V$33,L132+2,FALSE)</f>
        <v>#N/A</v>
      </c>
      <c r="BS132" s="49">
        <f t="shared" si="185"/>
        <v>1</v>
      </c>
      <c r="BT132" s="50">
        <f t="shared" si="186"/>
        <v>0</v>
      </c>
      <c r="BU132" s="50">
        <f t="shared" si="187"/>
        <v>0</v>
      </c>
      <c r="BV132" s="50">
        <f t="shared" si="188"/>
        <v>0</v>
      </c>
      <c r="BW132" s="50">
        <f t="shared" si="301"/>
        <v>0</v>
      </c>
      <c r="BX132" s="50">
        <f t="shared" si="301"/>
        <v>0</v>
      </c>
      <c r="BY132" s="50">
        <f t="shared" si="301"/>
        <v>0</v>
      </c>
      <c r="BZ132" s="50">
        <f t="shared" si="245"/>
        <v>0</v>
      </c>
      <c r="CA132" s="50">
        <f t="shared" si="246"/>
        <v>0</v>
      </c>
      <c r="CB132" s="50">
        <f t="shared" si="247"/>
        <v>1</v>
      </c>
      <c r="CC132" s="50">
        <f t="shared" si="248"/>
        <v>0</v>
      </c>
      <c r="CD132" s="50">
        <f t="shared" si="249"/>
        <v>0</v>
      </c>
      <c r="CE132" s="50">
        <f t="shared" si="250"/>
        <v>1</v>
      </c>
      <c r="CF132" s="50">
        <f t="shared" si="251"/>
        <v>1</v>
      </c>
      <c r="CG132" s="50">
        <f t="shared" si="252"/>
        <v>1</v>
      </c>
      <c r="CH132" s="50">
        <f t="shared" si="253"/>
        <v>1</v>
      </c>
      <c r="CI132" s="50">
        <f t="shared" si="254"/>
        <v>1</v>
      </c>
      <c r="CJ132" s="50">
        <f t="shared" si="255"/>
        <v>1</v>
      </c>
      <c r="CK132" s="50">
        <f t="shared" si="255"/>
        <v>0</v>
      </c>
      <c r="CL132" s="50">
        <f t="shared" si="255"/>
        <v>0</v>
      </c>
      <c r="CM132" s="51">
        <f t="shared" si="256"/>
        <v>0</v>
      </c>
      <c r="CN132" s="33">
        <f>ROUND(IF(BS132=0,0,HLOOKUP(BS$14,Villagers!$B$1:$V$33,BS132+3,FALSE)),)</f>
        <v>5</v>
      </c>
      <c r="CO132" s="14">
        <f>ROUND(IF(BT132=0,0,HLOOKUP(BT$14,Villagers!$B$1:$V$33,BT132+3,FALSE)),)</f>
        <v>0</v>
      </c>
      <c r="CP132" s="14">
        <f>ROUND(IF(BU132=0,0,HLOOKUP(BU$14,Villagers!$B$1:$V$33,BU132+3,FALSE)),)</f>
        <v>0</v>
      </c>
      <c r="CQ132" s="14">
        <f>ROUND(IF(BV132=0,0,HLOOKUP(BV$14,Villagers!$B$1:$V$33,BV132+3,FALSE)),)</f>
        <v>0</v>
      </c>
      <c r="CR132" s="14">
        <f>ROUND(IF(BW132=0,0,HLOOKUP(BW$14,Villagers!$B$1:$V$33,BW132+3,FALSE)),)</f>
        <v>0</v>
      </c>
      <c r="CS132" s="14">
        <f>ROUND(IF(BX132=0,0,HLOOKUP(BX$14,Villagers!$B$1:$V$33,BX132+3,FALSE)),)</f>
        <v>0</v>
      </c>
      <c r="CT132" s="14">
        <f>ROUND(IF(BY132=0,0,HLOOKUP(BY$14,Villagers!$B$1:$V$33,BY132+3,FALSE)),)</f>
        <v>0</v>
      </c>
      <c r="CU132" s="14">
        <f>ROUND(IF(BZ132=0,0,HLOOKUP(BZ$14,Villagers!$B$1:$V$33,BZ132+3,FALSE)),)</f>
        <v>0</v>
      </c>
      <c r="CV132" s="14">
        <f>ROUND(IF(CA132=0,0,HLOOKUP(CA$14,Villagers!$B$1:$V$33,CA132+3,FALSE)),)</f>
        <v>0</v>
      </c>
      <c r="CW132" s="14">
        <f>ROUND(IF(CB132=0,0,HLOOKUP(CB$14,Villagers!$B$1:$V$33,CB132+3,FALSE)),)</f>
        <v>0</v>
      </c>
      <c r="CX132" s="14">
        <f>ROUND(IF(CC132=0,0,HLOOKUP(CC$14,Villagers!$B$1:$V$33,CC132+3,FALSE)),)</f>
        <v>0</v>
      </c>
      <c r="CY132" s="14">
        <f>ROUND(IF(CD132=0,0,HLOOKUP(CD$14,Villagers!$B$1:$V$33,CD132+3,FALSE)),)</f>
        <v>0</v>
      </c>
      <c r="CZ132" s="14">
        <f>ROUND(IF(CE132=0,0,HLOOKUP(CE$14,Villagers!$B$1:$V$33,CE132+3,FALSE)),)</f>
        <v>5</v>
      </c>
      <c r="DA132" s="14">
        <f>ROUND(IF(CF132=0,0,HLOOKUP(CF$14,Villagers!$B$1:$V$33,CF132+3,FALSE)),)</f>
        <v>10</v>
      </c>
      <c r="DB132" s="14">
        <f>ROUND(IF(CG132=0,0,HLOOKUP(CG$14,Villagers!$B$1:$V$33,CG132+3,FALSE)),)</f>
        <v>10</v>
      </c>
      <c r="DC132" s="14">
        <f>ROUND(IF(CH132=0,0,HLOOKUP(CH$14,Villagers!$B$1:$V$33,CH132+3,FALSE)),)</f>
        <v>0</v>
      </c>
      <c r="DD132" s="14">
        <f>ROUND(IF(CI132=0,0,HLOOKUP(CI$14,Villagers!$B$1:$V$33,CI132+3,FALSE)),)</f>
        <v>0</v>
      </c>
      <c r="DE132" s="14">
        <f>ROUND(IF(CJ132=0,0,HLOOKUP(CJ$14,Villagers!$B$1:$V$33,CJ132+3,FALSE)),)</f>
        <v>2</v>
      </c>
      <c r="DF132" s="370">
        <f>ROUND(IF(CK132=0,0,HLOOKUP(CK$14,Villagers!$B$1:$V$33,CK132+3,FALSE)),)</f>
        <v>0</v>
      </c>
      <c r="DG132" s="370">
        <f>ROUND(IF(CL132=0,0,HLOOKUP(CL$14,Villagers!$B$1:$V$33,CL132+3,FALSE)),)</f>
        <v>0</v>
      </c>
      <c r="DH132" s="34">
        <f>ROUND(IF(CM132=0,0,HLOOKUP(CM$14,Villagers!$B$1:$V$33,CM132+3,FALSE)),)</f>
        <v>0</v>
      </c>
      <c r="DI132" s="109">
        <f t="shared" si="219"/>
        <v>0</v>
      </c>
      <c r="DJ132" s="50">
        <f t="shared" si="220"/>
        <v>0</v>
      </c>
      <c r="DK132" s="50">
        <f t="shared" si="221"/>
        <v>0</v>
      </c>
      <c r="DL132" s="50">
        <f t="shared" si="222"/>
        <v>0</v>
      </c>
      <c r="DM132" s="50">
        <f t="shared" si="223"/>
        <v>0</v>
      </c>
      <c r="DN132" s="50">
        <f t="shared" si="224"/>
        <v>0</v>
      </c>
      <c r="DO132" s="50">
        <f t="shared" si="225"/>
        <v>0</v>
      </c>
      <c r="DP132" s="50">
        <f t="shared" si="226"/>
        <v>0</v>
      </c>
      <c r="DQ132" s="50">
        <f t="shared" si="203"/>
        <v>0</v>
      </c>
      <c r="DR132" s="50">
        <f t="shared" si="204"/>
        <v>0</v>
      </c>
      <c r="DS132" s="96">
        <f>Miscelaneous!$D$4*Miscelaneous!$D$2^($CI132-1)</f>
        <v>1000</v>
      </c>
      <c r="DT132" s="333">
        <f t="shared" si="171"/>
        <v>1</v>
      </c>
      <c r="DU132" s="81">
        <v>1</v>
      </c>
      <c r="DV132" s="79">
        <f t="shared" si="205"/>
        <v>0</v>
      </c>
      <c r="DW132" s="79">
        <f t="shared" si="206"/>
        <v>0</v>
      </c>
      <c r="DX132" s="79">
        <f t="shared" si="207"/>
        <v>0</v>
      </c>
      <c r="DY132" s="79">
        <v>1</v>
      </c>
      <c r="DZ132" s="79">
        <f t="shared" si="208"/>
        <v>0</v>
      </c>
      <c r="EA132" s="79">
        <f t="shared" si="209"/>
        <v>0</v>
      </c>
      <c r="EB132" s="79">
        <f t="shared" si="210"/>
        <v>0</v>
      </c>
      <c r="EC132" s="79">
        <f t="shared" si="211"/>
        <v>0</v>
      </c>
      <c r="ED132" s="79">
        <v>1</v>
      </c>
      <c r="EE132" s="79">
        <v>1</v>
      </c>
      <c r="EF132" s="79">
        <f t="shared" si="212"/>
        <v>0</v>
      </c>
      <c r="EG132" s="79">
        <v>1</v>
      </c>
      <c r="EH132" s="79">
        <v>1</v>
      </c>
      <c r="EI132" s="79">
        <v>1</v>
      </c>
      <c r="EJ132" s="79">
        <v>1</v>
      </c>
      <c r="EK132" s="79">
        <v>1</v>
      </c>
      <c r="EL132" s="79">
        <v>1</v>
      </c>
      <c r="EM132" s="143">
        <f t="shared" si="213"/>
        <v>0</v>
      </c>
      <c r="EN132" s="143">
        <f t="shared" si="214"/>
        <v>0</v>
      </c>
      <c r="EO132" s="82">
        <f t="shared" si="215"/>
        <v>0</v>
      </c>
    </row>
    <row r="133" spans="1:145" x14ac:dyDescent="0.25">
      <c r="A133">
        <v>119</v>
      </c>
      <c r="B133" s="172" t="e">
        <f t="shared" si="172"/>
        <v>#N/A</v>
      </c>
      <c r="C133" s="121" t="e">
        <f t="shared" ref="C133:E133" si="307">AJ133-SUM(AB133:AB137)</f>
        <v>#N/A</v>
      </c>
      <c r="D133" s="122" t="e">
        <f t="shared" si="307"/>
        <v>#N/A</v>
      </c>
      <c r="E133" s="122" t="e">
        <f t="shared" si="307"/>
        <v>#N/A</v>
      </c>
      <c r="F133" s="176" t="e">
        <f t="shared" si="154"/>
        <v>#N/A</v>
      </c>
      <c r="G133" s="121">
        <f t="shared" si="174"/>
        <v>208</v>
      </c>
      <c r="H133" s="176" t="e">
        <f t="shared" si="175"/>
        <v>#N/A</v>
      </c>
      <c r="I133" s="48">
        <v>1</v>
      </c>
      <c r="J133" s="39"/>
      <c r="K133" s="350">
        <v>1</v>
      </c>
      <c r="L133" s="34" t="e">
        <f t="shared" si="155"/>
        <v>#N/A</v>
      </c>
      <c r="M133" s="38" t="e">
        <f>(HLOOKUP(J133,'Construction Times'!$B$3:$W$34,L133+2,FALSE)*HLOOKUP("hq modifier",'Construction Times'!$W$3:$W$34,BS133+2,FALSE))*(1-$H$9)</f>
        <v>#N/A</v>
      </c>
      <c r="N133" s="426" t="e">
        <f t="shared" si="176"/>
        <v>#N/A</v>
      </c>
      <c r="O133" s="427"/>
      <c r="P133" s="430" t="e">
        <f t="shared" si="177"/>
        <v>#N/A</v>
      </c>
      <c r="Q133" s="431"/>
      <c r="R133" s="103">
        <f t="shared" si="217"/>
        <v>0</v>
      </c>
      <c r="S133" s="104">
        <f t="shared" si="217"/>
        <v>0</v>
      </c>
      <c r="T133" s="104">
        <f t="shared" si="218"/>
        <v>0</v>
      </c>
      <c r="U133" s="104">
        <f t="shared" si="218"/>
        <v>0</v>
      </c>
      <c r="V133" s="104">
        <f t="shared" si="218"/>
        <v>9.9999999999999995E-8</v>
      </c>
      <c r="W133" s="104">
        <f t="shared" si="218"/>
        <v>0</v>
      </c>
      <c r="X133" s="104">
        <f t="shared" si="278"/>
        <v>0</v>
      </c>
      <c r="Y133" s="104">
        <f t="shared" si="278"/>
        <v>9.9999999999999995E-8</v>
      </c>
      <c r="Z133" s="104">
        <f t="shared" si="278"/>
        <v>9.9999999999999995E-8</v>
      </c>
      <c r="AA133" s="105">
        <f t="shared" si="278"/>
        <v>9.9999999999999995E-8</v>
      </c>
      <c r="AB133" s="101" t="e">
        <f>$DT133*HLOOKUP($J133,'Construction Costs (timber)'!$B$1:$V$32,'Construction Planner'!$L133+2,FALSE)</f>
        <v>#N/A</v>
      </c>
      <c r="AC133" s="14" t="e">
        <f>$DT133*HLOOKUP($J133,'Construction Costs (clay)'!$B$1:$V$32,'Construction Planner'!$L133+2,FALSE)</f>
        <v>#N/A</v>
      </c>
      <c r="AD133" s="14" t="e">
        <f>$DT133*HLOOKUP($J133,'Construction Costs (iron)'!$B$1:$V$32,'Construction Planner'!$L133+2,FALSE)</f>
        <v>#N/A</v>
      </c>
      <c r="AE133" s="34" t="e">
        <f t="shared" si="230"/>
        <v>#N/A</v>
      </c>
      <c r="AF133" s="33" t="e">
        <f t="shared" si="156"/>
        <v>#N/A</v>
      </c>
      <c r="AG133" s="14" t="e">
        <f t="shared" si="157"/>
        <v>#N/A</v>
      </c>
      <c r="AH133" s="14" t="e">
        <f t="shared" si="158"/>
        <v>#N/A</v>
      </c>
      <c r="AI133" s="34" t="e">
        <f t="shared" si="231"/>
        <v>#N/A</v>
      </c>
      <c r="AJ133" s="49" t="e">
        <f t="shared" si="178"/>
        <v>#N/A</v>
      </c>
      <c r="AK133" s="49" t="e">
        <f t="shared" si="179"/>
        <v>#N/A</v>
      </c>
      <c r="AL133" s="49" t="e">
        <f t="shared" si="180"/>
        <v>#N/A</v>
      </c>
      <c r="AM133" s="25">
        <f t="shared" si="159"/>
        <v>30</v>
      </c>
      <c r="AN133" s="25">
        <f t="shared" si="160"/>
        <v>30</v>
      </c>
      <c r="AO133" s="25">
        <f t="shared" si="161"/>
        <v>30</v>
      </c>
      <c r="AP133" s="52" t="e">
        <f t="shared" si="181"/>
        <v>#N/A</v>
      </c>
      <c r="AQ133" s="53" t="e">
        <f t="shared" si="181"/>
        <v>#N/A</v>
      </c>
      <c r="AR133" s="54" t="e">
        <f t="shared" si="181"/>
        <v>#N/A</v>
      </c>
      <c r="AS133" s="316">
        <f t="shared" si="306"/>
        <v>0</v>
      </c>
      <c r="AT133" s="106">
        <f>_xlfn.IFNA($M133/VLOOKUP($BT133,'Unit information'!$A$2:$K$29,2,FALSE)*R133,0)*(1+$E$9)</f>
        <v>0</v>
      </c>
      <c r="AU133" s="107">
        <f>_xlfn.IFNA($M133/VLOOKUP($BT133,'Unit information'!$A$2:$K$29,3,FALSE)*S133,0)*(1+$E$9)</f>
        <v>0</v>
      </c>
      <c r="AV133" s="107">
        <f>_xlfn.IFNA($M133/VLOOKUP($BT133,'Unit information'!$A$2:$K$29,4,FALSE)*T133,0)*(1+$E$9)</f>
        <v>0</v>
      </c>
      <c r="AW133" s="107">
        <f>_xlfn.IFNA($M133/VLOOKUP($BT133,'Unit information'!$A$2:$K$29,5,FALSE)*U133,0)*(1+$E$9)</f>
        <v>0</v>
      </c>
      <c r="AX133" s="107">
        <f>_xlfn.IFNA($M133/VLOOKUP($BU133,'Unit information'!$A$2:$K$29,6,FALSE)*V133,0)*(1+$E$9)</f>
        <v>0</v>
      </c>
      <c r="AY133" s="107">
        <f>_xlfn.IFNA($M133/VLOOKUP($BU133,'Unit information'!$A$2:$K$29,7,FALSE)*W133,0)*(1+$E$9)</f>
        <v>0</v>
      </c>
      <c r="AZ133" s="107">
        <f>_xlfn.IFNA($M133/VLOOKUP($BU133,'Unit information'!$A$2:$K$29,8,FALSE)*X133,0)*(1+$E$9)</f>
        <v>0</v>
      </c>
      <c r="BA133" s="107">
        <f>_xlfn.IFNA($M133/VLOOKUP($BU133,'Unit information'!$A$2:$K$29,9,FALSE)*Y133,0)*(1+$E$9)</f>
        <v>0</v>
      </c>
      <c r="BB133" s="107">
        <f>_xlfn.IFNA($M133/VLOOKUP($BV133,'Unit information'!$A$2:$K$29,10,FALSE)*Z133,0)*(1+$E$9)</f>
        <v>0</v>
      </c>
      <c r="BC133" s="108">
        <f>_xlfn.IFNA($M133/VLOOKUP($BV133,'Unit information'!$A$2:$K$29,11,FALSE)*AA133,0)*(1+$E$9)</f>
        <v>0</v>
      </c>
      <c r="BD133" s="106">
        <f t="shared" si="162"/>
        <v>0</v>
      </c>
      <c r="BE133" s="107">
        <f t="shared" si="163"/>
        <v>0</v>
      </c>
      <c r="BF133" s="108">
        <f t="shared" si="164"/>
        <v>0</v>
      </c>
      <c r="BG133" s="25" t="e">
        <f t="shared" si="165"/>
        <v>#N/A</v>
      </c>
      <c r="BH133" s="25" t="e">
        <f t="shared" si="166"/>
        <v>#N/A</v>
      </c>
      <c r="BI133" s="25" t="e">
        <f t="shared" si="167"/>
        <v>#N/A</v>
      </c>
      <c r="BJ133" s="27" t="e">
        <f t="shared" si="168"/>
        <v>#N/A</v>
      </c>
      <c r="BK133" s="18" t="e">
        <f t="shared" si="169"/>
        <v>#N/A</v>
      </c>
      <c r="BL133" s="18" t="e">
        <f t="shared" si="170"/>
        <v>#N/A</v>
      </c>
      <c r="BM133" s="28" t="e">
        <f t="shared" si="233"/>
        <v>#N/A</v>
      </c>
      <c r="BN133" s="33">
        <f>HLOOKUP("maximum population",Miscelaneous!$C$1:$C$33,CH133+3,FALSE)</f>
        <v>240</v>
      </c>
      <c r="BO133" s="14">
        <f t="shared" si="182"/>
        <v>32</v>
      </c>
      <c r="BP133" s="14">
        <f t="shared" si="183"/>
        <v>0</v>
      </c>
      <c r="BQ133" s="14">
        <f t="shared" si="184"/>
        <v>208</v>
      </c>
      <c r="BR133" s="34" t="e">
        <f>HLOOKUP(J133,Villagers!$B$1:$V$33,L133+3,FALSE)-HLOOKUP(J133,Villagers!$B$1:$V$33,L133+2,FALSE)</f>
        <v>#N/A</v>
      </c>
      <c r="BS133" s="49">
        <f t="shared" si="185"/>
        <v>1</v>
      </c>
      <c r="BT133" s="50">
        <f t="shared" si="186"/>
        <v>0</v>
      </c>
      <c r="BU133" s="50">
        <f t="shared" si="187"/>
        <v>0</v>
      </c>
      <c r="BV133" s="50">
        <f t="shared" si="188"/>
        <v>0</v>
      </c>
      <c r="BW133" s="50">
        <f t="shared" si="301"/>
        <v>0</v>
      </c>
      <c r="BX133" s="50">
        <f t="shared" si="301"/>
        <v>0</v>
      </c>
      <c r="BY133" s="50">
        <f t="shared" si="301"/>
        <v>0</v>
      </c>
      <c r="BZ133" s="50">
        <f t="shared" si="245"/>
        <v>0</v>
      </c>
      <c r="CA133" s="50">
        <f t="shared" si="246"/>
        <v>0</v>
      </c>
      <c r="CB133" s="50">
        <f t="shared" si="247"/>
        <v>1</v>
      </c>
      <c r="CC133" s="50">
        <f t="shared" si="248"/>
        <v>0</v>
      </c>
      <c r="CD133" s="50">
        <f t="shared" si="249"/>
        <v>0</v>
      </c>
      <c r="CE133" s="50">
        <f t="shared" si="250"/>
        <v>1</v>
      </c>
      <c r="CF133" s="50">
        <f t="shared" si="251"/>
        <v>1</v>
      </c>
      <c r="CG133" s="50">
        <f t="shared" si="252"/>
        <v>1</v>
      </c>
      <c r="CH133" s="50">
        <f t="shared" si="253"/>
        <v>1</v>
      </c>
      <c r="CI133" s="50">
        <f t="shared" si="254"/>
        <v>1</v>
      </c>
      <c r="CJ133" s="50">
        <f t="shared" si="255"/>
        <v>1</v>
      </c>
      <c r="CK133" s="50">
        <f t="shared" si="255"/>
        <v>0</v>
      </c>
      <c r="CL133" s="50">
        <f t="shared" si="255"/>
        <v>0</v>
      </c>
      <c r="CM133" s="51">
        <f t="shared" si="256"/>
        <v>0</v>
      </c>
      <c r="CN133" s="33">
        <f>ROUND(IF(BS133=0,0,HLOOKUP(BS$14,Villagers!$B$1:$V$33,BS133+3,FALSE)),)</f>
        <v>5</v>
      </c>
      <c r="CO133" s="14">
        <f>ROUND(IF(BT133=0,0,HLOOKUP(BT$14,Villagers!$B$1:$V$33,BT133+3,FALSE)),)</f>
        <v>0</v>
      </c>
      <c r="CP133" s="14">
        <f>ROUND(IF(BU133=0,0,HLOOKUP(BU$14,Villagers!$B$1:$V$33,BU133+3,FALSE)),)</f>
        <v>0</v>
      </c>
      <c r="CQ133" s="14">
        <f>ROUND(IF(BV133=0,0,HLOOKUP(BV$14,Villagers!$B$1:$V$33,BV133+3,FALSE)),)</f>
        <v>0</v>
      </c>
      <c r="CR133" s="14">
        <f>ROUND(IF(BW133=0,0,HLOOKUP(BW$14,Villagers!$B$1:$V$33,BW133+3,FALSE)),)</f>
        <v>0</v>
      </c>
      <c r="CS133" s="14">
        <f>ROUND(IF(BX133=0,0,HLOOKUP(BX$14,Villagers!$B$1:$V$33,BX133+3,FALSE)),)</f>
        <v>0</v>
      </c>
      <c r="CT133" s="14">
        <f>ROUND(IF(BY133=0,0,HLOOKUP(BY$14,Villagers!$B$1:$V$33,BY133+3,FALSE)),)</f>
        <v>0</v>
      </c>
      <c r="CU133" s="14">
        <f>ROUND(IF(BZ133=0,0,HLOOKUP(BZ$14,Villagers!$B$1:$V$33,BZ133+3,FALSE)),)</f>
        <v>0</v>
      </c>
      <c r="CV133" s="14">
        <f>ROUND(IF(CA133=0,0,HLOOKUP(CA$14,Villagers!$B$1:$V$33,CA133+3,FALSE)),)</f>
        <v>0</v>
      </c>
      <c r="CW133" s="14">
        <f>ROUND(IF(CB133=0,0,HLOOKUP(CB$14,Villagers!$B$1:$V$33,CB133+3,FALSE)),)</f>
        <v>0</v>
      </c>
      <c r="CX133" s="14">
        <f>ROUND(IF(CC133=0,0,HLOOKUP(CC$14,Villagers!$B$1:$V$33,CC133+3,FALSE)),)</f>
        <v>0</v>
      </c>
      <c r="CY133" s="14">
        <f>ROUND(IF(CD133=0,0,HLOOKUP(CD$14,Villagers!$B$1:$V$33,CD133+3,FALSE)),)</f>
        <v>0</v>
      </c>
      <c r="CZ133" s="14">
        <f>ROUND(IF(CE133=0,0,HLOOKUP(CE$14,Villagers!$B$1:$V$33,CE133+3,FALSE)),)</f>
        <v>5</v>
      </c>
      <c r="DA133" s="14">
        <f>ROUND(IF(CF133=0,0,HLOOKUP(CF$14,Villagers!$B$1:$V$33,CF133+3,FALSE)),)</f>
        <v>10</v>
      </c>
      <c r="DB133" s="14">
        <f>ROUND(IF(CG133=0,0,HLOOKUP(CG$14,Villagers!$B$1:$V$33,CG133+3,FALSE)),)</f>
        <v>10</v>
      </c>
      <c r="DC133" s="14">
        <f>ROUND(IF(CH133=0,0,HLOOKUP(CH$14,Villagers!$B$1:$V$33,CH133+3,FALSE)),)</f>
        <v>0</v>
      </c>
      <c r="DD133" s="14">
        <f>ROUND(IF(CI133=0,0,HLOOKUP(CI$14,Villagers!$B$1:$V$33,CI133+3,FALSE)),)</f>
        <v>0</v>
      </c>
      <c r="DE133" s="14">
        <f>ROUND(IF(CJ133=0,0,HLOOKUP(CJ$14,Villagers!$B$1:$V$33,CJ133+3,FALSE)),)</f>
        <v>2</v>
      </c>
      <c r="DF133" s="370">
        <f>ROUND(IF(CK133=0,0,HLOOKUP(CK$14,Villagers!$B$1:$V$33,CK133+3,FALSE)),)</f>
        <v>0</v>
      </c>
      <c r="DG133" s="370">
        <f>ROUND(IF(CL133=0,0,HLOOKUP(CL$14,Villagers!$B$1:$V$33,CL133+3,FALSE)),)</f>
        <v>0</v>
      </c>
      <c r="DH133" s="34">
        <f>ROUND(IF(CM133=0,0,HLOOKUP(CM$14,Villagers!$B$1:$V$33,CM133+3,FALSE)),)</f>
        <v>0</v>
      </c>
      <c r="DI133" s="109">
        <f t="shared" si="219"/>
        <v>0</v>
      </c>
      <c r="DJ133" s="50">
        <f t="shared" si="220"/>
        <v>0</v>
      </c>
      <c r="DK133" s="50">
        <f t="shared" si="221"/>
        <v>0</v>
      </c>
      <c r="DL133" s="50">
        <f t="shared" si="222"/>
        <v>0</v>
      </c>
      <c r="DM133" s="50">
        <f t="shared" si="223"/>
        <v>0</v>
      </c>
      <c r="DN133" s="50">
        <f t="shared" si="224"/>
        <v>0</v>
      </c>
      <c r="DO133" s="50">
        <f t="shared" si="225"/>
        <v>0</v>
      </c>
      <c r="DP133" s="50">
        <f t="shared" si="226"/>
        <v>0</v>
      </c>
      <c r="DQ133" s="50">
        <f t="shared" si="203"/>
        <v>0</v>
      </c>
      <c r="DR133" s="50">
        <f t="shared" si="204"/>
        <v>0</v>
      </c>
      <c r="DS133" s="96">
        <f>Miscelaneous!$D$4*Miscelaneous!$D$2^($CI133-1)</f>
        <v>1000</v>
      </c>
      <c r="DT133" s="333">
        <f t="shared" si="171"/>
        <v>1</v>
      </c>
      <c r="DU133" s="81">
        <v>1</v>
      </c>
      <c r="DV133" s="79">
        <f t="shared" si="205"/>
        <v>0</v>
      </c>
      <c r="DW133" s="79">
        <f t="shared" si="206"/>
        <v>0</v>
      </c>
      <c r="DX133" s="79">
        <f t="shared" si="207"/>
        <v>0</v>
      </c>
      <c r="DY133" s="79">
        <v>1</v>
      </c>
      <c r="DZ133" s="79">
        <f t="shared" si="208"/>
        <v>0</v>
      </c>
      <c r="EA133" s="79">
        <f t="shared" si="209"/>
        <v>0</v>
      </c>
      <c r="EB133" s="79">
        <f t="shared" si="210"/>
        <v>0</v>
      </c>
      <c r="EC133" s="79">
        <f t="shared" si="211"/>
        <v>0</v>
      </c>
      <c r="ED133" s="79">
        <v>1</v>
      </c>
      <c r="EE133" s="79">
        <v>1</v>
      </c>
      <c r="EF133" s="79">
        <f t="shared" si="212"/>
        <v>0</v>
      </c>
      <c r="EG133" s="79">
        <v>1</v>
      </c>
      <c r="EH133" s="79">
        <v>1</v>
      </c>
      <c r="EI133" s="79">
        <v>1</v>
      </c>
      <c r="EJ133" s="79">
        <v>1</v>
      </c>
      <c r="EK133" s="79">
        <v>1</v>
      </c>
      <c r="EL133" s="79">
        <v>1</v>
      </c>
      <c r="EM133" s="143">
        <f t="shared" si="213"/>
        <v>0</v>
      </c>
      <c r="EN133" s="143">
        <f t="shared" si="214"/>
        <v>0</v>
      </c>
      <c r="EO133" s="82">
        <f t="shared" si="215"/>
        <v>0</v>
      </c>
    </row>
    <row r="134" spans="1:145" x14ac:dyDescent="0.25">
      <c r="A134">
        <v>120</v>
      </c>
      <c r="B134" s="172" t="e">
        <f t="shared" si="172"/>
        <v>#N/A</v>
      </c>
      <c r="C134" s="121" t="e">
        <f t="shared" ref="C134:E134" si="308">AJ134-SUM(AB134:AB138)</f>
        <v>#N/A</v>
      </c>
      <c r="D134" s="122" t="e">
        <f t="shared" si="308"/>
        <v>#N/A</v>
      </c>
      <c r="E134" s="122" t="e">
        <f t="shared" si="308"/>
        <v>#N/A</v>
      </c>
      <c r="F134" s="176" t="e">
        <f t="shared" si="154"/>
        <v>#N/A</v>
      </c>
      <c r="G134" s="121">
        <f t="shared" si="174"/>
        <v>208</v>
      </c>
      <c r="H134" s="176" t="e">
        <f t="shared" si="175"/>
        <v>#N/A</v>
      </c>
      <c r="I134" s="48">
        <v>1</v>
      </c>
      <c r="J134" s="39"/>
      <c r="K134" s="350">
        <v>1</v>
      </c>
      <c r="L134" s="34" t="e">
        <f t="shared" si="155"/>
        <v>#N/A</v>
      </c>
      <c r="M134" s="38" t="e">
        <f>(HLOOKUP(J134,'Construction Times'!$B$3:$W$34,L134+2,FALSE)*HLOOKUP("hq modifier",'Construction Times'!$W$3:$W$34,BS134+2,FALSE))*(1-$H$9)</f>
        <v>#N/A</v>
      </c>
      <c r="N134" s="426" t="e">
        <f t="shared" si="176"/>
        <v>#N/A</v>
      </c>
      <c r="O134" s="427"/>
      <c r="P134" s="430" t="e">
        <f t="shared" si="177"/>
        <v>#N/A</v>
      </c>
      <c r="Q134" s="431"/>
      <c r="R134" s="103">
        <f t="shared" si="217"/>
        <v>0</v>
      </c>
      <c r="S134" s="104">
        <f t="shared" si="217"/>
        <v>0</v>
      </c>
      <c r="T134" s="104">
        <f t="shared" si="218"/>
        <v>0</v>
      </c>
      <c r="U134" s="104">
        <f t="shared" si="218"/>
        <v>0</v>
      </c>
      <c r="V134" s="104">
        <f t="shared" si="218"/>
        <v>9.9999999999999995E-8</v>
      </c>
      <c r="W134" s="104">
        <f t="shared" si="218"/>
        <v>0</v>
      </c>
      <c r="X134" s="104">
        <f t="shared" si="278"/>
        <v>0</v>
      </c>
      <c r="Y134" s="104">
        <f t="shared" si="278"/>
        <v>9.9999999999999995E-8</v>
      </c>
      <c r="Z134" s="104">
        <f t="shared" si="278"/>
        <v>9.9999999999999995E-8</v>
      </c>
      <c r="AA134" s="105">
        <f t="shared" si="278"/>
        <v>9.9999999999999995E-8</v>
      </c>
      <c r="AB134" s="101" t="e">
        <f>$DT134*HLOOKUP($J134,'Construction Costs (timber)'!$B$1:$V$32,'Construction Planner'!$L134+2,FALSE)</f>
        <v>#N/A</v>
      </c>
      <c r="AC134" s="14" t="e">
        <f>$DT134*HLOOKUP($J134,'Construction Costs (clay)'!$B$1:$V$32,'Construction Planner'!$L134+2,FALSE)</f>
        <v>#N/A</v>
      </c>
      <c r="AD134" s="14" t="e">
        <f>$DT134*HLOOKUP($J134,'Construction Costs (iron)'!$B$1:$V$32,'Construction Planner'!$L134+2,FALSE)</f>
        <v>#N/A</v>
      </c>
      <c r="AE134" s="34" t="e">
        <f t="shared" si="230"/>
        <v>#N/A</v>
      </c>
      <c r="AF134" s="33" t="e">
        <f t="shared" si="156"/>
        <v>#N/A</v>
      </c>
      <c r="AG134" s="14" t="e">
        <f t="shared" si="157"/>
        <v>#N/A</v>
      </c>
      <c r="AH134" s="14" t="e">
        <f t="shared" si="158"/>
        <v>#N/A</v>
      </c>
      <c r="AI134" s="34" t="e">
        <f t="shared" si="231"/>
        <v>#N/A</v>
      </c>
      <c r="AJ134" s="49" t="e">
        <f t="shared" si="178"/>
        <v>#N/A</v>
      </c>
      <c r="AK134" s="49" t="e">
        <f t="shared" si="179"/>
        <v>#N/A</v>
      </c>
      <c r="AL134" s="49" t="e">
        <f t="shared" si="180"/>
        <v>#N/A</v>
      </c>
      <c r="AM134" s="25">
        <f t="shared" si="159"/>
        <v>30</v>
      </c>
      <c r="AN134" s="25">
        <f t="shared" si="160"/>
        <v>30</v>
      </c>
      <c r="AO134" s="25">
        <f t="shared" si="161"/>
        <v>30</v>
      </c>
      <c r="AP134" s="52" t="e">
        <f t="shared" si="181"/>
        <v>#N/A</v>
      </c>
      <c r="AQ134" s="53" t="e">
        <f t="shared" si="181"/>
        <v>#N/A</v>
      </c>
      <c r="AR134" s="54" t="e">
        <f t="shared" si="181"/>
        <v>#N/A</v>
      </c>
      <c r="AS134" s="316">
        <f t="shared" si="306"/>
        <v>0</v>
      </c>
      <c r="AT134" s="106">
        <f>_xlfn.IFNA($M134/VLOOKUP($BT134,'Unit information'!$A$2:$K$29,2,FALSE)*R134,0)*(1+$E$9)</f>
        <v>0</v>
      </c>
      <c r="AU134" s="107">
        <f>_xlfn.IFNA($M134/VLOOKUP($BT134,'Unit information'!$A$2:$K$29,3,FALSE)*S134,0)*(1+$E$9)</f>
        <v>0</v>
      </c>
      <c r="AV134" s="107">
        <f>_xlfn.IFNA($M134/VLOOKUP($BT134,'Unit information'!$A$2:$K$29,4,FALSE)*T134,0)*(1+$E$9)</f>
        <v>0</v>
      </c>
      <c r="AW134" s="107">
        <f>_xlfn.IFNA($M134/VLOOKUP($BT134,'Unit information'!$A$2:$K$29,5,FALSE)*U134,0)*(1+$E$9)</f>
        <v>0</v>
      </c>
      <c r="AX134" s="107">
        <f>_xlfn.IFNA($M134/VLOOKUP($BU134,'Unit information'!$A$2:$K$29,6,FALSE)*V134,0)*(1+$E$9)</f>
        <v>0</v>
      </c>
      <c r="AY134" s="107">
        <f>_xlfn.IFNA($M134/VLOOKUP($BU134,'Unit information'!$A$2:$K$29,7,FALSE)*W134,0)*(1+$E$9)</f>
        <v>0</v>
      </c>
      <c r="AZ134" s="107">
        <f>_xlfn.IFNA($M134/VLOOKUP($BU134,'Unit information'!$A$2:$K$29,8,FALSE)*X134,0)*(1+$E$9)</f>
        <v>0</v>
      </c>
      <c r="BA134" s="107">
        <f>_xlfn.IFNA($M134/VLOOKUP($BU134,'Unit information'!$A$2:$K$29,9,FALSE)*Y134,0)*(1+$E$9)</f>
        <v>0</v>
      </c>
      <c r="BB134" s="107">
        <f>_xlfn.IFNA($M134/VLOOKUP($BV134,'Unit information'!$A$2:$K$29,10,FALSE)*Z134,0)*(1+$E$9)</f>
        <v>0</v>
      </c>
      <c r="BC134" s="108">
        <f>_xlfn.IFNA($M134/VLOOKUP($BV134,'Unit information'!$A$2:$K$29,11,FALSE)*AA134,0)*(1+$E$9)</f>
        <v>0</v>
      </c>
      <c r="BD134" s="106">
        <f t="shared" si="162"/>
        <v>0</v>
      </c>
      <c r="BE134" s="107">
        <f t="shared" si="163"/>
        <v>0</v>
      </c>
      <c r="BF134" s="108">
        <f t="shared" si="164"/>
        <v>0</v>
      </c>
      <c r="BG134" s="25" t="e">
        <f t="shared" si="165"/>
        <v>#N/A</v>
      </c>
      <c r="BH134" s="25" t="e">
        <f t="shared" si="166"/>
        <v>#N/A</v>
      </c>
      <c r="BI134" s="25" t="e">
        <f t="shared" si="167"/>
        <v>#N/A</v>
      </c>
      <c r="BJ134" s="27" t="e">
        <f t="shared" si="168"/>
        <v>#N/A</v>
      </c>
      <c r="BK134" s="18" t="e">
        <f t="shared" si="169"/>
        <v>#N/A</v>
      </c>
      <c r="BL134" s="18" t="e">
        <f t="shared" si="170"/>
        <v>#N/A</v>
      </c>
      <c r="BM134" s="28" t="e">
        <f t="shared" si="233"/>
        <v>#N/A</v>
      </c>
      <c r="BN134" s="33">
        <f>HLOOKUP("maximum population",Miscelaneous!$C$1:$C$33,CH134+3,FALSE)</f>
        <v>240</v>
      </c>
      <c r="BO134" s="14">
        <f t="shared" si="182"/>
        <v>32</v>
      </c>
      <c r="BP134" s="14">
        <f t="shared" si="183"/>
        <v>0</v>
      </c>
      <c r="BQ134" s="14">
        <f t="shared" si="184"/>
        <v>208</v>
      </c>
      <c r="BR134" s="34" t="e">
        <f>HLOOKUP(J134,Villagers!$B$1:$V$33,L134+3,FALSE)-HLOOKUP(J134,Villagers!$B$1:$V$33,L134+2,FALSE)</f>
        <v>#N/A</v>
      </c>
      <c r="BS134" s="49">
        <f t="shared" si="185"/>
        <v>1</v>
      </c>
      <c r="BT134" s="50">
        <f t="shared" si="186"/>
        <v>0</v>
      </c>
      <c r="BU134" s="50">
        <f t="shared" si="187"/>
        <v>0</v>
      </c>
      <c r="BV134" s="50">
        <f t="shared" si="188"/>
        <v>0</v>
      </c>
      <c r="BW134" s="50">
        <f t="shared" si="301"/>
        <v>0</v>
      </c>
      <c r="BX134" s="50">
        <f t="shared" si="301"/>
        <v>0</v>
      </c>
      <c r="BY134" s="50">
        <f t="shared" si="301"/>
        <v>0</v>
      </c>
      <c r="BZ134" s="50">
        <f t="shared" si="245"/>
        <v>0</v>
      </c>
      <c r="CA134" s="50">
        <f t="shared" si="246"/>
        <v>0</v>
      </c>
      <c r="CB134" s="50">
        <f t="shared" si="247"/>
        <v>1</v>
      </c>
      <c r="CC134" s="50">
        <f t="shared" si="248"/>
        <v>0</v>
      </c>
      <c r="CD134" s="50">
        <f t="shared" si="249"/>
        <v>0</v>
      </c>
      <c r="CE134" s="50">
        <f t="shared" si="250"/>
        <v>1</v>
      </c>
      <c r="CF134" s="50">
        <f t="shared" si="251"/>
        <v>1</v>
      </c>
      <c r="CG134" s="50">
        <f t="shared" si="252"/>
        <v>1</v>
      </c>
      <c r="CH134" s="50">
        <f t="shared" si="253"/>
        <v>1</v>
      </c>
      <c r="CI134" s="50">
        <f t="shared" si="254"/>
        <v>1</v>
      </c>
      <c r="CJ134" s="50">
        <f t="shared" si="255"/>
        <v>1</v>
      </c>
      <c r="CK134" s="50">
        <f t="shared" si="255"/>
        <v>0</v>
      </c>
      <c r="CL134" s="50">
        <f t="shared" si="255"/>
        <v>0</v>
      </c>
      <c r="CM134" s="51">
        <f t="shared" si="256"/>
        <v>0</v>
      </c>
      <c r="CN134" s="33">
        <f>ROUND(IF(BS134=0,0,HLOOKUP(BS$14,Villagers!$B$1:$V$33,BS134+3,FALSE)),)</f>
        <v>5</v>
      </c>
      <c r="CO134" s="14">
        <f>ROUND(IF(BT134=0,0,HLOOKUP(BT$14,Villagers!$B$1:$V$33,BT134+3,FALSE)),)</f>
        <v>0</v>
      </c>
      <c r="CP134" s="14">
        <f>ROUND(IF(BU134=0,0,HLOOKUP(BU$14,Villagers!$B$1:$V$33,BU134+3,FALSE)),)</f>
        <v>0</v>
      </c>
      <c r="CQ134" s="14">
        <f>ROUND(IF(BV134=0,0,HLOOKUP(BV$14,Villagers!$B$1:$V$33,BV134+3,FALSE)),)</f>
        <v>0</v>
      </c>
      <c r="CR134" s="14">
        <f>ROUND(IF(BW134=0,0,HLOOKUP(BW$14,Villagers!$B$1:$V$33,BW134+3,FALSE)),)</f>
        <v>0</v>
      </c>
      <c r="CS134" s="14">
        <f>ROUND(IF(BX134=0,0,HLOOKUP(BX$14,Villagers!$B$1:$V$33,BX134+3,FALSE)),)</f>
        <v>0</v>
      </c>
      <c r="CT134" s="14">
        <f>ROUND(IF(BY134=0,0,HLOOKUP(BY$14,Villagers!$B$1:$V$33,BY134+3,FALSE)),)</f>
        <v>0</v>
      </c>
      <c r="CU134" s="14">
        <f>ROUND(IF(BZ134=0,0,HLOOKUP(BZ$14,Villagers!$B$1:$V$33,BZ134+3,FALSE)),)</f>
        <v>0</v>
      </c>
      <c r="CV134" s="14">
        <f>ROUND(IF(CA134=0,0,HLOOKUP(CA$14,Villagers!$B$1:$V$33,CA134+3,FALSE)),)</f>
        <v>0</v>
      </c>
      <c r="CW134" s="14">
        <f>ROUND(IF(CB134=0,0,HLOOKUP(CB$14,Villagers!$B$1:$V$33,CB134+3,FALSE)),)</f>
        <v>0</v>
      </c>
      <c r="CX134" s="14">
        <f>ROUND(IF(CC134=0,0,HLOOKUP(CC$14,Villagers!$B$1:$V$33,CC134+3,FALSE)),)</f>
        <v>0</v>
      </c>
      <c r="CY134" s="14">
        <f>ROUND(IF(CD134=0,0,HLOOKUP(CD$14,Villagers!$B$1:$V$33,CD134+3,FALSE)),)</f>
        <v>0</v>
      </c>
      <c r="CZ134" s="14">
        <f>ROUND(IF(CE134=0,0,HLOOKUP(CE$14,Villagers!$B$1:$V$33,CE134+3,FALSE)),)</f>
        <v>5</v>
      </c>
      <c r="DA134" s="14">
        <f>ROUND(IF(CF134=0,0,HLOOKUP(CF$14,Villagers!$B$1:$V$33,CF134+3,FALSE)),)</f>
        <v>10</v>
      </c>
      <c r="DB134" s="14">
        <f>ROUND(IF(CG134=0,0,HLOOKUP(CG$14,Villagers!$B$1:$V$33,CG134+3,FALSE)),)</f>
        <v>10</v>
      </c>
      <c r="DC134" s="14">
        <f>ROUND(IF(CH134=0,0,HLOOKUP(CH$14,Villagers!$B$1:$V$33,CH134+3,FALSE)),)</f>
        <v>0</v>
      </c>
      <c r="DD134" s="14">
        <f>ROUND(IF(CI134=0,0,HLOOKUP(CI$14,Villagers!$B$1:$V$33,CI134+3,FALSE)),)</f>
        <v>0</v>
      </c>
      <c r="DE134" s="14">
        <f>ROUND(IF(CJ134=0,0,HLOOKUP(CJ$14,Villagers!$B$1:$V$33,CJ134+3,FALSE)),)</f>
        <v>2</v>
      </c>
      <c r="DF134" s="370">
        <f>ROUND(IF(CK134=0,0,HLOOKUP(CK$14,Villagers!$B$1:$V$33,CK134+3,FALSE)),)</f>
        <v>0</v>
      </c>
      <c r="DG134" s="370">
        <f>ROUND(IF(CL134=0,0,HLOOKUP(CL$14,Villagers!$B$1:$V$33,CL134+3,FALSE)),)</f>
        <v>0</v>
      </c>
      <c r="DH134" s="34">
        <f>ROUND(IF(CM134=0,0,HLOOKUP(CM$14,Villagers!$B$1:$V$33,CM134+3,FALSE)),)</f>
        <v>0</v>
      </c>
      <c r="DI134" s="109">
        <f t="shared" si="219"/>
        <v>0</v>
      </c>
      <c r="DJ134" s="50">
        <f t="shared" si="220"/>
        <v>0</v>
      </c>
      <c r="DK134" s="50">
        <f t="shared" si="221"/>
        <v>0</v>
      </c>
      <c r="DL134" s="50">
        <f t="shared" si="222"/>
        <v>0</v>
      </c>
      <c r="DM134" s="50">
        <f t="shared" si="223"/>
        <v>0</v>
      </c>
      <c r="DN134" s="50">
        <f t="shared" si="224"/>
        <v>0</v>
      </c>
      <c r="DO134" s="50">
        <f t="shared" si="225"/>
        <v>0</v>
      </c>
      <c r="DP134" s="50">
        <f t="shared" si="226"/>
        <v>0</v>
      </c>
      <c r="DQ134" s="50">
        <f t="shared" si="203"/>
        <v>0</v>
      </c>
      <c r="DR134" s="50">
        <f t="shared" si="204"/>
        <v>0</v>
      </c>
      <c r="DS134" s="96">
        <f>Miscelaneous!$D$4*Miscelaneous!$D$2^($CI134-1)</f>
        <v>1000</v>
      </c>
      <c r="DT134" s="333">
        <f t="shared" si="171"/>
        <v>1</v>
      </c>
      <c r="DU134" s="81">
        <v>1</v>
      </c>
      <c r="DV134" s="79">
        <f t="shared" si="205"/>
        <v>0</v>
      </c>
      <c r="DW134" s="79">
        <f t="shared" si="206"/>
        <v>0</v>
      </c>
      <c r="DX134" s="79">
        <f t="shared" si="207"/>
        <v>0</v>
      </c>
      <c r="DY134" s="79">
        <v>1</v>
      </c>
      <c r="DZ134" s="79">
        <f t="shared" si="208"/>
        <v>0</v>
      </c>
      <c r="EA134" s="79">
        <f t="shared" si="209"/>
        <v>0</v>
      </c>
      <c r="EB134" s="79">
        <f t="shared" si="210"/>
        <v>0</v>
      </c>
      <c r="EC134" s="79">
        <f t="shared" si="211"/>
        <v>0</v>
      </c>
      <c r="ED134" s="79">
        <v>1</v>
      </c>
      <c r="EE134" s="79">
        <v>1</v>
      </c>
      <c r="EF134" s="79">
        <f t="shared" si="212"/>
        <v>0</v>
      </c>
      <c r="EG134" s="79">
        <v>1</v>
      </c>
      <c r="EH134" s="79">
        <v>1</v>
      </c>
      <c r="EI134" s="79">
        <v>1</v>
      </c>
      <c r="EJ134" s="79">
        <v>1</v>
      </c>
      <c r="EK134" s="79">
        <v>1</v>
      </c>
      <c r="EL134" s="79">
        <v>1</v>
      </c>
      <c r="EM134" s="143">
        <f t="shared" si="213"/>
        <v>0</v>
      </c>
      <c r="EN134" s="143">
        <f t="shared" si="214"/>
        <v>0</v>
      </c>
      <c r="EO134" s="82">
        <f t="shared" si="215"/>
        <v>0</v>
      </c>
    </row>
    <row r="135" spans="1:145" x14ac:dyDescent="0.25">
      <c r="A135">
        <v>121</v>
      </c>
      <c r="B135" s="172" t="e">
        <f t="shared" si="172"/>
        <v>#N/A</v>
      </c>
      <c r="C135" s="121" t="e">
        <f t="shared" ref="C135:E135" si="309">AJ135-SUM(AB135:AB139)</f>
        <v>#N/A</v>
      </c>
      <c r="D135" s="122" t="e">
        <f t="shared" si="309"/>
        <v>#N/A</v>
      </c>
      <c r="E135" s="122" t="e">
        <f t="shared" si="309"/>
        <v>#N/A</v>
      </c>
      <c r="F135" s="176" t="e">
        <f t="shared" si="154"/>
        <v>#N/A</v>
      </c>
      <c r="G135" s="121">
        <f t="shared" si="174"/>
        <v>208</v>
      </c>
      <c r="H135" s="176" t="e">
        <f t="shared" si="175"/>
        <v>#N/A</v>
      </c>
      <c r="I135" s="48">
        <v>1</v>
      </c>
      <c r="J135" s="39"/>
      <c r="K135" s="350">
        <v>1</v>
      </c>
      <c r="L135" s="34" t="e">
        <f t="shared" si="155"/>
        <v>#N/A</v>
      </c>
      <c r="M135" s="38" t="e">
        <f>(HLOOKUP(J135,'Construction Times'!$B$3:$W$34,L135+2,FALSE)*HLOOKUP("hq modifier",'Construction Times'!$W$3:$W$34,BS135+2,FALSE))*(1-$H$9)</f>
        <v>#N/A</v>
      </c>
      <c r="N135" s="426" t="e">
        <f t="shared" si="176"/>
        <v>#N/A</v>
      </c>
      <c r="O135" s="427"/>
      <c r="P135" s="430" t="e">
        <f t="shared" si="177"/>
        <v>#N/A</v>
      </c>
      <c r="Q135" s="431"/>
      <c r="R135" s="103">
        <f t="shared" si="217"/>
        <v>0</v>
      </c>
      <c r="S135" s="104">
        <f t="shared" si="217"/>
        <v>0</v>
      </c>
      <c r="T135" s="104">
        <f t="shared" si="218"/>
        <v>0</v>
      </c>
      <c r="U135" s="104">
        <f t="shared" si="218"/>
        <v>0</v>
      </c>
      <c r="V135" s="104">
        <f t="shared" si="218"/>
        <v>9.9999999999999995E-8</v>
      </c>
      <c r="W135" s="104">
        <f t="shared" si="218"/>
        <v>0</v>
      </c>
      <c r="X135" s="104">
        <f t="shared" si="278"/>
        <v>0</v>
      </c>
      <c r="Y135" s="104">
        <f t="shared" si="278"/>
        <v>9.9999999999999995E-8</v>
      </c>
      <c r="Z135" s="104">
        <f t="shared" si="278"/>
        <v>9.9999999999999995E-8</v>
      </c>
      <c r="AA135" s="105">
        <f t="shared" si="278"/>
        <v>9.9999999999999995E-8</v>
      </c>
      <c r="AB135" s="101" t="e">
        <f>$DT135*HLOOKUP($J135,'Construction Costs (timber)'!$B$1:$V$32,'Construction Planner'!$L135+2,FALSE)</f>
        <v>#N/A</v>
      </c>
      <c r="AC135" s="14" t="e">
        <f>$DT135*HLOOKUP($J135,'Construction Costs (clay)'!$B$1:$V$32,'Construction Planner'!$L135+2,FALSE)</f>
        <v>#N/A</v>
      </c>
      <c r="AD135" s="14" t="e">
        <f>$DT135*HLOOKUP($J135,'Construction Costs (iron)'!$B$1:$V$32,'Construction Planner'!$L135+2,FALSE)</f>
        <v>#N/A</v>
      </c>
      <c r="AE135" s="34" t="e">
        <f t="shared" si="230"/>
        <v>#N/A</v>
      </c>
      <c r="AF135" s="33" t="e">
        <f t="shared" si="156"/>
        <v>#N/A</v>
      </c>
      <c r="AG135" s="14" t="e">
        <f t="shared" si="157"/>
        <v>#N/A</v>
      </c>
      <c r="AH135" s="14" t="e">
        <f t="shared" si="158"/>
        <v>#N/A</v>
      </c>
      <c r="AI135" s="34" t="e">
        <f t="shared" si="231"/>
        <v>#N/A</v>
      </c>
      <c r="AJ135" s="49" t="e">
        <f t="shared" si="178"/>
        <v>#N/A</v>
      </c>
      <c r="AK135" s="49" t="e">
        <f t="shared" si="179"/>
        <v>#N/A</v>
      </c>
      <c r="AL135" s="49" t="e">
        <f t="shared" si="180"/>
        <v>#N/A</v>
      </c>
      <c r="AM135" s="25">
        <f t="shared" si="159"/>
        <v>30</v>
      </c>
      <c r="AN135" s="25">
        <f t="shared" si="160"/>
        <v>30</v>
      </c>
      <c r="AO135" s="25">
        <f t="shared" si="161"/>
        <v>30</v>
      </c>
      <c r="AP135" s="52" t="e">
        <f t="shared" si="181"/>
        <v>#N/A</v>
      </c>
      <c r="AQ135" s="53" t="e">
        <f t="shared" si="181"/>
        <v>#N/A</v>
      </c>
      <c r="AR135" s="54" t="e">
        <f t="shared" si="181"/>
        <v>#N/A</v>
      </c>
      <c r="AS135" s="316">
        <f t="shared" si="306"/>
        <v>0</v>
      </c>
      <c r="AT135" s="106">
        <f>_xlfn.IFNA($M135/VLOOKUP($BT135,'Unit information'!$A$2:$K$29,2,FALSE)*R135,0)*(1+$E$9)</f>
        <v>0</v>
      </c>
      <c r="AU135" s="107">
        <f>_xlfn.IFNA($M135/VLOOKUP($BT135,'Unit information'!$A$2:$K$29,3,FALSE)*S135,0)*(1+$E$9)</f>
        <v>0</v>
      </c>
      <c r="AV135" s="107">
        <f>_xlfn.IFNA($M135/VLOOKUP($BT135,'Unit information'!$A$2:$K$29,4,FALSE)*T135,0)*(1+$E$9)</f>
        <v>0</v>
      </c>
      <c r="AW135" s="107">
        <f>_xlfn.IFNA($M135/VLOOKUP($BT135,'Unit information'!$A$2:$K$29,5,FALSE)*U135,0)*(1+$E$9)</f>
        <v>0</v>
      </c>
      <c r="AX135" s="107">
        <f>_xlfn.IFNA($M135/VLOOKUP($BU135,'Unit information'!$A$2:$K$29,6,FALSE)*V135,0)*(1+$E$9)</f>
        <v>0</v>
      </c>
      <c r="AY135" s="107">
        <f>_xlfn.IFNA($M135/VLOOKUP($BU135,'Unit information'!$A$2:$K$29,7,FALSE)*W135,0)*(1+$E$9)</f>
        <v>0</v>
      </c>
      <c r="AZ135" s="107">
        <f>_xlfn.IFNA($M135/VLOOKUP($BU135,'Unit information'!$A$2:$K$29,8,FALSE)*X135,0)*(1+$E$9)</f>
        <v>0</v>
      </c>
      <c r="BA135" s="107">
        <f>_xlfn.IFNA($M135/VLOOKUP($BU135,'Unit information'!$A$2:$K$29,9,FALSE)*Y135,0)*(1+$E$9)</f>
        <v>0</v>
      </c>
      <c r="BB135" s="107">
        <f>_xlfn.IFNA($M135/VLOOKUP($BV135,'Unit information'!$A$2:$K$29,10,FALSE)*Z135,0)*(1+$E$9)</f>
        <v>0</v>
      </c>
      <c r="BC135" s="108">
        <f>_xlfn.IFNA($M135/VLOOKUP($BV135,'Unit information'!$A$2:$K$29,11,FALSE)*AA135,0)*(1+$E$9)</f>
        <v>0</v>
      </c>
      <c r="BD135" s="106">
        <f t="shared" si="162"/>
        <v>0</v>
      </c>
      <c r="BE135" s="107">
        <f t="shared" si="163"/>
        <v>0</v>
      </c>
      <c r="BF135" s="108">
        <f t="shared" si="164"/>
        <v>0</v>
      </c>
      <c r="BG135" s="25" t="e">
        <f t="shared" si="165"/>
        <v>#N/A</v>
      </c>
      <c r="BH135" s="25" t="e">
        <f t="shared" si="166"/>
        <v>#N/A</v>
      </c>
      <c r="BI135" s="25" t="e">
        <f t="shared" si="167"/>
        <v>#N/A</v>
      </c>
      <c r="BJ135" s="27" t="e">
        <f t="shared" si="168"/>
        <v>#N/A</v>
      </c>
      <c r="BK135" s="18" t="e">
        <f t="shared" si="169"/>
        <v>#N/A</v>
      </c>
      <c r="BL135" s="18" t="e">
        <f t="shared" si="170"/>
        <v>#N/A</v>
      </c>
      <c r="BM135" s="28" t="e">
        <f t="shared" si="233"/>
        <v>#N/A</v>
      </c>
      <c r="BN135" s="33">
        <f>HLOOKUP("maximum population",Miscelaneous!$C$1:$C$33,CH135+3,FALSE)</f>
        <v>240</v>
      </c>
      <c r="BO135" s="14">
        <f t="shared" si="182"/>
        <v>32</v>
      </c>
      <c r="BP135" s="14">
        <f t="shared" si="183"/>
        <v>0</v>
      </c>
      <c r="BQ135" s="14">
        <f t="shared" si="184"/>
        <v>208</v>
      </c>
      <c r="BR135" s="34" t="e">
        <f>HLOOKUP(J135,Villagers!$B$1:$V$33,L135+3,FALSE)-HLOOKUP(J135,Villagers!$B$1:$V$33,L135+2,FALSE)</f>
        <v>#N/A</v>
      </c>
      <c r="BS135" s="49">
        <f t="shared" si="185"/>
        <v>1</v>
      </c>
      <c r="BT135" s="50">
        <f t="shared" si="186"/>
        <v>0</v>
      </c>
      <c r="BU135" s="50">
        <f t="shared" si="187"/>
        <v>0</v>
      </c>
      <c r="BV135" s="50">
        <f t="shared" si="188"/>
        <v>0</v>
      </c>
      <c r="BW135" s="50">
        <f>IF($J134=BW$14,$L134,BW134)</f>
        <v>0</v>
      </c>
      <c r="BX135" s="50">
        <f t="shared" ref="BX135:BY143" si="310">IF($J134=BX$14,$L134,BX134)</f>
        <v>0</v>
      </c>
      <c r="BY135" s="50">
        <f t="shared" si="310"/>
        <v>0</v>
      </c>
      <c r="BZ135" s="50">
        <f t="shared" si="245"/>
        <v>0</v>
      </c>
      <c r="CA135" s="50">
        <f t="shared" si="246"/>
        <v>0</v>
      </c>
      <c r="CB135" s="50">
        <f t="shared" si="247"/>
        <v>1</v>
      </c>
      <c r="CC135" s="50">
        <f t="shared" si="248"/>
        <v>0</v>
      </c>
      <c r="CD135" s="50">
        <f t="shared" si="249"/>
        <v>0</v>
      </c>
      <c r="CE135" s="50">
        <f t="shared" si="250"/>
        <v>1</v>
      </c>
      <c r="CF135" s="50">
        <f t="shared" si="251"/>
        <v>1</v>
      </c>
      <c r="CG135" s="50">
        <f t="shared" si="252"/>
        <v>1</v>
      </c>
      <c r="CH135" s="50">
        <f t="shared" si="253"/>
        <v>1</v>
      </c>
      <c r="CI135" s="50">
        <f t="shared" si="254"/>
        <v>1</v>
      </c>
      <c r="CJ135" s="50">
        <f t="shared" si="255"/>
        <v>1</v>
      </c>
      <c r="CK135" s="50">
        <f t="shared" si="255"/>
        <v>0</v>
      </c>
      <c r="CL135" s="50">
        <f t="shared" si="255"/>
        <v>0</v>
      </c>
      <c r="CM135" s="51">
        <f t="shared" si="256"/>
        <v>0</v>
      </c>
      <c r="CN135" s="33">
        <f>ROUND(IF(BS135=0,0,HLOOKUP(BS$14,Villagers!$B$1:$V$33,BS135+3,FALSE)),)</f>
        <v>5</v>
      </c>
      <c r="CO135" s="14">
        <f>ROUND(IF(BT135=0,0,HLOOKUP(BT$14,Villagers!$B$1:$V$33,BT135+3,FALSE)),)</f>
        <v>0</v>
      </c>
      <c r="CP135" s="14">
        <f>ROUND(IF(BU135=0,0,HLOOKUP(BU$14,Villagers!$B$1:$V$33,BU135+3,FALSE)),)</f>
        <v>0</v>
      </c>
      <c r="CQ135" s="14">
        <f>ROUND(IF(BV135=0,0,HLOOKUP(BV$14,Villagers!$B$1:$V$33,BV135+3,FALSE)),)</f>
        <v>0</v>
      </c>
      <c r="CR135" s="14">
        <f>ROUND(IF(BW135=0,0,HLOOKUP(BW$14,Villagers!$B$1:$V$33,BW135+3,FALSE)),)</f>
        <v>0</v>
      </c>
      <c r="CS135" s="14">
        <f>ROUND(IF(BX135=0,0,HLOOKUP(BX$14,Villagers!$B$1:$V$33,BX135+3,FALSE)),)</f>
        <v>0</v>
      </c>
      <c r="CT135" s="14">
        <f>ROUND(IF(BY135=0,0,HLOOKUP(BY$14,Villagers!$B$1:$V$33,BY135+3,FALSE)),)</f>
        <v>0</v>
      </c>
      <c r="CU135" s="14">
        <f>ROUND(IF(BZ135=0,0,HLOOKUP(BZ$14,Villagers!$B$1:$V$33,BZ135+3,FALSE)),)</f>
        <v>0</v>
      </c>
      <c r="CV135" s="14">
        <f>ROUND(IF(CA135=0,0,HLOOKUP(CA$14,Villagers!$B$1:$V$33,CA135+3,FALSE)),)</f>
        <v>0</v>
      </c>
      <c r="CW135" s="14">
        <f>ROUND(IF(CB135=0,0,HLOOKUP(CB$14,Villagers!$B$1:$V$33,CB135+3,FALSE)),)</f>
        <v>0</v>
      </c>
      <c r="CX135" s="14">
        <f>ROUND(IF(CC135=0,0,HLOOKUP(CC$14,Villagers!$B$1:$V$33,CC135+3,FALSE)),)</f>
        <v>0</v>
      </c>
      <c r="CY135" s="14">
        <f>ROUND(IF(CD135=0,0,HLOOKUP(CD$14,Villagers!$B$1:$V$33,CD135+3,FALSE)),)</f>
        <v>0</v>
      </c>
      <c r="CZ135" s="14">
        <f>ROUND(IF(CE135=0,0,HLOOKUP(CE$14,Villagers!$B$1:$V$33,CE135+3,FALSE)),)</f>
        <v>5</v>
      </c>
      <c r="DA135" s="14">
        <f>ROUND(IF(CF135=0,0,HLOOKUP(CF$14,Villagers!$B$1:$V$33,CF135+3,FALSE)),)</f>
        <v>10</v>
      </c>
      <c r="DB135" s="14">
        <f>ROUND(IF(CG135=0,0,HLOOKUP(CG$14,Villagers!$B$1:$V$33,CG135+3,FALSE)),)</f>
        <v>10</v>
      </c>
      <c r="DC135" s="14">
        <f>ROUND(IF(CH135=0,0,HLOOKUP(CH$14,Villagers!$B$1:$V$33,CH135+3,FALSE)),)</f>
        <v>0</v>
      </c>
      <c r="DD135" s="14">
        <f>ROUND(IF(CI135=0,0,HLOOKUP(CI$14,Villagers!$B$1:$V$33,CI135+3,FALSE)),)</f>
        <v>0</v>
      </c>
      <c r="DE135" s="14">
        <f>ROUND(IF(CJ135=0,0,HLOOKUP(CJ$14,Villagers!$B$1:$V$33,CJ135+3,FALSE)),)</f>
        <v>2</v>
      </c>
      <c r="DF135" s="370">
        <f>ROUND(IF(CK135=0,0,HLOOKUP(CK$14,Villagers!$B$1:$V$33,CK135+3,FALSE)),)</f>
        <v>0</v>
      </c>
      <c r="DG135" s="370">
        <f>ROUND(IF(CL135=0,0,HLOOKUP(CL$14,Villagers!$B$1:$V$33,CL135+3,FALSE)),)</f>
        <v>0</v>
      </c>
      <c r="DH135" s="34">
        <f>ROUND(IF(CM135=0,0,HLOOKUP(CM$14,Villagers!$B$1:$V$33,CM135+3,FALSE)),)</f>
        <v>0</v>
      </c>
      <c r="DI135" s="109">
        <f t="shared" si="219"/>
        <v>0</v>
      </c>
      <c r="DJ135" s="50">
        <f t="shared" si="220"/>
        <v>0</v>
      </c>
      <c r="DK135" s="50">
        <f t="shared" si="221"/>
        <v>0</v>
      </c>
      <c r="DL135" s="50">
        <f t="shared" si="222"/>
        <v>0</v>
      </c>
      <c r="DM135" s="50">
        <f t="shared" si="223"/>
        <v>0</v>
      </c>
      <c r="DN135" s="50">
        <f t="shared" si="224"/>
        <v>0</v>
      </c>
      <c r="DO135" s="50">
        <f t="shared" si="225"/>
        <v>0</v>
      </c>
      <c r="DP135" s="50">
        <f t="shared" si="226"/>
        <v>0</v>
      </c>
      <c r="DQ135" s="50">
        <f t="shared" si="203"/>
        <v>0</v>
      </c>
      <c r="DR135" s="50">
        <f t="shared" si="204"/>
        <v>0</v>
      </c>
      <c r="DS135" s="96">
        <f>Miscelaneous!$D$4*Miscelaneous!$D$2^($CI135-1)</f>
        <v>1000</v>
      </c>
      <c r="DT135" s="333">
        <f t="shared" si="171"/>
        <v>1</v>
      </c>
      <c r="DU135" s="81">
        <v>1</v>
      </c>
      <c r="DV135" s="79">
        <f t="shared" si="205"/>
        <v>0</v>
      </c>
      <c r="DW135" s="79">
        <f t="shared" si="206"/>
        <v>0</v>
      </c>
      <c r="DX135" s="79">
        <f t="shared" si="207"/>
        <v>0</v>
      </c>
      <c r="DY135" s="79">
        <v>1</v>
      </c>
      <c r="DZ135" s="79">
        <f t="shared" si="208"/>
        <v>0</v>
      </c>
      <c r="EA135" s="79">
        <f t="shared" si="209"/>
        <v>0</v>
      </c>
      <c r="EB135" s="79">
        <f t="shared" si="210"/>
        <v>0</v>
      </c>
      <c r="EC135" s="79">
        <f t="shared" si="211"/>
        <v>0</v>
      </c>
      <c r="ED135" s="79">
        <v>1</v>
      </c>
      <c r="EE135" s="79">
        <v>1</v>
      </c>
      <c r="EF135" s="79">
        <f t="shared" si="212"/>
        <v>0</v>
      </c>
      <c r="EG135" s="79">
        <v>1</v>
      </c>
      <c r="EH135" s="79">
        <v>1</v>
      </c>
      <c r="EI135" s="79">
        <v>1</v>
      </c>
      <c r="EJ135" s="79">
        <v>1</v>
      </c>
      <c r="EK135" s="79">
        <v>1</v>
      </c>
      <c r="EL135" s="79">
        <v>1</v>
      </c>
      <c r="EM135" s="143">
        <f t="shared" si="213"/>
        <v>0</v>
      </c>
      <c r="EN135" s="143">
        <f t="shared" si="214"/>
        <v>0</v>
      </c>
      <c r="EO135" s="82">
        <f t="shared" si="215"/>
        <v>0</v>
      </c>
    </row>
    <row r="136" spans="1:145" x14ac:dyDescent="0.25">
      <c r="A136">
        <v>122</v>
      </c>
      <c r="B136" s="172" t="e">
        <f t="shared" si="172"/>
        <v>#N/A</v>
      </c>
      <c r="C136" s="121" t="e">
        <f t="shared" ref="C136:E136" si="311">AJ136-SUM(AB136:AB140)</f>
        <v>#N/A</v>
      </c>
      <c r="D136" s="122" t="e">
        <f t="shared" si="311"/>
        <v>#N/A</v>
      </c>
      <c r="E136" s="122" t="e">
        <f t="shared" si="311"/>
        <v>#N/A</v>
      </c>
      <c r="F136" s="176" t="e">
        <f t="shared" si="154"/>
        <v>#N/A</v>
      </c>
      <c r="G136" s="121">
        <f t="shared" si="174"/>
        <v>208</v>
      </c>
      <c r="H136" s="176" t="e">
        <f t="shared" si="175"/>
        <v>#N/A</v>
      </c>
      <c r="I136" s="48">
        <v>1</v>
      </c>
      <c r="J136" s="39"/>
      <c r="K136" s="350">
        <v>1</v>
      </c>
      <c r="L136" s="34" t="e">
        <f t="shared" si="155"/>
        <v>#N/A</v>
      </c>
      <c r="M136" s="38" t="e">
        <f>(HLOOKUP(J136,'Construction Times'!$B$3:$W$34,L136+2,FALSE)*HLOOKUP("hq modifier",'Construction Times'!$W$3:$W$34,BS136+2,FALSE))*(1-$H$9)</f>
        <v>#N/A</v>
      </c>
      <c r="N136" s="426" t="e">
        <f t="shared" si="176"/>
        <v>#N/A</v>
      </c>
      <c r="O136" s="427"/>
      <c r="P136" s="430" t="e">
        <f t="shared" si="177"/>
        <v>#N/A</v>
      </c>
      <c r="Q136" s="431"/>
      <c r="R136" s="103">
        <f t="shared" si="217"/>
        <v>0</v>
      </c>
      <c r="S136" s="104">
        <f t="shared" si="217"/>
        <v>0</v>
      </c>
      <c r="T136" s="104">
        <f t="shared" si="218"/>
        <v>0</v>
      </c>
      <c r="U136" s="104">
        <f t="shared" si="218"/>
        <v>0</v>
      </c>
      <c r="V136" s="104">
        <f t="shared" si="218"/>
        <v>9.9999999999999995E-8</v>
      </c>
      <c r="W136" s="104">
        <f t="shared" si="218"/>
        <v>0</v>
      </c>
      <c r="X136" s="104">
        <f t="shared" si="278"/>
        <v>0</v>
      </c>
      <c r="Y136" s="104">
        <f t="shared" si="278"/>
        <v>9.9999999999999995E-8</v>
      </c>
      <c r="Z136" s="104">
        <f t="shared" si="278"/>
        <v>9.9999999999999995E-8</v>
      </c>
      <c r="AA136" s="105">
        <f t="shared" si="278"/>
        <v>9.9999999999999995E-8</v>
      </c>
      <c r="AB136" s="101" t="e">
        <f>$DT136*HLOOKUP($J136,'Construction Costs (timber)'!$B$1:$V$32,'Construction Planner'!$L136+2,FALSE)</f>
        <v>#N/A</v>
      </c>
      <c r="AC136" s="14" t="e">
        <f>$DT136*HLOOKUP($J136,'Construction Costs (clay)'!$B$1:$V$32,'Construction Planner'!$L136+2,FALSE)</f>
        <v>#N/A</v>
      </c>
      <c r="AD136" s="14" t="e">
        <f>$DT136*HLOOKUP($J136,'Construction Costs (iron)'!$B$1:$V$32,'Construction Planner'!$L136+2,FALSE)</f>
        <v>#N/A</v>
      </c>
      <c r="AE136" s="34" t="e">
        <f t="shared" si="230"/>
        <v>#N/A</v>
      </c>
      <c r="AF136" s="33" t="e">
        <f t="shared" si="156"/>
        <v>#N/A</v>
      </c>
      <c r="AG136" s="14" t="e">
        <f t="shared" si="157"/>
        <v>#N/A</v>
      </c>
      <c r="AH136" s="14" t="e">
        <f t="shared" si="158"/>
        <v>#N/A</v>
      </c>
      <c r="AI136" s="34" t="e">
        <f t="shared" si="231"/>
        <v>#N/A</v>
      </c>
      <c r="AJ136" s="49" t="e">
        <f t="shared" si="178"/>
        <v>#N/A</v>
      </c>
      <c r="AK136" s="49" t="e">
        <f t="shared" si="179"/>
        <v>#N/A</v>
      </c>
      <c r="AL136" s="49" t="e">
        <f t="shared" si="180"/>
        <v>#N/A</v>
      </c>
      <c r="AM136" s="25">
        <f t="shared" si="159"/>
        <v>30</v>
      </c>
      <c r="AN136" s="25">
        <f t="shared" si="160"/>
        <v>30</v>
      </c>
      <c r="AO136" s="25">
        <f t="shared" si="161"/>
        <v>30</v>
      </c>
      <c r="AP136" s="52" t="e">
        <f t="shared" si="181"/>
        <v>#N/A</v>
      </c>
      <c r="AQ136" s="53" t="e">
        <f t="shared" si="181"/>
        <v>#N/A</v>
      </c>
      <c r="AR136" s="54" t="e">
        <f t="shared" si="181"/>
        <v>#N/A</v>
      </c>
      <c r="AS136" s="316">
        <f t="shared" si="306"/>
        <v>0</v>
      </c>
      <c r="AT136" s="106">
        <f>_xlfn.IFNA($M136/VLOOKUP($BT136,'Unit information'!$A$2:$K$29,2,FALSE)*R136,0)*(1+$E$9)</f>
        <v>0</v>
      </c>
      <c r="AU136" s="107">
        <f>_xlfn.IFNA($M136/VLOOKUP($BT136,'Unit information'!$A$2:$K$29,3,FALSE)*S136,0)*(1+$E$9)</f>
        <v>0</v>
      </c>
      <c r="AV136" s="107">
        <f>_xlfn.IFNA($M136/VLOOKUP($BT136,'Unit information'!$A$2:$K$29,4,FALSE)*T136,0)*(1+$E$9)</f>
        <v>0</v>
      </c>
      <c r="AW136" s="107">
        <f>_xlfn.IFNA($M136/VLOOKUP($BT136,'Unit information'!$A$2:$K$29,5,FALSE)*U136,0)*(1+$E$9)</f>
        <v>0</v>
      </c>
      <c r="AX136" s="107">
        <f>_xlfn.IFNA($M136/VLOOKUP($BU136,'Unit information'!$A$2:$K$29,6,FALSE)*V136,0)*(1+$E$9)</f>
        <v>0</v>
      </c>
      <c r="AY136" s="107">
        <f>_xlfn.IFNA($M136/VLOOKUP($BU136,'Unit information'!$A$2:$K$29,7,FALSE)*W136,0)*(1+$E$9)</f>
        <v>0</v>
      </c>
      <c r="AZ136" s="107">
        <f>_xlfn.IFNA($M136/VLOOKUP($BU136,'Unit information'!$A$2:$K$29,8,FALSE)*X136,0)*(1+$E$9)</f>
        <v>0</v>
      </c>
      <c r="BA136" s="107">
        <f>_xlfn.IFNA($M136/VLOOKUP($BU136,'Unit information'!$A$2:$K$29,9,FALSE)*Y136,0)*(1+$E$9)</f>
        <v>0</v>
      </c>
      <c r="BB136" s="107">
        <f>_xlfn.IFNA($M136/VLOOKUP($BV136,'Unit information'!$A$2:$K$29,10,FALSE)*Z136,0)*(1+$E$9)</f>
        <v>0</v>
      </c>
      <c r="BC136" s="108">
        <f>_xlfn.IFNA($M136/VLOOKUP($BV136,'Unit information'!$A$2:$K$29,11,FALSE)*AA136,0)*(1+$E$9)</f>
        <v>0</v>
      </c>
      <c r="BD136" s="106">
        <f t="shared" si="162"/>
        <v>0</v>
      </c>
      <c r="BE136" s="107">
        <f t="shared" si="163"/>
        <v>0</v>
      </c>
      <c r="BF136" s="108">
        <f t="shared" si="164"/>
        <v>0</v>
      </c>
      <c r="BG136" s="25" t="e">
        <f t="shared" si="165"/>
        <v>#N/A</v>
      </c>
      <c r="BH136" s="25" t="e">
        <f t="shared" si="166"/>
        <v>#N/A</v>
      </c>
      <c r="BI136" s="25" t="e">
        <f t="shared" si="167"/>
        <v>#N/A</v>
      </c>
      <c r="BJ136" s="27" t="e">
        <f t="shared" si="168"/>
        <v>#N/A</v>
      </c>
      <c r="BK136" s="18" t="e">
        <f t="shared" si="169"/>
        <v>#N/A</v>
      </c>
      <c r="BL136" s="18" t="e">
        <f t="shared" si="170"/>
        <v>#N/A</v>
      </c>
      <c r="BM136" s="28" t="e">
        <f t="shared" si="233"/>
        <v>#N/A</v>
      </c>
      <c r="BN136" s="33">
        <f>HLOOKUP("maximum population",Miscelaneous!$C$1:$C$33,CH136+3,FALSE)</f>
        <v>240</v>
      </c>
      <c r="BO136" s="14">
        <f t="shared" si="182"/>
        <v>32</v>
      </c>
      <c r="BP136" s="14">
        <f t="shared" si="183"/>
        <v>0</v>
      </c>
      <c r="BQ136" s="14">
        <f t="shared" si="184"/>
        <v>208</v>
      </c>
      <c r="BR136" s="34" t="e">
        <f>HLOOKUP(J136,Villagers!$B$1:$V$33,L136+3,FALSE)-HLOOKUP(J136,Villagers!$B$1:$V$33,L136+2,FALSE)</f>
        <v>#N/A</v>
      </c>
      <c r="BS136" s="49">
        <f t="shared" si="185"/>
        <v>1</v>
      </c>
      <c r="BT136" s="50">
        <f t="shared" si="186"/>
        <v>0</v>
      </c>
      <c r="BU136" s="50">
        <f t="shared" si="187"/>
        <v>0</v>
      </c>
      <c r="BV136" s="50">
        <f t="shared" si="188"/>
        <v>0</v>
      </c>
      <c r="BW136" s="50">
        <f t="shared" ref="BW136:BW143" si="312">IF($J135=BW$14,$L135,BW135)</f>
        <v>0</v>
      </c>
      <c r="BX136" s="50">
        <f t="shared" si="310"/>
        <v>0</v>
      </c>
      <c r="BY136" s="50">
        <f t="shared" si="310"/>
        <v>0</v>
      </c>
      <c r="BZ136" s="50">
        <f t="shared" si="245"/>
        <v>0</v>
      </c>
      <c r="CA136" s="50">
        <f t="shared" si="246"/>
        <v>0</v>
      </c>
      <c r="CB136" s="50">
        <f t="shared" si="247"/>
        <v>1</v>
      </c>
      <c r="CC136" s="50">
        <f t="shared" si="248"/>
        <v>0</v>
      </c>
      <c r="CD136" s="50">
        <f t="shared" si="249"/>
        <v>0</v>
      </c>
      <c r="CE136" s="50">
        <f t="shared" si="250"/>
        <v>1</v>
      </c>
      <c r="CF136" s="50">
        <f t="shared" si="251"/>
        <v>1</v>
      </c>
      <c r="CG136" s="50">
        <f t="shared" si="252"/>
        <v>1</v>
      </c>
      <c r="CH136" s="50">
        <f t="shared" si="253"/>
        <v>1</v>
      </c>
      <c r="CI136" s="50">
        <f t="shared" si="254"/>
        <v>1</v>
      </c>
      <c r="CJ136" s="50">
        <f t="shared" si="255"/>
        <v>1</v>
      </c>
      <c r="CK136" s="50">
        <f t="shared" si="255"/>
        <v>0</v>
      </c>
      <c r="CL136" s="50">
        <f t="shared" si="255"/>
        <v>0</v>
      </c>
      <c r="CM136" s="51">
        <f t="shared" si="256"/>
        <v>0</v>
      </c>
      <c r="CN136" s="33">
        <f>ROUND(IF(BS136=0,0,HLOOKUP(BS$14,Villagers!$B$1:$V$33,BS136+3,FALSE)),)</f>
        <v>5</v>
      </c>
      <c r="CO136" s="14">
        <f>ROUND(IF(BT136=0,0,HLOOKUP(BT$14,Villagers!$B$1:$V$33,BT136+3,FALSE)),)</f>
        <v>0</v>
      </c>
      <c r="CP136" s="14">
        <f>ROUND(IF(BU136=0,0,HLOOKUP(BU$14,Villagers!$B$1:$V$33,BU136+3,FALSE)),)</f>
        <v>0</v>
      </c>
      <c r="CQ136" s="14">
        <f>ROUND(IF(BV136=0,0,HLOOKUP(BV$14,Villagers!$B$1:$V$33,BV136+3,FALSE)),)</f>
        <v>0</v>
      </c>
      <c r="CR136" s="14">
        <f>ROUND(IF(BW136=0,0,HLOOKUP(BW$14,Villagers!$B$1:$V$33,BW136+3,FALSE)),)</f>
        <v>0</v>
      </c>
      <c r="CS136" s="14">
        <f>ROUND(IF(BX136=0,0,HLOOKUP(BX$14,Villagers!$B$1:$V$33,BX136+3,FALSE)),)</f>
        <v>0</v>
      </c>
      <c r="CT136" s="14">
        <f>ROUND(IF(BY136=0,0,HLOOKUP(BY$14,Villagers!$B$1:$V$33,BY136+3,FALSE)),)</f>
        <v>0</v>
      </c>
      <c r="CU136" s="14">
        <f>ROUND(IF(BZ136=0,0,HLOOKUP(BZ$14,Villagers!$B$1:$V$33,BZ136+3,FALSE)),)</f>
        <v>0</v>
      </c>
      <c r="CV136" s="14">
        <f>ROUND(IF(CA136=0,0,HLOOKUP(CA$14,Villagers!$B$1:$V$33,CA136+3,FALSE)),)</f>
        <v>0</v>
      </c>
      <c r="CW136" s="14">
        <f>ROUND(IF(CB136=0,0,HLOOKUP(CB$14,Villagers!$B$1:$V$33,CB136+3,FALSE)),)</f>
        <v>0</v>
      </c>
      <c r="CX136" s="14">
        <f>ROUND(IF(CC136=0,0,HLOOKUP(CC$14,Villagers!$B$1:$V$33,CC136+3,FALSE)),)</f>
        <v>0</v>
      </c>
      <c r="CY136" s="14">
        <f>ROUND(IF(CD136=0,0,HLOOKUP(CD$14,Villagers!$B$1:$V$33,CD136+3,FALSE)),)</f>
        <v>0</v>
      </c>
      <c r="CZ136" s="14">
        <f>ROUND(IF(CE136=0,0,HLOOKUP(CE$14,Villagers!$B$1:$V$33,CE136+3,FALSE)),)</f>
        <v>5</v>
      </c>
      <c r="DA136" s="14">
        <f>ROUND(IF(CF136=0,0,HLOOKUP(CF$14,Villagers!$B$1:$V$33,CF136+3,FALSE)),)</f>
        <v>10</v>
      </c>
      <c r="DB136" s="14">
        <f>ROUND(IF(CG136=0,0,HLOOKUP(CG$14,Villagers!$B$1:$V$33,CG136+3,FALSE)),)</f>
        <v>10</v>
      </c>
      <c r="DC136" s="14">
        <f>ROUND(IF(CH136=0,0,HLOOKUP(CH$14,Villagers!$B$1:$V$33,CH136+3,FALSE)),)</f>
        <v>0</v>
      </c>
      <c r="DD136" s="14">
        <f>ROUND(IF(CI136=0,0,HLOOKUP(CI$14,Villagers!$B$1:$V$33,CI136+3,FALSE)),)</f>
        <v>0</v>
      </c>
      <c r="DE136" s="14">
        <f>ROUND(IF(CJ136=0,0,HLOOKUP(CJ$14,Villagers!$B$1:$V$33,CJ136+3,FALSE)),)</f>
        <v>2</v>
      </c>
      <c r="DF136" s="370">
        <f>ROUND(IF(CK136=0,0,HLOOKUP(CK$14,Villagers!$B$1:$V$33,CK136+3,FALSE)),)</f>
        <v>0</v>
      </c>
      <c r="DG136" s="370">
        <f>ROUND(IF(CL136=0,0,HLOOKUP(CL$14,Villagers!$B$1:$V$33,CL136+3,FALSE)),)</f>
        <v>0</v>
      </c>
      <c r="DH136" s="34">
        <f>ROUND(IF(CM136=0,0,HLOOKUP(CM$14,Villagers!$B$1:$V$33,CM136+3,FALSE)),)</f>
        <v>0</v>
      </c>
      <c r="DI136" s="109">
        <f t="shared" si="219"/>
        <v>0</v>
      </c>
      <c r="DJ136" s="50">
        <f t="shared" si="220"/>
        <v>0</v>
      </c>
      <c r="DK136" s="50">
        <f t="shared" si="221"/>
        <v>0</v>
      </c>
      <c r="DL136" s="50">
        <f t="shared" si="222"/>
        <v>0</v>
      </c>
      <c r="DM136" s="50">
        <f t="shared" si="223"/>
        <v>0</v>
      </c>
      <c r="DN136" s="50">
        <f t="shared" si="224"/>
        <v>0</v>
      </c>
      <c r="DO136" s="50">
        <f t="shared" si="225"/>
        <v>0</v>
      </c>
      <c r="DP136" s="50">
        <f t="shared" si="226"/>
        <v>0</v>
      </c>
      <c r="DQ136" s="50">
        <f t="shared" si="203"/>
        <v>0</v>
      </c>
      <c r="DR136" s="50">
        <f t="shared" si="204"/>
        <v>0</v>
      </c>
      <c r="DS136" s="96">
        <f>Miscelaneous!$D$4*Miscelaneous!$D$2^($CI136-1)</f>
        <v>1000</v>
      </c>
      <c r="DT136" s="333">
        <f t="shared" si="171"/>
        <v>1</v>
      </c>
      <c r="DU136" s="81">
        <v>1</v>
      </c>
      <c r="DV136" s="79">
        <f t="shared" si="205"/>
        <v>0</v>
      </c>
      <c r="DW136" s="79">
        <f t="shared" si="206"/>
        <v>0</v>
      </c>
      <c r="DX136" s="79">
        <f t="shared" si="207"/>
        <v>0</v>
      </c>
      <c r="DY136" s="79">
        <v>1</v>
      </c>
      <c r="DZ136" s="79">
        <f t="shared" si="208"/>
        <v>0</v>
      </c>
      <c r="EA136" s="79">
        <f t="shared" si="209"/>
        <v>0</v>
      </c>
      <c r="EB136" s="79">
        <f t="shared" si="210"/>
        <v>0</v>
      </c>
      <c r="EC136" s="79">
        <f t="shared" si="211"/>
        <v>0</v>
      </c>
      <c r="ED136" s="79">
        <v>1</v>
      </c>
      <c r="EE136" s="79">
        <v>1</v>
      </c>
      <c r="EF136" s="79">
        <f t="shared" si="212"/>
        <v>0</v>
      </c>
      <c r="EG136" s="79">
        <v>1</v>
      </c>
      <c r="EH136" s="79">
        <v>1</v>
      </c>
      <c r="EI136" s="79">
        <v>1</v>
      </c>
      <c r="EJ136" s="79">
        <v>1</v>
      </c>
      <c r="EK136" s="79">
        <v>1</v>
      </c>
      <c r="EL136" s="79">
        <v>1</v>
      </c>
      <c r="EM136" s="143">
        <f t="shared" si="213"/>
        <v>0</v>
      </c>
      <c r="EN136" s="143">
        <f t="shared" si="214"/>
        <v>0</v>
      </c>
      <c r="EO136" s="82">
        <f t="shared" si="215"/>
        <v>0</v>
      </c>
    </row>
    <row r="137" spans="1:145" x14ac:dyDescent="0.25">
      <c r="A137">
        <v>123</v>
      </c>
      <c r="B137" s="172" t="e">
        <f t="shared" si="172"/>
        <v>#N/A</v>
      </c>
      <c r="C137" s="121" t="e">
        <f t="shared" ref="C137:E137" si="313">AJ137-SUM(AB137:AB141)</f>
        <v>#N/A</v>
      </c>
      <c r="D137" s="122" t="e">
        <f t="shared" si="313"/>
        <v>#N/A</v>
      </c>
      <c r="E137" s="122" t="e">
        <f t="shared" si="313"/>
        <v>#N/A</v>
      </c>
      <c r="F137" s="176" t="e">
        <f t="shared" si="154"/>
        <v>#N/A</v>
      </c>
      <c r="G137" s="121">
        <f t="shared" si="174"/>
        <v>208</v>
      </c>
      <c r="H137" s="176" t="e">
        <f t="shared" si="175"/>
        <v>#N/A</v>
      </c>
      <c r="I137" s="48">
        <v>1</v>
      </c>
      <c r="J137" s="39"/>
      <c r="K137" s="350">
        <v>1</v>
      </c>
      <c r="L137" s="34" t="e">
        <f t="shared" si="155"/>
        <v>#N/A</v>
      </c>
      <c r="M137" s="38" t="e">
        <f>(HLOOKUP(J137,'Construction Times'!$B$3:$W$34,L137+2,FALSE)*HLOOKUP("hq modifier",'Construction Times'!$W$3:$W$34,BS137+2,FALSE))*(1-$H$9)</f>
        <v>#N/A</v>
      </c>
      <c r="N137" s="426" t="e">
        <f t="shared" si="176"/>
        <v>#N/A</v>
      </c>
      <c r="O137" s="427"/>
      <c r="P137" s="430" t="e">
        <f t="shared" si="177"/>
        <v>#N/A</v>
      </c>
      <c r="Q137" s="431"/>
      <c r="R137" s="103">
        <f t="shared" si="217"/>
        <v>0</v>
      </c>
      <c r="S137" s="104">
        <f t="shared" si="217"/>
        <v>0</v>
      </c>
      <c r="T137" s="104">
        <f t="shared" si="218"/>
        <v>0</v>
      </c>
      <c r="U137" s="104">
        <f t="shared" si="218"/>
        <v>0</v>
      </c>
      <c r="V137" s="104">
        <f t="shared" si="218"/>
        <v>9.9999999999999995E-8</v>
      </c>
      <c r="W137" s="104">
        <f t="shared" si="218"/>
        <v>0</v>
      </c>
      <c r="X137" s="104">
        <f t="shared" si="278"/>
        <v>0</v>
      </c>
      <c r="Y137" s="104">
        <f t="shared" si="278"/>
        <v>9.9999999999999995E-8</v>
      </c>
      <c r="Z137" s="104">
        <f t="shared" si="278"/>
        <v>9.9999999999999995E-8</v>
      </c>
      <c r="AA137" s="105">
        <f t="shared" si="278"/>
        <v>9.9999999999999995E-8</v>
      </c>
      <c r="AB137" s="101" t="e">
        <f>$DT137*HLOOKUP($J137,'Construction Costs (timber)'!$B$1:$V$32,'Construction Planner'!$L137+2,FALSE)</f>
        <v>#N/A</v>
      </c>
      <c r="AC137" s="14" t="e">
        <f>$DT137*HLOOKUP($J137,'Construction Costs (clay)'!$B$1:$V$32,'Construction Planner'!$L137+2,FALSE)</f>
        <v>#N/A</v>
      </c>
      <c r="AD137" s="14" t="e">
        <f>$DT137*HLOOKUP($J137,'Construction Costs (iron)'!$B$1:$V$32,'Construction Planner'!$L137+2,FALSE)</f>
        <v>#N/A</v>
      </c>
      <c r="AE137" s="34" t="e">
        <f t="shared" si="230"/>
        <v>#N/A</v>
      </c>
      <c r="AF137" s="33" t="e">
        <f t="shared" si="156"/>
        <v>#N/A</v>
      </c>
      <c r="AG137" s="14" t="e">
        <f t="shared" si="157"/>
        <v>#N/A</v>
      </c>
      <c r="AH137" s="14" t="e">
        <f t="shared" si="158"/>
        <v>#N/A</v>
      </c>
      <c r="AI137" s="34" t="e">
        <f t="shared" si="231"/>
        <v>#N/A</v>
      </c>
      <c r="AJ137" s="49" t="e">
        <f t="shared" si="178"/>
        <v>#N/A</v>
      </c>
      <c r="AK137" s="49" t="e">
        <f t="shared" si="179"/>
        <v>#N/A</v>
      </c>
      <c r="AL137" s="49" t="e">
        <f t="shared" si="180"/>
        <v>#N/A</v>
      </c>
      <c r="AM137" s="25">
        <f t="shared" si="159"/>
        <v>30</v>
      </c>
      <c r="AN137" s="25">
        <f t="shared" si="160"/>
        <v>30</v>
      </c>
      <c r="AO137" s="25">
        <f t="shared" si="161"/>
        <v>30</v>
      </c>
      <c r="AP137" s="52" t="e">
        <f t="shared" si="181"/>
        <v>#N/A</v>
      </c>
      <c r="AQ137" s="53" t="e">
        <f t="shared" si="181"/>
        <v>#N/A</v>
      </c>
      <c r="AR137" s="54" t="e">
        <f t="shared" si="181"/>
        <v>#N/A</v>
      </c>
      <c r="AS137" s="316">
        <f t="shared" si="306"/>
        <v>0</v>
      </c>
      <c r="AT137" s="106">
        <f>_xlfn.IFNA($M137/VLOOKUP($BT137,'Unit information'!$A$2:$K$29,2,FALSE)*R137,0)*(1+$E$9)</f>
        <v>0</v>
      </c>
      <c r="AU137" s="107">
        <f>_xlfn.IFNA($M137/VLOOKUP($BT137,'Unit information'!$A$2:$K$29,3,FALSE)*S137,0)*(1+$E$9)</f>
        <v>0</v>
      </c>
      <c r="AV137" s="107">
        <f>_xlfn.IFNA($M137/VLOOKUP($BT137,'Unit information'!$A$2:$K$29,4,FALSE)*T137,0)*(1+$E$9)</f>
        <v>0</v>
      </c>
      <c r="AW137" s="107">
        <f>_xlfn.IFNA($M137/VLOOKUP($BT137,'Unit information'!$A$2:$K$29,5,FALSE)*U137,0)*(1+$E$9)</f>
        <v>0</v>
      </c>
      <c r="AX137" s="107">
        <f>_xlfn.IFNA($M137/VLOOKUP($BU137,'Unit information'!$A$2:$K$29,6,FALSE)*V137,0)*(1+$E$9)</f>
        <v>0</v>
      </c>
      <c r="AY137" s="107">
        <f>_xlfn.IFNA($M137/VLOOKUP($BU137,'Unit information'!$A$2:$K$29,7,FALSE)*W137,0)*(1+$E$9)</f>
        <v>0</v>
      </c>
      <c r="AZ137" s="107">
        <f>_xlfn.IFNA($M137/VLOOKUP($BU137,'Unit information'!$A$2:$K$29,8,FALSE)*X137,0)*(1+$E$9)</f>
        <v>0</v>
      </c>
      <c r="BA137" s="107">
        <f>_xlfn.IFNA($M137/VLOOKUP($BU137,'Unit information'!$A$2:$K$29,9,FALSE)*Y137,0)*(1+$E$9)</f>
        <v>0</v>
      </c>
      <c r="BB137" s="107">
        <f>_xlfn.IFNA($M137/VLOOKUP($BV137,'Unit information'!$A$2:$K$29,10,FALSE)*Z137,0)*(1+$E$9)</f>
        <v>0</v>
      </c>
      <c r="BC137" s="108">
        <f>_xlfn.IFNA($M137/VLOOKUP($BV137,'Unit information'!$A$2:$K$29,11,FALSE)*AA137,0)*(1+$E$9)</f>
        <v>0</v>
      </c>
      <c r="BD137" s="106">
        <f t="shared" si="162"/>
        <v>0</v>
      </c>
      <c r="BE137" s="107">
        <f t="shared" si="163"/>
        <v>0</v>
      </c>
      <c r="BF137" s="108">
        <f t="shared" si="164"/>
        <v>0</v>
      </c>
      <c r="BG137" s="25" t="e">
        <f t="shared" si="165"/>
        <v>#N/A</v>
      </c>
      <c r="BH137" s="25" t="e">
        <f t="shared" si="166"/>
        <v>#N/A</v>
      </c>
      <c r="BI137" s="25" t="e">
        <f t="shared" si="167"/>
        <v>#N/A</v>
      </c>
      <c r="BJ137" s="27" t="e">
        <f t="shared" si="168"/>
        <v>#N/A</v>
      </c>
      <c r="BK137" s="18" t="e">
        <f t="shared" si="169"/>
        <v>#N/A</v>
      </c>
      <c r="BL137" s="18" t="e">
        <f t="shared" si="170"/>
        <v>#N/A</v>
      </c>
      <c r="BM137" s="28" t="e">
        <f t="shared" si="233"/>
        <v>#N/A</v>
      </c>
      <c r="BN137" s="33">
        <f>HLOOKUP("maximum population",Miscelaneous!$C$1:$C$33,CH137+3,FALSE)</f>
        <v>240</v>
      </c>
      <c r="BO137" s="14">
        <f t="shared" si="182"/>
        <v>32</v>
      </c>
      <c r="BP137" s="14">
        <f t="shared" si="183"/>
        <v>0</v>
      </c>
      <c r="BQ137" s="14">
        <f t="shared" si="184"/>
        <v>208</v>
      </c>
      <c r="BR137" s="34" t="e">
        <f>HLOOKUP(J137,Villagers!$B$1:$V$33,L137+3,FALSE)-HLOOKUP(J137,Villagers!$B$1:$V$33,L137+2,FALSE)</f>
        <v>#N/A</v>
      </c>
      <c r="BS137" s="49">
        <f t="shared" si="185"/>
        <v>1</v>
      </c>
      <c r="BT137" s="50">
        <f t="shared" si="186"/>
        <v>0</v>
      </c>
      <c r="BU137" s="50">
        <f t="shared" si="187"/>
        <v>0</v>
      </c>
      <c r="BV137" s="50">
        <f t="shared" si="188"/>
        <v>0</v>
      </c>
      <c r="BW137" s="50">
        <f t="shared" si="312"/>
        <v>0</v>
      </c>
      <c r="BX137" s="50">
        <f t="shared" si="310"/>
        <v>0</v>
      </c>
      <c r="BY137" s="50">
        <f t="shared" si="310"/>
        <v>0</v>
      </c>
      <c r="BZ137" s="50">
        <f t="shared" si="245"/>
        <v>0</v>
      </c>
      <c r="CA137" s="50">
        <f t="shared" si="246"/>
        <v>0</v>
      </c>
      <c r="CB137" s="50">
        <f t="shared" si="247"/>
        <v>1</v>
      </c>
      <c r="CC137" s="50">
        <f t="shared" si="248"/>
        <v>0</v>
      </c>
      <c r="CD137" s="50">
        <f t="shared" si="249"/>
        <v>0</v>
      </c>
      <c r="CE137" s="50">
        <f t="shared" si="250"/>
        <v>1</v>
      </c>
      <c r="CF137" s="50">
        <f t="shared" si="251"/>
        <v>1</v>
      </c>
      <c r="CG137" s="50">
        <f t="shared" si="252"/>
        <v>1</v>
      </c>
      <c r="CH137" s="50">
        <f t="shared" si="253"/>
        <v>1</v>
      </c>
      <c r="CI137" s="50">
        <f t="shared" si="254"/>
        <v>1</v>
      </c>
      <c r="CJ137" s="50">
        <f t="shared" si="255"/>
        <v>1</v>
      </c>
      <c r="CK137" s="50">
        <f t="shared" si="255"/>
        <v>0</v>
      </c>
      <c r="CL137" s="50">
        <f t="shared" si="255"/>
        <v>0</v>
      </c>
      <c r="CM137" s="51">
        <f t="shared" si="256"/>
        <v>0</v>
      </c>
      <c r="CN137" s="33">
        <f>ROUND(IF(BS137=0,0,HLOOKUP(BS$14,Villagers!$B$1:$V$33,BS137+3,FALSE)),)</f>
        <v>5</v>
      </c>
      <c r="CO137" s="14">
        <f>ROUND(IF(BT137=0,0,HLOOKUP(BT$14,Villagers!$B$1:$V$33,BT137+3,FALSE)),)</f>
        <v>0</v>
      </c>
      <c r="CP137" s="14">
        <f>ROUND(IF(BU137=0,0,HLOOKUP(BU$14,Villagers!$B$1:$V$33,BU137+3,FALSE)),)</f>
        <v>0</v>
      </c>
      <c r="CQ137" s="14">
        <f>ROUND(IF(BV137=0,0,HLOOKUP(BV$14,Villagers!$B$1:$V$33,BV137+3,FALSE)),)</f>
        <v>0</v>
      </c>
      <c r="CR137" s="14">
        <f>ROUND(IF(BW137=0,0,HLOOKUP(BW$14,Villagers!$B$1:$V$33,BW137+3,FALSE)),)</f>
        <v>0</v>
      </c>
      <c r="CS137" s="14">
        <f>ROUND(IF(BX137=0,0,HLOOKUP(BX$14,Villagers!$B$1:$V$33,BX137+3,FALSE)),)</f>
        <v>0</v>
      </c>
      <c r="CT137" s="14">
        <f>ROUND(IF(BY137=0,0,HLOOKUP(BY$14,Villagers!$B$1:$V$33,BY137+3,FALSE)),)</f>
        <v>0</v>
      </c>
      <c r="CU137" s="14">
        <f>ROUND(IF(BZ137=0,0,HLOOKUP(BZ$14,Villagers!$B$1:$V$33,BZ137+3,FALSE)),)</f>
        <v>0</v>
      </c>
      <c r="CV137" s="14">
        <f>ROUND(IF(CA137=0,0,HLOOKUP(CA$14,Villagers!$B$1:$V$33,CA137+3,FALSE)),)</f>
        <v>0</v>
      </c>
      <c r="CW137" s="14">
        <f>ROUND(IF(CB137=0,0,HLOOKUP(CB$14,Villagers!$B$1:$V$33,CB137+3,FALSE)),)</f>
        <v>0</v>
      </c>
      <c r="CX137" s="14">
        <f>ROUND(IF(CC137=0,0,HLOOKUP(CC$14,Villagers!$B$1:$V$33,CC137+3,FALSE)),)</f>
        <v>0</v>
      </c>
      <c r="CY137" s="14">
        <f>ROUND(IF(CD137=0,0,HLOOKUP(CD$14,Villagers!$B$1:$V$33,CD137+3,FALSE)),)</f>
        <v>0</v>
      </c>
      <c r="CZ137" s="14">
        <f>ROUND(IF(CE137=0,0,HLOOKUP(CE$14,Villagers!$B$1:$V$33,CE137+3,FALSE)),)</f>
        <v>5</v>
      </c>
      <c r="DA137" s="14">
        <f>ROUND(IF(CF137=0,0,HLOOKUP(CF$14,Villagers!$B$1:$V$33,CF137+3,FALSE)),)</f>
        <v>10</v>
      </c>
      <c r="DB137" s="14">
        <f>ROUND(IF(CG137=0,0,HLOOKUP(CG$14,Villagers!$B$1:$V$33,CG137+3,FALSE)),)</f>
        <v>10</v>
      </c>
      <c r="DC137" s="14">
        <f>ROUND(IF(CH137=0,0,HLOOKUP(CH$14,Villagers!$B$1:$V$33,CH137+3,FALSE)),)</f>
        <v>0</v>
      </c>
      <c r="DD137" s="14">
        <f>ROUND(IF(CI137=0,0,HLOOKUP(CI$14,Villagers!$B$1:$V$33,CI137+3,FALSE)),)</f>
        <v>0</v>
      </c>
      <c r="DE137" s="14">
        <f>ROUND(IF(CJ137=0,0,HLOOKUP(CJ$14,Villagers!$B$1:$V$33,CJ137+3,FALSE)),)</f>
        <v>2</v>
      </c>
      <c r="DF137" s="370">
        <f>ROUND(IF(CK137=0,0,HLOOKUP(CK$14,Villagers!$B$1:$V$33,CK137+3,FALSE)),)</f>
        <v>0</v>
      </c>
      <c r="DG137" s="370">
        <f>ROUND(IF(CL137=0,0,HLOOKUP(CL$14,Villagers!$B$1:$V$33,CL137+3,FALSE)),)</f>
        <v>0</v>
      </c>
      <c r="DH137" s="34">
        <f>ROUND(IF(CM137=0,0,HLOOKUP(CM$14,Villagers!$B$1:$V$33,CM137+3,FALSE)),)</f>
        <v>0</v>
      </c>
      <c r="DI137" s="109">
        <f t="shared" si="219"/>
        <v>0</v>
      </c>
      <c r="DJ137" s="50">
        <f t="shared" si="220"/>
        <v>0</v>
      </c>
      <c r="DK137" s="50">
        <f t="shared" si="221"/>
        <v>0</v>
      </c>
      <c r="DL137" s="50">
        <f t="shared" si="222"/>
        <v>0</v>
      </c>
      <c r="DM137" s="50">
        <f t="shared" si="223"/>
        <v>0</v>
      </c>
      <c r="DN137" s="50">
        <f t="shared" si="224"/>
        <v>0</v>
      </c>
      <c r="DO137" s="50">
        <f t="shared" si="225"/>
        <v>0</v>
      </c>
      <c r="DP137" s="50">
        <f t="shared" si="226"/>
        <v>0</v>
      </c>
      <c r="DQ137" s="50">
        <f t="shared" si="203"/>
        <v>0</v>
      </c>
      <c r="DR137" s="50">
        <f t="shared" si="204"/>
        <v>0</v>
      </c>
      <c r="DS137" s="96">
        <f>Miscelaneous!$D$4*Miscelaneous!$D$2^($CI137-1)</f>
        <v>1000</v>
      </c>
      <c r="DT137" s="333">
        <f t="shared" si="171"/>
        <v>1</v>
      </c>
      <c r="DU137" s="81">
        <v>1</v>
      </c>
      <c r="DV137" s="79">
        <f t="shared" si="205"/>
        <v>0</v>
      </c>
      <c r="DW137" s="79">
        <f t="shared" si="206"/>
        <v>0</v>
      </c>
      <c r="DX137" s="79">
        <f t="shared" si="207"/>
        <v>0</v>
      </c>
      <c r="DY137" s="79">
        <v>1</v>
      </c>
      <c r="DZ137" s="79">
        <f t="shared" si="208"/>
        <v>0</v>
      </c>
      <c r="EA137" s="79">
        <f t="shared" si="209"/>
        <v>0</v>
      </c>
      <c r="EB137" s="79">
        <f t="shared" si="210"/>
        <v>0</v>
      </c>
      <c r="EC137" s="79">
        <f t="shared" si="211"/>
        <v>0</v>
      </c>
      <c r="ED137" s="79">
        <v>1</v>
      </c>
      <c r="EE137" s="79">
        <v>1</v>
      </c>
      <c r="EF137" s="79">
        <f t="shared" si="212"/>
        <v>0</v>
      </c>
      <c r="EG137" s="79">
        <v>1</v>
      </c>
      <c r="EH137" s="79">
        <v>1</v>
      </c>
      <c r="EI137" s="79">
        <v>1</v>
      </c>
      <c r="EJ137" s="79">
        <v>1</v>
      </c>
      <c r="EK137" s="79">
        <v>1</v>
      </c>
      <c r="EL137" s="79">
        <v>1</v>
      </c>
      <c r="EM137" s="143">
        <f t="shared" si="213"/>
        <v>0</v>
      </c>
      <c r="EN137" s="143">
        <f t="shared" si="214"/>
        <v>0</v>
      </c>
      <c r="EO137" s="82">
        <f t="shared" si="215"/>
        <v>0</v>
      </c>
    </row>
    <row r="138" spans="1:145" x14ac:dyDescent="0.25">
      <c r="A138">
        <v>124</v>
      </c>
      <c r="B138" s="172" t="e">
        <f t="shared" si="172"/>
        <v>#N/A</v>
      </c>
      <c r="C138" s="121" t="e">
        <f t="shared" ref="C138:E138" si="314">AJ138-SUM(AB138:AB142)</f>
        <v>#N/A</v>
      </c>
      <c r="D138" s="122" t="e">
        <f t="shared" si="314"/>
        <v>#N/A</v>
      </c>
      <c r="E138" s="122" t="e">
        <f t="shared" si="314"/>
        <v>#N/A</v>
      </c>
      <c r="F138" s="176" t="e">
        <f t="shared" si="154"/>
        <v>#N/A</v>
      </c>
      <c r="G138" s="121">
        <f t="shared" si="174"/>
        <v>208</v>
      </c>
      <c r="H138" s="176" t="e">
        <f t="shared" si="175"/>
        <v>#N/A</v>
      </c>
      <c r="I138" s="48">
        <v>1</v>
      </c>
      <c r="J138" s="39"/>
      <c r="K138" s="350">
        <v>1</v>
      </c>
      <c r="L138" s="34" t="e">
        <f t="shared" si="155"/>
        <v>#N/A</v>
      </c>
      <c r="M138" s="38" t="e">
        <f>(HLOOKUP(J138,'Construction Times'!$B$3:$W$34,L138+2,FALSE)*HLOOKUP("hq modifier",'Construction Times'!$W$3:$W$34,BS138+2,FALSE))*(1-$H$9)</f>
        <v>#N/A</v>
      </c>
      <c r="N138" s="426" t="e">
        <f t="shared" si="176"/>
        <v>#N/A</v>
      </c>
      <c r="O138" s="427"/>
      <c r="P138" s="430" t="e">
        <f t="shared" si="177"/>
        <v>#N/A</v>
      </c>
      <c r="Q138" s="431"/>
      <c r="R138" s="103">
        <f t="shared" si="217"/>
        <v>0</v>
      </c>
      <c r="S138" s="104">
        <f t="shared" si="217"/>
        <v>0</v>
      </c>
      <c r="T138" s="104">
        <f t="shared" si="218"/>
        <v>0</v>
      </c>
      <c r="U138" s="104">
        <f t="shared" si="218"/>
        <v>0</v>
      </c>
      <c r="V138" s="104">
        <f t="shared" si="218"/>
        <v>9.9999999999999995E-8</v>
      </c>
      <c r="W138" s="104">
        <f t="shared" si="218"/>
        <v>0</v>
      </c>
      <c r="X138" s="104">
        <f t="shared" si="278"/>
        <v>0</v>
      </c>
      <c r="Y138" s="104">
        <f t="shared" si="278"/>
        <v>9.9999999999999995E-8</v>
      </c>
      <c r="Z138" s="104">
        <f t="shared" si="278"/>
        <v>9.9999999999999995E-8</v>
      </c>
      <c r="AA138" s="105">
        <f t="shared" si="278"/>
        <v>9.9999999999999995E-8</v>
      </c>
      <c r="AB138" s="101" t="e">
        <f>$DT138*HLOOKUP($J138,'Construction Costs (timber)'!$B$1:$V$32,'Construction Planner'!$L138+2,FALSE)</f>
        <v>#N/A</v>
      </c>
      <c r="AC138" s="14" t="e">
        <f>$DT138*HLOOKUP($J138,'Construction Costs (clay)'!$B$1:$V$32,'Construction Planner'!$L138+2,FALSE)</f>
        <v>#N/A</v>
      </c>
      <c r="AD138" s="14" t="e">
        <f>$DT138*HLOOKUP($J138,'Construction Costs (iron)'!$B$1:$V$32,'Construction Planner'!$L138+2,FALSE)</f>
        <v>#N/A</v>
      </c>
      <c r="AE138" s="34" t="e">
        <f t="shared" si="230"/>
        <v>#N/A</v>
      </c>
      <c r="AF138" s="33" t="e">
        <f t="shared" si="156"/>
        <v>#N/A</v>
      </c>
      <c r="AG138" s="14" t="e">
        <f t="shared" si="157"/>
        <v>#N/A</v>
      </c>
      <c r="AH138" s="14" t="e">
        <f t="shared" si="158"/>
        <v>#N/A</v>
      </c>
      <c r="AI138" s="34" t="e">
        <f t="shared" si="231"/>
        <v>#N/A</v>
      </c>
      <c r="AJ138" s="49" t="e">
        <f t="shared" si="178"/>
        <v>#N/A</v>
      </c>
      <c r="AK138" s="49" t="e">
        <f t="shared" si="179"/>
        <v>#N/A</v>
      </c>
      <c r="AL138" s="49" t="e">
        <f t="shared" si="180"/>
        <v>#N/A</v>
      </c>
      <c r="AM138" s="25">
        <f t="shared" si="159"/>
        <v>30</v>
      </c>
      <c r="AN138" s="25">
        <f t="shared" si="160"/>
        <v>30</v>
      </c>
      <c r="AO138" s="25">
        <f t="shared" si="161"/>
        <v>30</v>
      </c>
      <c r="AP138" s="52" t="e">
        <f t="shared" si="181"/>
        <v>#N/A</v>
      </c>
      <c r="AQ138" s="53" t="e">
        <f t="shared" si="181"/>
        <v>#N/A</v>
      </c>
      <c r="AR138" s="54" t="e">
        <f t="shared" si="181"/>
        <v>#N/A</v>
      </c>
      <c r="AS138" s="316">
        <f t="shared" si="306"/>
        <v>0</v>
      </c>
      <c r="AT138" s="106">
        <f>_xlfn.IFNA($M138/VLOOKUP($BT138,'Unit information'!$A$2:$K$29,2,FALSE)*R138,0)*(1+$E$9)</f>
        <v>0</v>
      </c>
      <c r="AU138" s="107">
        <f>_xlfn.IFNA($M138/VLOOKUP($BT138,'Unit information'!$A$2:$K$29,3,FALSE)*S138,0)*(1+$E$9)</f>
        <v>0</v>
      </c>
      <c r="AV138" s="107">
        <f>_xlfn.IFNA($M138/VLOOKUP($BT138,'Unit information'!$A$2:$K$29,4,FALSE)*T138,0)*(1+$E$9)</f>
        <v>0</v>
      </c>
      <c r="AW138" s="107">
        <f>_xlfn.IFNA($M138/VLOOKUP($BT138,'Unit information'!$A$2:$K$29,5,FALSE)*U138,0)*(1+$E$9)</f>
        <v>0</v>
      </c>
      <c r="AX138" s="107">
        <f>_xlfn.IFNA($M138/VLOOKUP($BU138,'Unit information'!$A$2:$K$29,6,FALSE)*V138,0)*(1+$E$9)</f>
        <v>0</v>
      </c>
      <c r="AY138" s="107">
        <f>_xlfn.IFNA($M138/VLOOKUP($BU138,'Unit information'!$A$2:$K$29,7,FALSE)*W138,0)*(1+$E$9)</f>
        <v>0</v>
      </c>
      <c r="AZ138" s="107">
        <f>_xlfn.IFNA($M138/VLOOKUP($BU138,'Unit information'!$A$2:$K$29,8,FALSE)*X138,0)*(1+$E$9)</f>
        <v>0</v>
      </c>
      <c r="BA138" s="107">
        <f>_xlfn.IFNA($M138/VLOOKUP($BU138,'Unit information'!$A$2:$K$29,9,FALSE)*Y138,0)*(1+$E$9)</f>
        <v>0</v>
      </c>
      <c r="BB138" s="107">
        <f>_xlfn.IFNA($M138/VLOOKUP($BV138,'Unit information'!$A$2:$K$29,10,FALSE)*Z138,0)*(1+$E$9)</f>
        <v>0</v>
      </c>
      <c r="BC138" s="108">
        <f>_xlfn.IFNA($M138/VLOOKUP($BV138,'Unit information'!$A$2:$K$29,11,FALSE)*AA138,0)*(1+$E$9)</f>
        <v>0</v>
      </c>
      <c r="BD138" s="106">
        <f t="shared" si="162"/>
        <v>0</v>
      </c>
      <c r="BE138" s="107">
        <f t="shared" si="163"/>
        <v>0</v>
      </c>
      <c r="BF138" s="108">
        <f t="shared" si="164"/>
        <v>0</v>
      </c>
      <c r="BG138" s="25" t="e">
        <f t="shared" si="165"/>
        <v>#N/A</v>
      </c>
      <c r="BH138" s="25" t="e">
        <f t="shared" si="166"/>
        <v>#N/A</v>
      </c>
      <c r="BI138" s="25" t="e">
        <f t="shared" si="167"/>
        <v>#N/A</v>
      </c>
      <c r="BJ138" s="27" t="e">
        <f t="shared" si="168"/>
        <v>#N/A</v>
      </c>
      <c r="BK138" s="18" t="e">
        <f t="shared" si="169"/>
        <v>#N/A</v>
      </c>
      <c r="BL138" s="18" t="e">
        <f t="shared" si="170"/>
        <v>#N/A</v>
      </c>
      <c r="BM138" s="28" t="e">
        <f t="shared" si="233"/>
        <v>#N/A</v>
      </c>
      <c r="BN138" s="33">
        <f>HLOOKUP("maximum population",Miscelaneous!$C$1:$C$33,CH138+3,FALSE)</f>
        <v>240</v>
      </c>
      <c r="BO138" s="14">
        <f t="shared" si="182"/>
        <v>32</v>
      </c>
      <c r="BP138" s="14">
        <f t="shared" si="183"/>
        <v>0</v>
      </c>
      <c r="BQ138" s="14">
        <f t="shared" si="184"/>
        <v>208</v>
      </c>
      <c r="BR138" s="34" t="e">
        <f>HLOOKUP(J138,Villagers!$B$1:$V$33,L138+3,FALSE)-HLOOKUP(J138,Villagers!$B$1:$V$33,L138+2,FALSE)</f>
        <v>#N/A</v>
      </c>
      <c r="BS138" s="49">
        <f t="shared" si="185"/>
        <v>1</v>
      </c>
      <c r="BT138" s="50">
        <f t="shared" si="186"/>
        <v>0</v>
      </c>
      <c r="BU138" s="50">
        <f t="shared" si="187"/>
        <v>0</v>
      </c>
      <c r="BV138" s="50">
        <f t="shared" si="188"/>
        <v>0</v>
      </c>
      <c r="BW138" s="50">
        <f t="shared" si="312"/>
        <v>0</v>
      </c>
      <c r="BX138" s="50">
        <f t="shared" si="310"/>
        <v>0</v>
      </c>
      <c r="BY138" s="50">
        <f t="shared" si="310"/>
        <v>0</v>
      </c>
      <c r="BZ138" s="50">
        <f t="shared" si="245"/>
        <v>0</v>
      </c>
      <c r="CA138" s="50">
        <f t="shared" si="246"/>
        <v>0</v>
      </c>
      <c r="CB138" s="50">
        <f t="shared" si="247"/>
        <v>1</v>
      </c>
      <c r="CC138" s="50">
        <f t="shared" si="248"/>
        <v>0</v>
      </c>
      <c r="CD138" s="50">
        <f t="shared" si="249"/>
        <v>0</v>
      </c>
      <c r="CE138" s="50">
        <f t="shared" si="250"/>
        <v>1</v>
      </c>
      <c r="CF138" s="50">
        <f t="shared" si="251"/>
        <v>1</v>
      </c>
      <c r="CG138" s="50">
        <f t="shared" si="252"/>
        <v>1</v>
      </c>
      <c r="CH138" s="50">
        <f t="shared" si="253"/>
        <v>1</v>
      </c>
      <c r="CI138" s="50">
        <f t="shared" si="254"/>
        <v>1</v>
      </c>
      <c r="CJ138" s="50">
        <f t="shared" si="255"/>
        <v>1</v>
      </c>
      <c r="CK138" s="50">
        <f t="shared" si="255"/>
        <v>0</v>
      </c>
      <c r="CL138" s="50">
        <f t="shared" si="255"/>
        <v>0</v>
      </c>
      <c r="CM138" s="51">
        <f t="shared" si="256"/>
        <v>0</v>
      </c>
      <c r="CN138" s="33">
        <f>ROUND(IF(BS138=0,0,HLOOKUP(BS$14,Villagers!$B$1:$V$33,BS138+3,FALSE)),)</f>
        <v>5</v>
      </c>
      <c r="CO138" s="14">
        <f>ROUND(IF(BT138=0,0,HLOOKUP(BT$14,Villagers!$B$1:$V$33,BT138+3,FALSE)),)</f>
        <v>0</v>
      </c>
      <c r="CP138" s="14">
        <f>ROUND(IF(BU138=0,0,HLOOKUP(BU$14,Villagers!$B$1:$V$33,BU138+3,FALSE)),)</f>
        <v>0</v>
      </c>
      <c r="CQ138" s="14">
        <f>ROUND(IF(BV138=0,0,HLOOKUP(BV$14,Villagers!$B$1:$V$33,BV138+3,FALSE)),)</f>
        <v>0</v>
      </c>
      <c r="CR138" s="14">
        <f>ROUND(IF(BW138=0,0,HLOOKUP(BW$14,Villagers!$B$1:$V$33,BW138+3,FALSE)),)</f>
        <v>0</v>
      </c>
      <c r="CS138" s="14">
        <f>ROUND(IF(BX138=0,0,HLOOKUP(BX$14,Villagers!$B$1:$V$33,BX138+3,FALSE)),)</f>
        <v>0</v>
      </c>
      <c r="CT138" s="14">
        <f>ROUND(IF(BY138=0,0,HLOOKUP(BY$14,Villagers!$B$1:$V$33,BY138+3,FALSE)),)</f>
        <v>0</v>
      </c>
      <c r="CU138" s="14">
        <f>ROUND(IF(BZ138=0,0,HLOOKUP(BZ$14,Villagers!$B$1:$V$33,BZ138+3,FALSE)),)</f>
        <v>0</v>
      </c>
      <c r="CV138" s="14">
        <f>ROUND(IF(CA138=0,0,HLOOKUP(CA$14,Villagers!$B$1:$V$33,CA138+3,FALSE)),)</f>
        <v>0</v>
      </c>
      <c r="CW138" s="14">
        <f>ROUND(IF(CB138=0,0,HLOOKUP(CB$14,Villagers!$B$1:$V$33,CB138+3,FALSE)),)</f>
        <v>0</v>
      </c>
      <c r="CX138" s="14">
        <f>ROUND(IF(CC138=0,0,HLOOKUP(CC$14,Villagers!$B$1:$V$33,CC138+3,FALSE)),)</f>
        <v>0</v>
      </c>
      <c r="CY138" s="14">
        <f>ROUND(IF(CD138=0,0,HLOOKUP(CD$14,Villagers!$B$1:$V$33,CD138+3,FALSE)),)</f>
        <v>0</v>
      </c>
      <c r="CZ138" s="14">
        <f>ROUND(IF(CE138=0,0,HLOOKUP(CE$14,Villagers!$B$1:$V$33,CE138+3,FALSE)),)</f>
        <v>5</v>
      </c>
      <c r="DA138" s="14">
        <f>ROUND(IF(CF138=0,0,HLOOKUP(CF$14,Villagers!$B$1:$V$33,CF138+3,FALSE)),)</f>
        <v>10</v>
      </c>
      <c r="DB138" s="14">
        <f>ROUND(IF(CG138=0,0,HLOOKUP(CG$14,Villagers!$B$1:$V$33,CG138+3,FALSE)),)</f>
        <v>10</v>
      </c>
      <c r="DC138" s="14">
        <f>ROUND(IF(CH138=0,0,HLOOKUP(CH$14,Villagers!$B$1:$V$33,CH138+3,FALSE)),)</f>
        <v>0</v>
      </c>
      <c r="DD138" s="14">
        <f>ROUND(IF(CI138=0,0,HLOOKUP(CI$14,Villagers!$B$1:$V$33,CI138+3,FALSE)),)</f>
        <v>0</v>
      </c>
      <c r="DE138" s="14">
        <f>ROUND(IF(CJ138=0,0,HLOOKUP(CJ$14,Villagers!$B$1:$V$33,CJ138+3,FALSE)),)</f>
        <v>2</v>
      </c>
      <c r="DF138" s="370">
        <f>ROUND(IF(CK138=0,0,HLOOKUP(CK$14,Villagers!$B$1:$V$33,CK138+3,FALSE)),)</f>
        <v>0</v>
      </c>
      <c r="DG138" s="370">
        <f>ROUND(IF(CL138=0,0,HLOOKUP(CL$14,Villagers!$B$1:$V$33,CL138+3,FALSE)),)</f>
        <v>0</v>
      </c>
      <c r="DH138" s="34">
        <f>ROUND(IF(CM138=0,0,HLOOKUP(CM$14,Villagers!$B$1:$V$33,CM138+3,FALSE)),)</f>
        <v>0</v>
      </c>
      <c r="DI138" s="109">
        <f t="shared" si="219"/>
        <v>0</v>
      </c>
      <c r="DJ138" s="50">
        <f t="shared" si="220"/>
        <v>0</v>
      </c>
      <c r="DK138" s="50">
        <f t="shared" si="221"/>
        <v>0</v>
      </c>
      <c r="DL138" s="50">
        <f t="shared" si="222"/>
        <v>0</v>
      </c>
      <c r="DM138" s="50">
        <f t="shared" si="223"/>
        <v>0</v>
      </c>
      <c r="DN138" s="50">
        <f t="shared" si="224"/>
        <v>0</v>
      </c>
      <c r="DO138" s="50">
        <f t="shared" si="225"/>
        <v>0</v>
      </c>
      <c r="DP138" s="50">
        <f t="shared" si="226"/>
        <v>0</v>
      </c>
      <c r="DQ138" s="50">
        <f t="shared" si="203"/>
        <v>0</v>
      </c>
      <c r="DR138" s="50">
        <f t="shared" si="204"/>
        <v>0</v>
      </c>
      <c r="DS138" s="96">
        <f>Miscelaneous!$D$4*Miscelaneous!$D$2^($CI138-1)</f>
        <v>1000</v>
      </c>
      <c r="DT138" s="333">
        <f t="shared" si="171"/>
        <v>1</v>
      </c>
      <c r="DU138" s="81">
        <v>1</v>
      </c>
      <c r="DV138" s="79">
        <f t="shared" si="205"/>
        <v>0</v>
      </c>
      <c r="DW138" s="79">
        <f t="shared" si="206"/>
        <v>0</v>
      </c>
      <c r="DX138" s="79">
        <f t="shared" si="207"/>
        <v>0</v>
      </c>
      <c r="DY138" s="79">
        <v>1</v>
      </c>
      <c r="DZ138" s="79">
        <f t="shared" si="208"/>
        <v>0</v>
      </c>
      <c r="EA138" s="79">
        <f t="shared" si="209"/>
        <v>0</v>
      </c>
      <c r="EB138" s="79">
        <f t="shared" si="210"/>
        <v>0</v>
      </c>
      <c r="EC138" s="79">
        <f t="shared" si="211"/>
        <v>0</v>
      </c>
      <c r="ED138" s="79">
        <v>1</v>
      </c>
      <c r="EE138" s="79">
        <v>1</v>
      </c>
      <c r="EF138" s="79">
        <f t="shared" si="212"/>
        <v>0</v>
      </c>
      <c r="EG138" s="79">
        <v>1</v>
      </c>
      <c r="EH138" s="79">
        <v>1</v>
      </c>
      <c r="EI138" s="79">
        <v>1</v>
      </c>
      <c r="EJ138" s="79">
        <v>1</v>
      </c>
      <c r="EK138" s="79">
        <v>1</v>
      </c>
      <c r="EL138" s="79">
        <v>1</v>
      </c>
      <c r="EM138" s="143">
        <f t="shared" si="213"/>
        <v>0</v>
      </c>
      <c r="EN138" s="143">
        <f t="shared" si="214"/>
        <v>0</v>
      </c>
      <c r="EO138" s="82">
        <f t="shared" si="215"/>
        <v>0</v>
      </c>
    </row>
    <row r="139" spans="1:145" x14ac:dyDescent="0.25">
      <c r="A139">
        <v>125</v>
      </c>
      <c r="B139" s="172" t="e">
        <f t="shared" si="172"/>
        <v>#N/A</v>
      </c>
      <c r="C139" s="121" t="e">
        <f t="shared" ref="C139:E139" si="315">AJ139-SUM(AB139:AB143)</f>
        <v>#N/A</v>
      </c>
      <c r="D139" s="122" t="e">
        <f t="shared" si="315"/>
        <v>#N/A</v>
      </c>
      <c r="E139" s="122" t="e">
        <f t="shared" si="315"/>
        <v>#N/A</v>
      </c>
      <c r="F139" s="176" t="e">
        <f t="shared" si="154"/>
        <v>#N/A</v>
      </c>
      <c r="G139" s="121">
        <f t="shared" si="174"/>
        <v>208</v>
      </c>
      <c r="H139" s="176" t="e">
        <f t="shared" si="175"/>
        <v>#N/A</v>
      </c>
      <c r="I139" s="48">
        <v>1</v>
      </c>
      <c r="J139" s="39"/>
      <c r="K139" s="350">
        <v>1</v>
      </c>
      <c r="L139" s="34" t="e">
        <f t="shared" si="155"/>
        <v>#N/A</v>
      </c>
      <c r="M139" s="38" t="e">
        <f>(HLOOKUP(J139,'Construction Times'!$B$3:$W$34,L139+2,FALSE)*HLOOKUP("hq modifier",'Construction Times'!$W$3:$W$34,BS139+2,FALSE))*(1-$H$9)</f>
        <v>#N/A</v>
      </c>
      <c r="N139" s="426" t="e">
        <f t="shared" si="176"/>
        <v>#N/A</v>
      </c>
      <c r="O139" s="427"/>
      <c r="P139" s="430" t="e">
        <f t="shared" si="177"/>
        <v>#N/A</v>
      </c>
      <c r="Q139" s="431"/>
      <c r="R139" s="103">
        <f t="shared" si="217"/>
        <v>0</v>
      </c>
      <c r="S139" s="104">
        <f t="shared" si="217"/>
        <v>0</v>
      </c>
      <c r="T139" s="104">
        <f t="shared" si="218"/>
        <v>0</v>
      </c>
      <c r="U139" s="104">
        <f t="shared" si="218"/>
        <v>0</v>
      </c>
      <c r="V139" s="104">
        <f t="shared" si="218"/>
        <v>9.9999999999999995E-8</v>
      </c>
      <c r="W139" s="104">
        <f t="shared" si="218"/>
        <v>0</v>
      </c>
      <c r="X139" s="104">
        <f t="shared" si="278"/>
        <v>0</v>
      </c>
      <c r="Y139" s="104">
        <f t="shared" si="278"/>
        <v>9.9999999999999995E-8</v>
      </c>
      <c r="Z139" s="104">
        <f t="shared" si="278"/>
        <v>9.9999999999999995E-8</v>
      </c>
      <c r="AA139" s="105">
        <f t="shared" si="278"/>
        <v>9.9999999999999995E-8</v>
      </c>
      <c r="AB139" s="101" t="e">
        <f>$DT139*HLOOKUP($J139,'Construction Costs (timber)'!$B$1:$V$32,'Construction Planner'!$L139+2,FALSE)</f>
        <v>#N/A</v>
      </c>
      <c r="AC139" s="14" t="e">
        <f>$DT139*HLOOKUP($J139,'Construction Costs (clay)'!$B$1:$V$32,'Construction Planner'!$L139+2,FALSE)</f>
        <v>#N/A</v>
      </c>
      <c r="AD139" s="14" t="e">
        <f>$DT139*HLOOKUP($J139,'Construction Costs (iron)'!$B$1:$V$32,'Construction Planner'!$L139+2,FALSE)</f>
        <v>#N/A</v>
      </c>
      <c r="AE139" s="34" t="e">
        <f t="shared" si="230"/>
        <v>#N/A</v>
      </c>
      <c r="AF139" s="33" t="e">
        <f t="shared" si="156"/>
        <v>#N/A</v>
      </c>
      <c r="AG139" s="14" t="e">
        <f t="shared" si="157"/>
        <v>#N/A</v>
      </c>
      <c r="AH139" s="14" t="e">
        <f t="shared" si="158"/>
        <v>#N/A</v>
      </c>
      <c r="AI139" s="34" t="e">
        <f t="shared" si="231"/>
        <v>#N/A</v>
      </c>
      <c r="AJ139" s="49" t="e">
        <f t="shared" si="178"/>
        <v>#N/A</v>
      </c>
      <c r="AK139" s="49" t="e">
        <f t="shared" si="179"/>
        <v>#N/A</v>
      </c>
      <c r="AL139" s="49" t="e">
        <f t="shared" si="180"/>
        <v>#N/A</v>
      </c>
      <c r="AM139" s="25">
        <f t="shared" si="159"/>
        <v>30</v>
      </c>
      <c r="AN139" s="25">
        <f t="shared" si="160"/>
        <v>30</v>
      </c>
      <c r="AO139" s="25">
        <f t="shared" si="161"/>
        <v>30</v>
      </c>
      <c r="AP139" s="52" t="e">
        <f t="shared" si="181"/>
        <v>#N/A</v>
      </c>
      <c r="AQ139" s="53" t="e">
        <f t="shared" si="181"/>
        <v>#N/A</v>
      </c>
      <c r="AR139" s="54" t="e">
        <f t="shared" si="181"/>
        <v>#N/A</v>
      </c>
      <c r="AS139" s="316">
        <f t="shared" si="306"/>
        <v>0</v>
      </c>
      <c r="AT139" s="106">
        <f>_xlfn.IFNA($M139/VLOOKUP($BT139,'Unit information'!$A$2:$K$29,2,FALSE)*R139,0)*(1+$E$9)</f>
        <v>0</v>
      </c>
      <c r="AU139" s="107">
        <f>_xlfn.IFNA($M139/VLOOKUP($BT139,'Unit information'!$A$2:$K$29,3,FALSE)*S139,0)*(1+$E$9)</f>
        <v>0</v>
      </c>
      <c r="AV139" s="107">
        <f>_xlfn.IFNA($M139/VLOOKUP($BT139,'Unit information'!$A$2:$K$29,4,FALSE)*T139,0)*(1+$E$9)</f>
        <v>0</v>
      </c>
      <c r="AW139" s="107">
        <f>_xlfn.IFNA($M139/VLOOKUP($BT139,'Unit information'!$A$2:$K$29,5,FALSE)*U139,0)*(1+$E$9)</f>
        <v>0</v>
      </c>
      <c r="AX139" s="107">
        <f>_xlfn.IFNA($M139/VLOOKUP($BU139,'Unit information'!$A$2:$K$29,6,FALSE)*V139,0)*(1+$E$9)</f>
        <v>0</v>
      </c>
      <c r="AY139" s="107">
        <f>_xlfn.IFNA($M139/VLOOKUP($BU139,'Unit information'!$A$2:$K$29,7,FALSE)*W139,0)*(1+$E$9)</f>
        <v>0</v>
      </c>
      <c r="AZ139" s="107">
        <f>_xlfn.IFNA($M139/VLOOKUP($BU139,'Unit information'!$A$2:$K$29,8,FALSE)*X139,0)*(1+$E$9)</f>
        <v>0</v>
      </c>
      <c r="BA139" s="107">
        <f>_xlfn.IFNA($M139/VLOOKUP($BU139,'Unit information'!$A$2:$K$29,9,FALSE)*Y139,0)*(1+$E$9)</f>
        <v>0</v>
      </c>
      <c r="BB139" s="107">
        <f>_xlfn.IFNA($M139/VLOOKUP($BV139,'Unit information'!$A$2:$K$29,10,FALSE)*Z139,0)*(1+$E$9)</f>
        <v>0</v>
      </c>
      <c r="BC139" s="108">
        <f>_xlfn.IFNA($M139/VLOOKUP($BV139,'Unit information'!$A$2:$K$29,11,FALSE)*AA139,0)*(1+$E$9)</f>
        <v>0</v>
      </c>
      <c r="BD139" s="106">
        <f t="shared" si="162"/>
        <v>0</v>
      </c>
      <c r="BE139" s="107">
        <f t="shared" si="163"/>
        <v>0</v>
      </c>
      <c r="BF139" s="108">
        <f t="shared" si="164"/>
        <v>0</v>
      </c>
      <c r="BG139" s="25" t="e">
        <f t="shared" si="165"/>
        <v>#N/A</v>
      </c>
      <c r="BH139" s="25" t="e">
        <f t="shared" si="166"/>
        <v>#N/A</v>
      </c>
      <c r="BI139" s="25" t="e">
        <f t="shared" si="167"/>
        <v>#N/A</v>
      </c>
      <c r="BJ139" s="27" t="e">
        <f t="shared" si="168"/>
        <v>#N/A</v>
      </c>
      <c r="BK139" s="18" t="e">
        <f t="shared" si="169"/>
        <v>#N/A</v>
      </c>
      <c r="BL139" s="18" t="e">
        <f t="shared" si="170"/>
        <v>#N/A</v>
      </c>
      <c r="BM139" s="28" t="e">
        <f t="shared" si="233"/>
        <v>#N/A</v>
      </c>
      <c r="BN139" s="33">
        <f>HLOOKUP("maximum population",Miscelaneous!$C$1:$C$33,CH139+3,FALSE)</f>
        <v>240</v>
      </c>
      <c r="BO139" s="14">
        <f t="shared" si="182"/>
        <v>32</v>
      </c>
      <c r="BP139" s="14">
        <f t="shared" si="183"/>
        <v>0</v>
      </c>
      <c r="BQ139" s="14">
        <f t="shared" si="184"/>
        <v>208</v>
      </c>
      <c r="BR139" s="34" t="e">
        <f>HLOOKUP(J139,Villagers!$B$1:$V$33,L139+3,FALSE)-HLOOKUP(J139,Villagers!$B$1:$V$33,L139+2,FALSE)</f>
        <v>#N/A</v>
      </c>
      <c r="BS139" s="49">
        <f t="shared" si="185"/>
        <v>1</v>
      </c>
      <c r="BT139" s="50">
        <f t="shared" si="186"/>
        <v>0</v>
      </c>
      <c r="BU139" s="50">
        <f t="shared" si="187"/>
        <v>0</v>
      </c>
      <c r="BV139" s="50">
        <f t="shared" si="188"/>
        <v>0</v>
      </c>
      <c r="BW139" s="50">
        <f t="shared" si="312"/>
        <v>0</v>
      </c>
      <c r="BX139" s="50">
        <f t="shared" si="310"/>
        <v>0</v>
      </c>
      <c r="BY139" s="50">
        <f t="shared" si="310"/>
        <v>0</v>
      </c>
      <c r="BZ139" s="50">
        <f t="shared" si="245"/>
        <v>0</v>
      </c>
      <c r="CA139" s="50">
        <f t="shared" si="246"/>
        <v>0</v>
      </c>
      <c r="CB139" s="50">
        <f t="shared" si="247"/>
        <v>1</v>
      </c>
      <c r="CC139" s="50">
        <f t="shared" si="248"/>
        <v>0</v>
      </c>
      <c r="CD139" s="50">
        <f t="shared" si="249"/>
        <v>0</v>
      </c>
      <c r="CE139" s="50">
        <f t="shared" si="250"/>
        <v>1</v>
      </c>
      <c r="CF139" s="50">
        <f t="shared" si="251"/>
        <v>1</v>
      </c>
      <c r="CG139" s="50">
        <f t="shared" si="252"/>
        <v>1</v>
      </c>
      <c r="CH139" s="50">
        <f t="shared" si="253"/>
        <v>1</v>
      </c>
      <c r="CI139" s="50">
        <f t="shared" si="254"/>
        <v>1</v>
      </c>
      <c r="CJ139" s="50">
        <f t="shared" si="255"/>
        <v>1</v>
      </c>
      <c r="CK139" s="50">
        <f t="shared" si="255"/>
        <v>0</v>
      </c>
      <c r="CL139" s="50">
        <f t="shared" si="255"/>
        <v>0</v>
      </c>
      <c r="CM139" s="51">
        <f t="shared" si="256"/>
        <v>0</v>
      </c>
      <c r="CN139" s="33">
        <f>ROUND(IF(BS139=0,0,HLOOKUP(BS$14,Villagers!$B$1:$V$33,BS139+3,FALSE)),)</f>
        <v>5</v>
      </c>
      <c r="CO139" s="14">
        <f>ROUND(IF(BT139=0,0,HLOOKUP(BT$14,Villagers!$B$1:$V$33,BT139+3,FALSE)),)</f>
        <v>0</v>
      </c>
      <c r="CP139" s="14">
        <f>ROUND(IF(BU139=0,0,HLOOKUP(BU$14,Villagers!$B$1:$V$33,BU139+3,FALSE)),)</f>
        <v>0</v>
      </c>
      <c r="CQ139" s="14">
        <f>ROUND(IF(BV139=0,0,HLOOKUP(BV$14,Villagers!$B$1:$V$33,BV139+3,FALSE)),)</f>
        <v>0</v>
      </c>
      <c r="CR139" s="14">
        <f>ROUND(IF(BW139=0,0,HLOOKUP(BW$14,Villagers!$B$1:$V$33,BW139+3,FALSE)),)</f>
        <v>0</v>
      </c>
      <c r="CS139" s="14">
        <f>ROUND(IF(BX139=0,0,HLOOKUP(BX$14,Villagers!$B$1:$V$33,BX139+3,FALSE)),)</f>
        <v>0</v>
      </c>
      <c r="CT139" s="14">
        <f>ROUND(IF(BY139=0,0,HLOOKUP(BY$14,Villagers!$B$1:$V$33,BY139+3,FALSE)),)</f>
        <v>0</v>
      </c>
      <c r="CU139" s="14">
        <f>ROUND(IF(BZ139=0,0,HLOOKUP(BZ$14,Villagers!$B$1:$V$33,BZ139+3,FALSE)),)</f>
        <v>0</v>
      </c>
      <c r="CV139" s="14">
        <f>ROUND(IF(CA139=0,0,HLOOKUP(CA$14,Villagers!$B$1:$V$33,CA139+3,FALSE)),)</f>
        <v>0</v>
      </c>
      <c r="CW139" s="14">
        <f>ROUND(IF(CB139=0,0,HLOOKUP(CB$14,Villagers!$B$1:$V$33,CB139+3,FALSE)),)</f>
        <v>0</v>
      </c>
      <c r="CX139" s="14">
        <f>ROUND(IF(CC139=0,0,HLOOKUP(CC$14,Villagers!$B$1:$V$33,CC139+3,FALSE)),)</f>
        <v>0</v>
      </c>
      <c r="CY139" s="14">
        <f>ROUND(IF(CD139=0,0,HLOOKUP(CD$14,Villagers!$B$1:$V$33,CD139+3,FALSE)),)</f>
        <v>0</v>
      </c>
      <c r="CZ139" s="14">
        <f>ROUND(IF(CE139=0,0,HLOOKUP(CE$14,Villagers!$B$1:$V$33,CE139+3,FALSE)),)</f>
        <v>5</v>
      </c>
      <c r="DA139" s="14">
        <f>ROUND(IF(CF139=0,0,HLOOKUP(CF$14,Villagers!$B$1:$V$33,CF139+3,FALSE)),)</f>
        <v>10</v>
      </c>
      <c r="DB139" s="14">
        <f>ROUND(IF(CG139=0,0,HLOOKUP(CG$14,Villagers!$B$1:$V$33,CG139+3,FALSE)),)</f>
        <v>10</v>
      </c>
      <c r="DC139" s="14">
        <f>ROUND(IF(CH139=0,0,HLOOKUP(CH$14,Villagers!$B$1:$V$33,CH139+3,FALSE)),)</f>
        <v>0</v>
      </c>
      <c r="DD139" s="14">
        <f>ROUND(IF(CI139=0,0,HLOOKUP(CI$14,Villagers!$B$1:$V$33,CI139+3,FALSE)),)</f>
        <v>0</v>
      </c>
      <c r="DE139" s="14">
        <f>ROUND(IF(CJ139=0,0,HLOOKUP(CJ$14,Villagers!$B$1:$V$33,CJ139+3,FALSE)),)</f>
        <v>2</v>
      </c>
      <c r="DF139" s="370">
        <f>ROUND(IF(CK139=0,0,HLOOKUP(CK$14,Villagers!$B$1:$V$33,CK139+3,FALSE)),)</f>
        <v>0</v>
      </c>
      <c r="DG139" s="370">
        <f>ROUND(IF(CL139=0,0,HLOOKUP(CL$14,Villagers!$B$1:$V$33,CL139+3,FALSE)),)</f>
        <v>0</v>
      </c>
      <c r="DH139" s="34">
        <f>ROUND(IF(CM139=0,0,HLOOKUP(CM$14,Villagers!$B$1:$V$33,CM139+3,FALSE)),)</f>
        <v>0</v>
      </c>
      <c r="DI139" s="109">
        <f t="shared" si="219"/>
        <v>0</v>
      </c>
      <c r="DJ139" s="50">
        <f t="shared" si="220"/>
        <v>0</v>
      </c>
      <c r="DK139" s="50">
        <f t="shared" si="221"/>
        <v>0</v>
      </c>
      <c r="DL139" s="50">
        <f t="shared" si="222"/>
        <v>0</v>
      </c>
      <c r="DM139" s="50">
        <f t="shared" si="223"/>
        <v>0</v>
      </c>
      <c r="DN139" s="50">
        <f t="shared" si="224"/>
        <v>0</v>
      </c>
      <c r="DO139" s="50">
        <f t="shared" si="225"/>
        <v>0</v>
      </c>
      <c r="DP139" s="50">
        <f t="shared" si="226"/>
        <v>0</v>
      </c>
      <c r="DQ139" s="50">
        <f t="shared" si="203"/>
        <v>0</v>
      </c>
      <c r="DR139" s="50">
        <f t="shared" si="204"/>
        <v>0</v>
      </c>
      <c r="DS139" s="96">
        <f>Miscelaneous!$D$4*Miscelaneous!$D$2^($CI139-1)</f>
        <v>1000</v>
      </c>
      <c r="DT139" s="333">
        <f t="shared" si="171"/>
        <v>1</v>
      </c>
      <c r="DU139" s="81">
        <v>1</v>
      </c>
      <c r="DV139" s="79">
        <f t="shared" si="205"/>
        <v>0</v>
      </c>
      <c r="DW139" s="79">
        <f t="shared" si="206"/>
        <v>0</v>
      </c>
      <c r="DX139" s="79">
        <f t="shared" si="207"/>
        <v>0</v>
      </c>
      <c r="DY139" s="79">
        <v>1</v>
      </c>
      <c r="DZ139" s="79">
        <f t="shared" si="208"/>
        <v>0</v>
      </c>
      <c r="EA139" s="79">
        <f t="shared" si="209"/>
        <v>0</v>
      </c>
      <c r="EB139" s="79">
        <f t="shared" si="210"/>
        <v>0</v>
      </c>
      <c r="EC139" s="79">
        <f t="shared" si="211"/>
        <v>0</v>
      </c>
      <c r="ED139" s="79">
        <v>1</v>
      </c>
      <c r="EE139" s="79">
        <v>1</v>
      </c>
      <c r="EF139" s="79">
        <f t="shared" si="212"/>
        <v>0</v>
      </c>
      <c r="EG139" s="79">
        <v>1</v>
      </c>
      <c r="EH139" s="79">
        <v>1</v>
      </c>
      <c r="EI139" s="79">
        <v>1</v>
      </c>
      <c r="EJ139" s="79">
        <v>1</v>
      </c>
      <c r="EK139" s="79">
        <v>1</v>
      </c>
      <c r="EL139" s="79">
        <v>1</v>
      </c>
      <c r="EM139" s="143">
        <f t="shared" si="213"/>
        <v>0</v>
      </c>
      <c r="EN139" s="143">
        <f t="shared" si="214"/>
        <v>0</v>
      </c>
      <c r="EO139" s="82">
        <f t="shared" si="215"/>
        <v>0</v>
      </c>
    </row>
    <row r="140" spans="1:145" x14ac:dyDescent="0.25">
      <c r="A140">
        <v>126</v>
      </c>
      <c r="B140" s="172" t="e">
        <f t="shared" si="172"/>
        <v>#N/A</v>
      </c>
      <c r="C140" s="121" t="e">
        <f t="shared" ref="C140:E140" si="316">AJ140-SUM(AB140:AB144)</f>
        <v>#N/A</v>
      </c>
      <c r="D140" s="122" t="e">
        <f t="shared" si="316"/>
        <v>#N/A</v>
      </c>
      <c r="E140" s="122" t="e">
        <f t="shared" si="316"/>
        <v>#N/A</v>
      </c>
      <c r="F140" s="176" t="e">
        <f t="shared" si="154"/>
        <v>#N/A</v>
      </c>
      <c r="G140" s="121">
        <f t="shared" si="174"/>
        <v>208</v>
      </c>
      <c r="H140" s="176" t="e">
        <f t="shared" si="175"/>
        <v>#N/A</v>
      </c>
      <c r="I140" s="48">
        <v>1</v>
      </c>
      <c r="J140" s="39"/>
      <c r="K140" s="350">
        <v>1</v>
      </c>
      <c r="L140" s="34" t="e">
        <f t="shared" si="155"/>
        <v>#N/A</v>
      </c>
      <c r="M140" s="38" t="e">
        <f>(HLOOKUP(J140,'Construction Times'!$B$3:$W$34,L140+2,FALSE)*HLOOKUP("hq modifier",'Construction Times'!$W$3:$W$34,BS140+2,FALSE))*(1-$H$9)</f>
        <v>#N/A</v>
      </c>
      <c r="N140" s="426" t="e">
        <f t="shared" si="176"/>
        <v>#N/A</v>
      </c>
      <c r="O140" s="427"/>
      <c r="P140" s="430" t="e">
        <f t="shared" si="177"/>
        <v>#N/A</v>
      </c>
      <c r="Q140" s="431"/>
      <c r="R140" s="103">
        <f t="shared" si="217"/>
        <v>0</v>
      </c>
      <c r="S140" s="104">
        <f t="shared" si="217"/>
        <v>0</v>
      </c>
      <c r="T140" s="104">
        <f t="shared" si="218"/>
        <v>0</v>
      </c>
      <c r="U140" s="104">
        <f t="shared" si="218"/>
        <v>0</v>
      </c>
      <c r="V140" s="104">
        <f t="shared" si="218"/>
        <v>9.9999999999999995E-8</v>
      </c>
      <c r="W140" s="104">
        <f t="shared" si="218"/>
        <v>0</v>
      </c>
      <c r="X140" s="104">
        <f t="shared" si="278"/>
        <v>0</v>
      </c>
      <c r="Y140" s="104">
        <f t="shared" si="278"/>
        <v>9.9999999999999995E-8</v>
      </c>
      <c r="Z140" s="104">
        <f t="shared" si="278"/>
        <v>9.9999999999999995E-8</v>
      </c>
      <c r="AA140" s="105">
        <f t="shared" si="278"/>
        <v>9.9999999999999995E-8</v>
      </c>
      <c r="AB140" s="101" t="e">
        <f>$DT140*HLOOKUP($J140,'Construction Costs (timber)'!$B$1:$V$32,'Construction Planner'!$L140+2,FALSE)</f>
        <v>#N/A</v>
      </c>
      <c r="AC140" s="14" t="e">
        <f>$DT140*HLOOKUP($J140,'Construction Costs (clay)'!$B$1:$V$32,'Construction Planner'!$L140+2,FALSE)</f>
        <v>#N/A</v>
      </c>
      <c r="AD140" s="14" t="e">
        <f>$DT140*HLOOKUP($J140,'Construction Costs (iron)'!$B$1:$V$32,'Construction Planner'!$L140+2,FALSE)</f>
        <v>#N/A</v>
      </c>
      <c r="AE140" s="34" t="e">
        <f t="shared" si="230"/>
        <v>#N/A</v>
      </c>
      <c r="AF140" s="33" t="e">
        <f t="shared" si="156"/>
        <v>#N/A</v>
      </c>
      <c r="AG140" s="14" t="e">
        <f t="shared" si="157"/>
        <v>#N/A</v>
      </c>
      <c r="AH140" s="14" t="e">
        <f t="shared" si="158"/>
        <v>#N/A</v>
      </c>
      <c r="AI140" s="34" t="e">
        <f t="shared" si="231"/>
        <v>#N/A</v>
      </c>
      <c r="AJ140" s="49" t="e">
        <f t="shared" si="178"/>
        <v>#N/A</v>
      </c>
      <c r="AK140" s="49" t="e">
        <f t="shared" si="179"/>
        <v>#N/A</v>
      </c>
      <c r="AL140" s="49" t="e">
        <f t="shared" si="180"/>
        <v>#N/A</v>
      </c>
      <c r="AM140" s="25">
        <f t="shared" si="159"/>
        <v>30</v>
      </c>
      <c r="AN140" s="25">
        <f t="shared" si="160"/>
        <v>30</v>
      </c>
      <c r="AO140" s="25">
        <f t="shared" si="161"/>
        <v>30</v>
      </c>
      <c r="AP140" s="52" t="e">
        <f t="shared" si="181"/>
        <v>#N/A</v>
      </c>
      <c r="AQ140" s="53" t="e">
        <f t="shared" si="181"/>
        <v>#N/A</v>
      </c>
      <c r="AR140" s="54" t="e">
        <f t="shared" si="181"/>
        <v>#N/A</v>
      </c>
      <c r="AS140" s="316">
        <f t="shared" si="306"/>
        <v>0</v>
      </c>
      <c r="AT140" s="106">
        <f>_xlfn.IFNA($M140/VLOOKUP($BT140,'Unit information'!$A$2:$K$29,2,FALSE)*R140,0)*(1+$E$9)</f>
        <v>0</v>
      </c>
      <c r="AU140" s="107">
        <f>_xlfn.IFNA($M140/VLOOKUP($BT140,'Unit information'!$A$2:$K$29,3,FALSE)*S140,0)*(1+$E$9)</f>
        <v>0</v>
      </c>
      <c r="AV140" s="107">
        <f>_xlfn.IFNA($M140/VLOOKUP($BT140,'Unit information'!$A$2:$K$29,4,FALSE)*T140,0)*(1+$E$9)</f>
        <v>0</v>
      </c>
      <c r="AW140" s="107">
        <f>_xlfn.IFNA($M140/VLOOKUP($BT140,'Unit information'!$A$2:$K$29,5,FALSE)*U140,0)*(1+$E$9)</f>
        <v>0</v>
      </c>
      <c r="AX140" s="107">
        <f>_xlfn.IFNA($M140/VLOOKUP($BU140,'Unit information'!$A$2:$K$29,6,FALSE)*V140,0)*(1+$E$9)</f>
        <v>0</v>
      </c>
      <c r="AY140" s="107">
        <f>_xlfn.IFNA($M140/VLOOKUP($BU140,'Unit information'!$A$2:$K$29,7,FALSE)*W140,0)*(1+$E$9)</f>
        <v>0</v>
      </c>
      <c r="AZ140" s="107">
        <f>_xlfn.IFNA($M140/VLOOKUP($BU140,'Unit information'!$A$2:$K$29,8,FALSE)*X140,0)*(1+$E$9)</f>
        <v>0</v>
      </c>
      <c r="BA140" s="107">
        <f>_xlfn.IFNA($M140/VLOOKUP($BU140,'Unit information'!$A$2:$K$29,9,FALSE)*Y140,0)*(1+$E$9)</f>
        <v>0</v>
      </c>
      <c r="BB140" s="107">
        <f>_xlfn.IFNA($M140/VLOOKUP($BV140,'Unit information'!$A$2:$K$29,10,FALSE)*Z140,0)*(1+$E$9)</f>
        <v>0</v>
      </c>
      <c r="BC140" s="108">
        <f>_xlfn.IFNA($M140/VLOOKUP($BV140,'Unit information'!$A$2:$K$29,11,FALSE)*AA140,0)*(1+$E$9)</f>
        <v>0</v>
      </c>
      <c r="BD140" s="106">
        <f t="shared" si="162"/>
        <v>0</v>
      </c>
      <c r="BE140" s="107">
        <f t="shared" si="163"/>
        <v>0</v>
      </c>
      <c r="BF140" s="108">
        <f t="shared" si="164"/>
        <v>0</v>
      </c>
      <c r="BG140" s="25" t="e">
        <f t="shared" si="165"/>
        <v>#N/A</v>
      </c>
      <c r="BH140" s="25" t="e">
        <f t="shared" si="166"/>
        <v>#N/A</v>
      </c>
      <c r="BI140" s="25" t="e">
        <f t="shared" si="167"/>
        <v>#N/A</v>
      </c>
      <c r="BJ140" s="27" t="e">
        <f t="shared" si="168"/>
        <v>#N/A</v>
      </c>
      <c r="BK140" s="18" t="e">
        <f t="shared" si="169"/>
        <v>#N/A</v>
      </c>
      <c r="BL140" s="18" t="e">
        <f t="shared" si="170"/>
        <v>#N/A</v>
      </c>
      <c r="BM140" s="28" t="e">
        <f t="shared" si="233"/>
        <v>#N/A</v>
      </c>
      <c r="BN140" s="33">
        <f>HLOOKUP("maximum population",Miscelaneous!$C$1:$C$33,CH140+3,FALSE)</f>
        <v>240</v>
      </c>
      <c r="BO140" s="14">
        <f t="shared" si="182"/>
        <v>32</v>
      </c>
      <c r="BP140" s="14">
        <f t="shared" si="183"/>
        <v>0</v>
      </c>
      <c r="BQ140" s="14">
        <f t="shared" si="184"/>
        <v>208</v>
      </c>
      <c r="BR140" s="34" t="e">
        <f>HLOOKUP(J140,Villagers!$B$1:$V$33,L140+3,FALSE)-HLOOKUP(J140,Villagers!$B$1:$V$33,L140+2,FALSE)</f>
        <v>#N/A</v>
      </c>
      <c r="BS140" s="49">
        <f t="shared" si="185"/>
        <v>1</v>
      </c>
      <c r="BT140" s="50">
        <f t="shared" si="186"/>
        <v>0</v>
      </c>
      <c r="BU140" s="50">
        <f t="shared" si="187"/>
        <v>0</v>
      </c>
      <c r="BV140" s="50">
        <f t="shared" si="188"/>
        <v>0</v>
      </c>
      <c r="BW140" s="50">
        <f t="shared" si="312"/>
        <v>0</v>
      </c>
      <c r="BX140" s="50">
        <f t="shared" si="310"/>
        <v>0</v>
      </c>
      <c r="BY140" s="50">
        <f t="shared" si="310"/>
        <v>0</v>
      </c>
      <c r="BZ140" s="50">
        <f t="shared" si="245"/>
        <v>0</v>
      </c>
      <c r="CA140" s="50">
        <f t="shared" si="246"/>
        <v>0</v>
      </c>
      <c r="CB140" s="50">
        <f t="shared" si="247"/>
        <v>1</v>
      </c>
      <c r="CC140" s="50">
        <f t="shared" si="248"/>
        <v>0</v>
      </c>
      <c r="CD140" s="50">
        <f t="shared" si="249"/>
        <v>0</v>
      </c>
      <c r="CE140" s="50">
        <f t="shared" si="250"/>
        <v>1</v>
      </c>
      <c r="CF140" s="50">
        <f t="shared" si="251"/>
        <v>1</v>
      </c>
      <c r="CG140" s="50">
        <f t="shared" si="252"/>
        <v>1</v>
      </c>
      <c r="CH140" s="50">
        <f t="shared" si="253"/>
        <v>1</v>
      </c>
      <c r="CI140" s="50">
        <f t="shared" si="254"/>
        <v>1</v>
      </c>
      <c r="CJ140" s="50">
        <f t="shared" si="255"/>
        <v>1</v>
      </c>
      <c r="CK140" s="50">
        <f t="shared" si="255"/>
        <v>0</v>
      </c>
      <c r="CL140" s="50">
        <f t="shared" si="255"/>
        <v>0</v>
      </c>
      <c r="CM140" s="51">
        <f t="shared" si="256"/>
        <v>0</v>
      </c>
      <c r="CN140" s="33">
        <f>ROUND(IF(BS140=0,0,HLOOKUP(BS$14,Villagers!$B$1:$V$33,BS140+3,FALSE)),)</f>
        <v>5</v>
      </c>
      <c r="CO140" s="14">
        <f>ROUND(IF(BT140=0,0,HLOOKUP(BT$14,Villagers!$B$1:$V$33,BT140+3,FALSE)),)</f>
        <v>0</v>
      </c>
      <c r="CP140" s="14">
        <f>ROUND(IF(BU140=0,0,HLOOKUP(BU$14,Villagers!$B$1:$V$33,BU140+3,FALSE)),)</f>
        <v>0</v>
      </c>
      <c r="CQ140" s="14">
        <f>ROUND(IF(BV140=0,0,HLOOKUP(BV$14,Villagers!$B$1:$V$33,BV140+3,FALSE)),)</f>
        <v>0</v>
      </c>
      <c r="CR140" s="14">
        <f>ROUND(IF(BW140=0,0,HLOOKUP(BW$14,Villagers!$B$1:$V$33,BW140+3,FALSE)),)</f>
        <v>0</v>
      </c>
      <c r="CS140" s="14">
        <f>ROUND(IF(BX140=0,0,HLOOKUP(BX$14,Villagers!$B$1:$V$33,BX140+3,FALSE)),)</f>
        <v>0</v>
      </c>
      <c r="CT140" s="14">
        <f>ROUND(IF(BY140=0,0,HLOOKUP(BY$14,Villagers!$B$1:$V$33,BY140+3,FALSE)),)</f>
        <v>0</v>
      </c>
      <c r="CU140" s="14">
        <f>ROUND(IF(BZ140=0,0,HLOOKUP(BZ$14,Villagers!$B$1:$V$33,BZ140+3,FALSE)),)</f>
        <v>0</v>
      </c>
      <c r="CV140" s="14">
        <f>ROUND(IF(CA140=0,0,HLOOKUP(CA$14,Villagers!$B$1:$V$33,CA140+3,FALSE)),)</f>
        <v>0</v>
      </c>
      <c r="CW140" s="14">
        <f>ROUND(IF(CB140=0,0,HLOOKUP(CB$14,Villagers!$B$1:$V$33,CB140+3,FALSE)),)</f>
        <v>0</v>
      </c>
      <c r="CX140" s="14">
        <f>ROUND(IF(CC140=0,0,HLOOKUP(CC$14,Villagers!$B$1:$V$33,CC140+3,FALSE)),)</f>
        <v>0</v>
      </c>
      <c r="CY140" s="14">
        <f>ROUND(IF(CD140=0,0,HLOOKUP(CD$14,Villagers!$B$1:$V$33,CD140+3,FALSE)),)</f>
        <v>0</v>
      </c>
      <c r="CZ140" s="14">
        <f>ROUND(IF(CE140=0,0,HLOOKUP(CE$14,Villagers!$B$1:$V$33,CE140+3,FALSE)),)</f>
        <v>5</v>
      </c>
      <c r="DA140" s="14">
        <f>ROUND(IF(CF140=0,0,HLOOKUP(CF$14,Villagers!$B$1:$V$33,CF140+3,FALSE)),)</f>
        <v>10</v>
      </c>
      <c r="DB140" s="14">
        <f>ROUND(IF(CG140=0,0,HLOOKUP(CG$14,Villagers!$B$1:$V$33,CG140+3,FALSE)),)</f>
        <v>10</v>
      </c>
      <c r="DC140" s="14">
        <f>ROUND(IF(CH140=0,0,HLOOKUP(CH$14,Villagers!$B$1:$V$33,CH140+3,FALSE)),)</f>
        <v>0</v>
      </c>
      <c r="DD140" s="14">
        <f>ROUND(IF(CI140=0,0,HLOOKUP(CI$14,Villagers!$B$1:$V$33,CI140+3,FALSE)),)</f>
        <v>0</v>
      </c>
      <c r="DE140" s="14">
        <f>ROUND(IF(CJ140=0,0,HLOOKUP(CJ$14,Villagers!$B$1:$V$33,CJ140+3,FALSE)),)</f>
        <v>2</v>
      </c>
      <c r="DF140" s="370">
        <f>ROUND(IF(CK140=0,0,HLOOKUP(CK$14,Villagers!$B$1:$V$33,CK140+3,FALSE)),)</f>
        <v>0</v>
      </c>
      <c r="DG140" s="370">
        <f>ROUND(IF(CL140=0,0,HLOOKUP(CL$14,Villagers!$B$1:$V$33,CL140+3,FALSE)),)</f>
        <v>0</v>
      </c>
      <c r="DH140" s="34">
        <f>ROUND(IF(CM140=0,0,HLOOKUP(CM$14,Villagers!$B$1:$V$33,CM140+3,FALSE)),)</f>
        <v>0</v>
      </c>
      <c r="DI140" s="109">
        <f t="shared" si="219"/>
        <v>0</v>
      </c>
      <c r="DJ140" s="50">
        <f t="shared" si="220"/>
        <v>0</v>
      </c>
      <c r="DK140" s="50">
        <f t="shared" si="221"/>
        <v>0</v>
      </c>
      <c r="DL140" s="50">
        <f t="shared" si="222"/>
        <v>0</v>
      </c>
      <c r="DM140" s="50">
        <f t="shared" si="223"/>
        <v>0</v>
      </c>
      <c r="DN140" s="50">
        <f t="shared" si="224"/>
        <v>0</v>
      </c>
      <c r="DO140" s="50">
        <f t="shared" si="225"/>
        <v>0</v>
      </c>
      <c r="DP140" s="50">
        <f t="shared" si="226"/>
        <v>0</v>
      </c>
      <c r="DQ140" s="50">
        <f t="shared" si="203"/>
        <v>0</v>
      </c>
      <c r="DR140" s="50">
        <f t="shared" si="204"/>
        <v>0</v>
      </c>
      <c r="DS140" s="96">
        <f>Miscelaneous!$D$4*Miscelaneous!$D$2^($CI140-1)</f>
        <v>1000</v>
      </c>
      <c r="DT140" s="333">
        <f t="shared" si="171"/>
        <v>1</v>
      </c>
      <c r="DU140" s="81">
        <v>1</v>
      </c>
      <c r="DV140" s="79">
        <f t="shared" si="205"/>
        <v>0</v>
      </c>
      <c r="DW140" s="79">
        <f t="shared" si="206"/>
        <v>0</v>
      </c>
      <c r="DX140" s="79">
        <f t="shared" si="207"/>
        <v>0</v>
      </c>
      <c r="DY140" s="79">
        <v>1</v>
      </c>
      <c r="DZ140" s="79">
        <f t="shared" si="208"/>
        <v>0</v>
      </c>
      <c r="EA140" s="79">
        <f t="shared" si="209"/>
        <v>0</v>
      </c>
      <c r="EB140" s="79">
        <f t="shared" si="210"/>
        <v>0</v>
      </c>
      <c r="EC140" s="79">
        <f t="shared" si="211"/>
        <v>0</v>
      </c>
      <c r="ED140" s="79">
        <v>1</v>
      </c>
      <c r="EE140" s="79">
        <v>1</v>
      </c>
      <c r="EF140" s="79">
        <f t="shared" si="212"/>
        <v>0</v>
      </c>
      <c r="EG140" s="79">
        <v>1</v>
      </c>
      <c r="EH140" s="79">
        <v>1</v>
      </c>
      <c r="EI140" s="79">
        <v>1</v>
      </c>
      <c r="EJ140" s="79">
        <v>1</v>
      </c>
      <c r="EK140" s="79">
        <v>1</v>
      </c>
      <c r="EL140" s="79">
        <v>1</v>
      </c>
      <c r="EM140" s="143">
        <f t="shared" si="213"/>
        <v>0</v>
      </c>
      <c r="EN140" s="143">
        <f t="shared" si="214"/>
        <v>0</v>
      </c>
      <c r="EO140" s="82">
        <f t="shared" si="215"/>
        <v>0</v>
      </c>
    </row>
    <row r="141" spans="1:145" x14ac:dyDescent="0.25">
      <c r="A141">
        <v>127</v>
      </c>
      <c r="B141" s="172" t="e">
        <f t="shared" si="172"/>
        <v>#N/A</v>
      </c>
      <c r="C141" s="121" t="e">
        <f t="shared" ref="C141:E141" si="317">AJ141-SUM(AB141:AB145)</f>
        <v>#N/A</v>
      </c>
      <c r="D141" s="122" t="e">
        <f t="shared" si="317"/>
        <v>#N/A</v>
      </c>
      <c r="E141" s="122" t="e">
        <f t="shared" si="317"/>
        <v>#N/A</v>
      </c>
      <c r="F141" s="176" t="e">
        <f t="shared" si="154"/>
        <v>#N/A</v>
      </c>
      <c r="G141" s="121">
        <f t="shared" si="174"/>
        <v>208</v>
      </c>
      <c r="H141" s="176" t="e">
        <f t="shared" si="175"/>
        <v>#N/A</v>
      </c>
      <c r="I141" s="48">
        <v>1</v>
      </c>
      <c r="J141" s="39"/>
      <c r="K141" s="350">
        <v>1</v>
      </c>
      <c r="L141" s="34" t="e">
        <f t="shared" si="155"/>
        <v>#N/A</v>
      </c>
      <c r="M141" s="38" t="e">
        <f>(HLOOKUP(J141,'Construction Times'!$B$3:$W$34,L141+2,FALSE)*HLOOKUP("hq modifier",'Construction Times'!$W$3:$W$34,BS141+2,FALSE))*(1-$H$9)</f>
        <v>#N/A</v>
      </c>
      <c r="N141" s="426" t="e">
        <f t="shared" si="176"/>
        <v>#N/A</v>
      </c>
      <c r="O141" s="427"/>
      <c r="P141" s="430" t="e">
        <f t="shared" si="177"/>
        <v>#N/A</v>
      </c>
      <c r="Q141" s="431"/>
      <c r="R141" s="103">
        <f t="shared" si="217"/>
        <v>0</v>
      </c>
      <c r="S141" s="104">
        <f t="shared" si="217"/>
        <v>0</v>
      </c>
      <c r="T141" s="104">
        <f t="shared" si="218"/>
        <v>0</v>
      </c>
      <c r="U141" s="104">
        <f t="shared" si="218"/>
        <v>0</v>
      </c>
      <c r="V141" s="104">
        <f t="shared" si="218"/>
        <v>9.9999999999999995E-8</v>
      </c>
      <c r="W141" s="104">
        <f t="shared" si="218"/>
        <v>0</v>
      </c>
      <c r="X141" s="104">
        <f t="shared" si="278"/>
        <v>0</v>
      </c>
      <c r="Y141" s="104">
        <f t="shared" si="278"/>
        <v>9.9999999999999995E-8</v>
      </c>
      <c r="Z141" s="104">
        <f t="shared" si="278"/>
        <v>9.9999999999999995E-8</v>
      </c>
      <c r="AA141" s="105">
        <f t="shared" si="278"/>
        <v>9.9999999999999995E-8</v>
      </c>
      <c r="AB141" s="101" t="e">
        <f>$DT141*HLOOKUP($J141,'Construction Costs (timber)'!$B$1:$V$32,'Construction Planner'!$L141+2,FALSE)</f>
        <v>#N/A</v>
      </c>
      <c r="AC141" s="14" t="e">
        <f>$DT141*HLOOKUP($J141,'Construction Costs (clay)'!$B$1:$V$32,'Construction Planner'!$L141+2,FALSE)</f>
        <v>#N/A</v>
      </c>
      <c r="AD141" s="14" t="e">
        <f>$DT141*HLOOKUP($J141,'Construction Costs (iron)'!$B$1:$V$32,'Construction Planner'!$L141+2,FALSE)</f>
        <v>#N/A</v>
      </c>
      <c r="AE141" s="34" t="e">
        <f t="shared" si="230"/>
        <v>#N/A</v>
      </c>
      <c r="AF141" s="33" t="e">
        <f t="shared" si="156"/>
        <v>#N/A</v>
      </c>
      <c r="AG141" s="14" t="e">
        <f t="shared" si="157"/>
        <v>#N/A</v>
      </c>
      <c r="AH141" s="14" t="e">
        <f t="shared" si="158"/>
        <v>#N/A</v>
      </c>
      <c r="AI141" s="34" t="e">
        <f t="shared" si="231"/>
        <v>#N/A</v>
      </c>
      <c r="AJ141" s="49" t="e">
        <f t="shared" si="178"/>
        <v>#N/A</v>
      </c>
      <c r="AK141" s="49" t="e">
        <f t="shared" si="179"/>
        <v>#N/A</v>
      </c>
      <c r="AL141" s="49" t="e">
        <f t="shared" si="180"/>
        <v>#N/A</v>
      </c>
      <c r="AM141" s="25">
        <f t="shared" si="159"/>
        <v>30</v>
      </c>
      <c r="AN141" s="25">
        <f t="shared" si="160"/>
        <v>30</v>
      </c>
      <c r="AO141" s="25">
        <f t="shared" si="161"/>
        <v>30</v>
      </c>
      <c r="AP141" s="52" t="e">
        <f t="shared" si="181"/>
        <v>#N/A</v>
      </c>
      <c r="AQ141" s="53" t="e">
        <f t="shared" si="181"/>
        <v>#N/A</v>
      </c>
      <c r="AR141" s="54" t="e">
        <f t="shared" si="181"/>
        <v>#N/A</v>
      </c>
      <c r="AS141" s="316">
        <f t="shared" si="306"/>
        <v>0</v>
      </c>
      <c r="AT141" s="106">
        <f>_xlfn.IFNA($M141/VLOOKUP($BT141,'Unit information'!$A$2:$K$29,2,FALSE)*R141,0)*(1+$E$9)</f>
        <v>0</v>
      </c>
      <c r="AU141" s="107">
        <f>_xlfn.IFNA($M141/VLOOKUP($BT141,'Unit information'!$A$2:$K$29,3,FALSE)*S141,0)*(1+$E$9)</f>
        <v>0</v>
      </c>
      <c r="AV141" s="107">
        <f>_xlfn.IFNA($M141/VLOOKUP($BT141,'Unit information'!$A$2:$K$29,4,FALSE)*T141,0)*(1+$E$9)</f>
        <v>0</v>
      </c>
      <c r="AW141" s="107">
        <f>_xlfn.IFNA($M141/VLOOKUP($BT141,'Unit information'!$A$2:$K$29,5,FALSE)*U141,0)*(1+$E$9)</f>
        <v>0</v>
      </c>
      <c r="AX141" s="107">
        <f>_xlfn.IFNA($M141/VLOOKUP($BU141,'Unit information'!$A$2:$K$29,6,FALSE)*V141,0)*(1+$E$9)</f>
        <v>0</v>
      </c>
      <c r="AY141" s="107">
        <f>_xlfn.IFNA($M141/VLOOKUP($BU141,'Unit information'!$A$2:$K$29,7,FALSE)*W141,0)*(1+$E$9)</f>
        <v>0</v>
      </c>
      <c r="AZ141" s="107">
        <f>_xlfn.IFNA($M141/VLOOKUP($BU141,'Unit information'!$A$2:$K$29,8,FALSE)*X141,0)*(1+$E$9)</f>
        <v>0</v>
      </c>
      <c r="BA141" s="107">
        <f>_xlfn.IFNA($M141/VLOOKUP($BU141,'Unit information'!$A$2:$K$29,9,FALSE)*Y141,0)*(1+$E$9)</f>
        <v>0</v>
      </c>
      <c r="BB141" s="107">
        <f>_xlfn.IFNA($M141/VLOOKUP($BV141,'Unit information'!$A$2:$K$29,10,FALSE)*Z141,0)*(1+$E$9)</f>
        <v>0</v>
      </c>
      <c r="BC141" s="108">
        <f>_xlfn.IFNA($M141/VLOOKUP($BV141,'Unit information'!$A$2:$K$29,11,FALSE)*AA141,0)*(1+$E$9)</f>
        <v>0</v>
      </c>
      <c r="BD141" s="106">
        <f t="shared" si="162"/>
        <v>0</v>
      </c>
      <c r="BE141" s="107">
        <f t="shared" si="163"/>
        <v>0</v>
      </c>
      <c r="BF141" s="108">
        <f t="shared" si="164"/>
        <v>0</v>
      </c>
      <c r="BG141" s="25" t="e">
        <f t="shared" si="165"/>
        <v>#N/A</v>
      </c>
      <c r="BH141" s="25" t="e">
        <f t="shared" si="166"/>
        <v>#N/A</v>
      </c>
      <c r="BI141" s="25" t="e">
        <f t="shared" si="167"/>
        <v>#N/A</v>
      </c>
      <c r="BJ141" s="27" t="e">
        <f t="shared" si="168"/>
        <v>#N/A</v>
      </c>
      <c r="BK141" s="18" t="e">
        <f t="shared" si="169"/>
        <v>#N/A</v>
      </c>
      <c r="BL141" s="18" t="e">
        <f t="shared" si="170"/>
        <v>#N/A</v>
      </c>
      <c r="BM141" s="28" t="e">
        <f t="shared" si="233"/>
        <v>#N/A</v>
      </c>
      <c r="BN141" s="33">
        <f>HLOOKUP("maximum population",Miscelaneous!$C$1:$C$33,CH141+3,FALSE)</f>
        <v>240</v>
      </c>
      <c r="BO141" s="14">
        <f t="shared" si="182"/>
        <v>32</v>
      </c>
      <c r="BP141" s="14">
        <f t="shared" si="183"/>
        <v>0</v>
      </c>
      <c r="BQ141" s="14">
        <f t="shared" si="184"/>
        <v>208</v>
      </c>
      <c r="BR141" s="34" t="e">
        <f>HLOOKUP(J141,Villagers!$B$1:$V$33,L141+3,FALSE)-HLOOKUP(J141,Villagers!$B$1:$V$33,L141+2,FALSE)</f>
        <v>#N/A</v>
      </c>
      <c r="BS141" s="49">
        <f t="shared" si="185"/>
        <v>1</v>
      </c>
      <c r="BT141" s="50">
        <f t="shared" si="186"/>
        <v>0</v>
      </c>
      <c r="BU141" s="50">
        <f t="shared" si="187"/>
        <v>0</v>
      </c>
      <c r="BV141" s="50">
        <f t="shared" si="188"/>
        <v>0</v>
      </c>
      <c r="BW141" s="50">
        <f t="shared" si="312"/>
        <v>0</v>
      </c>
      <c r="BX141" s="50">
        <f t="shared" si="310"/>
        <v>0</v>
      </c>
      <c r="BY141" s="50">
        <f t="shared" si="310"/>
        <v>0</v>
      </c>
      <c r="BZ141" s="50">
        <f t="shared" si="245"/>
        <v>0</v>
      </c>
      <c r="CA141" s="50">
        <f t="shared" si="246"/>
        <v>0</v>
      </c>
      <c r="CB141" s="50">
        <f t="shared" si="247"/>
        <v>1</v>
      </c>
      <c r="CC141" s="50">
        <f t="shared" si="248"/>
        <v>0</v>
      </c>
      <c r="CD141" s="50">
        <f t="shared" si="249"/>
        <v>0</v>
      </c>
      <c r="CE141" s="50">
        <f t="shared" si="250"/>
        <v>1</v>
      </c>
      <c r="CF141" s="50">
        <f t="shared" si="251"/>
        <v>1</v>
      </c>
      <c r="CG141" s="50">
        <f t="shared" si="252"/>
        <v>1</v>
      </c>
      <c r="CH141" s="50">
        <f t="shared" si="253"/>
        <v>1</v>
      </c>
      <c r="CI141" s="50">
        <f t="shared" si="254"/>
        <v>1</v>
      </c>
      <c r="CJ141" s="50">
        <f t="shared" si="255"/>
        <v>1</v>
      </c>
      <c r="CK141" s="50">
        <f t="shared" si="255"/>
        <v>0</v>
      </c>
      <c r="CL141" s="50">
        <f t="shared" si="255"/>
        <v>0</v>
      </c>
      <c r="CM141" s="51">
        <f t="shared" si="256"/>
        <v>0</v>
      </c>
      <c r="CN141" s="33">
        <f>ROUND(IF(BS141=0,0,HLOOKUP(BS$14,Villagers!$B$1:$V$33,BS141+3,FALSE)),)</f>
        <v>5</v>
      </c>
      <c r="CO141" s="14">
        <f>ROUND(IF(BT141=0,0,HLOOKUP(BT$14,Villagers!$B$1:$V$33,BT141+3,FALSE)),)</f>
        <v>0</v>
      </c>
      <c r="CP141" s="14">
        <f>ROUND(IF(BU141=0,0,HLOOKUP(BU$14,Villagers!$B$1:$V$33,BU141+3,FALSE)),)</f>
        <v>0</v>
      </c>
      <c r="CQ141" s="14">
        <f>ROUND(IF(BV141=0,0,HLOOKUP(BV$14,Villagers!$B$1:$V$33,BV141+3,FALSE)),)</f>
        <v>0</v>
      </c>
      <c r="CR141" s="14">
        <f>ROUND(IF(BW141=0,0,HLOOKUP(BW$14,Villagers!$B$1:$V$33,BW141+3,FALSE)),)</f>
        <v>0</v>
      </c>
      <c r="CS141" s="14">
        <f>ROUND(IF(BX141=0,0,HLOOKUP(BX$14,Villagers!$B$1:$V$33,BX141+3,FALSE)),)</f>
        <v>0</v>
      </c>
      <c r="CT141" s="14">
        <f>ROUND(IF(BY141=0,0,HLOOKUP(BY$14,Villagers!$B$1:$V$33,BY141+3,FALSE)),)</f>
        <v>0</v>
      </c>
      <c r="CU141" s="14">
        <f>ROUND(IF(BZ141=0,0,HLOOKUP(BZ$14,Villagers!$B$1:$V$33,BZ141+3,FALSE)),)</f>
        <v>0</v>
      </c>
      <c r="CV141" s="14">
        <f>ROUND(IF(CA141=0,0,HLOOKUP(CA$14,Villagers!$B$1:$V$33,CA141+3,FALSE)),)</f>
        <v>0</v>
      </c>
      <c r="CW141" s="14">
        <f>ROUND(IF(CB141=0,0,HLOOKUP(CB$14,Villagers!$B$1:$V$33,CB141+3,FALSE)),)</f>
        <v>0</v>
      </c>
      <c r="CX141" s="14">
        <f>ROUND(IF(CC141=0,0,HLOOKUP(CC$14,Villagers!$B$1:$V$33,CC141+3,FALSE)),)</f>
        <v>0</v>
      </c>
      <c r="CY141" s="14">
        <f>ROUND(IF(CD141=0,0,HLOOKUP(CD$14,Villagers!$B$1:$V$33,CD141+3,FALSE)),)</f>
        <v>0</v>
      </c>
      <c r="CZ141" s="14">
        <f>ROUND(IF(CE141=0,0,HLOOKUP(CE$14,Villagers!$B$1:$V$33,CE141+3,FALSE)),)</f>
        <v>5</v>
      </c>
      <c r="DA141" s="14">
        <f>ROUND(IF(CF141=0,0,HLOOKUP(CF$14,Villagers!$B$1:$V$33,CF141+3,FALSE)),)</f>
        <v>10</v>
      </c>
      <c r="DB141" s="14">
        <f>ROUND(IF(CG141=0,0,HLOOKUP(CG$14,Villagers!$B$1:$V$33,CG141+3,FALSE)),)</f>
        <v>10</v>
      </c>
      <c r="DC141" s="14">
        <f>ROUND(IF(CH141=0,0,HLOOKUP(CH$14,Villagers!$B$1:$V$33,CH141+3,FALSE)),)</f>
        <v>0</v>
      </c>
      <c r="DD141" s="14">
        <f>ROUND(IF(CI141=0,0,HLOOKUP(CI$14,Villagers!$B$1:$V$33,CI141+3,FALSE)),)</f>
        <v>0</v>
      </c>
      <c r="DE141" s="14">
        <f>ROUND(IF(CJ141=0,0,HLOOKUP(CJ$14,Villagers!$B$1:$V$33,CJ141+3,FALSE)),)</f>
        <v>2</v>
      </c>
      <c r="DF141" s="370">
        <f>ROUND(IF(CK141=0,0,HLOOKUP(CK$14,Villagers!$B$1:$V$33,CK141+3,FALSE)),)</f>
        <v>0</v>
      </c>
      <c r="DG141" s="370">
        <f>ROUND(IF(CL141=0,0,HLOOKUP(CL$14,Villagers!$B$1:$V$33,CL141+3,FALSE)),)</f>
        <v>0</v>
      </c>
      <c r="DH141" s="34">
        <f>ROUND(IF(CM141=0,0,HLOOKUP(CM$14,Villagers!$B$1:$V$33,CM141+3,FALSE)),)</f>
        <v>0</v>
      </c>
      <c r="DI141" s="109">
        <f t="shared" si="219"/>
        <v>0</v>
      </c>
      <c r="DJ141" s="50">
        <f t="shared" si="220"/>
        <v>0</v>
      </c>
      <c r="DK141" s="50">
        <f t="shared" si="221"/>
        <v>0</v>
      </c>
      <c r="DL141" s="50">
        <f t="shared" si="222"/>
        <v>0</v>
      </c>
      <c r="DM141" s="50">
        <f t="shared" si="223"/>
        <v>0</v>
      </c>
      <c r="DN141" s="50">
        <f t="shared" si="224"/>
        <v>0</v>
      </c>
      <c r="DO141" s="50">
        <f t="shared" si="225"/>
        <v>0</v>
      </c>
      <c r="DP141" s="50">
        <f t="shared" si="226"/>
        <v>0</v>
      </c>
      <c r="DQ141" s="50">
        <f t="shared" si="203"/>
        <v>0</v>
      </c>
      <c r="DR141" s="50">
        <f t="shared" si="204"/>
        <v>0</v>
      </c>
      <c r="DS141" s="96">
        <f>Miscelaneous!$D$4*Miscelaneous!$D$2^($CI141-1)</f>
        <v>1000</v>
      </c>
      <c r="DT141" s="333">
        <f t="shared" si="171"/>
        <v>1</v>
      </c>
      <c r="DU141" s="81">
        <v>1</v>
      </c>
      <c r="DV141" s="79">
        <f t="shared" si="205"/>
        <v>0</v>
      </c>
      <c r="DW141" s="79">
        <f t="shared" si="206"/>
        <v>0</v>
      </c>
      <c r="DX141" s="79">
        <f t="shared" si="207"/>
        <v>0</v>
      </c>
      <c r="DY141" s="79">
        <v>1</v>
      </c>
      <c r="DZ141" s="79">
        <f t="shared" si="208"/>
        <v>0</v>
      </c>
      <c r="EA141" s="79">
        <f t="shared" si="209"/>
        <v>0</v>
      </c>
      <c r="EB141" s="79">
        <f t="shared" si="210"/>
        <v>0</v>
      </c>
      <c r="EC141" s="79">
        <f t="shared" si="211"/>
        <v>0</v>
      </c>
      <c r="ED141" s="79">
        <v>1</v>
      </c>
      <c r="EE141" s="79">
        <v>1</v>
      </c>
      <c r="EF141" s="79">
        <f t="shared" si="212"/>
        <v>0</v>
      </c>
      <c r="EG141" s="79">
        <v>1</v>
      </c>
      <c r="EH141" s="79">
        <v>1</v>
      </c>
      <c r="EI141" s="79">
        <v>1</v>
      </c>
      <c r="EJ141" s="79">
        <v>1</v>
      </c>
      <c r="EK141" s="79">
        <v>1</v>
      </c>
      <c r="EL141" s="79">
        <v>1</v>
      </c>
      <c r="EM141" s="143">
        <f t="shared" si="213"/>
        <v>0</v>
      </c>
      <c r="EN141" s="143">
        <f t="shared" si="214"/>
        <v>0</v>
      </c>
      <c r="EO141" s="82">
        <f t="shared" si="215"/>
        <v>0</v>
      </c>
    </row>
    <row r="142" spans="1:145" x14ac:dyDescent="0.25">
      <c r="A142">
        <v>128</v>
      </c>
      <c r="B142" s="172" t="e">
        <f t="shared" si="172"/>
        <v>#N/A</v>
      </c>
      <c r="C142" s="121" t="e">
        <f t="shared" ref="C142:E142" si="318">AJ142-SUM(AB142:AB146)</f>
        <v>#N/A</v>
      </c>
      <c r="D142" s="122" t="e">
        <f t="shared" si="318"/>
        <v>#N/A</v>
      </c>
      <c r="E142" s="122" t="e">
        <f t="shared" si="318"/>
        <v>#N/A</v>
      </c>
      <c r="F142" s="176" t="e">
        <f t="shared" si="154"/>
        <v>#N/A</v>
      </c>
      <c r="G142" s="121">
        <f t="shared" si="174"/>
        <v>208</v>
      </c>
      <c r="H142" s="176" t="e">
        <f t="shared" si="175"/>
        <v>#N/A</v>
      </c>
      <c r="I142" s="48">
        <v>1</v>
      </c>
      <c r="J142" s="39"/>
      <c r="K142" s="350">
        <v>1</v>
      </c>
      <c r="L142" s="34" t="e">
        <f t="shared" si="155"/>
        <v>#N/A</v>
      </c>
      <c r="M142" s="38" t="e">
        <f>(HLOOKUP(J142,'Construction Times'!$B$3:$W$34,L142+2,FALSE)*HLOOKUP("hq modifier",'Construction Times'!$W$3:$W$34,BS142+2,FALSE))*(1-$H$9)</f>
        <v>#N/A</v>
      </c>
      <c r="N142" s="426" t="e">
        <f t="shared" si="176"/>
        <v>#N/A</v>
      </c>
      <c r="O142" s="427"/>
      <c r="P142" s="430" t="e">
        <f t="shared" si="177"/>
        <v>#N/A</v>
      </c>
      <c r="Q142" s="431"/>
      <c r="R142" s="103">
        <f t="shared" si="217"/>
        <v>0</v>
      </c>
      <c r="S142" s="104">
        <f t="shared" si="217"/>
        <v>0</v>
      </c>
      <c r="T142" s="104">
        <f t="shared" si="218"/>
        <v>0</v>
      </c>
      <c r="U142" s="104">
        <f t="shared" si="218"/>
        <v>0</v>
      </c>
      <c r="V142" s="104">
        <f t="shared" si="218"/>
        <v>9.9999999999999995E-8</v>
      </c>
      <c r="W142" s="104">
        <f t="shared" si="218"/>
        <v>0</v>
      </c>
      <c r="X142" s="104">
        <f t="shared" si="278"/>
        <v>0</v>
      </c>
      <c r="Y142" s="104">
        <f t="shared" si="278"/>
        <v>9.9999999999999995E-8</v>
      </c>
      <c r="Z142" s="104">
        <f t="shared" si="278"/>
        <v>9.9999999999999995E-8</v>
      </c>
      <c r="AA142" s="105">
        <f t="shared" si="278"/>
        <v>9.9999999999999995E-8</v>
      </c>
      <c r="AB142" s="101" t="e">
        <f>$DT142*HLOOKUP($J142,'Construction Costs (timber)'!$B$1:$V$32,'Construction Planner'!$L142+2,FALSE)</f>
        <v>#N/A</v>
      </c>
      <c r="AC142" s="14" t="e">
        <f>$DT142*HLOOKUP($J142,'Construction Costs (clay)'!$B$1:$V$32,'Construction Planner'!$L142+2,FALSE)</f>
        <v>#N/A</v>
      </c>
      <c r="AD142" s="14" t="e">
        <f>$DT142*HLOOKUP($J142,'Construction Costs (iron)'!$B$1:$V$32,'Construction Planner'!$L142+2,FALSE)</f>
        <v>#N/A</v>
      </c>
      <c r="AE142" s="34" t="e">
        <f t="shared" si="230"/>
        <v>#N/A</v>
      </c>
      <c r="AF142" s="33" t="e">
        <f t="shared" si="156"/>
        <v>#N/A</v>
      </c>
      <c r="AG142" s="14" t="e">
        <f t="shared" si="157"/>
        <v>#N/A</v>
      </c>
      <c r="AH142" s="14" t="e">
        <f t="shared" si="158"/>
        <v>#N/A</v>
      </c>
      <c r="AI142" s="34" t="e">
        <f t="shared" si="231"/>
        <v>#N/A</v>
      </c>
      <c r="AJ142" s="49" t="e">
        <f t="shared" si="178"/>
        <v>#N/A</v>
      </c>
      <c r="AK142" s="49" t="e">
        <f t="shared" si="179"/>
        <v>#N/A</v>
      </c>
      <c r="AL142" s="49" t="e">
        <f t="shared" si="180"/>
        <v>#N/A</v>
      </c>
      <c r="AM142" s="25">
        <f t="shared" si="159"/>
        <v>30</v>
      </c>
      <c r="AN142" s="25">
        <f t="shared" si="160"/>
        <v>30</v>
      </c>
      <c r="AO142" s="25">
        <f t="shared" si="161"/>
        <v>30</v>
      </c>
      <c r="AP142" s="52" t="e">
        <f t="shared" si="181"/>
        <v>#N/A</v>
      </c>
      <c r="AQ142" s="53" t="e">
        <f t="shared" si="181"/>
        <v>#N/A</v>
      </c>
      <c r="AR142" s="54" t="e">
        <f t="shared" si="181"/>
        <v>#N/A</v>
      </c>
      <c r="AS142" s="316">
        <f t="shared" si="306"/>
        <v>0</v>
      </c>
      <c r="AT142" s="106">
        <f>_xlfn.IFNA($M142/VLOOKUP($BT142,'Unit information'!$A$2:$K$29,2,FALSE)*R142,0)*(1+$E$9)</f>
        <v>0</v>
      </c>
      <c r="AU142" s="107">
        <f>_xlfn.IFNA($M142/VLOOKUP($BT142,'Unit information'!$A$2:$K$29,3,FALSE)*S142,0)*(1+$E$9)</f>
        <v>0</v>
      </c>
      <c r="AV142" s="107">
        <f>_xlfn.IFNA($M142/VLOOKUP($BT142,'Unit information'!$A$2:$K$29,4,FALSE)*T142,0)*(1+$E$9)</f>
        <v>0</v>
      </c>
      <c r="AW142" s="107">
        <f>_xlfn.IFNA($M142/VLOOKUP($BT142,'Unit information'!$A$2:$K$29,5,FALSE)*U142,0)*(1+$E$9)</f>
        <v>0</v>
      </c>
      <c r="AX142" s="107">
        <f>_xlfn.IFNA($M142/VLOOKUP($BU142,'Unit information'!$A$2:$K$29,6,FALSE)*V142,0)*(1+$E$9)</f>
        <v>0</v>
      </c>
      <c r="AY142" s="107">
        <f>_xlfn.IFNA($M142/VLOOKUP($BU142,'Unit information'!$A$2:$K$29,7,FALSE)*W142,0)*(1+$E$9)</f>
        <v>0</v>
      </c>
      <c r="AZ142" s="107">
        <f>_xlfn.IFNA($M142/VLOOKUP($BU142,'Unit information'!$A$2:$K$29,8,FALSE)*X142,0)*(1+$E$9)</f>
        <v>0</v>
      </c>
      <c r="BA142" s="107">
        <f>_xlfn.IFNA($M142/VLOOKUP($BU142,'Unit information'!$A$2:$K$29,9,FALSE)*Y142,0)*(1+$E$9)</f>
        <v>0</v>
      </c>
      <c r="BB142" s="107">
        <f>_xlfn.IFNA($M142/VLOOKUP($BV142,'Unit information'!$A$2:$K$29,10,FALSE)*Z142,0)*(1+$E$9)</f>
        <v>0</v>
      </c>
      <c r="BC142" s="108">
        <f>_xlfn.IFNA($M142/VLOOKUP($BV142,'Unit information'!$A$2:$K$29,11,FALSE)*AA142,0)*(1+$E$9)</f>
        <v>0</v>
      </c>
      <c r="BD142" s="106">
        <f t="shared" si="162"/>
        <v>0</v>
      </c>
      <c r="BE142" s="107">
        <f t="shared" si="163"/>
        <v>0</v>
      </c>
      <c r="BF142" s="108">
        <f t="shared" si="164"/>
        <v>0</v>
      </c>
      <c r="BG142" s="25" t="e">
        <f t="shared" si="165"/>
        <v>#N/A</v>
      </c>
      <c r="BH142" s="25" t="e">
        <f t="shared" si="166"/>
        <v>#N/A</v>
      </c>
      <c r="BI142" s="25" t="e">
        <f t="shared" si="167"/>
        <v>#N/A</v>
      </c>
      <c r="BJ142" s="27" t="e">
        <f t="shared" si="168"/>
        <v>#N/A</v>
      </c>
      <c r="BK142" s="18" t="e">
        <f t="shared" si="169"/>
        <v>#N/A</v>
      </c>
      <c r="BL142" s="18" t="e">
        <f t="shared" si="170"/>
        <v>#N/A</v>
      </c>
      <c r="BM142" s="28" t="e">
        <f t="shared" si="233"/>
        <v>#N/A</v>
      </c>
      <c r="BN142" s="33">
        <f>HLOOKUP("maximum population",Miscelaneous!$C$1:$C$33,CH142+3,FALSE)</f>
        <v>240</v>
      </c>
      <c r="BO142" s="14">
        <f t="shared" si="182"/>
        <v>32</v>
      </c>
      <c r="BP142" s="14">
        <f t="shared" si="183"/>
        <v>0</v>
      </c>
      <c r="BQ142" s="14">
        <f t="shared" si="184"/>
        <v>208</v>
      </c>
      <c r="BR142" s="34" t="e">
        <f>HLOOKUP(J142,Villagers!$B$1:$V$33,L142+3,FALSE)-HLOOKUP(J142,Villagers!$B$1:$V$33,L142+2,FALSE)</f>
        <v>#N/A</v>
      </c>
      <c r="BS142" s="49">
        <f t="shared" si="185"/>
        <v>1</v>
      </c>
      <c r="BT142" s="50">
        <f t="shared" si="186"/>
        <v>0</v>
      </c>
      <c r="BU142" s="50">
        <f t="shared" si="187"/>
        <v>0</v>
      </c>
      <c r="BV142" s="50">
        <f t="shared" si="188"/>
        <v>0</v>
      </c>
      <c r="BW142" s="50">
        <f t="shared" si="312"/>
        <v>0</v>
      </c>
      <c r="BX142" s="50">
        <f t="shared" si="310"/>
        <v>0</v>
      </c>
      <c r="BY142" s="50">
        <f t="shared" si="310"/>
        <v>0</v>
      </c>
      <c r="BZ142" s="50">
        <f t="shared" si="245"/>
        <v>0</v>
      </c>
      <c r="CA142" s="50">
        <f t="shared" si="246"/>
        <v>0</v>
      </c>
      <c r="CB142" s="50">
        <f t="shared" si="247"/>
        <v>1</v>
      </c>
      <c r="CC142" s="50">
        <f t="shared" si="248"/>
        <v>0</v>
      </c>
      <c r="CD142" s="50">
        <f t="shared" si="249"/>
        <v>0</v>
      </c>
      <c r="CE142" s="50">
        <f t="shared" si="250"/>
        <v>1</v>
      </c>
      <c r="CF142" s="50">
        <f t="shared" si="251"/>
        <v>1</v>
      </c>
      <c r="CG142" s="50">
        <f t="shared" si="252"/>
        <v>1</v>
      </c>
      <c r="CH142" s="50">
        <f t="shared" si="253"/>
        <v>1</v>
      </c>
      <c r="CI142" s="50">
        <f t="shared" si="254"/>
        <v>1</v>
      </c>
      <c r="CJ142" s="50">
        <f t="shared" si="255"/>
        <v>1</v>
      </c>
      <c r="CK142" s="50">
        <f t="shared" si="255"/>
        <v>0</v>
      </c>
      <c r="CL142" s="50">
        <f t="shared" si="255"/>
        <v>0</v>
      </c>
      <c r="CM142" s="51">
        <f t="shared" si="256"/>
        <v>0</v>
      </c>
      <c r="CN142" s="33">
        <f>ROUND(IF(BS142=0,0,HLOOKUP(BS$14,Villagers!$B$1:$V$33,BS142+3,FALSE)),)</f>
        <v>5</v>
      </c>
      <c r="CO142" s="14">
        <f>ROUND(IF(BT142=0,0,HLOOKUP(BT$14,Villagers!$B$1:$V$33,BT142+3,FALSE)),)</f>
        <v>0</v>
      </c>
      <c r="CP142" s="14">
        <f>ROUND(IF(BU142=0,0,HLOOKUP(BU$14,Villagers!$B$1:$V$33,BU142+3,FALSE)),)</f>
        <v>0</v>
      </c>
      <c r="CQ142" s="14">
        <f>ROUND(IF(BV142=0,0,HLOOKUP(BV$14,Villagers!$B$1:$V$33,BV142+3,FALSE)),)</f>
        <v>0</v>
      </c>
      <c r="CR142" s="14">
        <f>ROUND(IF(BW142=0,0,HLOOKUP(BW$14,Villagers!$B$1:$V$33,BW142+3,FALSE)),)</f>
        <v>0</v>
      </c>
      <c r="CS142" s="14">
        <f>ROUND(IF(BX142=0,0,HLOOKUP(BX$14,Villagers!$B$1:$V$33,BX142+3,FALSE)),)</f>
        <v>0</v>
      </c>
      <c r="CT142" s="14">
        <f>ROUND(IF(BY142=0,0,HLOOKUP(BY$14,Villagers!$B$1:$V$33,BY142+3,FALSE)),)</f>
        <v>0</v>
      </c>
      <c r="CU142" s="14">
        <f>ROUND(IF(BZ142=0,0,HLOOKUP(BZ$14,Villagers!$B$1:$V$33,BZ142+3,FALSE)),)</f>
        <v>0</v>
      </c>
      <c r="CV142" s="14">
        <f>ROUND(IF(CA142=0,0,HLOOKUP(CA$14,Villagers!$B$1:$V$33,CA142+3,FALSE)),)</f>
        <v>0</v>
      </c>
      <c r="CW142" s="14">
        <f>ROUND(IF(CB142=0,0,HLOOKUP(CB$14,Villagers!$B$1:$V$33,CB142+3,FALSE)),)</f>
        <v>0</v>
      </c>
      <c r="CX142" s="14">
        <f>ROUND(IF(CC142=0,0,HLOOKUP(CC$14,Villagers!$B$1:$V$33,CC142+3,FALSE)),)</f>
        <v>0</v>
      </c>
      <c r="CY142" s="14">
        <f>ROUND(IF(CD142=0,0,HLOOKUP(CD$14,Villagers!$B$1:$V$33,CD142+3,FALSE)),)</f>
        <v>0</v>
      </c>
      <c r="CZ142" s="14">
        <f>ROUND(IF(CE142=0,0,HLOOKUP(CE$14,Villagers!$B$1:$V$33,CE142+3,FALSE)),)</f>
        <v>5</v>
      </c>
      <c r="DA142" s="14">
        <f>ROUND(IF(CF142=0,0,HLOOKUP(CF$14,Villagers!$B$1:$V$33,CF142+3,FALSE)),)</f>
        <v>10</v>
      </c>
      <c r="DB142" s="14">
        <f>ROUND(IF(CG142=0,0,HLOOKUP(CG$14,Villagers!$B$1:$V$33,CG142+3,FALSE)),)</f>
        <v>10</v>
      </c>
      <c r="DC142" s="14">
        <f>ROUND(IF(CH142=0,0,HLOOKUP(CH$14,Villagers!$B$1:$V$33,CH142+3,FALSE)),)</f>
        <v>0</v>
      </c>
      <c r="DD142" s="14">
        <f>ROUND(IF(CI142=0,0,HLOOKUP(CI$14,Villagers!$B$1:$V$33,CI142+3,FALSE)),)</f>
        <v>0</v>
      </c>
      <c r="DE142" s="14">
        <f>ROUND(IF(CJ142=0,0,HLOOKUP(CJ$14,Villagers!$B$1:$V$33,CJ142+3,FALSE)),)</f>
        <v>2</v>
      </c>
      <c r="DF142" s="370">
        <f>ROUND(IF(CK142=0,0,HLOOKUP(CK$14,Villagers!$B$1:$V$33,CK142+3,FALSE)),)</f>
        <v>0</v>
      </c>
      <c r="DG142" s="370">
        <f>ROUND(IF(CL142=0,0,HLOOKUP(CL$14,Villagers!$B$1:$V$33,CL142+3,FALSE)),)</f>
        <v>0</v>
      </c>
      <c r="DH142" s="34">
        <f>ROUND(IF(CM142=0,0,HLOOKUP(CM$14,Villagers!$B$1:$V$33,CM142+3,FALSE)),)</f>
        <v>0</v>
      </c>
      <c r="DI142" s="109">
        <f t="shared" si="219"/>
        <v>0</v>
      </c>
      <c r="DJ142" s="50">
        <f t="shared" si="220"/>
        <v>0</v>
      </c>
      <c r="DK142" s="50">
        <f t="shared" si="221"/>
        <v>0</v>
      </c>
      <c r="DL142" s="50">
        <f t="shared" si="222"/>
        <v>0</v>
      </c>
      <c r="DM142" s="50">
        <f t="shared" si="223"/>
        <v>0</v>
      </c>
      <c r="DN142" s="50">
        <f t="shared" si="224"/>
        <v>0</v>
      </c>
      <c r="DO142" s="50">
        <f t="shared" si="225"/>
        <v>0</v>
      </c>
      <c r="DP142" s="50">
        <f t="shared" si="226"/>
        <v>0</v>
      </c>
      <c r="DQ142" s="50">
        <f t="shared" si="203"/>
        <v>0</v>
      </c>
      <c r="DR142" s="50">
        <f t="shared" si="204"/>
        <v>0</v>
      </c>
      <c r="DS142" s="96">
        <f>Miscelaneous!$D$4*Miscelaneous!$D$2^($CI142-1)</f>
        <v>1000</v>
      </c>
      <c r="DT142" s="333">
        <f t="shared" si="171"/>
        <v>1</v>
      </c>
      <c r="DU142" s="81">
        <v>1</v>
      </c>
      <c r="DV142" s="79">
        <f t="shared" si="205"/>
        <v>0</v>
      </c>
      <c r="DW142" s="79">
        <f t="shared" si="206"/>
        <v>0</v>
      </c>
      <c r="DX142" s="79">
        <f t="shared" si="207"/>
        <v>0</v>
      </c>
      <c r="DY142" s="79">
        <v>1</v>
      </c>
      <c r="DZ142" s="79">
        <f t="shared" si="208"/>
        <v>0</v>
      </c>
      <c r="EA142" s="79">
        <f t="shared" si="209"/>
        <v>0</v>
      </c>
      <c r="EB142" s="79">
        <f t="shared" si="210"/>
        <v>0</v>
      </c>
      <c r="EC142" s="79">
        <f t="shared" si="211"/>
        <v>0</v>
      </c>
      <c r="ED142" s="79">
        <v>1</v>
      </c>
      <c r="EE142" s="79">
        <v>1</v>
      </c>
      <c r="EF142" s="79">
        <f t="shared" si="212"/>
        <v>0</v>
      </c>
      <c r="EG142" s="79">
        <v>1</v>
      </c>
      <c r="EH142" s="79">
        <v>1</v>
      </c>
      <c r="EI142" s="79">
        <v>1</v>
      </c>
      <c r="EJ142" s="79">
        <v>1</v>
      </c>
      <c r="EK142" s="79">
        <v>1</v>
      </c>
      <c r="EL142" s="79">
        <v>1</v>
      </c>
      <c r="EM142" s="143">
        <f t="shared" si="213"/>
        <v>0</v>
      </c>
      <c r="EN142" s="143">
        <f t="shared" si="214"/>
        <v>0</v>
      </c>
      <c r="EO142" s="82">
        <f t="shared" si="215"/>
        <v>0</v>
      </c>
    </row>
    <row r="143" spans="1:145" x14ac:dyDescent="0.25">
      <c r="A143">
        <v>129</v>
      </c>
      <c r="B143" s="172" t="e">
        <f t="shared" si="172"/>
        <v>#N/A</v>
      </c>
      <c r="C143" s="121" t="e">
        <f t="shared" ref="C143:E143" si="319">AJ143-SUM(AB143:AB147)</f>
        <v>#N/A</v>
      </c>
      <c r="D143" s="122" t="e">
        <f t="shared" si="319"/>
        <v>#N/A</v>
      </c>
      <c r="E143" s="122" t="e">
        <f t="shared" si="319"/>
        <v>#N/A</v>
      </c>
      <c r="F143" s="176" t="e">
        <f t="shared" ref="F143:F206" si="320">IF(AND(MAX(C143:E143)&gt;0,DS143-MAX(C143:E143)&lt;DS143),DS143-MAX(C143:E143),DS143)</f>
        <v>#N/A</v>
      </c>
      <c r="G143" s="121">
        <f t="shared" si="174"/>
        <v>208</v>
      </c>
      <c r="H143" s="176" t="e">
        <f t="shared" si="175"/>
        <v>#N/A</v>
      </c>
      <c r="I143" s="48">
        <v>1</v>
      </c>
      <c r="J143" s="39"/>
      <c r="K143" s="350">
        <v>1</v>
      </c>
      <c r="L143" s="34" t="e">
        <f t="shared" ref="L143:L206" si="321">HLOOKUP(J143,$BS$14:$CM$508,A144,FALSE)+K143</f>
        <v>#N/A</v>
      </c>
      <c r="M143" s="38" t="e">
        <f>(HLOOKUP(J143,'Construction Times'!$B$3:$W$34,L143+2,FALSE)*HLOOKUP("hq modifier",'Construction Times'!$W$3:$W$34,BS143+2,FALSE))*(1-$H$9)</f>
        <v>#N/A</v>
      </c>
      <c r="N143" s="426" t="e">
        <f t="shared" si="176"/>
        <v>#N/A</v>
      </c>
      <c r="O143" s="427"/>
      <c r="P143" s="430" t="e">
        <f t="shared" si="177"/>
        <v>#N/A</v>
      </c>
      <c r="Q143" s="431"/>
      <c r="R143" s="103">
        <f t="shared" si="217"/>
        <v>0</v>
      </c>
      <c r="S143" s="104">
        <f t="shared" si="217"/>
        <v>0</v>
      </c>
      <c r="T143" s="104">
        <f t="shared" si="218"/>
        <v>0</v>
      </c>
      <c r="U143" s="104">
        <f t="shared" si="218"/>
        <v>0</v>
      </c>
      <c r="V143" s="104">
        <f t="shared" si="218"/>
        <v>9.9999999999999995E-8</v>
      </c>
      <c r="W143" s="104">
        <f t="shared" si="218"/>
        <v>0</v>
      </c>
      <c r="X143" s="104">
        <f t="shared" si="278"/>
        <v>0</v>
      </c>
      <c r="Y143" s="104">
        <f t="shared" si="278"/>
        <v>9.9999999999999995E-8</v>
      </c>
      <c r="Z143" s="104">
        <f t="shared" si="278"/>
        <v>9.9999999999999995E-8</v>
      </c>
      <c r="AA143" s="105">
        <f t="shared" si="278"/>
        <v>9.9999999999999995E-8</v>
      </c>
      <c r="AB143" s="101" t="e">
        <f>$DT143*HLOOKUP($J143,'Construction Costs (timber)'!$B$1:$V$32,'Construction Planner'!$L143+2,FALSE)</f>
        <v>#N/A</v>
      </c>
      <c r="AC143" s="14" t="e">
        <f>$DT143*HLOOKUP($J143,'Construction Costs (clay)'!$B$1:$V$32,'Construction Planner'!$L143+2,FALSE)</f>
        <v>#N/A</v>
      </c>
      <c r="AD143" s="14" t="e">
        <f>$DT143*HLOOKUP($J143,'Construction Costs (iron)'!$B$1:$V$32,'Construction Planner'!$L143+2,FALSE)</f>
        <v>#N/A</v>
      </c>
      <c r="AE143" s="34" t="e">
        <f t="shared" si="230"/>
        <v>#N/A</v>
      </c>
      <c r="AF143" s="33" t="e">
        <f t="shared" ref="AF143:AF206" si="322">AB143*($AH$3/$M143)</f>
        <v>#N/A</v>
      </c>
      <c r="AG143" s="14" t="e">
        <f t="shared" ref="AG143:AG206" si="323">AC143*($AH$3/$M143)</f>
        <v>#N/A</v>
      </c>
      <c r="AH143" s="14" t="e">
        <f t="shared" ref="AH143:AH206" si="324">AD143*($AH$3/$M143)</f>
        <v>#N/A</v>
      </c>
      <c r="AI143" s="34" t="e">
        <f t="shared" si="231"/>
        <v>#N/A</v>
      </c>
      <c r="AJ143" s="49" t="e">
        <f t="shared" si="178"/>
        <v>#N/A</v>
      </c>
      <c r="AK143" s="49" t="e">
        <f t="shared" si="179"/>
        <v>#N/A</v>
      </c>
      <c r="AL143" s="49" t="e">
        <f t="shared" si="180"/>
        <v>#N/A</v>
      </c>
      <c r="AM143" s="25">
        <f t="shared" ref="AM143:AM206" si="325">IF(CE143 = 0,$E$3*5,$E$3*30*1.163118^(CE143-1))*(1+$B$10)</f>
        <v>30</v>
      </c>
      <c r="AN143" s="25">
        <f t="shared" ref="AN143:AN206" si="326">IF(CF143 = 0,$E$3*5,$E$3*30*1.163118^(CF143-1))*(1+$B$10)</f>
        <v>30</v>
      </c>
      <c r="AO143" s="25">
        <f t="shared" ref="AO143:AO206" si="327">IF(CG143 = 0,$E$3*5,$E$3*30*1.163118^(CG143-1))*(1+$B$10)</f>
        <v>30</v>
      </c>
      <c r="AP143" s="52" t="e">
        <f t="shared" si="181"/>
        <v>#N/A</v>
      </c>
      <c r="AQ143" s="53" t="e">
        <f t="shared" si="181"/>
        <v>#N/A</v>
      </c>
      <c r="AR143" s="54" t="e">
        <f t="shared" si="181"/>
        <v>#N/A</v>
      </c>
      <c r="AS143" s="316">
        <f t="shared" si="306"/>
        <v>0</v>
      </c>
      <c r="AT143" s="106">
        <f>_xlfn.IFNA($M143/VLOOKUP($BT143,'Unit information'!$A$2:$K$29,2,FALSE)*R143,0)*(1+$E$9)</f>
        <v>0</v>
      </c>
      <c r="AU143" s="107">
        <f>_xlfn.IFNA($M143/VLOOKUP($BT143,'Unit information'!$A$2:$K$29,3,FALSE)*S143,0)*(1+$E$9)</f>
        <v>0</v>
      </c>
      <c r="AV143" s="107">
        <f>_xlfn.IFNA($M143/VLOOKUP($BT143,'Unit information'!$A$2:$K$29,4,FALSE)*T143,0)*(1+$E$9)</f>
        <v>0</v>
      </c>
      <c r="AW143" s="107">
        <f>_xlfn.IFNA($M143/VLOOKUP($BT143,'Unit information'!$A$2:$K$29,5,FALSE)*U143,0)*(1+$E$9)</f>
        <v>0</v>
      </c>
      <c r="AX143" s="107">
        <f>_xlfn.IFNA($M143/VLOOKUP($BU143,'Unit information'!$A$2:$K$29,6,FALSE)*V143,0)*(1+$E$9)</f>
        <v>0</v>
      </c>
      <c r="AY143" s="107">
        <f>_xlfn.IFNA($M143/VLOOKUP($BU143,'Unit information'!$A$2:$K$29,7,FALSE)*W143,0)*(1+$E$9)</f>
        <v>0</v>
      </c>
      <c r="AZ143" s="107">
        <f>_xlfn.IFNA($M143/VLOOKUP($BU143,'Unit information'!$A$2:$K$29,8,FALSE)*X143,0)*(1+$E$9)</f>
        <v>0</v>
      </c>
      <c r="BA143" s="107">
        <f>_xlfn.IFNA($M143/VLOOKUP($BU143,'Unit information'!$A$2:$K$29,9,FALSE)*Y143,0)*(1+$E$9)</f>
        <v>0</v>
      </c>
      <c r="BB143" s="107">
        <f>_xlfn.IFNA($M143/VLOOKUP($BV143,'Unit information'!$A$2:$K$29,10,FALSE)*Z143,0)*(1+$E$9)</f>
        <v>0</v>
      </c>
      <c r="BC143" s="108">
        <f>_xlfn.IFNA($M143/VLOOKUP($BV143,'Unit information'!$A$2:$K$29,11,FALSE)*AA143,0)*(1+$E$9)</f>
        <v>0</v>
      </c>
      <c r="BD143" s="106">
        <f t="shared" ref="BD143:BD206" si="328">$AT143*50+$AU143*30+$AV143*60+$AX143*50+$AY143*125+$BA143*200+$BB143*300+$BC143*320</f>
        <v>0</v>
      </c>
      <c r="BE143" s="107">
        <f t="shared" ref="BE143:BE206" si="329">$AT143*30+$AU143*30+$AV143*30+$AX143*50+$AY143*100+$BA143*150+$BB143*200+$BC143*400</f>
        <v>0</v>
      </c>
      <c r="BF143" s="108">
        <f t="shared" ref="BF143:BF206" si="330">$AT143*10+$AU143*70+$AV143*40+$AX143*20+$AY143*250+$BA143*600+$BB143*200+$BC143*100</f>
        <v>0</v>
      </c>
      <c r="BG143" s="25" t="e">
        <f t="shared" ref="BG143:BG206" si="331">AM143+AP143</f>
        <v>#N/A</v>
      </c>
      <c r="BH143" s="25" t="e">
        <f t="shared" ref="BH143:BH206" si="332">AN143+AQ143</f>
        <v>#N/A</v>
      </c>
      <c r="BI143" s="25" t="e">
        <f t="shared" ref="BI143:BI206" si="333">AO143+AR143</f>
        <v>#N/A</v>
      </c>
      <c r="BJ143" s="27" t="e">
        <f t="shared" ref="BJ143:BJ206" si="334">IF(AJ143&gt;AB143,0,(AB143-AJ143)/BG143*$AK$3)</f>
        <v>#N/A</v>
      </c>
      <c r="BK143" s="18" t="e">
        <f t="shared" ref="BK143:BK206" si="335">IF(AK143&gt;AC143,0,(AC143-AK143)/BH143*$AK$3)</f>
        <v>#N/A</v>
      </c>
      <c r="BL143" s="18" t="e">
        <f t="shared" ref="BL143:BL206" si="336">IF(AL143&gt;AD143,0,(AD143-AL143)/BI143*$AK$3)</f>
        <v>#N/A</v>
      </c>
      <c r="BM143" s="28" t="e">
        <f t="shared" si="233"/>
        <v>#N/A</v>
      </c>
      <c r="BN143" s="33">
        <f>HLOOKUP("maximum population",Miscelaneous!$C$1:$C$33,CH143+3,FALSE)</f>
        <v>240</v>
      </c>
      <c r="BO143" s="14">
        <f t="shared" si="182"/>
        <v>32</v>
      </c>
      <c r="BP143" s="14">
        <f t="shared" si="183"/>
        <v>0</v>
      </c>
      <c r="BQ143" s="14">
        <f t="shared" si="184"/>
        <v>208</v>
      </c>
      <c r="BR143" s="34" t="e">
        <f>HLOOKUP(J143,Villagers!$B$1:$V$33,L143+3,FALSE)-HLOOKUP(J143,Villagers!$B$1:$V$33,L143+2,FALSE)</f>
        <v>#N/A</v>
      </c>
      <c r="BS143" s="49">
        <f t="shared" si="185"/>
        <v>1</v>
      </c>
      <c r="BT143" s="50">
        <f t="shared" si="186"/>
        <v>0</v>
      </c>
      <c r="BU143" s="50">
        <f t="shared" si="187"/>
        <v>0</v>
      </c>
      <c r="BV143" s="50">
        <f t="shared" si="188"/>
        <v>0</v>
      </c>
      <c r="BW143" s="50">
        <f t="shared" si="312"/>
        <v>0</v>
      </c>
      <c r="BX143" s="50">
        <f t="shared" si="310"/>
        <v>0</v>
      </c>
      <c r="BY143" s="50">
        <f t="shared" si="310"/>
        <v>0</v>
      </c>
      <c r="BZ143" s="50">
        <f t="shared" si="245"/>
        <v>0</v>
      </c>
      <c r="CA143" s="50">
        <f t="shared" si="246"/>
        <v>0</v>
      </c>
      <c r="CB143" s="50">
        <f t="shared" si="247"/>
        <v>1</v>
      </c>
      <c r="CC143" s="50">
        <f t="shared" si="248"/>
        <v>0</v>
      </c>
      <c r="CD143" s="50">
        <f t="shared" si="249"/>
        <v>0</v>
      </c>
      <c r="CE143" s="50">
        <f t="shared" si="250"/>
        <v>1</v>
      </c>
      <c r="CF143" s="50">
        <f t="shared" si="251"/>
        <v>1</v>
      </c>
      <c r="CG143" s="50">
        <f t="shared" si="252"/>
        <v>1</v>
      </c>
      <c r="CH143" s="50">
        <f t="shared" si="253"/>
        <v>1</v>
      </c>
      <c r="CI143" s="50">
        <f t="shared" si="254"/>
        <v>1</v>
      </c>
      <c r="CJ143" s="50">
        <f t="shared" si="255"/>
        <v>1</v>
      </c>
      <c r="CK143" s="50">
        <f t="shared" si="255"/>
        <v>0</v>
      </c>
      <c r="CL143" s="50">
        <f t="shared" si="255"/>
        <v>0</v>
      </c>
      <c r="CM143" s="51">
        <f t="shared" si="256"/>
        <v>0</v>
      </c>
      <c r="CN143" s="33">
        <f>ROUND(IF(BS143=0,0,HLOOKUP(BS$14,Villagers!$B$1:$V$33,BS143+3,FALSE)),)</f>
        <v>5</v>
      </c>
      <c r="CO143" s="14">
        <f>ROUND(IF(BT143=0,0,HLOOKUP(BT$14,Villagers!$B$1:$V$33,BT143+3,FALSE)),)</f>
        <v>0</v>
      </c>
      <c r="CP143" s="14">
        <f>ROUND(IF(BU143=0,0,HLOOKUP(BU$14,Villagers!$B$1:$V$33,BU143+3,FALSE)),)</f>
        <v>0</v>
      </c>
      <c r="CQ143" s="14">
        <f>ROUND(IF(BV143=0,0,HLOOKUP(BV$14,Villagers!$B$1:$V$33,BV143+3,FALSE)),)</f>
        <v>0</v>
      </c>
      <c r="CR143" s="14">
        <f>ROUND(IF(BW143=0,0,HLOOKUP(BW$14,Villagers!$B$1:$V$33,BW143+3,FALSE)),)</f>
        <v>0</v>
      </c>
      <c r="CS143" s="14">
        <f>ROUND(IF(BX143=0,0,HLOOKUP(BX$14,Villagers!$B$1:$V$33,BX143+3,FALSE)),)</f>
        <v>0</v>
      </c>
      <c r="CT143" s="14">
        <f>ROUND(IF(BY143=0,0,HLOOKUP(BY$14,Villagers!$B$1:$V$33,BY143+3,FALSE)),)</f>
        <v>0</v>
      </c>
      <c r="CU143" s="14">
        <f>ROUND(IF(BZ143=0,0,HLOOKUP(BZ$14,Villagers!$B$1:$V$33,BZ143+3,FALSE)),)</f>
        <v>0</v>
      </c>
      <c r="CV143" s="14">
        <f>ROUND(IF(CA143=0,0,HLOOKUP(CA$14,Villagers!$B$1:$V$33,CA143+3,FALSE)),)</f>
        <v>0</v>
      </c>
      <c r="CW143" s="14">
        <f>ROUND(IF(CB143=0,0,HLOOKUP(CB$14,Villagers!$B$1:$V$33,CB143+3,FALSE)),)</f>
        <v>0</v>
      </c>
      <c r="CX143" s="14">
        <f>ROUND(IF(CC143=0,0,HLOOKUP(CC$14,Villagers!$B$1:$V$33,CC143+3,FALSE)),)</f>
        <v>0</v>
      </c>
      <c r="CY143" s="14">
        <f>ROUND(IF(CD143=0,0,HLOOKUP(CD$14,Villagers!$B$1:$V$33,CD143+3,FALSE)),)</f>
        <v>0</v>
      </c>
      <c r="CZ143" s="14">
        <f>ROUND(IF(CE143=0,0,HLOOKUP(CE$14,Villagers!$B$1:$V$33,CE143+3,FALSE)),)</f>
        <v>5</v>
      </c>
      <c r="DA143" s="14">
        <f>ROUND(IF(CF143=0,0,HLOOKUP(CF$14,Villagers!$B$1:$V$33,CF143+3,FALSE)),)</f>
        <v>10</v>
      </c>
      <c r="DB143" s="14">
        <f>ROUND(IF(CG143=0,0,HLOOKUP(CG$14,Villagers!$B$1:$V$33,CG143+3,FALSE)),)</f>
        <v>10</v>
      </c>
      <c r="DC143" s="14">
        <f>ROUND(IF(CH143=0,0,HLOOKUP(CH$14,Villagers!$B$1:$V$33,CH143+3,FALSE)),)</f>
        <v>0</v>
      </c>
      <c r="DD143" s="14">
        <f>ROUND(IF(CI143=0,0,HLOOKUP(CI$14,Villagers!$B$1:$V$33,CI143+3,FALSE)),)</f>
        <v>0</v>
      </c>
      <c r="DE143" s="14">
        <f>ROUND(IF(CJ143=0,0,HLOOKUP(CJ$14,Villagers!$B$1:$V$33,CJ143+3,FALSE)),)</f>
        <v>2</v>
      </c>
      <c r="DF143" s="370">
        <f>ROUND(IF(CK143=0,0,HLOOKUP(CK$14,Villagers!$B$1:$V$33,CK143+3,FALSE)),)</f>
        <v>0</v>
      </c>
      <c r="DG143" s="370">
        <f>ROUND(IF(CL143=0,0,HLOOKUP(CL$14,Villagers!$B$1:$V$33,CL143+3,FALSE)),)</f>
        <v>0</v>
      </c>
      <c r="DH143" s="34">
        <f>ROUND(IF(CM143=0,0,HLOOKUP(CM$14,Villagers!$B$1:$V$33,CM143+3,FALSE)),)</f>
        <v>0</v>
      </c>
      <c r="DI143" s="109">
        <f t="shared" si="219"/>
        <v>0</v>
      </c>
      <c r="DJ143" s="50">
        <f t="shared" si="220"/>
        <v>0</v>
      </c>
      <c r="DK143" s="50">
        <f t="shared" si="221"/>
        <v>0</v>
      </c>
      <c r="DL143" s="50">
        <f t="shared" si="222"/>
        <v>0</v>
      </c>
      <c r="DM143" s="50">
        <f t="shared" si="223"/>
        <v>0</v>
      </c>
      <c r="DN143" s="50">
        <f t="shared" si="224"/>
        <v>0</v>
      </c>
      <c r="DO143" s="50">
        <f t="shared" si="225"/>
        <v>0</v>
      </c>
      <c r="DP143" s="50">
        <f t="shared" si="226"/>
        <v>0</v>
      </c>
      <c r="DQ143" s="50">
        <f t="shared" si="203"/>
        <v>0</v>
      </c>
      <c r="DR143" s="50">
        <f t="shared" si="204"/>
        <v>0</v>
      </c>
      <c r="DS143" s="96">
        <f>Miscelaneous!$D$4*Miscelaneous!$D$2^($CI143-1)</f>
        <v>1000</v>
      </c>
      <c r="DT143" s="333">
        <f t="shared" ref="DT143:DT206" si="337">IF(I143&lt;3,1,1.125^(I143-3))</f>
        <v>1</v>
      </c>
      <c r="DU143" s="81">
        <v>1</v>
      </c>
      <c r="DV143" s="79">
        <f t="shared" si="205"/>
        <v>0</v>
      </c>
      <c r="DW143" s="79">
        <f t="shared" si="206"/>
        <v>0</v>
      </c>
      <c r="DX143" s="79">
        <f t="shared" si="207"/>
        <v>0</v>
      </c>
      <c r="DY143" s="79">
        <v>1</v>
      </c>
      <c r="DZ143" s="79">
        <f t="shared" si="208"/>
        <v>0</v>
      </c>
      <c r="EA143" s="79">
        <f t="shared" si="209"/>
        <v>0</v>
      </c>
      <c r="EB143" s="79">
        <f t="shared" si="210"/>
        <v>0</v>
      </c>
      <c r="EC143" s="79">
        <f t="shared" si="211"/>
        <v>0</v>
      </c>
      <c r="ED143" s="79">
        <v>1</v>
      </c>
      <c r="EE143" s="79">
        <v>1</v>
      </c>
      <c r="EF143" s="79">
        <f t="shared" si="212"/>
        <v>0</v>
      </c>
      <c r="EG143" s="79">
        <v>1</v>
      </c>
      <c r="EH143" s="79">
        <v>1</v>
      </c>
      <c r="EI143" s="79">
        <v>1</v>
      </c>
      <c r="EJ143" s="79">
        <v>1</v>
      </c>
      <c r="EK143" s="79">
        <v>1</v>
      </c>
      <c r="EL143" s="79">
        <v>1</v>
      </c>
      <c r="EM143" s="143">
        <f t="shared" si="213"/>
        <v>0</v>
      </c>
      <c r="EN143" s="143">
        <f t="shared" si="214"/>
        <v>0</v>
      </c>
      <c r="EO143" s="82">
        <f t="shared" si="215"/>
        <v>0</v>
      </c>
    </row>
    <row r="144" spans="1:145" x14ac:dyDescent="0.25">
      <c r="A144">
        <v>130</v>
      </c>
      <c r="B144" s="172" t="e">
        <f t="shared" ref="B144:B207" si="338">BM144</f>
        <v>#N/A</v>
      </c>
      <c r="C144" s="121" t="e">
        <f t="shared" ref="C144:E144" si="339">AJ144-SUM(AB144:AB148)</f>
        <v>#N/A</v>
      </c>
      <c r="D144" s="122" t="e">
        <f t="shared" si="339"/>
        <v>#N/A</v>
      </c>
      <c r="E144" s="122" t="e">
        <f t="shared" si="339"/>
        <v>#N/A</v>
      </c>
      <c r="F144" s="176" t="e">
        <f t="shared" si="320"/>
        <v>#N/A</v>
      </c>
      <c r="G144" s="121">
        <f t="shared" ref="G144:G207" si="340">BQ144</f>
        <v>208</v>
      </c>
      <c r="H144" s="176" t="e">
        <f t="shared" ref="H144:H207" si="341">BQ144-SUM(BR144:BR148)</f>
        <v>#N/A</v>
      </c>
      <c r="I144" s="48">
        <v>1</v>
      </c>
      <c r="J144" s="39"/>
      <c r="K144" s="350">
        <v>1</v>
      </c>
      <c r="L144" s="34" t="e">
        <f t="shared" si="321"/>
        <v>#N/A</v>
      </c>
      <c r="M144" s="38" t="e">
        <f>(HLOOKUP(J144,'Construction Times'!$B$3:$W$34,L144+2,FALSE)*HLOOKUP("hq modifier",'Construction Times'!$W$3:$W$34,BS144+2,FALSE))*(1-$H$9)</f>
        <v>#N/A</v>
      </c>
      <c r="N144" s="426" t="e">
        <f t="shared" ref="N144:N207" si="342">P143+M143</f>
        <v>#N/A</v>
      </c>
      <c r="O144" s="427"/>
      <c r="P144" s="430" t="e">
        <f t="shared" ref="P144:P207" si="343">IF(MAX(AB144:AD144)&gt;DS144,"Speicher zu klein",IF(HLOOKUP(J144,$DU$14:$EO$509,A144+2,FALSE)=0,"Gebäude Vor. nicht erfüllt",N144+BM144))</f>
        <v>#N/A</v>
      </c>
      <c r="Q144" s="431"/>
      <c r="R144" s="103">
        <f t="shared" si="217"/>
        <v>0</v>
      </c>
      <c r="S144" s="104">
        <f t="shared" si="217"/>
        <v>0</v>
      </c>
      <c r="T144" s="104">
        <f t="shared" si="218"/>
        <v>0</v>
      </c>
      <c r="U144" s="104">
        <f t="shared" si="218"/>
        <v>0</v>
      </c>
      <c r="V144" s="104">
        <f t="shared" si="218"/>
        <v>9.9999999999999995E-8</v>
      </c>
      <c r="W144" s="104">
        <f t="shared" ref="W144" si="344">W143</f>
        <v>0</v>
      </c>
      <c r="X144" s="104">
        <f t="shared" si="278"/>
        <v>0</v>
      </c>
      <c r="Y144" s="104">
        <f t="shared" si="278"/>
        <v>9.9999999999999995E-8</v>
      </c>
      <c r="Z144" s="104">
        <f t="shared" si="278"/>
        <v>9.9999999999999995E-8</v>
      </c>
      <c r="AA144" s="105">
        <f t="shared" si="278"/>
        <v>9.9999999999999995E-8</v>
      </c>
      <c r="AB144" s="101" t="e">
        <f>$DT144*HLOOKUP($J144,'Construction Costs (timber)'!$B$1:$V$32,'Construction Planner'!$L144+2,FALSE)</f>
        <v>#N/A</v>
      </c>
      <c r="AC144" s="14" t="e">
        <f>$DT144*HLOOKUP($J144,'Construction Costs (clay)'!$B$1:$V$32,'Construction Planner'!$L144+2,FALSE)</f>
        <v>#N/A</v>
      </c>
      <c r="AD144" s="14" t="e">
        <f>$DT144*HLOOKUP($J144,'Construction Costs (iron)'!$B$1:$V$32,'Construction Planner'!$L144+2,FALSE)</f>
        <v>#N/A</v>
      </c>
      <c r="AE144" s="34" t="e">
        <f t="shared" si="230"/>
        <v>#N/A</v>
      </c>
      <c r="AF144" s="33" t="e">
        <f t="shared" si="322"/>
        <v>#N/A</v>
      </c>
      <c r="AG144" s="14" t="e">
        <f t="shared" si="323"/>
        <v>#N/A</v>
      </c>
      <c r="AH144" s="14" t="e">
        <f t="shared" si="324"/>
        <v>#N/A</v>
      </c>
      <c r="AI144" s="34" t="e">
        <f t="shared" si="231"/>
        <v>#N/A</v>
      </c>
      <c r="AJ144" s="49" t="e">
        <f t="shared" ref="AJ144:AJ207" si="345">(($N144-$N143)/$AK$3)*BG143+AJ143-AB143-BD143</f>
        <v>#N/A</v>
      </c>
      <c r="AK144" s="49" t="e">
        <f t="shared" ref="AK144:AK207" si="346">(($N144-$N143)/$AK$3)*BH143+AK143-AC143-BE143</f>
        <v>#N/A</v>
      </c>
      <c r="AL144" s="49" t="e">
        <f t="shared" ref="AL144:AL207" si="347">(($N144-$N143)/$AK$3)*BI143+AL143-AD143-BF143</f>
        <v>#N/A</v>
      </c>
      <c r="AM144" s="25">
        <f t="shared" si="325"/>
        <v>30</v>
      </c>
      <c r="AN144" s="25">
        <f t="shared" si="326"/>
        <v>30</v>
      </c>
      <c r="AO144" s="25">
        <f t="shared" si="327"/>
        <v>30</v>
      </c>
      <c r="AP144" s="52" t="e">
        <f t="shared" ref="AP144:AR207" si="348">($N144-$AK$6+$AK$9+1)*$AK$5/24/3*$AS144</f>
        <v>#N/A</v>
      </c>
      <c r="AQ144" s="53" t="e">
        <f t="shared" si="348"/>
        <v>#N/A</v>
      </c>
      <c r="AR144" s="54" t="e">
        <f t="shared" si="348"/>
        <v>#N/A</v>
      </c>
      <c r="AS144" s="316">
        <f t="shared" si="306"/>
        <v>0</v>
      </c>
      <c r="AT144" s="106">
        <f>_xlfn.IFNA($M144/VLOOKUP($BT144,'Unit information'!$A$2:$K$29,2,FALSE)*R144,0)*(1+$E$9)</f>
        <v>0</v>
      </c>
      <c r="AU144" s="107">
        <f>_xlfn.IFNA($M144/VLOOKUP($BT144,'Unit information'!$A$2:$K$29,3,FALSE)*S144,0)*(1+$E$9)</f>
        <v>0</v>
      </c>
      <c r="AV144" s="107">
        <f>_xlfn.IFNA($M144/VLOOKUP($BT144,'Unit information'!$A$2:$K$29,4,FALSE)*T144,0)*(1+$E$9)</f>
        <v>0</v>
      </c>
      <c r="AW144" s="107">
        <f>_xlfn.IFNA($M144/VLOOKUP($BT144,'Unit information'!$A$2:$K$29,5,FALSE)*U144,0)*(1+$E$9)</f>
        <v>0</v>
      </c>
      <c r="AX144" s="107">
        <f>_xlfn.IFNA($M144/VLOOKUP($BU144,'Unit information'!$A$2:$K$29,6,FALSE)*V144,0)*(1+$E$9)</f>
        <v>0</v>
      </c>
      <c r="AY144" s="107">
        <f>_xlfn.IFNA($M144/VLOOKUP($BU144,'Unit information'!$A$2:$K$29,7,FALSE)*W144,0)*(1+$E$9)</f>
        <v>0</v>
      </c>
      <c r="AZ144" s="107">
        <f>_xlfn.IFNA($M144/VLOOKUP($BU144,'Unit information'!$A$2:$K$29,8,FALSE)*X144,0)*(1+$E$9)</f>
        <v>0</v>
      </c>
      <c r="BA144" s="107">
        <f>_xlfn.IFNA($M144/VLOOKUP($BU144,'Unit information'!$A$2:$K$29,9,FALSE)*Y144,0)*(1+$E$9)</f>
        <v>0</v>
      </c>
      <c r="BB144" s="107">
        <f>_xlfn.IFNA($M144/VLOOKUP($BV144,'Unit information'!$A$2:$K$29,10,FALSE)*Z144,0)*(1+$E$9)</f>
        <v>0</v>
      </c>
      <c r="BC144" s="108">
        <f>_xlfn.IFNA($M144/VLOOKUP($BV144,'Unit information'!$A$2:$K$29,11,FALSE)*AA144,0)*(1+$E$9)</f>
        <v>0</v>
      </c>
      <c r="BD144" s="106">
        <f t="shared" si="328"/>
        <v>0</v>
      </c>
      <c r="BE144" s="107">
        <f t="shared" si="329"/>
        <v>0</v>
      </c>
      <c r="BF144" s="108">
        <f t="shared" si="330"/>
        <v>0</v>
      </c>
      <c r="BG144" s="25" t="e">
        <f t="shared" si="331"/>
        <v>#N/A</v>
      </c>
      <c r="BH144" s="25" t="e">
        <f t="shared" si="332"/>
        <v>#N/A</v>
      </c>
      <c r="BI144" s="25" t="e">
        <f t="shared" si="333"/>
        <v>#N/A</v>
      </c>
      <c r="BJ144" s="27" t="e">
        <f t="shared" si="334"/>
        <v>#N/A</v>
      </c>
      <c r="BK144" s="18" t="e">
        <f t="shared" si="335"/>
        <v>#N/A</v>
      </c>
      <c r="BL144" s="18" t="e">
        <f t="shared" si="336"/>
        <v>#N/A</v>
      </c>
      <c r="BM144" s="28" t="e">
        <f t="shared" si="233"/>
        <v>#N/A</v>
      </c>
      <c r="BN144" s="33">
        <f>HLOOKUP("maximum population",Miscelaneous!$C$1:$C$33,CH144+3,FALSE)</f>
        <v>240</v>
      </c>
      <c r="BO144" s="14">
        <f t="shared" ref="BO144:BO207" si="349">SUM(CN145:DH145)</f>
        <v>32</v>
      </c>
      <c r="BP144" s="14">
        <f t="shared" ref="BP144:BP207" si="350">SUM(DI144:DL144)+DM144*2+DN144*4+DO144*5+DP144*6+DQ144*5+DR144*8</f>
        <v>0</v>
      </c>
      <c r="BQ144" s="14">
        <f t="shared" ref="BQ144:BQ207" si="351">BN144-BO144-BP144</f>
        <v>208</v>
      </c>
      <c r="BR144" s="34" t="e">
        <f>HLOOKUP(J144,Villagers!$B$1:$V$33,L144+3,FALSE)-HLOOKUP(J144,Villagers!$B$1:$V$33,L144+2,FALSE)</f>
        <v>#N/A</v>
      </c>
      <c r="BS144" s="49">
        <f t="shared" ref="BS144:BS207" si="352">IF($J143=BS$14,$L143,BS143)</f>
        <v>1</v>
      </c>
      <c r="BT144" s="50">
        <f t="shared" ref="BT144:BT207" si="353">IF($J143=BT$14,$L143,BT143)</f>
        <v>0</v>
      </c>
      <c r="BU144" s="50">
        <f t="shared" ref="BU144:BU207" si="354">IF($J143=BU$14,$L143,BU143)</f>
        <v>0</v>
      </c>
      <c r="BV144" s="50">
        <f t="shared" ref="BV144:BV207" si="355">IF($J143=BV$14,$L143,BV143)</f>
        <v>0</v>
      </c>
      <c r="BW144" s="50">
        <f t="shared" ref="BW144:BY150" si="356">IF($J143=BW$14,$L143,BW143)</f>
        <v>0</v>
      </c>
      <c r="BX144" s="50">
        <f t="shared" si="356"/>
        <v>0</v>
      </c>
      <c r="BY144" s="50">
        <f t="shared" si="356"/>
        <v>0</v>
      </c>
      <c r="BZ144" s="50">
        <f t="shared" si="245"/>
        <v>0</v>
      </c>
      <c r="CA144" s="50">
        <f t="shared" si="246"/>
        <v>0</v>
      </c>
      <c r="CB144" s="50">
        <f t="shared" si="247"/>
        <v>1</v>
      </c>
      <c r="CC144" s="50">
        <f t="shared" si="248"/>
        <v>0</v>
      </c>
      <c r="CD144" s="50">
        <f t="shared" si="249"/>
        <v>0</v>
      </c>
      <c r="CE144" s="50">
        <f t="shared" si="250"/>
        <v>1</v>
      </c>
      <c r="CF144" s="50">
        <f t="shared" si="251"/>
        <v>1</v>
      </c>
      <c r="CG144" s="50">
        <f t="shared" si="252"/>
        <v>1</v>
      </c>
      <c r="CH144" s="50">
        <f t="shared" si="253"/>
        <v>1</v>
      </c>
      <c r="CI144" s="50">
        <f t="shared" si="254"/>
        <v>1</v>
      </c>
      <c r="CJ144" s="50">
        <f t="shared" si="255"/>
        <v>1</v>
      </c>
      <c r="CK144" s="50">
        <f t="shared" si="255"/>
        <v>0</v>
      </c>
      <c r="CL144" s="50">
        <f t="shared" si="255"/>
        <v>0</v>
      </c>
      <c r="CM144" s="51">
        <f t="shared" si="256"/>
        <v>0</v>
      </c>
      <c r="CN144" s="33">
        <f>ROUND(IF(BS144=0,0,HLOOKUP(BS$14,Villagers!$B$1:$V$33,BS144+3,FALSE)),)</f>
        <v>5</v>
      </c>
      <c r="CO144" s="14">
        <f>ROUND(IF(BT144=0,0,HLOOKUP(BT$14,Villagers!$B$1:$V$33,BT144+3,FALSE)),)</f>
        <v>0</v>
      </c>
      <c r="CP144" s="14">
        <f>ROUND(IF(BU144=0,0,HLOOKUP(BU$14,Villagers!$B$1:$V$33,BU144+3,FALSE)),)</f>
        <v>0</v>
      </c>
      <c r="CQ144" s="14">
        <f>ROUND(IF(BV144=0,0,HLOOKUP(BV$14,Villagers!$B$1:$V$33,BV144+3,FALSE)),)</f>
        <v>0</v>
      </c>
      <c r="CR144" s="14">
        <f>ROUND(IF(BW144=0,0,HLOOKUP(BW$14,Villagers!$B$1:$V$33,BW144+3,FALSE)),)</f>
        <v>0</v>
      </c>
      <c r="CS144" s="14">
        <f>ROUND(IF(BX144=0,0,HLOOKUP(BX$14,Villagers!$B$1:$V$33,BX144+3,FALSE)),)</f>
        <v>0</v>
      </c>
      <c r="CT144" s="14">
        <f>ROUND(IF(BY144=0,0,HLOOKUP(BY$14,Villagers!$B$1:$V$33,BY144+3,FALSE)),)</f>
        <v>0</v>
      </c>
      <c r="CU144" s="14">
        <f>ROUND(IF(BZ144=0,0,HLOOKUP(BZ$14,Villagers!$B$1:$V$33,BZ144+3,FALSE)),)</f>
        <v>0</v>
      </c>
      <c r="CV144" s="14">
        <f>ROUND(IF(CA144=0,0,HLOOKUP(CA$14,Villagers!$B$1:$V$33,CA144+3,FALSE)),)</f>
        <v>0</v>
      </c>
      <c r="CW144" s="14">
        <f>ROUND(IF(CB144=0,0,HLOOKUP(CB$14,Villagers!$B$1:$V$33,CB144+3,FALSE)),)</f>
        <v>0</v>
      </c>
      <c r="CX144" s="14">
        <f>ROUND(IF(CC144=0,0,HLOOKUP(CC$14,Villagers!$B$1:$V$33,CC144+3,FALSE)),)</f>
        <v>0</v>
      </c>
      <c r="CY144" s="14">
        <f>ROUND(IF(CD144=0,0,HLOOKUP(CD$14,Villagers!$B$1:$V$33,CD144+3,FALSE)),)</f>
        <v>0</v>
      </c>
      <c r="CZ144" s="14">
        <f>ROUND(IF(CE144=0,0,HLOOKUP(CE$14,Villagers!$B$1:$V$33,CE144+3,FALSE)),)</f>
        <v>5</v>
      </c>
      <c r="DA144" s="14">
        <f>ROUND(IF(CF144=0,0,HLOOKUP(CF$14,Villagers!$B$1:$V$33,CF144+3,FALSE)),)</f>
        <v>10</v>
      </c>
      <c r="DB144" s="14">
        <f>ROUND(IF(CG144=0,0,HLOOKUP(CG$14,Villagers!$B$1:$V$33,CG144+3,FALSE)),)</f>
        <v>10</v>
      </c>
      <c r="DC144" s="14">
        <f>ROUND(IF(CH144=0,0,HLOOKUP(CH$14,Villagers!$B$1:$V$33,CH144+3,FALSE)),)</f>
        <v>0</v>
      </c>
      <c r="DD144" s="14">
        <f>ROUND(IF(CI144=0,0,HLOOKUP(CI$14,Villagers!$B$1:$V$33,CI144+3,FALSE)),)</f>
        <v>0</v>
      </c>
      <c r="DE144" s="14">
        <f>ROUND(IF(CJ144=0,0,HLOOKUP(CJ$14,Villagers!$B$1:$V$33,CJ144+3,FALSE)),)</f>
        <v>2</v>
      </c>
      <c r="DF144" s="370">
        <f>ROUND(IF(CK144=0,0,HLOOKUP(CK$14,Villagers!$B$1:$V$33,CK144+3,FALSE)),)</f>
        <v>0</v>
      </c>
      <c r="DG144" s="370">
        <f>ROUND(IF(CL144=0,0,HLOOKUP(CL$14,Villagers!$B$1:$V$33,CL144+3,FALSE)),)</f>
        <v>0</v>
      </c>
      <c r="DH144" s="34">
        <f>ROUND(IF(CM144=0,0,HLOOKUP(CM$14,Villagers!$B$1:$V$33,CM144+3,FALSE)),)</f>
        <v>0</v>
      </c>
      <c r="DI144" s="109">
        <f t="shared" si="219"/>
        <v>0</v>
      </c>
      <c r="DJ144" s="50">
        <f t="shared" si="220"/>
        <v>0</v>
      </c>
      <c r="DK144" s="50">
        <f t="shared" si="221"/>
        <v>0</v>
      </c>
      <c r="DL144" s="50">
        <f t="shared" si="222"/>
        <v>0</v>
      </c>
      <c r="DM144" s="50">
        <f t="shared" si="223"/>
        <v>0</v>
      </c>
      <c r="DN144" s="50">
        <f t="shared" si="224"/>
        <v>0</v>
      </c>
      <c r="DO144" s="50">
        <f t="shared" si="225"/>
        <v>0</v>
      </c>
      <c r="DP144" s="50">
        <f t="shared" si="226"/>
        <v>0</v>
      </c>
      <c r="DQ144" s="50">
        <f t="shared" ref="DQ144:DQ207" si="357">ROUND(_xlfn.IFNA(DQ143+BB144,DQ143),0)</f>
        <v>0</v>
      </c>
      <c r="DR144" s="50">
        <f t="shared" ref="DR144:DR207" si="358">ROUND(_xlfn.IFNA(DR143+BC144,DR143),0)</f>
        <v>0</v>
      </c>
      <c r="DS144" s="96">
        <f>Miscelaneous!$D$4*Miscelaneous!$D$2^($CI144-1)</f>
        <v>1000</v>
      </c>
      <c r="DT144" s="333">
        <f t="shared" si="337"/>
        <v>1</v>
      </c>
      <c r="DU144" s="81">
        <v>1</v>
      </c>
      <c r="DV144" s="79">
        <f t="shared" ref="DV144:DV207" si="359">IF(BS144&gt;2,1,0)</f>
        <v>0</v>
      </c>
      <c r="DW144" s="79">
        <f t="shared" ref="DW144:DW207" si="360">IF(AND(BS144&gt;9,CA144&gt;4,BT144&gt;4)=TRUE,1,0)</f>
        <v>0</v>
      </c>
      <c r="DX144" s="79">
        <f t="shared" ref="DX144:DX207" si="361">IF(AND(BS144&gt;9,CA144&gt;9)=TRUE,1,0)</f>
        <v>0</v>
      </c>
      <c r="DY144" s="79">
        <v>1</v>
      </c>
      <c r="DZ144" s="79">
        <f t="shared" ref="DZ144:DZ207" si="362">IF(AND(BS144&gt;4,CH144&gt;4),1,0)</f>
        <v>0</v>
      </c>
      <c r="EA144" s="79">
        <f t="shared" ref="EA144:EA207" si="363">IF(AND(BS144&gt;4,CH144&gt;4),1,0)</f>
        <v>0</v>
      </c>
      <c r="EB144" s="79">
        <f t="shared" ref="EB144:EB207" si="364">IF(AND(BS144&gt;19,CA144&gt;19,CD144&gt;9)=TRUE,1,0)</f>
        <v>0</v>
      </c>
      <c r="EC144" s="79">
        <f t="shared" ref="EC144:EC207" si="365">IF(AND(BS144&gt;4,BT144&gt;0)=TRUE,1,0)</f>
        <v>0</v>
      </c>
      <c r="ED144" s="79">
        <v>1</v>
      </c>
      <c r="EE144" s="79">
        <v>1</v>
      </c>
      <c r="EF144" s="79">
        <f t="shared" ref="EF144:EF207" si="366">IF(AND(BS144&gt;2,CI144&gt;1),1,0)</f>
        <v>0</v>
      </c>
      <c r="EG144" s="79">
        <v>1</v>
      </c>
      <c r="EH144" s="79">
        <v>1</v>
      </c>
      <c r="EI144" s="79">
        <v>1</v>
      </c>
      <c r="EJ144" s="79">
        <v>1</v>
      </c>
      <c r="EK144" s="79">
        <v>1</v>
      </c>
      <c r="EL144" s="79">
        <v>1</v>
      </c>
      <c r="EM144" s="143">
        <f t="shared" ref="EM144:EM207" si="367">IF(CL144&gt;0,1,0)</f>
        <v>0</v>
      </c>
      <c r="EN144" s="143">
        <f t="shared" ref="EN144:EN207" si="368">IF(BZ144&gt;0,1,0)</f>
        <v>0</v>
      </c>
      <c r="EO144" s="82">
        <f t="shared" ref="EO144:EO207" si="369">IF(BT144&gt;0,1,0)</f>
        <v>0</v>
      </c>
    </row>
    <row r="145" spans="1:145" x14ac:dyDescent="0.25">
      <c r="A145">
        <v>131</v>
      </c>
      <c r="B145" s="172" t="e">
        <f t="shared" si="338"/>
        <v>#N/A</v>
      </c>
      <c r="C145" s="121" t="e">
        <f t="shared" ref="C145:E145" si="370">AJ145-SUM(AB145:AB149)</f>
        <v>#N/A</v>
      </c>
      <c r="D145" s="122" t="e">
        <f t="shared" si="370"/>
        <v>#N/A</v>
      </c>
      <c r="E145" s="122" t="e">
        <f t="shared" si="370"/>
        <v>#N/A</v>
      </c>
      <c r="F145" s="176" t="e">
        <f t="shared" si="320"/>
        <v>#N/A</v>
      </c>
      <c r="G145" s="121">
        <f t="shared" si="340"/>
        <v>208</v>
      </c>
      <c r="H145" s="176" t="e">
        <f t="shared" si="341"/>
        <v>#N/A</v>
      </c>
      <c r="I145" s="48">
        <v>1</v>
      </c>
      <c r="J145" s="39"/>
      <c r="K145" s="350">
        <v>1</v>
      </c>
      <c r="L145" s="34" t="e">
        <f t="shared" si="321"/>
        <v>#N/A</v>
      </c>
      <c r="M145" s="38" t="e">
        <f>(HLOOKUP(J145,'Construction Times'!$B$3:$W$34,L145+2,FALSE)*HLOOKUP("hq modifier",'Construction Times'!$W$3:$W$34,BS145+2,FALSE))*(1-$H$9)</f>
        <v>#N/A</v>
      </c>
      <c r="N145" s="426" t="e">
        <f t="shared" si="342"/>
        <v>#N/A</v>
      </c>
      <c r="O145" s="427"/>
      <c r="P145" s="430" t="e">
        <f t="shared" si="343"/>
        <v>#N/A</v>
      </c>
      <c r="Q145" s="431"/>
      <c r="R145" s="103">
        <f t="shared" ref="R145:S208" si="371">R144</f>
        <v>0</v>
      </c>
      <c r="S145" s="104">
        <f t="shared" si="371"/>
        <v>0</v>
      </c>
      <c r="T145" s="104">
        <f t="shared" ref="T145:W208" si="372">T144</f>
        <v>0</v>
      </c>
      <c r="U145" s="104">
        <f t="shared" si="372"/>
        <v>0</v>
      </c>
      <c r="V145" s="104">
        <f t="shared" si="372"/>
        <v>9.9999999999999995E-8</v>
      </c>
      <c r="W145" s="104">
        <f t="shared" si="372"/>
        <v>0</v>
      </c>
      <c r="X145" s="104">
        <f t="shared" si="278"/>
        <v>0</v>
      </c>
      <c r="Y145" s="104">
        <f t="shared" si="278"/>
        <v>9.9999999999999995E-8</v>
      </c>
      <c r="Z145" s="104">
        <f t="shared" si="278"/>
        <v>9.9999999999999995E-8</v>
      </c>
      <c r="AA145" s="105">
        <f t="shared" si="278"/>
        <v>9.9999999999999995E-8</v>
      </c>
      <c r="AB145" s="101" t="e">
        <f>$DT145*HLOOKUP($J145,'Construction Costs (timber)'!$B$1:$V$32,'Construction Planner'!$L145+2,FALSE)</f>
        <v>#N/A</v>
      </c>
      <c r="AC145" s="14" t="e">
        <f>$DT145*HLOOKUP($J145,'Construction Costs (clay)'!$B$1:$V$32,'Construction Planner'!$L145+2,FALSE)</f>
        <v>#N/A</v>
      </c>
      <c r="AD145" s="14" t="e">
        <f>$DT145*HLOOKUP($J145,'Construction Costs (iron)'!$B$1:$V$32,'Construction Planner'!$L145+2,FALSE)</f>
        <v>#N/A</v>
      </c>
      <c r="AE145" s="34" t="e">
        <f t="shared" si="230"/>
        <v>#N/A</v>
      </c>
      <c r="AF145" s="33" t="e">
        <f t="shared" si="322"/>
        <v>#N/A</v>
      </c>
      <c r="AG145" s="14" t="e">
        <f t="shared" si="323"/>
        <v>#N/A</v>
      </c>
      <c r="AH145" s="14" t="e">
        <f t="shared" si="324"/>
        <v>#N/A</v>
      </c>
      <c r="AI145" s="34" t="e">
        <f t="shared" si="231"/>
        <v>#N/A</v>
      </c>
      <c r="AJ145" s="49" t="e">
        <f t="shared" si="345"/>
        <v>#N/A</v>
      </c>
      <c r="AK145" s="49" t="e">
        <f t="shared" si="346"/>
        <v>#N/A</v>
      </c>
      <c r="AL145" s="49" t="e">
        <f t="shared" si="347"/>
        <v>#N/A</v>
      </c>
      <c r="AM145" s="25">
        <f t="shared" si="325"/>
        <v>30</v>
      </c>
      <c r="AN145" s="25">
        <f t="shared" si="326"/>
        <v>30</v>
      </c>
      <c r="AO145" s="25">
        <f t="shared" si="327"/>
        <v>30</v>
      </c>
      <c r="AP145" s="52" t="e">
        <f t="shared" si="348"/>
        <v>#N/A</v>
      </c>
      <c r="AQ145" s="53" t="e">
        <f t="shared" si="348"/>
        <v>#N/A</v>
      </c>
      <c r="AR145" s="54" t="e">
        <f t="shared" si="348"/>
        <v>#N/A</v>
      </c>
      <c r="AS145" s="316">
        <f t="shared" si="306"/>
        <v>0</v>
      </c>
      <c r="AT145" s="106">
        <f>_xlfn.IFNA($M145/VLOOKUP($BT145,'Unit information'!$A$2:$K$29,2,FALSE)*R145,0)*(1+$E$9)</f>
        <v>0</v>
      </c>
      <c r="AU145" s="107">
        <f>_xlfn.IFNA($M145/VLOOKUP($BT145,'Unit information'!$A$2:$K$29,3,FALSE)*S145,0)*(1+$E$9)</f>
        <v>0</v>
      </c>
      <c r="AV145" s="107">
        <f>_xlfn.IFNA($M145/VLOOKUP($BT145,'Unit information'!$A$2:$K$29,4,FALSE)*T145,0)*(1+$E$9)</f>
        <v>0</v>
      </c>
      <c r="AW145" s="107">
        <f>_xlfn.IFNA($M145/VLOOKUP($BT145,'Unit information'!$A$2:$K$29,5,FALSE)*U145,0)*(1+$E$9)</f>
        <v>0</v>
      </c>
      <c r="AX145" s="107">
        <f>_xlfn.IFNA($M145/VLOOKUP($BU145,'Unit information'!$A$2:$K$29,6,FALSE)*V145,0)*(1+$E$9)</f>
        <v>0</v>
      </c>
      <c r="AY145" s="107">
        <f>_xlfn.IFNA($M145/VLOOKUP($BU145,'Unit information'!$A$2:$K$29,7,FALSE)*W145,0)*(1+$E$9)</f>
        <v>0</v>
      </c>
      <c r="AZ145" s="107">
        <f>_xlfn.IFNA($M145/VLOOKUP($BU145,'Unit information'!$A$2:$K$29,8,FALSE)*X145,0)*(1+$E$9)</f>
        <v>0</v>
      </c>
      <c r="BA145" s="107">
        <f>_xlfn.IFNA($M145/VLOOKUP($BU145,'Unit information'!$A$2:$K$29,9,FALSE)*Y145,0)*(1+$E$9)</f>
        <v>0</v>
      </c>
      <c r="BB145" s="107">
        <f>_xlfn.IFNA($M145/VLOOKUP($BV145,'Unit information'!$A$2:$K$29,10,FALSE)*Z145,0)*(1+$E$9)</f>
        <v>0</v>
      </c>
      <c r="BC145" s="108">
        <f>_xlfn.IFNA($M145/VLOOKUP($BV145,'Unit information'!$A$2:$K$29,11,FALSE)*AA145,0)*(1+$E$9)</f>
        <v>0</v>
      </c>
      <c r="BD145" s="106">
        <f t="shared" si="328"/>
        <v>0</v>
      </c>
      <c r="BE145" s="107">
        <f t="shared" si="329"/>
        <v>0</v>
      </c>
      <c r="BF145" s="108">
        <f t="shared" si="330"/>
        <v>0</v>
      </c>
      <c r="BG145" s="25" t="e">
        <f t="shared" si="331"/>
        <v>#N/A</v>
      </c>
      <c r="BH145" s="25" t="e">
        <f t="shared" si="332"/>
        <v>#N/A</v>
      </c>
      <c r="BI145" s="25" t="e">
        <f t="shared" si="333"/>
        <v>#N/A</v>
      </c>
      <c r="BJ145" s="27" t="e">
        <f t="shared" si="334"/>
        <v>#N/A</v>
      </c>
      <c r="BK145" s="18" t="e">
        <f t="shared" si="335"/>
        <v>#N/A</v>
      </c>
      <c r="BL145" s="18" t="e">
        <f t="shared" si="336"/>
        <v>#N/A</v>
      </c>
      <c r="BM145" s="28" t="e">
        <f t="shared" si="233"/>
        <v>#N/A</v>
      </c>
      <c r="BN145" s="33">
        <f>HLOOKUP("maximum population",Miscelaneous!$C$1:$C$33,CH145+3,FALSE)</f>
        <v>240</v>
      </c>
      <c r="BO145" s="14">
        <f t="shared" si="349"/>
        <v>32</v>
      </c>
      <c r="BP145" s="14">
        <f t="shared" si="350"/>
        <v>0</v>
      </c>
      <c r="BQ145" s="14">
        <f t="shared" si="351"/>
        <v>208</v>
      </c>
      <c r="BR145" s="34" t="e">
        <f>HLOOKUP(J145,Villagers!$B$1:$V$33,L145+3,FALSE)-HLOOKUP(J145,Villagers!$B$1:$V$33,L145+2,FALSE)</f>
        <v>#N/A</v>
      </c>
      <c r="BS145" s="49">
        <f t="shared" si="352"/>
        <v>1</v>
      </c>
      <c r="BT145" s="50">
        <f t="shared" si="353"/>
        <v>0</v>
      </c>
      <c r="BU145" s="50">
        <f t="shared" si="354"/>
        <v>0</v>
      </c>
      <c r="BV145" s="50">
        <f t="shared" si="355"/>
        <v>0</v>
      </c>
      <c r="BW145" s="50">
        <f t="shared" si="356"/>
        <v>0</v>
      </c>
      <c r="BX145" s="50">
        <f t="shared" si="356"/>
        <v>0</v>
      </c>
      <c r="BY145" s="50">
        <f t="shared" si="356"/>
        <v>0</v>
      </c>
      <c r="BZ145" s="50">
        <f t="shared" si="245"/>
        <v>0</v>
      </c>
      <c r="CA145" s="50">
        <f t="shared" si="246"/>
        <v>0</v>
      </c>
      <c r="CB145" s="50">
        <f t="shared" si="247"/>
        <v>1</v>
      </c>
      <c r="CC145" s="50">
        <f t="shared" si="248"/>
        <v>0</v>
      </c>
      <c r="CD145" s="50">
        <f t="shared" si="249"/>
        <v>0</v>
      </c>
      <c r="CE145" s="50">
        <f t="shared" si="250"/>
        <v>1</v>
      </c>
      <c r="CF145" s="50">
        <f t="shared" si="251"/>
        <v>1</v>
      </c>
      <c r="CG145" s="50">
        <f t="shared" si="252"/>
        <v>1</v>
      </c>
      <c r="CH145" s="50">
        <f t="shared" si="253"/>
        <v>1</v>
      </c>
      <c r="CI145" s="50">
        <f t="shared" si="254"/>
        <v>1</v>
      </c>
      <c r="CJ145" s="50">
        <f t="shared" si="255"/>
        <v>1</v>
      </c>
      <c r="CK145" s="50">
        <f t="shared" si="255"/>
        <v>0</v>
      </c>
      <c r="CL145" s="50">
        <f t="shared" si="255"/>
        <v>0</v>
      </c>
      <c r="CM145" s="51">
        <f t="shared" si="256"/>
        <v>0</v>
      </c>
      <c r="CN145" s="33">
        <f>ROUND(IF(BS145=0,0,HLOOKUP(BS$14,Villagers!$B$1:$V$33,BS145+3,FALSE)),)</f>
        <v>5</v>
      </c>
      <c r="CO145" s="14">
        <f>ROUND(IF(BT145=0,0,HLOOKUP(BT$14,Villagers!$B$1:$V$33,BT145+3,FALSE)),)</f>
        <v>0</v>
      </c>
      <c r="CP145" s="14">
        <f>ROUND(IF(BU145=0,0,HLOOKUP(BU$14,Villagers!$B$1:$V$33,BU145+3,FALSE)),)</f>
        <v>0</v>
      </c>
      <c r="CQ145" s="14">
        <f>ROUND(IF(BV145=0,0,HLOOKUP(BV$14,Villagers!$B$1:$V$33,BV145+3,FALSE)),)</f>
        <v>0</v>
      </c>
      <c r="CR145" s="14">
        <f>ROUND(IF(BW145=0,0,HLOOKUP(BW$14,Villagers!$B$1:$V$33,BW145+3,FALSE)),)</f>
        <v>0</v>
      </c>
      <c r="CS145" s="14">
        <f>ROUND(IF(BX145=0,0,HLOOKUP(BX$14,Villagers!$B$1:$V$33,BX145+3,FALSE)),)</f>
        <v>0</v>
      </c>
      <c r="CT145" s="14">
        <f>ROUND(IF(BY145=0,0,HLOOKUP(BY$14,Villagers!$B$1:$V$33,BY145+3,FALSE)),)</f>
        <v>0</v>
      </c>
      <c r="CU145" s="14">
        <f>ROUND(IF(BZ145=0,0,HLOOKUP(BZ$14,Villagers!$B$1:$V$33,BZ145+3,FALSE)),)</f>
        <v>0</v>
      </c>
      <c r="CV145" s="14">
        <f>ROUND(IF(CA145=0,0,HLOOKUP(CA$14,Villagers!$B$1:$V$33,CA145+3,FALSE)),)</f>
        <v>0</v>
      </c>
      <c r="CW145" s="14">
        <f>ROUND(IF(CB145=0,0,HLOOKUP(CB$14,Villagers!$B$1:$V$33,CB145+3,FALSE)),)</f>
        <v>0</v>
      </c>
      <c r="CX145" s="14">
        <f>ROUND(IF(CC145=0,0,HLOOKUP(CC$14,Villagers!$B$1:$V$33,CC145+3,FALSE)),)</f>
        <v>0</v>
      </c>
      <c r="CY145" s="14">
        <f>ROUND(IF(CD145=0,0,HLOOKUP(CD$14,Villagers!$B$1:$V$33,CD145+3,FALSE)),)</f>
        <v>0</v>
      </c>
      <c r="CZ145" s="14">
        <f>ROUND(IF(CE145=0,0,HLOOKUP(CE$14,Villagers!$B$1:$V$33,CE145+3,FALSE)),)</f>
        <v>5</v>
      </c>
      <c r="DA145" s="14">
        <f>ROUND(IF(CF145=0,0,HLOOKUP(CF$14,Villagers!$B$1:$V$33,CF145+3,FALSE)),)</f>
        <v>10</v>
      </c>
      <c r="DB145" s="14">
        <f>ROUND(IF(CG145=0,0,HLOOKUP(CG$14,Villagers!$B$1:$V$33,CG145+3,FALSE)),)</f>
        <v>10</v>
      </c>
      <c r="DC145" s="14">
        <f>ROUND(IF(CH145=0,0,HLOOKUP(CH$14,Villagers!$B$1:$V$33,CH145+3,FALSE)),)</f>
        <v>0</v>
      </c>
      <c r="DD145" s="14">
        <f>ROUND(IF(CI145=0,0,HLOOKUP(CI$14,Villagers!$B$1:$V$33,CI145+3,FALSE)),)</f>
        <v>0</v>
      </c>
      <c r="DE145" s="14">
        <f>ROUND(IF(CJ145=0,0,HLOOKUP(CJ$14,Villagers!$B$1:$V$33,CJ145+3,FALSE)),)</f>
        <v>2</v>
      </c>
      <c r="DF145" s="370">
        <f>ROUND(IF(CK145=0,0,HLOOKUP(CK$14,Villagers!$B$1:$V$33,CK145+3,FALSE)),)</f>
        <v>0</v>
      </c>
      <c r="DG145" s="370">
        <f>ROUND(IF(CL145=0,0,HLOOKUP(CL$14,Villagers!$B$1:$V$33,CL145+3,FALSE)),)</f>
        <v>0</v>
      </c>
      <c r="DH145" s="34">
        <f>ROUND(IF(CM145=0,0,HLOOKUP(CM$14,Villagers!$B$1:$V$33,CM145+3,FALSE)),)</f>
        <v>0</v>
      </c>
      <c r="DI145" s="109">
        <f t="shared" ref="DI145:DI208" si="373">ROUND(_xlfn.IFNA(DI144+AT145,DI144),0)</f>
        <v>0</v>
      </c>
      <c r="DJ145" s="50">
        <f t="shared" ref="DJ145:DJ208" si="374">ROUND(_xlfn.IFNA(DJ144+AU145,DJ144),0)</f>
        <v>0</v>
      </c>
      <c r="DK145" s="50">
        <f t="shared" ref="DK145:DK208" si="375">ROUND(_xlfn.IFNA(DK144+AV145,DK144),0)</f>
        <v>0</v>
      </c>
      <c r="DL145" s="50">
        <f t="shared" ref="DL145:DL208" si="376">ROUND(_xlfn.IFNA(DL144+AW145,DL144),0)</f>
        <v>0</v>
      </c>
      <c r="DM145" s="50">
        <f t="shared" ref="DM145:DM208" si="377">ROUND(_xlfn.IFNA(DM144+AX145,DM144),0)</f>
        <v>0</v>
      </c>
      <c r="DN145" s="50">
        <f t="shared" ref="DN145:DN208" si="378">ROUND(_xlfn.IFNA(DN144+AY145,DN144),0)</f>
        <v>0</v>
      </c>
      <c r="DO145" s="50">
        <f t="shared" ref="DO145:DO208" si="379">ROUND(_xlfn.IFNA(DO144+AZ145,DO144),0)</f>
        <v>0</v>
      </c>
      <c r="DP145" s="50">
        <f t="shared" ref="DP145:DP208" si="380">ROUND(_xlfn.IFNA(DP144+BA145,DP144),0)</f>
        <v>0</v>
      </c>
      <c r="DQ145" s="50">
        <f t="shared" si="357"/>
        <v>0</v>
      </c>
      <c r="DR145" s="50">
        <f t="shared" si="358"/>
        <v>0</v>
      </c>
      <c r="DS145" s="96">
        <f>Miscelaneous!$D$4*Miscelaneous!$D$2^($CI145-1)</f>
        <v>1000</v>
      </c>
      <c r="DT145" s="333">
        <f t="shared" si="337"/>
        <v>1</v>
      </c>
      <c r="DU145" s="81">
        <v>1</v>
      </c>
      <c r="DV145" s="79">
        <f t="shared" si="359"/>
        <v>0</v>
      </c>
      <c r="DW145" s="79">
        <f t="shared" si="360"/>
        <v>0</v>
      </c>
      <c r="DX145" s="79">
        <f t="shared" si="361"/>
        <v>0</v>
      </c>
      <c r="DY145" s="79">
        <v>1</v>
      </c>
      <c r="DZ145" s="79">
        <f t="shared" si="362"/>
        <v>0</v>
      </c>
      <c r="EA145" s="79">
        <f t="shared" si="363"/>
        <v>0</v>
      </c>
      <c r="EB145" s="79">
        <f t="shared" si="364"/>
        <v>0</v>
      </c>
      <c r="EC145" s="79">
        <f t="shared" si="365"/>
        <v>0</v>
      </c>
      <c r="ED145" s="79">
        <v>1</v>
      </c>
      <c r="EE145" s="79">
        <v>1</v>
      </c>
      <c r="EF145" s="79">
        <f t="shared" si="366"/>
        <v>0</v>
      </c>
      <c r="EG145" s="79">
        <v>1</v>
      </c>
      <c r="EH145" s="79">
        <v>1</v>
      </c>
      <c r="EI145" s="79">
        <v>1</v>
      </c>
      <c r="EJ145" s="79">
        <v>1</v>
      </c>
      <c r="EK145" s="79">
        <v>1</v>
      </c>
      <c r="EL145" s="79">
        <v>1</v>
      </c>
      <c r="EM145" s="143">
        <f t="shared" si="367"/>
        <v>0</v>
      </c>
      <c r="EN145" s="143">
        <f t="shared" si="368"/>
        <v>0</v>
      </c>
      <c r="EO145" s="82">
        <f t="shared" si="369"/>
        <v>0</v>
      </c>
    </row>
    <row r="146" spans="1:145" x14ac:dyDescent="0.25">
      <c r="A146">
        <v>132</v>
      </c>
      <c r="B146" s="172" t="e">
        <f t="shared" si="338"/>
        <v>#N/A</v>
      </c>
      <c r="C146" s="121" t="e">
        <f t="shared" ref="C146:E146" si="381">AJ146-SUM(AB146:AB150)</f>
        <v>#N/A</v>
      </c>
      <c r="D146" s="122" t="e">
        <f t="shared" si="381"/>
        <v>#N/A</v>
      </c>
      <c r="E146" s="122" t="e">
        <f t="shared" si="381"/>
        <v>#N/A</v>
      </c>
      <c r="F146" s="176" t="e">
        <f t="shared" si="320"/>
        <v>#N/A</v>
      </c>
      <c r="G146" s="121">
        <f t="shared" si="340"/>
        <v>208</v>
      </c>
      <c r="H146" s="176" t="e">
        <f t="shared" si="341"/>
        <v>#N/A</v>
      </c>
      <c r="I146" s="48">
        <v>1</v>
      </c>
      <c r="J146" s="39"/>
      <c r="K146" s="350">
        <v>1</v>
      </c>
      <c r="L146" s="34" t="e">
        <f t="shared" si="321"/>
        <v>#N/A</v>
      </c>
      <c r="M146" s="38" t="e">
        <f>(HLOOKUP(J146,'Construction Times'!$B$3:$W$34,L146+2,FALSE)*HLOOKUP("hq modifier",'Construction Times'!$W$3:$W$34,BS146+2,FALSE))*(1-$H$9)</f>
        <v>#N/A</v>
      </c>
      <c r="N146" s="426" t="e">
        <f t="shared" si="342"/>
        <v>#N/A</v>
      </c>
      <c r="O146" s="427"/>
      <c r="P146" s="430" t="e">
        <f t="shared" si="343"/>
        <v>#N/A</v>
      </c>
      <c r="Q146" s="431"/>
      <c r="R146" s="103">
        <f t="shared" si="371"/>
        <v>0</v>
      </c>
      <c r="S146" s="104">
        <f t="shared" si="371"/>
        <v>0</v>
      </c>
      <c r="T146" s="104">
        <f t="shared" si="372"/>
        <v>0</v>
      </c>
      <c r="U146" s="104">
        <f t="shared" si="372"/>
        <v>0</v>
      </c>
      <c r="V146" s="104">
        <f t="shared" si="372"/>
        <v>9.9999999999999995E-8</v>
      </c>
      <c r="W146" s="104">
        <f t="shared" si="372"/>
        <v>0</v>
      </c>
      <c r="X146" s="104">
        <f t="shared" si="278"/>
        <v>0</v>
      </c>
      <c r="Y146" s="104">
        <f t="shared" si="278"/>
        <v>9.9999999999999995E-8</v>
      </c>
      <c r="Z146" s="104">
        <f t="shared" si="278"/>
        <v>9.9999999999999995E-8</v>
      </c>
      <c r="AA146" s="105">
        <f t="shared" si="278"/>
        <v>9.9999999999999995E-8</v>
      </c>
      <c r="AB146" s="101" t="e">
        <f>$DT146*HLOOKUP($J146,'Construction Costs (timber)'!$B$1:$V$32,'Construction Planner'!$L146+2,FALSE)</f>
        <v>#N/A</v>
      </c>
      <c r="AC146" s="14" t="e">
        <f>$DT146*HLOOKUP($J146,'Construction Costs (clay)'!$B$1:$V$32,'Construction Planner'!$L146+2,FALSE)</f>
        <v>#N/A</v>
      </c>
      <c r="AD146" s="14" t="e">
        <f>$DT146*HLOOKUP($J146,'Construction Costs (iron)'!$B$1:$V$32,'Construction Planner'!$L146+2,FALSE)</f>
        <v>#N/A</v>
      </c>
      <c r="AE146" s="34" t="e">
        <f t="shared" si="230"/>
        <v>#N/A</v>
      </c>
      <c r="AF146" s="33" t="e">
        <f t="shared" si="322"/>
        <v>#N/A</v>
      </c>
      <c r="AG146" s="14" t="e">
        <f t="shared" si="323"/>
        <v>#N/A</v>
      </c>
      <c r="AH146" s="14" t="e">
        <f t="shared" si="324"/>
        <v>#N/A</v>
      </c>
      <c r="AI146" s="34" t="e">
        <f t="shared" si="231"/>
        <v>#N/A</v>
      </c>
      <c r="AJ146" s="49" t="e">
        <f t="shared" si="345"/>
        <v>#N/A</v>
      </c>
      <c r="AK146" s="49" t="e">
        <f t="shared" si="346"/>
        <v>#N/A</v>
      </c>
      <c r="AL146" s="49" t="e">
        <f t="shared" si="347"/>
        <v>#N/A</v>
      </c>
      <c r="AM146" s="25">
        <f t="shared" si="325"/>
        <v>30</v>
      </c>
      <c r="AN146" s="25">
        <f t="shared" si="326"/>
        <v>30</v>
      </c>
      <c r="AO146" s="25">
        <f t="shared" si="327"/>
        <v>30</v>
      </c>
      <c r="AP146" s="52" t="e">
        <f t="shared" si="348"/>
        <v>#N/A</v>
      </c>
      <c r="AQ146" s="53" t="e">
        <f t="shared" si="348"/>
        <v>#N/A</v>
      </c>
      <c r="AR146" s="54" t="e">
        <f t="shared" si="348"/>
        <v>#N/A</v>
      </c>
      <c r="AS146" s="316">
        <f t="shared" si="306"/>
        <v>0</v>
      </c>
      <c r="AT146" s="106">
        <f>_xlfn.IFNA($M146/VLOOKUP($BT146,'Unit information'!$A$2:$K$29,2,FALSE)*R146,0)*(1+$E$9)</f>
        <v>0</v>
      </c>
      <c r="AU146" s="107">
        <f>_xlfn.IFNA($M146/VLOOKUP($BT146,'Unit information'!$A$2:$K$29,3,FALSE)*S146,0)*(1+$E$9)</f>
        <v>0</v>
      </c>
      <c r="AV146" s="107">
        <f>_xlfn.IFNA($M146/VLOOKUP($BT146,'Unit information'!$A$2:$K$29,4,FALSE)*T146,0)*(1+$E$9)</f>
        <v>0</v>
      </c>
      <c r="AW146" s="107">
        <f>_xlfn.IFNA($M146/VLOOKUP($BT146,'Unit information'!$A$2:$K$29,5,FALSE)*U146,0)*(1+$E$9)</f>
        <v>0</v>
      </c>
      <c r="AX146" s="107">
        <f>_xlfn.IFNA($M146/VLOOKUP($BU146,'Unit information'!$A$2:$K$29,6,FALSE)*V146,0)*(1+$E$9)</f>
        <v>0</v>
      </c>
      <c r="AY146" s="107">
        <f>_xlfn.IFNA($M146/VLOOKUP($BU146,'Unit information'!$A$2:$K$29,7,FALSE)*W146,0)*(1+$E$9)</f>
        <v>0</v>
      </c>
      <c r="AZ146" s="107">
        <f>_xlfn.IFNA($M146/VLOOKUP($BU146,'Unit information'!$A$2:$K$29,8,FALSE)*X146,0)*(1+$E$9)</f>
        <v>0</v>
      </c>
      <c r="BA146" s="107">
        <f>_xlfn.IFNA($M146/VLOOKUP($BU146,'Unit information'!$A$2:$K$29,9,FALSE)*Y146,0)*(1+$E$9)</f>
        <v>0</v>
      </c>
      <c r="BB146" s="107">
        <f>_xlfn.IFNA($M146/VLOOKUP($BV146,'Unit information'!$A$2:$K$29,10,FALSE)*Z146,0)*(1+$E$9)</f>
        <v>0</v>
      </c>
      <c r="BC146" s="108">
        <f>_xlfn.IFNA($M146/VLOOKUP($BV146,'Unit information'!$A$2:$K$29,11,FALSE)*AA146,0)*(1+$E$9)</f>
        <v>0</v>
      </c>
      <c r="BD146" s="106">
        <f t="shared" si="328"/>
        <v>0</v>
      </c>
      <c r="BE146" s="107">
        <f t="shared" si="329"/>
        <v>0</v>
      </c>
      <c r="BF146" s="108">
        <f t="shared" si="330"/>
        <v>0</v>
      </c>
      <c r="BG146" s="25" t="e">
        <f t="shared" si="331"/>
        <v>#N/A</v>
      </c>
      <c r="BH146" s="25" t="e">
        <f t="shared" si="332"/>
        <v>#N/A</v>
      </c>
      <c r="BI146" s="25" t="e">
        <f t="shared" si="333"/>
        <v>#N/A</v>
      </c>
      <c r="BJ146" s="27" t="e">
        <f t="shared" si="334"/>
        <v>#N/A</v>
      </c>
      <c r="BK146" s="18" t="e">
        <f t="shared" si="335"/>
        <v>#N/A</v>
      </c>
      <c r="BL146" s="18" t="e">
        <f t="shared" si="336"/>
        <v>#N/A</v>
      </c>
      <c r="BM146" s="28" t="e">
        <f t="shared" si="233"/>
        <v>#N/A</v>
      </c>
      <c r="BN146" s="33">
        <f>HLOOKUP("maximum population",Miscelaneous!$C$1:$C$33,CH146+3,FALSE)</f>
        <v>240</v>
      </c>
      <c r="BO146" s="14">
        <f t="shared" si="349"/>
        <v>32</v>
      </c>
      <c r="BP146" s="14">
        <f t="shared" si="350"/>
        <v>0</v>
      </c>
      <c r="BQ146" s="14">
        <f t="shared" si="351"/>
        <v>208</v>
      </c>
      <c r="BR146" s="34" t="e">
        <f>HLOOKUP(J146,Villagers!$B$1:$V$33,L146+3,FALSE)-HLOOKUP(J146,Villagers!$B$1:$V$33,L146+2,FALSE)</f>
        <v>#N/A</v>
      </c>
      <c r="BS146" s="49">
        <f t="shared" si="352"/>
        <v>1</v>
      </c>
      <c r="BT146" s="50">
        <f t="shared" si="353"/>
        <v>0</v>
      </c>
      <c r="BU146" s="50">
        <f t="shared" si="354"/>
        <v>0</v>
      </c>
      <c r="BV146" s="50">
        <f t="shared" si="355"/>
        <v>0</v>
      </c>
      <c r="BW146" s="50">
        <f t="shared" si="356"/>
        <v>0</v>
      </c>
      <c r="BX146" s="50">
        <f t="shared" si="356"/>
        <v>0</v>
      </c>
      <c r="BY146" s="50">
        <f t="shared" si="356"/>
        <v>0</v>
      </c>
      <c r="BZ146" s="50">
        <f t="shared" si="245"/>
        <v>0</v>
      </c>
      <c r="CA146" s="50">
        <f t="shared" si="246"/>
        <v>0</v>
      </c>
      <c r="CB146" s="50">
        <f t="shared" si="247"/>
        <v>1</v>
      </c>
      <c r="CC146" s="50">
        <f t="shared" si="248"/>
        <v>0</v>
      </c>
      <c r="CD146" s="50">
        <f t="shared" si="249"/>
        <v>0</v>
      </c>
      <c r="CE146" s="50">
        <f t="shared" si="250"/>
        <v>1</v>
      </c>
      <c r="CF146" s="50">
        <f t="shared" si="251"/>
        <v>1</v>
      </c>
      <c r="CG146" s="50">
        <f t="shared" si="252"/>
        <v>1</v>
      </c>
      <c r="CH146" s="50">
        <f t="shared" si="253"/>
        <v>1</v>
      </c>
      <c r="CI146" s="50">
        <f t="shared" si="254"/>
        <v>1</v>
      </c>
      <c r="CJ146" s="50">
        <f t="shared" si="255"/>
        <v>1</v>
      </c>
      <c r="CK146" s="50">
        <f t="shared" si="255"/>
        <v>0</v>
      </c>
      <c r="CL146" s="50">
        <f t="shared" si="255"/>
        <v>0</v>
      </c>
      <c r="CM146" s="51">
        <f t="shared" si="256"/>
        <v>0</v>
      </c>
      <c r="CN146" s="33">
        <f>ROUND(IF(BS146=0,0,HLOOKUP(BS$14,Villagers!$B$1:$V$33,BS146+3,FALSE)),)</f>
        <v>5</v>
      </c>
      <c r="CO146" s="14">
        <f>ROUND(IF(BT146=0,0,HLOOKUP(BT$14,Villagers!$B$1:$V$33,BT146+3,FALSE)),)</f>
        <v>0</v>
      </c>
      <c r="CP146" s="14">
        <f>ROUND(IF(BU146=0,0,HLOOKUP(BU$14,Villagers!$B$1:$V$33,BU146+3,FALSE)),)</f>
        <v>0</v>
      </c>
      <c r="CQ146" s="14">
        <f>ROUND(IF(BV146=0,0,HLOOKUP(BV$14,Villagers!$B$1:$V$33,BV146+3,FALSE)),)</f>
        <v>0</v>
      </c>
      <c r="CR146" s="14">
        <f>ROUND(IF(BW146=0,0,HLOOKUP(BW$14,Villagers!$B$1:$V$33,BW146+3,FALSE)),)</f>
        <v>0</v>
      </c>
      <c r="CS146" s="14">
        <f>ROUND(IF(BX146=0,0,HLOOKUP(BX$14,Villagers!$B$1:$V$33,BX146+3,FALSE)),)</f>
        <v>0</v>
      </c>
      <c r="CT146" s="14">
        <f>ROUND(IF(BY146=0,0,HLOOKUP(BY$14,Villagers!$B$1:$V$33,BY146+3,FALSE)),)</f>
        <v>0</v>
      </c>
      <c r="CU146" s="14">
        <f>ROUND(IF(BZ146=0,0,HLOOKUP(BZ$14,Villagers!$B$1:$V$33,BZ146+3,FALSE)),)</f>
        <v>0</v>
      </c>
      <c r="CV146" s="14">
        <f>ROUND(IF(CA146=0,0,HLOOKUP(CA$14,Villagers!$B$1:$V$33,CA146+3,FALSE)),)</f>
        <v>0</v>
      </c>
      <c r="CW146" s="14">
        <f>ROUND(IF(CB146=0,0,HLOOKUP(CB$14,Villagers!$B$1:$V$33,CB146+3,FALSE)),)</f>
        <v>0</v>
      </c>
      <c r="CX146" s="14">
        <f>ROUND(IF(CC146=0,0,HLOOKUP(CC$14,Villagers!$B$1:$V$33,CC146+3,FALSE)),)</f>
        <v>0</v>
      </c>
      <c r="CY146" s="14">
        <f>ROUND(IF(CD146=0,0,HLOOKUP(CD$14,Villagers!$B$1:$V$33,CD146+3,FALSE)),)</f>
        <v>0</v>
      </c>
      <c r="CZ146" s="14">
        <f>ROUND(IF(CE146=0,0,HLOOKUP(CE$14,Villagers!$B$1:$V$33,CE146+3,FALSE)),)</f>
        <v>5</v>
      </c>
      <c r="DA146" s="14">
        <f>ROUND(IF(CF146=0,0,HLOOKUP(CF$14,Villagers!$B$1:$V$33,CF146+3,FALSE)),)</f>
        <v>10</v>
      </c>
      <c r="DB146" s="14">
        <f>ROUND(IF(CG146=0,0,HLOOKUP(CG$14,Villagers!$B$1:$V$33,CG146+3,FALSE)),)</f>
        <v>10</v>
      </c>
      <c r="DC146" s="14">
        <f>ROUND(IF(CH146=0,0,HLOOKUP(CH$14,Villagers!$B$1:$V$33,CH146+3,FALSE)),)</f>
        <v>0</v>
      </c>
      <c r="DD146" s="14">
        <f>ROUND(IF(CI146=0,0,HLOOKUP(CI$14,Villagers!$B$1:$V$33,CI146+3,FALSE)),)</f>
        <v>0</v>
      </c>
      <c r="DE146" s="14">
        <f>ROUND(IF(CJ146=0,0,HLOOKUP(CJ$14,Villagers!$B$1:$V$33,CJ146+3,FALSE)),)</f>
        <v>2</v>
      </c>
      <c r="DF146" s="370">
        <f>ROUND(IF(CK146=0,0,HLOOKUP(CK$14,Villagers!$B$1:$V$33,CK146+3,FALSE)),)</f>
        <v>0</v>
      </c>
      <c r="DG146" s="370">
        <f>ROUND(IF(CL146=0,0,HLOOKUP(CL$14,Villagers!$B$1:$V$33,CL146+3,FALSE)),)</f>
        <v>0</v>
      </c>
      <c r="DH146" s="34">
        <f>ROUND(IF(CM146=0,0,HLOOKUP(CM$14,Villagers!$B$1:$V$33,CM146+3,FALSE)),)</f>
        <v>0</v>
      </c>
      <c r="DI146" s="109">
        <f t="shared" si="373"/>
        <v>0</v>
      </c>
      <c r="DJ146" s="50">
        <f t="shared" si="374"/>
        <v>0</v>
      </c>
      <c r="DK146" s="50">
        <f t="shared" si="375"/>
        <v>0</v>
      </c>
      <c r="DL146" s="50">
        <f t="shared" si="376"/>
        <v>0</v>
      </c>
      <c r="DM146" s="50">
        <f t="shared" si="377"/>
        <v>0</v>
      </c>
      <c r="DN146" s="50">
        <f t="shared" si="378"/>
        <v>0</v>
      </c>
      <c r="DO146" s="50">
        <f t="shared" si="379"/>
        <v>0</v>
      </c>
      <c r="DP146" s="50">
        <f t="shared" si="380"/>
        <v>0</v>
      </c>
      <c r="DQ146" s="50">
        <f t="shared" si="357"/>
        <v>0</v>
      </c>
      <c r="DR146" s="50">
        <f t="shared" si="358"/>
        <v>0</v>
      </c>
      <c r="DS146" s="96">
        <f>Miscelaneous!$D$4*Miscelaneous!$D$2^($CI146-1)</f>
        <v>1000</v>
      </c>
      <c r="DT146" s="333">
        <f t="shared" si="337"/>
        <v>1</v>
      </c>
      <c r="DU146" s="81">
        <v>1</v>
      </c>
      <c r="DV146" s="79">
        <f t="shared" si="359"/>
        <v>0</v>
      </c>
      <c r="DW146" s="79">
        <f t="shared" si="360"/>
        <v>0</v>
      </c>
      <c r="DX146" s="79">
        <f t="shared" si="361"/>
        <v>0</v>
      </c>
      <c r="DY146" s="79">
        <v>1</v>
      </c>
      <c r="DZ146" s="79">
        <f t="shared" si="362"/>
        <v>0</v>
      </c>
      <c r="EA146" s="79">
        <f t="shared" si="363"/>
        <v>0</v>
      </c>
      <c r="EB146" s="79">
        <f t="shared" si="364"/>
        <v>0</v>
      </c>
      <c r="EC146" s="79">
        <f t="shared" si="365"/>
        <v>0</v>
      </c>
      <c r="ED146" s="79">
        <v>1</v>
      </c>
      <c r="EE146" s="79">
        <v>1</v>
      </c>
      <c r="EF146" s="79">
        <f t="shared" si="366"/>
        <v>0</v>
      </c>
      <c r="EG146" s="79">
        <v>1</v>
      </c>
      <c r="EH146" s="79">
        <v>1</v>
      </c>
      <c r="EI146" s="79">
        <v>1</v>
      </c>
      <c r="EJ146" s="79">
        <v>1</v>
      </c>
      <c r="EK146" s="79">
        <v>1</v>
      </c>
      <c r="EL146" s="79">
        <v>1</v>
      </c>
      <c r="EM146" s="143">
        <f t="shared" si="367"/>
        <v>0</v>
      </c>
      <c r="EN146" s="143">
        <f t="shared" si="368"/>
        <v>0</v>
      </c>
      <c r="EO146" s="82">
        <f t="shared" si="369"/>
        <v>0</v>
      </c>
    </row>
    <row r="147" spans="1:145" x14ac:dyDescent="0.25">
      <c r="A147">
        <v>133</v>
      </c>
      <c r="B147" s="172" t="e">
        <f t="shared" si="338"/>
        <v>#N/A</v>
      </c>
      <c r="C147" s="121" t="e">
        <f t="shared" ref="C147:E147" si="382">AJ147-SUM(AB147:AB151)</f>
        <v>#N/A</v>
      </c>
      <c r="D147" s="122" t="e">
        <f t="shared" si="382"/>
        <v>#N/A</v>
      </c>
      <c r="E147" s="122" t="e">
        <f t="shared" si="382"/>
        <v>#N/A</v>
      </c>
      <c r="F147" s="176" t="e">
        <f t="shared" si="320"/>
        <v>#N/A</v>
      </c>
      <c r="G147" s="121">
        <f t="shared" si="340"/>
        <v>208</v>
      </c>
      <c r="H147" s="176" t="e">
        <f t="shared" si="341"/>
        <v>#N/A</v>
      </c>
      <c r="I147" s="48">
        <v>1</v>
      </c>
      <c r="J147" s="39"/>
      <c r="K147" s="350">
        <v>1</v>
      </c>
      <c r="L147" s="34" t="e">
        <f t="shared" si="321"/>
        <v>#N/A</v>
      </c>
      <c r="M147" s="38" t="e">
        <f>(HLOOKUP(J147,'Construction Times'!$B$3:$W$34,L147+2,FALSE)*HLOOKUP("hq modifier",'Construction Times'!$W$3:$W$34,BS147+2,FALSE))*(1-$H$9)</f>
        <v>#N/A</v>
      </c>
      <c r="N147" s="426" t="e">
        <f t="shared" si="342"/>
        <v>#N/A</v>
      </c>
      <c r="O147" s="427"/>
      <c r="P147" s="430" t="e">
        <f t="shared" si="343"/>
        <v>#N/A</v>
      </c>
      <c r="Q147" s="431"/>
      <c r="R147" s="103">
        <f t="shared" si="371"/>
        <v>0</v>
      </c>
      <c r="S147" s="104">
        <f t="shared" si="371"/>
        <v>0</v>
      </c>
      <c r="T147" s="104">
        <f t="shared" si="372"/>
        <v>0</v>
      </c>
      <c r="U147" s="104">
        <f t="shared" si="372"/>
        <v>0</v>
      </c>
      <c r="V147" s="104">
        <f t="shared" si="372"/>
        <v>9.9999999999999995E-8</v>
      </c>
      <c r="W147" s="104">
        <f t="shared" si="372"/>
        <v>0</v>
      </c>
      <c r="X147" s="104">
        <f t="shared" si="278"/>
        <v>0</v>
      </c>
      <c r="Y147" s="104">
        <f t="shared" si="278"/>
        <v>9.9999999999999995E-8</v>
      </c>
      <c r="Z147" s="104">
        <f t="shared" si="278"/>
        <v>9.9999999999999995E-8</v>
      </c>
      <c r="AA147" s="105">
        <f t="shared" si="278"/>
        <v>9.9999999999999995E-8</v>
      </c>
      <c r="AB147" s="101" t="e">
        <f>$DT147*HLOOKUP($J147,'Construction Costs (timber)'!$B$1:$V$32,'Construction Planner'!$L147+2,FALSE)</f>
        <v>#N/A</v>
      </c>
      <c r="AC147" s="14" t="e">
        <f>$DT147*HLOOKUP($J147,'Construction Costs (clay)'!$B$1:$V$32,'Construction Planner'!$L147+2,FALSE)</f>
        <v>#N/A</v>
      </c>
      <c r="AD147" s="14" t="e">
        <f>$DT147*HLOOKUP($J147,'Construction Costs (iron)'!$B$1:$V$32,'Construction Planner'!$L147+2,FALSE)</f>
        <v>#N/A</v>
      </c>
      <c r="AE147" s="34" t="e">
        <f t="shared" si="230"/>
        <v>#N/A</v>
      </c>
      <c r="AF147" s="33" t="e">
        <f t="shared" si="322"/>
        <v>#N/A</v>
      </c>
      <c r="AG147" s="14" t="e">
        <f t="shared" si="323"/>
        <v>#N/A</v>
      </c>
      <c r="AH147" s="14" t="e">
        <f t="shared" si="324"/>
        <v>#N/A</v>
      </c>
      <c r="AI147" s="34" t="e">
        <f t="shared" si="231"/>
        <v>#N/A</v>
      </c>
      <c r="AJ147" s="49" t="e">
        <f t="shared" si="345"/>
        <v>#N/A</v>
      </c>
      <c r="AK147" s="49" t="e">
        <f t="shared" si="346"/>
        <v>#N/A</v>
      </c>
      <c r="AL147" s="49" t="e">
        <f t="shared" si="347"/>
        <v>#N/A</v>
      </c>
      <c r="AM147" s="25">
        <f t="shared" si="325"/>
        <v>30</v>
      </c>
      <c r="AN147" s="25">
        <f t="shared" si="326"/>
        <v>30</v>
      </c>
      <c r="AO147" s="25">
        <f t="shared" si="327"/>
        <v>30</v>
      </c>
      <c r="AP147" s="52" t="e">
        <f t="shared" si="348"/>
        <v>#N/A</v>
      </c>
      <c r="AQ147" s="53" t="e">
        <f t="shared" si="348"/>
        <v>#N/A</v>
      </c>
      <c r="AR147" s="54" t="e">
        <f t="shared" si="348"/>
        <v>#N/A</v>
      </c>
      <c r="AS147" s="316">
        <f t="shared" si="306"/>
        <v>0</v>
      </c>
      <c r="AT147" s="106">
        <f>_xlfn.IFNA($M147/VLOOKUP($BT147,'Unit information'!$A$2:$K$29,2,FALSE)*R147,0)*(1+$E$9)</f>
        <v>0</v>
      </c>
      <c r="AU147" s="107">
        <f>_xlfn.IFNA($M147/VLOOKUP($BT147,'Unit information'!$A$2:$K$29,3,FALSE)*S147,0)*(1+$E$9)</f>
        <v>0</v>
      </c>
      <c r="AV147" s="107">
        <f>_xlfn.IFNA($M147/VLOOKUP($BT147,'Unit information'!$A$2:$K$29,4,FALSE)*T147,0)*(1+$E$9)</f>
        <v>0</v>
      </c>
      <c r="AW147" s="107">
        <f>_xlfn.IFNA($M147/VLOOKUP($BT147,'Unit information'!$A$2:$K$29,5,FALSE)*U147,0)*(1+$E$9)</f>
        <v>0</v>
      </c>
      <c r="AX147" s="107">
        <f>_xlfn.IFNA($M147/VLOOKUP($BU147,'Unit information'!$A$2:$K$29,6,FALSE)*V147,0)*(1+$E$9)</f>
        <v>0</v>
      </c>
      <c r="AY147" s="107">
        <f>_xlfn.IFNA($M147/VLOOKUP($BU147,'Unit information'!$A$2:$K$29,7,FALSE)*W147,0)*(1+$E$9)</f>
        <v>0</v>
      </c>
      <c r="AZ147" s="107">
        <f>_xlfn.IFNA($M147/VLOOKUP($BU147,'Unit information'!$A$2:$K$29,8,FALSE)*X147,0)*(1+$E$9)</f>
        <v>0</v>
      </c>
      <c r="BA147" s="107">
        <f>_xlfn.IFNA($M147/VLOOKUP($BU147,'Unit information'!$A$2:$K$29,9,FALSE)*Y147,0)*(1+$E$9)</f>
        <v>0</v>
      </c>
      <c r="BB147" s="107">
        <f>_xlfn.IFNA($M147/VLOOKUP($BV147,'Unit information'!$A$2:$K$29,10,FALSE)*Z147,0)*(1+$E$9)</f>
        <v>0</v>
      </c>
      <c r="BC147" s="108">
        <f>_xlfn.IFNA($M147/VLOOKUP($BV147,'Unit information'!$A$2:$K$29,11,FALSE)*AA147,0)*(1+$E$9)</f>
        <v>0</v>
      </c>
      <c r="BD147" s="106">
        <f t="shared" si="328"/>
        <v>0</v>
      </c>
      <c r="BE147" s="107">
        <f t="shared" si="329"/>
        <v>0</v>
      </c>
      <c r="BF147" s="108">
        <f t="shared" si="330"/>
        <v>0</v>
      </c>
      <c r="BG147" s="25" t="e">
        <f t="shared" si="331"/>
        <v>#N/A</v>
      </c>
      <c r="BH147" s="25" t="e">
        <f t="shared" si="332"/>
        <v>#N/A</v>
      </c>
      <c r="BI147" s="25" t="e">
        <f t="shared" si="333"/>
        <v>#N/A</v>
      </c>
      <c r="BJ147" s="27" t="e">
        <f t="shared" si="334"/>
        <v>#N/A</v>
      </c>
      <c r="BK147" s="18" t="e">
        <f t="shared" si="335"/>
        <v>#N/A</v>
      </c>
      <c r="BL147" s="18" t="e">
        <f t="shared" si="336"/>
        <v>#N/A</v>
      </c>
      <c r="BM147" s="28" t="e">
        <f t="shared" si="233"/>
        <v>#N/A</v>
      </c>
      <c r="BN147" s="33">
        <f>HLOOKUP("maximum population",Miscelaneous!$C$1:$C$33,CH147+3,FALSE)</f>
        <v>240</v>
      </c>
      <c r="BO147" s="14">
        <f t="shared" si="349"/>
        <v>32</v>
      </c>
      <c r="BP147" s="14">
        <f t="shared" si="350"/>
        <v>0</v>
      </c>
      <c r="BQ147" s="14">
        <f t="shared" si="351"/>
        <v>208</v>
      </c>
      <c r="BR147" s="34" t="e">
        <f>HLOOKUP(J147,Villagers!$B$1:$V$33,L147+3,FALSE)-HLOOKUP(J147,Villagers!$B$1:$V$33,L147+2,FALSE)</f>
        <v>#N/A</v>
      </c>
      <c r="BS147" s="49">
        <f t="shared" si="352"/>
        <v>1</v>
      </c>
      <c r="BT147" s="50">
        <f t="shared" si="353"/>
        <v>0</v>
      </c>
      <c r="BU147" s="50">
        <f t="shared" si="354"/>
        <v>0</v>
      </c>
      <c r="BV147" s="50">
        <f t="shared" si="355"/>
        <v>0</v>
      </c>
      <c r="BW147" s="50">
        <f t="shared" si="356"/>
        <v>0</v>
      </c>
      <c r="BX147" s="50">
        <f t="shared" si="356"/>
        <v>0</v>
      </c>
      <c r="BY147" s="50">
        <f t="shared" si="356"/>
        <v>0</v>
      </c>
      <c r="BZ147" s="50">
        <f t="shared" si="245"/>
        <v>0</v>
      </c>
      <c r="CA147" s="50">
        <f t="shared" si="246"/>
        <v>0</v>
      </c>
      <c r="CB147" s="50">
        <f t="shared" si="247"/>
        <v>1</v>
      </c>
      <c r="CC147" s="50">
        <f t="shared" si="248"/>
        <v>0</v>
      </c>
      <c r="CD147" s="50">
        <f t="shared" si="249"/>
        <v>0</v>
      </c>
      <c r="CE147" s="50">
        <f t="shared" si="250"/>
        <v>1</v>
      </c>
      <c r="CF147" s="50">
        <f t="shared" si="251"/>
        <v>1</v>
      </c>
      <c r="CG147" s="50">
        <f t="shared" si="252"/>
        <v>1</v>
      </c>
      <c r="CH147" s="50">
        <f t="shared" si="253"/>
        <v>1</v>
      </c>
      <c r="CI147" s="50">
        <f t="shared" si="254"/>
        <v>1</v>
      </c>
      <c r="CJ147" s="50">
        <f t="shared" si="255"/>
        <v>1</v>
      </c>
      <c r="CK147" s="50">
        <f t="shared" si="255"/>
        <v>0</v>
      </c>
      <c r="CL147" s="50">
        <f t="shared" si="255"/>
        <v>0</v>
      </c>
      <c r="CM147" s="51">
        <f t="shared" si="256"/>
        <v>0</v>
      </c>
      <c r="CN147" s="33">
        <f>ROUND(IF(BS147=0,0,HLOOKUP(BS$14,Villagers!$B$1:$V$33,BS147+3,FALSE)),)</f>
        <v>5</v>
      </c>
      <c r="CO147" s="14">
        <f>ROUND(IF(BT147=0,0,HLOOKUP(BT$14,Villagers!$B$1:$V$33,BT147+3,FALSE)),)</f>
        <v>0</v>
      </c>
      <c r="CP147" s="14">
        <f>ROUND(IF(BU147=0,0,HLOOKUP(BU$14,Villagers!$B$1:$V$33,BU147+3,FALSE)),)</f>
        <v>0</v>
      </c>
      <c r="CQ147" s="14">
        <f>ROUND(IF(BV147=0,0,HLOOKUP(BV$14,Villagers!$B$1:$V$33,BV147+3,FALSE)),)</f>
        <v>0</v>
      </c>
      <c r="CR147" s="14">
        <f>ROUND(IF(BW147=0,0,HLOOKUP(BW$14,Villagers!$B$1:$V$33,BW147+3,FALSE)),)</f>
        <v>0</v>
      </c>
      <c r="CS147" s="14">
        <f>ROUND(IF(BX147=0,0,HLOOKUP(BX$14,Villagers!$B$1:$V$33,BX147+3,FALSE)),)</f>
        <v>0</v>
      </c>
      <c r="CT147" s="14">
        <f>ROUND(IF(BY147=0,0,HLOOKUP(BY$14,Villagers!$B$1:$V$33,BY147+3,FALSE)),)</f>
        <v>0</v>
      </c>
      <c r="CU147" s="14">
        <f>ROUND(IF(BZ147=0,0,HLOOKUP(BZ$14,Villagers!$B$1:$V$33,BZ147+3,FALSE)),)</f>
        <v>0</v>
      </c>
      <c r="CV147" s="14">
        <f>ROUND(IF(CA147=0,0,HLOOKUP(CA$14,Villagers!$B$1:$V$33,CA147+3,FALSE)),)</f>
        <v>0</v>
      </c>
      <c r="CW147" s="14">
        <f>ROUND(IF(CB147=0,0,HLOOKUP(CB$14,Villagers!$B$1:$V$33,CB147+3,FALSE)),)</f>
        <v>0</v>
      </c>
      <c r="CX147" s="14">
        <f>ROUND(IF(CC147=0,0,HLOOKUP(CC$14,Villagers!$B$1:$V$33,CC147+3,FALSE)),)</f>
        <v>0</v>
      </c>
      <c r="CY147" s="14">
        <f>ROUND(IF(CD147=0,0,HLOOKUP(CD$14,Villagers!$B$1:$V$33,CD147+3,FALSE)),)</f>
        <v>0</v>
      </c>
      <c r="CZ147" s="14">
        <f>ROUND(IF(CE147=0,0,HLOOKUP(CE$14,Villagers!$B$1:$V$33,CE147+3,FALSE)),)</f>
        <v>5</v>
      </c>
      <c r="DA147" s="14">
        <f>ROUND(IF(CF147=0,0,HLOOKUP(CF$14,Villagers!$B$1:$V$33,CF147+3,FALSE)),)</f>
        <v>10</v>
      </c>
      <c r="DB147" s="14">
        <f>ROUND(IF(CG147=0,0,HLOOKUP(CG$14,Villagers!$B$1:$V$33,CG147+3,FALSE)),)</f>
        <v>10</v>
      </c>
      <c r="DC147" s="14">
        <f>ROUND(IF(CH147=0,0,HLOOKUP(CH$14,Villagers!$B$1:$V$33,CH147+3,FALSE)),)</f>
        <v>0</v>
      </c>
      <c r="DD147" s="14">
        <f>ROUND(IF(CI147=0,0,HLOOKUP(CI$14,Villagers!$B$1:$V$33,CI147+3,FALSE)),)</f>
        <v>0</v>
      </c>
      <c r="DE147" s="14">
        <f>ROUND(IF(CJ147=0,0,HLOOKUP(CJ$14,Villagers!$B$1:$V$33,CJ147+3,FALSE)),)</f>
        <v>2</v>
      </c>
      <c r="DF147" s="370">
        <f>ROUND(IF(CK147=0,0,HLOOKUP(CK$14,Villagers!$B$1:$V$33,CK147+3,FALSE)),)</f>
        <v>0</v>
      </c>
      <c r="DG147" s="370">
        <f>ROUND(IF(CL147=0,0,HLOOKUP(CL$14,Villagers!$B$1:$V$33,CL147+3,FALSE)),)</f>
        <v>0</v>
      </c>
      <c r="DH147" s="34">
        <f>ROUND(IF(CM147=0,0,HLOOKUP(CM$14,Villagers!$B$1:$V$33,CM147+3,FALSE)),)</f>
        <v>0</v>
      </c>
      <c r="DI147" s="109">
        <f t="shared" si="373"/>
        <v>0</v>
      </c>
      <c r="DJ147" s="50">
        <f t="shared" si="374"/>
        <v>0</v>
      </c>
      <c r="DK147" s="50">
        <f t="shared" si="375"/>
        <v>0</v>
      </c>
      <c r="DL147" s="50">
        <f t="shared" si="376"/>
        <v>0</v>
      </c>
      <c r="DM147" s="50">
        <f t="shared" si="377"/>
        <v>0</v>
      </c>
      <c r="DN147" s="50">
        <f t="shared" si="378"/>
        <v>0</v>
      </c>
      <c r="DO147" s="50">
        <f t="shared" si="379"/>
        <v>0</v>
      </c>
      <c r="DP147" s="50">
        <f t="shared" si="380"/>
        <v>0</v>
      </c>
      <c r="DQ147" s="50">
        <f t="shared" si="357"/>
        <v>0</v>
      </c>
      <c r="DR147" s="50">
        <f t="shared" si="358"/>
        <v>0</v>
      </c>
      <c r="DS147" s="96">
        <f>Miscelaneous!$D$4*Miscelaneous!$D$2^($CI147-1)</f>
        <v>1000</v>
      </c>
      <c r="DT147" s="333">
        <f t="shared" si="337"/>
        <v>1</v>
      </c>
      <c r="DU147" s="81">
        <v>1</v>
      </c>
      <c r="DV147" s="79">
        <f t="shared" si="359"/>
        <v>0</v>
      </c>
      <c r="DW147" s="79">
        <f t="shared" si="360"/>
        <v>0</v>
      </c>
      <c r="DX147" s="79">
        <f t="shared" si="361"/>
        <v>0</v>
      </c>
      <c r="DY147" s="79">
        <v>1</v>
      </c>
      <c r="DZ147" s="79">
        <f t="shared" si="362"/>
        <v>0</v>
      </c>
      <c r="EA147" s="79">
        <f t="shared" si="363"/>
        <v>0</v>
      </c>
      <c r="EB147" s="79">
        <f t="shared" si="364"/>
        <v>0</v>
      </c>
      <c r="EC147" s="79">
        <f t="shared" si="365"/>
        <v>0</v>
      </c>
      <c r="ED147" s="79">
        <v>1</v>
      </c>
      <c r="EE147" s="79">
        <v>1</v>
      </c>
      <c r="EF147" s="79">
        <f t="shared" si="366"/>
        <v>0</v>
      </c>
      <c r="EG147" s="79">
        <v>1</v>
      </c>
      <c r="EH147" s="79">
        <v>1</v>
      </c>
      <c r="EI147" s="79">
        <v>1</v>
      </c>
      <c r="EJ147" s="79">
        <v>1</v>
      </c>
      <c r="EK147" s="79">
        <v>1</v>
      </c>
      <c r="EL147" s="79">
        <v>1</v>
      </c>
      <c r="EM147" s="143">
        <f t="shared" si="367"/>
        <v>0</v>
      </c>
      <c r="EN147" s="143">
        <f t="shared" si="368"/>
        <v>0</v>
      </c>
      <c r="EO147" s="82">
        <f t="shared" si="369"/>
        <v>0</v>
      </c>
    </row>
    <row r="148" spans="1:145" x14ac:dyDescent="0.25">
      <c r="A148">
        <v>134</v>
      </c>
      <c r="B148" s="172" t="e">
        <f t="shared" si="338"/>
        <v>#N/A</v>
      </c>
      <c r="C148" s="121" t="e">
        <f t="shared" ref="C148:E148" si="383">AJ148-SUM(AB148:AB152)</f>
        <v>#N/A</v>
      </c>
      <c r="D148" s="122" t="e">
        <f t="shared" si="383"/>
        <v>#N/A</v>
      </c>
      <c r="E148" s="122" t="e">
        <f t="shared" si="383"/>
        <v>#N/A</v>
      </c>
      <c r="F148" s="176" t="e">
        <f t="shared" si="320"/>
        <v>#N/A</v>
      </c>
      <c r="G148" s="121">
        <f t="shared" si="340"/>
        <v>208</v>
      </c>
      <c r="H148" s="176" t="e">
        <f t="shared" si="341"/>
        <v>#N/A</v>
      </c>
      <c r="I148" s="48">
        <v>1</v>
      </c>
      <c r="J148" s="39"/>
      <c r="K148" s="350">
        <v>1</v>
      </c>
      <c r="L148" s="34" t="e">
        <f t="shared" si="321"/>
        <v>#N/A</v>
      </c>
      <c r="M148" s="38" t="e">
        <f>(HLOOKUP(J148,'Construction Times'!$B$3:$W$34,L148+2,FALSE)*HLOOKUP("hq modifier",'Construction Times'!$W$3:$W$34,BS148+2,FALSE))*(1-$H$9)</f>
        <v>#N/A</v>
      </c>
      <c r="N148" s="426" t="e">
        <f t="shared" si="342"/>
        <v>#N/A</v>
      </c>
      <c r="O148" s="427"/>
      <c r="P148" s="430" t="e">
        <f t="shared" si="343"/>
        <v>#N/A</v>
      </c>
      <c r="Q148" s="431"/>
      <c r="R148" s="103">
        <f t="shared" si="371"/>
        <v>0</v>
      </c>
      <c r="S148" s="104">
        <f t="shared" si="371"/>
        <v>0</v>
      </c>
      <c r="T148" s="104">
        <f t="shared" si="372"/>
        <v>0</v>
      </c>
      <c r="U148" s="104">
        <f t="shared" si="372"/>
        <v>0</v>
      </c>
      <c r="V148" s="104">
        <f t="shared" si="372"/>
        <v>9.9999999999999995E-8</v>
      </c>
      <c r="W148" s="104">
        <f t="shared" si="372"/>
        <v>0</v>
      </c>
      <c r="X148" s="104">
        <f t="shared" si="278"/>
        <v>0</v>
      </c>
      <c r="Y148" s="104">
        <f t="shared" si="278"/>
        <v>9.9999999999999995E-8</v>
      </c>
      <c r="Z148" s="104">
        <f t="shared" si="278"/>
        <v>9.9999999999999995E-8</v>
      </c>
      <c r="AA148" s="105">
        <f t="shared" si="278"/>
        <v>9.9999999999999995E-8</v>
      </c>
      <c r="AB148" s="101" t="e">
        <f>$DT148*HLOOKUP($J148,'Construction Costs (timber)'!$B$1:$V$32,'Construction Planner'!$L148+2,FALSE)</f>
        <v>#N/A</v>
      </c>
      <c r="AC148" s="14" t="e">
        <f>$DT148*HLOOKUP($J148,'Construction Costs (clay)'!$B$1:$V$32,'Construction Planner'!$L148+2,FALSE)</f>
        <v>#N/A</v>
      </c>
      <c r="AD148" s="14" t="e">
        <f>$DT148*HLOOKUP($J148,'Construction Costs (iron)'!$B$1:$V$32,'Construction Planner'!$L148+2,FALSE)</f>
        <v>#N/A</v>
      </c>
      <c r="AE148" s="34" t="e">
        <f t="shared" ref="AE148:AE211" si="384">SUM(AB148:AD148)</f>
        <v>#N/A</v>
      </c>
      <c r="AF148" s="33" t="e">
        <f t="shared" si="322"/>
        <v>#N/A</v>
      </c>
      <c r="AG148" s="14" t="e">
        <f t="shared" si="323"/>
        <v>#N/A</v>
      </c>
      <c r="AH148" s="14" t="e">
        <f t="shared" si="324"/>
        <v>#N/A</v>
      </c>
      <c r="AI148" s="34" t="e">
        <f t="shared" ref="AI148:AI211" si="385">SUM(AF148:AH148)</f>
        <v>#N/A</v>
      </c>
      <c r="AJ148" s="49" t="e">
        <f t="shared" si="345"/>
        <v>#N/A</v>
      </c>
      <c r="AK148" s="49" t="e">
        <f t="shared" si="346"/>
        <v>#N/A</v>
      </c>
      <c r="AL148" s="49" t="e">
        <f t="shared" si="347"/>
        <v>#N/A</v>
      </c>
      <c r="AM148" s="25">
        <f t="shared" si="325"/>
        <v>30</v>
      </c>
      <c r="AN148" s="25">
        <f t="shared" si="326"/>
        <v>30</v>
      </c>
      <c r="AO148" s="25">
        <f t="shared" si="327"/>
        <v>30</v>
      </c>
      <c r="AP148" s="52" t="e">
        <f t="shared" si="348"/>
        <v>#N/A</v>
      </c>
      <c r="AQ148" s="53" t="e">
        <f t="shared" si="348"/>
        <v>#N/A</v>
      </c>
      <c r="AR148" s="54" t="e">
        <f t="shared" si="348"/>
        <v>#N/A</v>
      </c>
      <c r="AS148" s="316">
        <f t="shared" ref="AS148:AS163" si="386">AS147</f>
        <v>0</v>
      </c>
      <c r="AT148" s="106">
        <f>_xlfn.IFNA($M148/VLOOKUP($BT148,'Unit information'!$A$2:$K$29,2,FALSE)*R148,0)*(1+$E$9)</f>
        <v>0</v>
      </c>
      <c r="AU148" s="107">
        <f>_xlfn.IFNA($M148/VLOOKUP($BT148,'Unit information'!$A$2:$K$29,3,FALSE)*S148,0)*(1+$E$9)</f>
        <v>0</v>
      </c>
      <c r="AV148" s="107">
        <f>_xlfn.IFNA($M148/VLOOKUP($BT148,'Unit information'!$A$2:$K$29,4,FALSE)*T148,0)*(1+$E$9)</f>
        <v>0</v>
      </c>
      <c r="AW148" s="107">
        <f>_xlfn.IFNA($M148/VLOOKUP($BT148,'Unit information'!$A$2:$K$29,5,FALSE)*U148,0)*(1+$E$9)</f>
        <v>0</v>
      </c>
      <c r="AX148" s="107">
        <f>_xlfn.IFNA($M148/VLOOKUP($BU148,'Unit information'!$A$2:$K$29,6,FALSE)*V148,0)*(1+$E$9)</f>
        <v>0</v>
      </c>
      <c r="AY148" s="107">
        <f>_xlfn.IFNA($M148/VLOOKUP($BU148,'Unit information'!$A$2:$K$29,7,FALSE)*W148,0)*(1+$E$9)</f>
        <v>0</v>
      </c>
      <c r="AZ148" s="107">
        <f>_xlfn.IFNA($M148/VLOOKUP($BU148,'Unit information'!$A$2:$K$29,8,FALSE)*X148,0)*(1+$E$9)</f>
        <v>0</v>
      </c>
      <c r="BA148" s="107">
        <f>_xlfn.IFNA($M148/VLOOKUP($BU148,'Unit information'!$A$2:$K$29,9,FALSE)*Y148,0)*(1+$E$9)</f>
        <v>0</v>
      </c>
      <c r="BB148" s="107">
        <f>_xlfn.IFNA($M148/VLOOKUP($BV148,'Unit information'!$A$2:$K$29,10,FALSE)*Z148,0)*(1+$E$9)</f>
        <v>0</v>
      </c>
      <c r="BC148" s="108">
        <f>_xlfn.IFNA($M148/VLOOKUP($BV148,'Unit information'!$A$2:$K$29,11,FALSE)*AA148,0)*(1+$E$9)</f>
        <v>0</v>
      </c>
      <c r="BD148" s="106">
        <f t="shared" si="328"/>
        <v>0</v>
      </c>
      <c r="BE148" s="107">
        <f t="shared" si="329"/>
        <v>0</v>
      </c>
      <c r="BF148" s="108">
        <f t="shared" si="330"/>
        <v>0</v>
      </c>
      <c r="BG148" s="25" t="e">
        <f t="shared" si="331"/>
        <v>#N/A</v>
      </c>
      <c r="BH148" s="25" t="e">
        <f t="shared" si="332"/>
        <v>#N/A</v>
      </c>
      <c r="BI148" s="25" t="e">
        <f t="shared" si="333"/>
        <v>#N/A</v>
      </c>
      <c r="BJ148" s="27" t="e">
        <f t="shared" si="334"/>
        <v>#N/A</v>
      </c>
      <c r="BK148" s="18" t="e">
        <f t="shared" si="335"/>
        <v>#N/A</v>
      </c>
      <c r="BL148" s="18" t="e">
        <f t="shared" si="336"/>
        <v>#N/A</v>
      </c>
      <c r="BM148" s="28" t="e">
        <f t="shared" ref="BM148:BM211" si="387">MAX(BJ148:BL148)</f>
        <v>#N/A</v>
      </c>
      <c r="BN148" s="33">
        <f>HLOOKUP("maximum population",Miscelaneous!$C$1:$C$33,CH148+3,FALSE)</f>
        <v>240</v>
      </c>
      <c r="BO148" s="14">
        <f t="shared" si="349"/>
        <v>32</v>
      </c>
      <c r="BP148" s="14">
        <f t="shared" si="350"/>
        <v>0</v>
      </c>
      <c r="BQ148" s="14">
        <f t="shared" si="351"/>
        <v>208</v>
      </c>
      <c r="BR148" s="34" t="e">
        <f>HLOOKUP(J148,Villagers!$B$1:$V$33,L148+3,FALSE)-HLOOKUP(J148,Villagers!$B$1:$V$33,L148+2,FALSE)</f>
        <v>#N/A</v>
      </c>
      <c r="BS148" s="49">
        <f t="shared" si="352"/>
        <v>1</v>
      </c>
      <c r="BT148" s="50">
        <f t="shared" si="353"/>
        <v>0</v>
      </c>
      <c r="BU148" s="50">
        <f t="shared" si="354"/>
        <v>0</v>
      </c>
      <c r="BV148" s="50">
        <f t="shared" si="355"/>
        <v>0</v>
      </c>
      <c r="BW148" s="50">
        <f t="shared" si="356"/>
        <v>0</v>
      </c>
      <c r="BX148" s="50">
        <f t="shared" si="356"/>
        <v>0</v>
      </c>
      <c r="BY148" s="50">
        <f t="shared" si="356"/>
        <v>0</v>
      </c>
      <c r="BZ148" s="50">
        <f t="shared" si="245"/>
        <v>0</v>
      </c>
      <c r="CA148" s="50">
        <f t="shared" si="246"/>
        <v>0</v>
      </c>
      <c r="CB148" s="50">
        <f t="shared" si="247"/>
        <v>1</v>
      </c>
      <c r="CC148" s="50">
        <f t="shared" si="248"/>
        <v>0</v>
      </c>
      <c r="CD148" s="50">
        <f t="shared" si="249"/>
        <v>0</v>
      </c>
      <c r="CE148" s="50">
        <f t="shared" si="250"/>
        <v>1</v>
      </c>
      <c r="CF148" s="50">
        <f t="shared" si="251"/>
        <v>1</v>
      </c>
      <c r="CG148" s="50">
        <f t="shared" si="252"/>
        <v>1</v>
      </c>
      <c r="CH148" s="50">
        <f t="shared" si="253"/>
        <v>1</v>
      </c>
      <c r="CI148" s="50">
        <f t="shared" si="254"/>
        <v>1</v>
      </c>
      <c r="CJ148" s="50">
        <f t="shared" si="255"/>
        <v>1</v>
      </c>
      <c r="CK148" s="50">
        <f t="shared" si="255"/>
        <v>0</v>
      </c>
      <c r="CL148" s="50">
        <f t="shared" si="255"/>
        <v>0</v>
      </c>
      <c r="CM148" s="51">
        <f t="shared" si="256"/>
        <v>0</v>
      </c>
      <c r="CN148" s="33">
        <f>ROUND(IF(BS148=0,0,HLOOKUP(BS$14,Villagers!$B$1:$V$33,BS148+3,FALSE)),)</f>
        <v>5</v>
      </c>
      <c r="CO148" s="14">
        <f>ROUND(IF(BT148=0,0,HLOOKUP(BT$14,Villagers!$B$1:$V$33,BT148+3,FALSE)),)</f>
        <v>0</v>
      </c>
      <c r="CP148" s="14">
        <f>ROUND(IF(BU148=0,0,HLOOKUP(BU$14,Villagers!$B$1:$V$33,BU148+3,FALSE)),)</f>
        <v>0</v>
      </c>
      <c r="CQ148" s="14">
        <f>ROUND(IF(BV148=0,0,HLOOKUP(BV$14,Villagers!$B$1:$V$33,BV148+3,FALSE)),)</f>
        <v>0</v>
      </c>
      <c r="CR148" s="14">
        <f>ROUND(IF(BW148=0,0,HLOOKUP(BW$14,Villagers!$B$1:$V$33,BW148+3,FALSE)),)</f>
        <v>0</v>
      </c>
      <c r="CS148" s="14">
        <f>ROUND(IF(BX148=0,0,HLOOKUP(BX$14,Villagers!$B$1:$V$33,BX148+3,FALSE)),)</f>
        <v>0</v>
      </c>
      <c r="CT148" s="14">
        <f>ROUND(IF(BY148=0,0,HLOOKUP(BY$14,Villagers!$B$1:$V$33,BY148+3,FALSE)),)</f>
        <v>0</v>
      </c>
      <c r="CU148" s="14">
        <f>ROUND(IF(BZ148=0,0,HLOOKUP(BZ$14,Villagers!$B$1:$V$33,BZ148+3,FALSE)),)</f>
        <v>0</v>
      </c>
      <c r="CV148" s="14">
        <f>ROUND(IF(CA148=0,0,HLOOKUP(CA$14,Villagers!$B$1:$V$33,CA148+3,FALSE)),)</f>
        <v>0</v>
      </c>
      <c r="CW148" s="14">
        <f>ROUND(IF(CB148=0,0,HLOOKUP(CB$14,Villagers!$B$1:$V$33,CB148+3,FALSE)),)</f>
        <v>0</v>
      </c>
      <c r="CX148" s="14">
        <f>ROUND(IF(CC148=0,0,HLOOKUP(CC$14,Villagers!$B$1:$V$33,CC148+3,FALSE)),)</f>
        <v>0</v>
      </c>
      <c r="CY148" s="14">
        <f>ROUND(IF(CD148=0,0,HLOOKUP(CD$14,Villagers!$B$1:$V$33,CD148+3,FALSE)),)</f>
        <v>0</v>
      </c>
      <c r="CZ148" s="14">
        <f>ROUND(IF(CE148=0,0,HLOOKUP(CE$14,Villagers!$B$1:$V$33,CE148+3,FALSE)),)</f>
        <v>5</v>
      </c>
      <c r="DA148" s="14">
        <f>ROUND(IF(CF148=0,0,HLOOKUP(CF$14,Villagers!$B$1:$V$33,CF148+3,FALSE)),)</f>
        <v>10</v>
      </c>
      <c r="DB148" s="14">
        <f>ROUND(IF(CG148=0,0,HLOOKUP(CG$14,Villagers!$B$1:$V$33,CG148+3,FALSE)),)</f>
        <v>10</v>
      </c>
      <c r="DC148" s="14">
        <f>ROUND(IF(CH148=0,0,HLOOKUP(CH$14,Villagers!$B$1:$V$33,CH148+3,FALSE)),)</f>
        <v>0</v>
      </c>
      <c r="DD148" s="14">
        <f>ROUND(IF(CI148=0,0,HLOOKUP(CI$14,Villagers!$B$1:$V$33,CI148+3,FALSE)),)</f>
        <v>0</v>
      </c>
      <c r="DE148" s="14">
        <f>ROUND(IF(CJ148=0,0,HLOOKUP(CJ$14,Villagers!$B$1:$V$33,CJ148+3,FALSE)),)</f>
        <v>2</v>
      </c>
      <c r="DF148" s="370">
        <f>ROUND(IF(CK148=0,0,HLOOKUP(CK$14,Villagers!$B$1:$V$33,CK148+3,FALSE)),)</f>
        <v>0</v>
      </c>
      <c r="DG148" s="370">
        <f>ROUND(IF(CL148=0,0,HLOOKUP(CL$14,Villagers!$B$1:$V$33,CL148+3,FALSE)),)</f>
        <v>0</v>
      </c>
      <c r="DH148" s="34">
        <f>ROUND(IF(CM148=0,0,HLOOKUP(CM$14,Villagers!$B$1:$V$33,CM148+3,FALSE)),)</f>
        <v>0</v>
      </c>
      <c r="DI148" s="109">
        <f t="shared" si="373"/>
        <v>0</v>
      </c>
      <c r="DJ148" s="50">
        <f t="shared" si="374"/>
        <v>0</v>
      </c>
      <c r="DK148" s="50">
        <f t="shared" si="375"/>
        <v>0</v>
      </c>
      <c r="DL148" s="50">
        <f t="shared" si="376"/>
        <v>0</v>
      </c>
      <c r="DM148" s="50">
        <f t="shared" si="377"/>
        <v>0</v>
      </c>
      <c r="DN148" s="50">
        <f t="shared" si="378"/>
        <v>0</v>
      </c>
      <c r="DO148" s="50">
        <f t="shared" si="379"/>
        <v>0</v>
      </c>
      <c r="DP148" s="50">
        <f t="shared" si="380"/>
        <v>0</v>
      </c>
      <c r="DQ148" s="50">
        <f t="shared" si="357"/>
        <v>0</v>
      </c>
      <c r="DR148" s="50">
        <f t="shared" si="358"/>
        <v>0</v>
      </c>
      <c r="DS148" s="96">
        <f>Miscelaneous!$D$4*Miscelaneous!$D$2^($CI148-1)</f>
        <v>1000</v>
      </c>
      <c r="DT148" s="333">
        <f t="shared" si="337"/>
        <v>1</v>
      </c>
      <c r="DU148" s="81">
        <v>1</v>
      </c>
      <c r="DV148" s="79">
        <f t="shared" si="359"/>
        <v>0</v>
      </c>
      <c r="DW148" s="79">
        <f t="shared" si="360"/>
        <v>0</v>
      </c>
      <c r="DX148" s="79">
        <f t="shared" si="361"/>
        <v>0</v>
      </c>
      <c r="DY148" s="79">
        <v>1</v>
      </c>
      <c r="DZ148" s="79">
        <f t="shared" si="362"/>
        <v>0</v>
      </c>
      <c r="EA148" s="79">
        <f t="shared" si="363"/>
        <v>0</v>
      </c>
      <c r="EB148" s="79">
        <f t="shared" si="364"/>
        <v>0</v>
      </c>
      <c r="EC148" s="79">
        <f t="shared" si="365"/>
        <v>0</v>
      </c>
      <c r="ED148" s="79">
        <v>1</v>
      </c>
      <c r="EE148" s="79">
        <v>1</v>
      </c>
      <c r="EF148" s="79">
        <f t="shared" si="366"/>
        <v>0</v>
      </c>
      <c r="EG148" s="79">
        <v>1</v>
      </c>
      <c r="EH148" s="79">
        <v>1</v>
      </c>
      <c r="EI148" s="79">
        <v>1</v>
      </c>
      <c r="EJ148" s="79">
        <v>1</v>
      </c>
      <c r="EK148" s="79">
        <v>1</v>
      </c>
      <c r="EL148" s="79">
        <v>1</v>
      </c>
      <c r="EM148" s="143">
        <f t="shared" si="367"/>
        <v>0</v>
      </c>
      <c r="EN148" s="143">
        <f t="shared" si="368"/>
        <v>0</v>
      </c>
      <c r="EO148" s="82">
        <f t="shared" si="369"/>
        <v>0</v>
      </c>
    </row>
    <row r="149" spans="1:145" x14ac:dyDescent="0.25">
      <c r="A149">
        <v>135</v>
      </c>
      <c r="B149" s="172" t="e">
        <f t="shared" si="338"/>
        <v>#N/A</v>
      </c>
      <c r="C149" s="121" t="e">
        <f t="shared" ref="C149:E149" si="388">AJ149-SUM(AB149:AB153)</f>
        <v>#N/A</v>
      </c>
      <c r="D149" s="122" t="e">
        <f t="shared" si="388"/>
        <v>#N/A</v>
      </c>
      <c r="E149" s="122" t="e">
        <f t="shared" si="388"/>
        <v>#N/A</v>
      </c>
      <c r="F149" s="176" t="e">
        <f t="shared" si="320"/>
        <v>#N/A</v>
      </c>
      <c r="G149" s="121">
        <f t="shared" si="340"/>
        <v>208</v>
      </c>
      <c r="H149" s="176" t="e">
        <f t="shared" si="341"/>
        <v>#N/A</v>
      </c>
      <c r="I149" s="48">
        <v>1</v>
      </c>
      <c r="J149" s="39"/>
      <c r="K149" s="350">
        <v>1</v>
      </c>
      <c r="L149" s="34" t="e">
        <f t="shared" si="321"/>
        <v>#N/A</v>
      </c>
      <c r="M149" s="38" t="e">
        <f>(HLOOKUP(J149,'Construction Times'!$B$3:$W$34,L149+2,FALSE)*HLOOKUP("hq modifier",'Construction Times'!$W$3:$W$34,BS149+2,FALSE))*(1-$H$9)</f>
        <v>#N/A</v>
      </c>
      <c r="N149" s="426" t="e">
        <f t="shared" si="342"/>
        <v>#N/A</v>
      </c>
      <c r="O149" s="427"/>
      <c r="P149" s="430" t="e">
        <f t="shared" si="343"/>
        <v>#N/A</v>
      </c>
      <c r="Q149" s="431"/>
      <c r="R149" s="103">
        <f t="shared" si="371"/>
        <v>0</v>
      </c>
      <c r="S149" s="104">
        <f t="shared" si="371"/>
        <v>0</v>
      </c>
      <c r="T149" s="104">
        <f t="shared" si="372"/>
        <v>0</v>
      </c>
      <c r="U149" s="104">
        <f t="shared" si="372"/>
        <v>0</v>
      </c>
      <c r="V149" s="104">
        <f t="shared" si="372"/>
        <v>9.9999999999999995E-8</v>
      </c>
      <c r="W149" s="104">
        <f t="shared" si="372"/>
        <v>0</v>
      </c>
      <c r="X149" s="104">
        <f t="shared" si="278"/>
        <v>0</v>
      </c>
      <c r="Y149" s="104">
        <f t="shared" si="278"/>
        <v>9.9999999999999995E-8</v>
      </c>
      <c r="Z149" s="104">
        <f t="shared" si="278"/>
        <v>9.9999999999999995E-8</v>
      </c>
      <c r="AA149" s="105">
        <f t="shared" si="278"/>
        <v>9.9999999999999995E-8</v>
      </c>
      <c r="AB149" s="101" t="e">
        <f>$DT149*HLOOKUP($J149,'Construction Costs (timber)'!$B$1:$V$32,'Construction Planner'!$L149+2,FALSE)</f>
        <v>#N/A</v>
      </c>
      <c r="AC149" s="14" t="e">
        <f>$DT149*HLOOKUP($J149,'Construction Costs (clay)'!$B$1:$V$32,'Construction Planner'!$L149+2,FALSE)</f>
        <v>#N/A</v>
      </c>
      <c r="AD149" s="14" t="e">
        <f>$DT149*HLOOKUP($J149,'Construction Costs (iron)'!$B$1:$V$32,'Construction Planner'!$L149+2,FALSE)</f>
        <v>#N/A</v>
      </c>
      <c r="AE149" s="34" t="e">
        <f t="shared" si="384"/>
        <v>#N/A</v>
      </c>
      <c r="AF149" s="33" t="e">
        <f t="shared" si="322"/>
        <v>#N/A</v>
      </c>
      <c r="AG149" s="14" t="e">
        <f t="shared" si="323"/>
        <v>#N/A</v>
      </c>
      <c r="AH149" s="14" t="e">
        <f t="shared" si="324"/>
        <v>#N/A</v>
      </c>
      <c r="AI149" s="34" t="e">
        <f t="shared" si="385"/>
        <v>#N/A</v>
      </c>
      <c r="AJ149" s="49" t="e">
        <f t="shared" si="345"/>
        <v>#N/A</v>
      </c>
      <c r="AK149" s="49" t="e">
        <f t="shared" si="346"/>
        <v>#N/A</v>
      </c>
      <c r="AL149" s="49" t="e">
        <f t="shared" si="347"/>
        <v>#N/A</v>
      </c>
      <c r="AM149" s="25">
        <f t="shared" si="325"/>
        <v>30</v>
      </c>
      <c r="AN149" s="25">
        <f t="shared" si="326"/>
        <v>30</v>
      </c>
      <c r="AO149" s="25">
        <f t="shared" si="327"/>
        <v>30</v>
      </c>
      <c r="AP149" s="52" t="e">
        <f t="shared" si="348"/>
        <v>#N/A</v>
      </c>
      <c r="AQ149" s="53" t="e">
        <f t="shared" si="348"/>
        <v>#N/A</v>
      </c>
      <c r="AR149" s="54" t="e">
        <f t="shared" si="348"/>
        <v>#N/A</v>
      </c>
      <c r="AS149" s="316">
        <f t="shared" si="386"/>
        <v>0</v>
      </c>
      <c r="AT149" s="106">
        <f>_xlfn.IFNA($M149/VLOOKUP($BT149,'Unit information'!$A$2:$K$29,2,FALSE)*R149,0)*(1+$E$9)</f>
        <v>0</v>
      </c>
      <c r="AU149" s="107">
        <f>_xlfn.IFNA($M149/VLOOKUP($BT149,'Unit information'!$A$2:$K$29,3,FALSE)*S149,0)*(1+$E$9)</f>
        <v>0</v>
      </c>
      <c r="AV149" s="107">
        <f>_xlfn.IFNA($M149/VLOOKUP($BT149,'Unit information'!$A$2:$K$29,4,FALSE)*T149,0)*(1+$E$9)</f>
        <v>0</v>
      </c>
      <c r="AW149" s="107">
        <f>_xlfn.IFNA($M149/VLOOKUP($BT149,'Unit information'!$A$2:$K$29,5,FALSE)*U149,0)*(1+$E$9)</f>
        <v>0</v>
      </c>
      <c r="AX149" s="107">
        <f>_xlfn.IFNA($M149/VLOOKUP($BU149,'Unit information'!$A$2:$K$29,6,FALSE)*V149,0)*(1+$E$9)</f>
        <v>0</v>
      </c>
      <c r="AY149" s="107">
        <f>_xlfn.IFNA($M149/VLOOKUP($BU149,'Unit information'!$A$2:$K$29,7,FALSE)*W149,0)*(1+$E$9)</f>
        <v>0</v>
      </c>
      <c r="AZ149" s="107">
        <f>_xlfn.IFNA($M149/VLOOKUP($BU149,'Unit information'!$A$2:$K$29,8,FALSE)*X149,0)*(1+$E$9)</f>
        <v>0</v>
      </c>
      <c r="BA149" s="107">
        <f>_xlfn.IFNA($M149/VLOOKUP($BU149,'Unit information'!$A$2:$K$29,9,FALSE)*Y149,0)*(1+$E$9)</f>
        <v>0</v>
      </c>
      <c r="BB149" s="107">
        <f>_xlfn.IFNA($M149/VLOOKUP($BV149,'Unit information'!$A$2:$K$29,10,FALSE)*Z149,0)*(1+$E$9)</f>
        <v>0</v>
      </c>
      <c r="BC149" s="108">
        <f>_xlfn.IFNA($M149/VLOOKUP($BV149,'Unit information'!$A$2:$K$29,11,FALSE)*AA149,0)*(1+$E$9)</f>
        <v>0</v>
      </c>
      <c r="BD149" s="106">
        <f t="shared" si="328"/>
        <v>0</v>
      </c>
      <c r="BE149" s="107">
        <f t="shared" si="329"/>
        <v>0</v>
      </c>
      <c r="BF149" s="108">
        <f t="shared" si="330"/>
        <v>0</v>
      </c>
      <c r="BG149" s="25" t="e">
        <f t="shared" si="331"/>
        <v>#N/A</v>
      </c>
      <c r="BH149" s="25" t="e">
        <f t="shared" si="332"/>
        <v>#N/A</v>
      </c>
      <c r="BI149" s="25" t="e">
        <f t="shared" si="333"/>
        <v>#N/A</v>
      </c>
      <c r="BJ149" s="27" t="e">
        <f t="shared" si="334"/>
        <v>#N/A</v>
      </c>
      <c r="BK149" s="18" t="e">
        <f t="shared" si="335"/>
        <v>#N/A</v>
      </c>
      <c r="BL149" s="18" t="e">
        <f t="shared" si="336"/>
        <v>#N/A</v>
      </c>
      <c r="BM149" s="28" t="e">
        <f t="shared" si="387"/>
        <v>#N/A</v>
      </c>
      <c r="BN149" s="33">
        <f>HLOOKUP("maximum population",Miscelaneous!$C$1:$C$33,CH149+3,FALSE)</f>
        <v>240</v>
      </c>
      <c r="BO149" s="14">
        <f t="shared" si="349"/>
        <v>32</v>
      </c>
      <c r="BP149" s="14">
        <f t="shared" si="350"/>
        <v>0</v>
      </c>
      <c r="BQ149" s="14">
        <f t="shared" si="351"/>
        <v>208</v>
      </c>
      <c r="BR149" s="34" t="e">
        <f>HLOOKUP(J149,Villagers!$B$1:$V$33,L149+3,FALSE)-HLOOKUP(J149,Villagers!$B$1:$V$33,L149+2,FALSE)</f>
        <v>#N/A</v>
      </c>
      <c r="BS149" s="49">
        <f t="shared" si="352"/>
        <v>1</v>
      </c>
      <c r="BT149" s="50">
        <f t="shared" si="353"/>
        <v>0</v>
      </c>
      <c r="BU149" s="50">
        <f t="shared" si="354"/>
        <v>0</v>
      </c>
      <c r="BV149" s="50">
        <f t="shared" si="355"/>
        <v>0</v>
      </c>
      <c r="BW149" s="50">
        <f t="shared" si="356"/>
        <v>0</v>
      </c>
      <c r="BX149" s="50">
        <f t="shared" si="356"/>
        <v>0</v>
      </c>
      <c r="BY149" s="50">
        <f t="shared" si="356"/>
        <v>0</v>
      </c>
      <c r="BZ149" s="50">
        <f t="shared" si="245"/>
        <v>0</v>
      </c>
      <c r="CA149" s="50">
        <f t="shared" si="246"/>
        <v>0</v>
      </c>
      <c r="CB149" s="50">
        <f t="shared" si="247"/>
        <v>1</v>
      </c>
      <c r="CC149" s="50">
        <f t="shared" si="248"/>
        <v>0</v>
      </c>
      <c r="CD149" s="50">
        <f t="shared" si="249"/>
        <v>0</v>
      </c>
      <c r="CE149" s="50">
        <f t="shared" si="250"/>
        <v>1</v>
      </c>
      <c r="CF149" s="50">
        <f t="shared" si="251"/>
        <v>1</v>
      </c>
      <c r="CG149" s="50">
        <f t="shared" si="252"/>
        <v>1</v>
      </c>
      <c r="CH149" s="50">
        <f t="shared" si="253"/>
        <v>1</v>
      </c>
      <c r="CI149" s="50">
        <f t="shared" si="254"/>
        <v>1</v>
      </c>
      <c r="CJ149" s="50">
        <f t="shared" si="255"/>
        <v>1</v>
      </c>
      <c r="CK149" s="50">
        <f t="shared" si="255"/>
        <v>0</v>
      </c>
      <c r="CL149" s="50">
        <f t="shared" si="255"/>
        <v>0</v>
      </c>
      <c r="CM149" s="51">
        <f t="shared" si="256"/>
        <v>0</v>
      </c>
      <c r="CN149" s="33">
        <f>ROUND(IF(BS149=0,0,HLOOKUP(BS$14,Villagers!$B$1:$V$33,BS149+3,FALSE)),)</f>
        <v>5</v>
      </c>
      <c r="CO149" s="14">
        <f>ROUND(IF(BT149=0,0,HLOOKUP(BT$14,Villagers!$B$1:$V$33,BT149+3,FALSE)),)</f>
        <v>0</v>
      </c>
      <c r="CP149" s="14">
        <f>ROUND(IF(BU149=0,0,HLOOKUP(BU$14,Villagers!$B$1:$V$33,BU149+3,FALSE)),)</f>
        <v>0</v>
      </c>
      <c r="CQ149" s="14">
        <f>ROUND(IF(BV149=0,0,HLOOKUP(BV$14,Villagers!$B$1:$V$33,BV149+3,FALSE)),)</f>
        <v>0</v>
      </c>
      <c r="CR149" s="14">
        <f>ROUND(IF(BW149=0,0,HLOOKUP(BW$14,Villagers!$B$1:$V$33,BW149+3,FALSE)),)</f>
        <v>0</v>
      </c>
      <c r="CS149" s="14">
        <f>ROUND(IF(BX149=0,0,HLOOKUP(BX$14,Villagers!$B$1:$V$33,BX149+3,FALSE)),)</f>
        <v>0</v>
      </c>
      <c r="CT149" s="14">
        <f>ROUND(IF(BY149=0,0,HLOOKUP(BY$14,Villagers!$B$1:$V$33,BY149+3,FALSE)),)</f>
        <v>0</v>
      </c>
      <c r="CU149" s="14">
        <f>ROUND(IF(BZ149=0,0,HLOOKUP(BZ$14,Villagers!$B$1:$V$33,BZ149+3,FALSE)),)</f>
        <v>0</v>
      </c>
      <c r="CV149" s="14">
        <f>ROUND(IF(CA149=0,0,HLOOKUP(CA$14,Villagers!$B$1:$V$33,CA149+3,FALSE)),)</f>
        <v>0</v>
      </c>
      <c r="CW149" s="14">
        <f>ROUND(IF(CB149=0,0,HLOOKUP(CB$14,Villagers!$B$1:$V$33,CB149+3,FALSE)),)</f>
        <v>0</v>
      </c>
      <c r="CX149" s="14">
        <f>ROUND(IF(CC149=0,0,HLOOKUP(CC$14,Villagers!$B$1:$V$33,CC149+3,FALSE)),)</f>
        <v>0</v>
      </c>
      <c r="CY149" s="14">
        <f>ROUND(IF(CD149=0,0,HLOOKUP(CD$14,Villagers!$B$1:$V$33,CD149+3,FALSE)),)</f>
        <v>0</v>
      </c>
      <c r="CZ149" s="14">
        <f>ROUND(IF(CE149=0,0,HLOOKUP(CE$14,Villagers!$B$1:$V$33,CE149+3,FALSE)),)</f>
        <v>5</v>
      </c>
      <c r="DA149" s="14">
        <f>ROUND(IF(CF149=0,0,HLOOKUP(CF$14,Villagers!$B$1:$V$33,CF149+3,FALSE)),)</f>
        <v>10</v>
      </c>
      <c r="DB149" s="14">
        <f>ROUND(IF(CG149=0,0,HLOOKUP(CG$14,Villagers!$B$1:$V$33,CG149+3,FALSE)),)</f>
        <v>10</v>
      </c>
      <c r="DC149" s="14">
        <f>ROUND(IF(CH149=0,0,HLOOKUP(CH$14,Villagers!$B$1:$V$33,CH149+3,FALSE)),)</f>
        <v>0</v>
      </c>
      <c r="DD149" s="14">
        <f>ROUND(IF(CI149=0,0,HLOOKUP(CI$14,Villagers!$B$1:$V$33,CI149+3,FALSE)),)</f>
        <v>0</v>
      </c>
      <c r="DE149" s="14">
        <f>ROUND(IF(CJ149=0,0,HLOOKUP(CJ$14,Villagers!$B$1:$V$33,CJ149+3,FALSE)),)</f>
        <v>2</v>
      </c>
      <c r="DF149" s="370">
        <f>ROUND(IF(CK149=0,0,HLOOKUP(CK$14,Villagers!$B$1:$V$33,CK149+3,FALSE)),)</f>
        <v>0</v>
      </c>
      <c r="DG149" s="370">
        <f>ROUND(IF(CL149=0,0,HLOOKUP(CL$14,Villagers!$B$1:$V$33,CL149+3,FALSE)),)</f>
        <v>0</v>
      </c>
      <c r="DH149" s="34">
        <f>ROUND(IF(CM149=0,0,HLOOKUP(CM$14,Villagers!$B$1:$V$33,CM149+3,FALSE)),)</f>
        <v>0</v>
      </c>
      <c r="DI149" s="109">
        <f t="shared" si="373"/>
        <v>0</v>
      </c>
      <c r="DJ149" s="50">
        <f t="shared" si="374"/>
        <v>0</v>
      </c>
      <c r="DK149" s="50">
        <f t="shared" si="375"/>
        <v>0</v>
      </c>
      <c r="DL149" s="50">
        <f t="shared" si="376"/>
        <v>0</v>
      </c>
      <c r="DM149" s="50">
        <f t="shared" si="377"/>
        <v>0</v>
      </c>
      <c r="DN149" s="50">
        <f t="shared" si="378"/>
        <v>0</v>
      </c>
      <c r="DO149" s="50">
        <f t="shared" si="379"/>
        <v>0</v>
      </c>
      <c r="DP149" s="50">
        <f t="shared" si="380"/>
        <v>0</v>
      </c>
      <c r="DQ149" s="50">
        <f t="shared" si="357"/>
        <v>0</v>
      </c>
      <c r="DR149" s="50">
        <f t="shared" si="358"/>
        <v>0</v>
      </c>
      <c r="DS149" s="96">
        <f>Miscelaneous!$D$4*Miscelaneous!$D$2^($CI149-1)</f>
        <v>1000</v>
      </c>
      <c r="DT149" s="333">
        <f t="shared" si="337"/>
        <v>1</v>
      </c>
      <c r="DU149" s="81">
        <v>1</v>
      </c>
      <c r="DV149" s="79">
        <f t="shared" si="359"/>
        <v>0</v>
      </c>
      <c r="DW149" s="79">
        <f t="shared" si="360"/>
        <v>0</v>
      </c>
      <c r="DX149" s="79">
        <f t="shared" si="361"/>
        <v>0</v>
      </c>
      <c r="DY149" s="79">
        <v>1</v>
      </c>
      <c r="DZ149" s="79">
        <f t="shared" si="362"/>
        <v>0</v>
      </c>
      <c r="EA149" s="79">
        <f t="shared" si="363"/>
        <v>0</v>
      </c>
      <c r="EB149" s="79">
        <f t="shared" si="364"/>
        <v>0</v>
      </c>
      <c r="EC149" s="79">
        <f t="shared" si="365"/>
        <v>0</v>
      </c>
      <c r="ED149" s="79">
        <v>1</v>
      </c>
      <c r="EE149" s="79">
        <v>1</v>
      </c>
      <c r="EF149" s="79">
        <f t="shared" si="366"/>
        <v>0</v>
      </c>
      <c r="EG149" s="79">
        <v>1</v>
      </c>
      <c r="EH149" s="79">
        <v>1</v>
      </c>
      <c r="EI149" s="79">
        <v>1</v>
      </c>
      <c r="EJ149" s="79">
        <v>1</v>
      </c>
      <c r="EK149" s="79">
        <v>1</v>
      </c>
      <c r="EL149" s="79">
        <v>1</v>
      </c>
      <c r="EM149" s="143">
        <f t="shared" si="367"/>
        <v>0</v>
      </c>
      <c r="EN149" s="143">
        <f t="shared" si="368"/>
        <v>0</v>
      </c>
      <c r="EO149" s="82">
        <f t="shared" si="369"/>
        <v>0</v>
      </c>
    </row>
    <row r="150" spans="1:145" x14ac:dyDescent="0.25">
      <c r="A150">
        <v>136</v>
      </c>
      <c r="B150" s="172" t="e">
        <f t="shared" si="338"/>
        <v>#N/A</v>
      </c>
      <c r="C150" s="121" t="e">
        <f t="shared" ref="C150:E150" si="389">AJ150-SUM(AB150:AB154)</f>
        <v>#N/A</v>
      </c>
      <c r="D150" s="122" t="e">
        <f t="shared" si="389"/>
        <v>#N/A</v>
      </c>
      <c r="E150" s="122" t="e">
        <f t="shared" si="389"/>
        <v>#N/A</v>
      </c>
      <c r="F150" s="176" t="e">
        <f t="shared" si="320"/>
        <v>#N/A</v>
      </c>
      <c r="G150" s="121">
        <f t="shared" si="340"/>
        <v>208</v>
      </c>
      <c r="H150" s="176" t="e">
        <f t="shared" si="341"/>
        <v>#N/A</v>
      </c>
      <c r="I150" s="48">
        <v>1</v>
      </c>
      <c r="J150" s="39"/>
      <c r="K150" s="350">
        <v>1</v>
      </c>
      <c r="L150" s="34" t="e">
        <f t="shared" si="321"/>
        <v>#N/A</v>
      </c>
      <c r="M150" s="38" t="e">
        <f>(HLOOKUP(J150,'Construction Times'!$B$3:$W$34,L150+2,FALSE)*HLOOKUP("hq modifier",'Construction Times'!$W$3:$W$34,BS150+2,FALSE))*(1-$H$9)</f>
        <v>#N/A</v>
      </c>
      <c r="N150" s="426" t="e">
        <f t="shared" si="342"/>
        <v>#N/A</v>
      </c>
      <c r="O150" s="427"/>
      <c r="P150" s="430" t="e">
        <f t="shared" si="343"/>
        <v>#N/A</v>
      </c>
      <c r="Q150" s="431"/>
      <c r="R150" s="103">
        <f t="shared" si="371"/>
        <v>0</v>
      </c>
      <c r="S150" s="104">
        <f t="shared" si="371"/>
        <v>0</v>
      </c>
      <c r="T150" s="104">
        <f t="shared" si="372"/>
        <v>0</v>
      </c>
      <c r="U150" s="104">
        <f t="shared" si="372"/>
        <v>0</v>
      </c>
      <c r="V150" s="104">
        <f t="shared" si="372"/>
        <v>9.9999999999999995E-8</v>
      </c>
      <c r="W150" s="104">
        <f t="shared" si="372"/>
        <v>0</v>
      </c>
      <c r="X150" s="104">
        <f t="shared" si="278"/>
        <v>0</v>
      </c>
      <c r="Y150" s="104">
        <f t="shared" si="278"/>
        <v>9.9999999999999995E-8</v>
      </c>
      <c r="Z150" s="104">
        <f t="shared" si="278"/>
        <v>9.9999999999999995E-8</v>
      </c>
      <c r="AA150" s="105">
        <f t="shared" si="278"/>
        <v>9.9999999999999995E-8</v>
      </c>
      <c r="AB150" s="101" t="e">
        <f>$DT150*HLOOKUP($J150,'Construction Costs (timber)'!$B$1:$V$32,'Construction Planner'!$L150+2,FALSE)</f>
        <v>#N/A</v>
      </c>
      <c r="AC150" s="14" t="e">
        <f>$DT150*HLOOKUP($J150,'Construction Costs (clay)'!$B$1:$V$32,'Construction Planner'!$L150+2,FALSE)</f>
        <v>#N/A</v>
      </c>
      <c r="AD150" s="14" t="e">
        <f>$DT150*HLOOKUP($J150,'Construction Costs (iron)'!$B$1:$V$32,'Construction Planner'!$L150+2,FALSE)</f>
        <v>#N/A</v>
      </c>
      <c r="AE150" s="34" t="e">
        <f t="shared" si="384"/>
        <v>#N/A</v>
      </c>
      <c r="AF150" s="33" t="e">
        <f t="shared" si="322"/>
        <v>#N/A</v>
      </c>
      <c r="AG150" s="14" t="e">
        <f t="shared" si="323"/>
        <v>#N/A</v>
      </c>
      <c r="AH150" s="14" t="e">
        <f t="shared" si="324"/>
        <v>#N/A</v>
      </c>
      <c r="AI150" s="34" t="e">
        <f t="shared" si="385"/>
        <v>#N/A</v>
      </c>
      <c r="AJ150" s="49" t="e">
        <f t="shared" si="345"/>
        <v>#N/A</v>
      </c>
      <c r="AK150" s="49" t="e">
        <f t="shared" si="346"/>
        <v>#N/A</v>
      </c>
      <c r="AL150" s="49" t="e">
        <f t="shared" si="347"/>
        <v>#N/A</v>
      </c>
      <c r="AM150" s="25">
        <f t="shared" si="325"/>
        <v>30</v>
      </c>
      <c r="AN150" s="25">
        <f t="shared" si="326"/>
        <v>30</v>
      </c>
      <c r="AO150" s="25">
        <f t="shared" si="327"/>
        <v>30</v>
      </c>
      <c r="AP150" s="52" t="e">
        <f t="shared" si="348"/>
        <v>#N/A</v>
      </c>
      <c r="AQ150" s="53" t="e">
        <f t="shared" si="348"/>
        <v>#N/A</v>
      </c>
      <c r="AR150" s="54" t="e">
        <f t="shared" si="348"/>
        <v>#N/A</v>
      </c>
      <c r="AS150" s="316">
        <f t="shared" si="386"/>
        <v>0</v>
      </c>
      <c r="AT150" s="106">
        <f>_xlfn.IFNA($M150/VLOOKUP($BT150,'Unit information'!$A$2:$K$29,2,FALSE)*R150,0)*(1+$E$9)</f>
        <v>0</v>
      </c>
      <c r="AU150" s="107">
        <f>_xlfn.IFNA($M150/VLOOKUP($BT150,'Unit information'!$A$2:$K$29,3,FALSE)*S150,0)*(1+$E$9)</f>
        <v>0</v>
      </c>
      <c r="AV150" s="107">
        <f>_xlfn.IFNA($M150/VLOOKUP($BT150,'Unit information'!$A$2:$K$29,4,FALSE)*T150,0)*(1+$E$9)</f>
        <v>0</v>
      </c>
      <c r="AW150" s="107">
        <f>_xlfn.IFNA($M150/VLOOKUP($BT150,'Unit information'!$A$2:$K$29,5,FALSE)*U150,0)*(1+$E$9)</f>
        <v>0</v>
      </c>
      <c r="AX150" s="107">
        <f>_xlfn.IFNA($M150/VLOOKUP($BU150,'Unit information'!$A$2:$K$29,6,FALSE)*V150,0)*(1+$E$9)</f>
        <v>0</v>
      </c>
      <c r="AY150" s="107">
        <f>_xlfn.IFNA($M150/VLOOKUP($BU150,'Unit information'!$A$2:$K$29,7,FALSE)*W150,0)*(1+$E$9)</f>
        <v>0</v>
      </c>
      <c r="AZ150" s="107">
        <f>_xlfn.IFNA($M150/VLOOKUP($BU150,'Unit information'!$A$2:$K$29,8,FALSE)*X150,0)*(1+$E$9)</f>
        <v>0</v>
      </c>
      <c r="BA150" s="107">
        <f>_xlfn.IFNA($M150/VLOOKUP($BU150,'Unit information'!$A$2:$K$29,9,FALSE)*Y150,0)*(1+$E$9)</f>
        <v>0</v>
      </c>
      <c r="BB150" s="107">
        <f>_xlfn.IFNA($M150/VLOOKUP($BV150,'Unit information'!$A$2:$K$29,10,FALSE)*Z150,0)*(1+$E$9)</f>
        <v>0</v>
      </c>
      <c r="BC150" s="108">
        <f>_xlfn.IFNA($M150/VLOOKUP($BV150,'Unit information'!$A$2:$K$29,11,FALSE)*AA150,0)*(1+$E$9)</f>
        <v>0</v>
      </c>
      <c r="BD150" s="106">
        <f t="shared" si="328"/>
        <v>0</v>
      </c>
      <c r="BE150" s="107">
        <f t="shared" si="329"/>
        <v>0</v>
      </c>
      <c r="BF150" s="108">
        <f t="shared" si="330"/>
        <v>0</v>
      </c>
      <c r="BG150" s="25" t="e">
        <f t="shared" si="331"/>
        <v>#N/A</v>
      </c>
      <c r="BH150" s="25" t="e">
        <f t="shared" si="332"/>
        <v>#N/A</v>
      </c>
      <c r="BI150" s="25" t="e">
        <f t="shared" si="333"/>
        <v>#N/A</v>
      </c>
      <c r="BJ150" s="27" t="e">
        <f t="shared" si="334"/>
        <v>#N/A</v>
      </c>
      <c r="BK150" s="18" t="e">
        <f t="shared" si="335"/>
        <v>#N/A</v>
      </c>
      <c r="BL150" s="18" t="e">
        <f t="shared" si="336"/>
        <v>#N/A</v>
      </c>
      <c r="BM150" s="28" t="e">
        <f t="shared" si="387"/>
        <v>#N/A</v>
      </c>
      <c r="BN150" s="33">
        <f>HLOOKUP("maximum population",Miscelaneous!$C$1:$C$33,CH150+3,FALSE)</f>
        <v>240</v>
      </c>
      <c r="BO150" s="14">
        <f t="shared" si="349"/>
        <v>32</v>
      </c>
      <c r="BP150" s="14">
        <f t="shared" si="350"/>
        <v>0</v>
      </c>
      <c r="BQ150" s="14">
        <f t="shared" si="351"/>
        <v>208</v>
      </c>
      <c r="BR150" s="34" t="e">
        <f>HLOOKUP(J150,Villagers!$B$1:$V$33,L150+3,FALSE)-HLOOKUP(J150,Villagers!$B$1:$V$33,L150+2,FALSE)</f>
        <v>#N/A</v>
      </c>
      <c r="BS150" s="49">
        <f t="shared" si="352"/>
        <v>1</v>
      </c>
      <c r="BT150" s="50">
        <f t="shared" si="353"/>
        <v>0</v>
      </c>
      <c r="BU150" s="50">
        <f t="shared" si="354"/>
        <v>0</v>
      </c>
      <c r="BV150" s="50">
        <f t="shared" si="355"/>
        <v>0</v>
      </c>
      <c r="BW150" s="50">
        <f t="shared" si="356"/>
        <v>0</v>
      </c>
      <c r="BX150" s="50">
        <f t="shared" si="356"/>
        <v>0</v>
      </c>
      <c r="BY150" s="50">
        <f t="shared" si="356"/>
        <v>0</v>
      </c>
      <c r="BZ150" s="50">
        <f t="shared" si="245"/>
        <v>0</v>
      </c>
      <c r="CA150" s="50">
        <f t="shared" si="246"/>
        <v>0</v>
      </c>
      <c r="CB150" s="50">
        <f t="shared" si="247"/>
        <v>1</v>
      </c>
      <c r="CC150" s="50">
        <f t="shared" si="248"/>
        <v>0</v>
      </c>
      <c r="CD150" s="50">
        <f t="shared" si="249"/>
        <v>0</v>
      </c>
      <c r="CE150" s="50">
        <f t="shared" si="250"/>
        <v>1</v>
      </c>
      <c r="CF150" s="50">
        <f t="shared" si="251"/>
        <v>1</v>
      </c>
      <c r="CG150" s="50">
        <f t="shared" si="252"/>
        <v>1</v>
      </c>
      <c r="CH150" s="50">
        <f t="shared" si="253"/>
        <v>1</v>
      </c>
      <c r="CI150" s="50">
        <f t="shared" si="254"/>
        <v>1</v>
      </c>
      <c r="CJ150" s="50">
        <f t="shared" si="255"/>
        <v>1</v>
      </c>
      <c r="CK150" s="50">
        <f t="shared" si="255"/>
        <v>0</v>
      </c>
      <c r="CL150" s="50">
        <f t="shared" si="255"/>
        <v>0</v>
      </c>
      <c r="CM150" s="51">
        <f t="shared" si="256"/>
        <v>0</v>
      </c>
      <c r="CN150" s="33">
        <f>ROUND(IF(BS150=0,0,HLOOKUP(BS$14,Villagers!$B$1:$V$33,BS150+3,FALSE)),)</f>
        <v>5</v>
      </c>
      <c r="CO150" s="14">
        <f>ROUND(IF(BT150=0,0,HLOOKUP(BT$14,Villagers!$B$1:$V$33,BT150+3,FALSE)),)</f>
        <v>0</v>
      </c>
      <c r="CP150" s="14">
        <f>ROUND(IF(BU150=0,0,HLOOKUP(BU$14,Villagers!$B$1:$V$33,BU150+3,FALSE)),)</f>
        <v>0</v>
      </c>
      <c r="CQ150" s="14">
        <f>ROUND(IF(BV150=0,0,HLOOKUP(BV$14,Villagers!$B$1:$V$33,BV150+3,FALSE)),)</f>
        <v>0</v>
      </c>
      <c r="CR150" s="14">
        <f>ROUND(IF(BW150=0,0,HLOOKUP(BW$14,Villagers!$B$1:$V$33,BW150+3,FALSE)),)</f>
        <v>0</v>
      </c>
      <c r="CS150" s="14">
        <f>ROUND(IF(BX150=0,0,HLOOKUP(BX$14,Villagers!$B$1:$V$33,BX150+3,FALSE)),)</f>
        <v>0</v>
      </c>
      <c r="CT150" s="14">
        <f>ROUND(IF(BY150=0,0,HLOOKUP(BY$14,Villagers!$B$1:$V$33,BY150+3,FALSE)),)</f>
        <v>0</v>
      </c>
      <c r="CU150" s="14">
        <f>ROUND(IF(BZ150=0,0,HLOOKUP(BZ$14,Villagers!$B$1:$V$33,BZ150+3,FALSE)),)</f>
        <v>0</v>
      </c>
      <c r="CV150" s="14">
        <f>ROUND(IF(CA150=0,0,HLOOKUP(CA$14,Villagers!$B$1:$V$33,CA150+3,FALSE)),)</f>
        <v>0</v>
      </c>
      <c r="CW150" s="14">
        <f>ROUND(IF(CB150=0,0,HLOOKUP(CB$14,Villagers!$B$1:$V$33,CB150+3,FALSE)),)</f>
        <v>0</v>
      </c>
      <c r="CX150" s="14">
        <f>ROUND(IF(CC150=0,0,HLOOKUP(CC$14,Villagers!$B$1:$V$33,CC150+3,FALSE)),)</f>
        <v>0</v>
      </c>
      <c r="CY150" s="14">
        <f>ROUND(IF(CD150=0,0,HLOOKUP(CD$14,Villagers!$B$1:$V$33,CD150+3,FALSE)),)</f>
        <v>0</v>
      </c>
      <c r="CZ150" s="14">
        <f>ROUND(IF(CE150=0,0,HLOOKUP(CE$14,Villagers!$B$1:$V$33,CE150+3,FALSE)),)</f>
        <v>5</v>
      </c>
      <c r="DA150" s="14">
        <f>ROUND(IF(CF150=0,0,HLOOKUP(CF$14,Villagers!$B$1:$V$33,CF150+3,FALSE)),)</f>
        <v>10</v>
      </c>
      <c r="DB150" s="14">
        <f>ROUND(IF(CG150=0,0,HLOOKUP(CG$14,Villagers!$B$1:$V$33,CG150+3,FALSE)),)</f>
        <v>10</v>
      </c>
      <c r="DC150" s="14">
        <f>ROUND(IF(CH150=0,0,HLOOKUP(CH$14,Villagers!$B$1:$V$33,CH150+3,FALSE)),)</f>
        <v>0</v>
      </c>
      <c r="DD150" s="14">
        <f>ROUND(IF(CI150=0,0,HLOOKUP(CI$14,Villagers!$B$1:$V$33,CI150+3,FALSE)),)</f>
        <v>0</v>
      </c>
      <c r="DE150" s="14">
        <f>ROUND(IF(CJ150=0,0,HLOOKUP(CJ$14,Villagers!$B$1:$V$33,CJ150+3,FALSE)),)</f>
        <v>2</v>
      </c>
      <c r="DF150" s="370">
        <f>ROUND(IF(CK150=0,0,HLOOKUP(CK$14,Villagers!$B$1:$V$33,CK150+3,FALSE)),)</f>
        <v>0</v>
      </c>
      <c r="DG150" s="370">
        <f>ROUND(IF(CL150=0,0,HLOOKUP(CL$14,Villagers!$B$1:$V$33,CL150+3,FALSE)),)</f>
        <v>0</v>
      </c>
      <c r="DH150" s="34">
        <f>ROUND(IF(CM150=0,0,HLOOKUP(CM$14,Villagers!$B$1:$V$33,CM150+3,FALSE)),)</f>
        <v>0</v>
      </c>
      <c r="DI150" s="109">
        <f t="shared" si="373"/>
        <v>0</v>
      </c>
      <c r="DJ150" s="50">
        <f t="shared" si="374"/>
        <v>0</v>
      </c>
      <c r="DK150" s="50">
        <f t="shared" si="375"/>
        <v>0</v>
      </c>
      <c r="DL150" s="50">
        <f t="shared" si="376"/>
        <v>0</v>
      </c>
      <c r="DM150" s="50">
        <f t="shared" si="377"/>
        <v>0</v>
      </c>
      <c r="DN150" s="50">
        <f t="shared" si="378"/>
        <v>0</v>
      </c>
      <c r="DO150" s="50">
        <f t="shared" si="379"/>
        <v>0</v>
      </c>
      <c r="DP150" s="50">
        <f t="shared" si="380"/>
        <v>0</v>
      </c>
      <c r="DQ150" s="50">
        <f t="shared" si="357"/>
        <v>0</v>
      </c>
      <c r="DR150" s="50">
        <f t="shared" si="358"/>
        <v>0</v>
      </c>
      <c r="DS150" s="96">
        <f>Miscelaneous!$D$4*Miscelaneous!$D$2^($CI150-1)</f>
        <v>1000</v>
      </c>
      <c r="DT150" s="333">
        <f t="shared" si="337"/>
        <v>1</v>
      </c>
      <c r="DU150" s="81">
        <v>1</v>
      </c>
      <c r="DV150" s="79">
        <f t="shared" si="359"/>
        <v>0</v>
      </c>
      <c r="DW150" s="79">
        <f t="shared" si="360"/>
        <v>0</v>
      </c>
      <c r="DX150" s="79">
        <f t="shared" si="361"/>
        <v>0</v>
      </c>
      <c r="DY150" s="79">
        <v>1</v>
      </c>
      <c r="DZ150" s="79">
        <f t="shared" si="362"/>
        <v>0</v>
      </c>
      <c r="EA150" s="79">
        <f t="shared" si="363"/>
        <v>0</v>
      </c>
      <c r="EB150" s="79">
        <f t="shared" si="364"/>
        <v>0</v>
      </c>
      <c r="EC150" s="79">
        <f t="shared" si="365"/>
        <v>0</v>
      </c>
      <c r="ED150" s="79">
        <v>1</v>
      </c>
      <c r="EE150" s="79">
        <v>1</v>
      </c>
      <c r="EF150" s="79">
        <f t="shared" si="366"/>
        <v>0</v>
      </c>
      <c r="EG150" s="79">
        <v>1</v>
      </c>
      <c r="EH150" s="79">
        <v>1</v>
      </c>
      <c r="EI150" s="79">
        <v>1</v>
      </c>
      <c r="EJ150" s="79">
        <v>1</v>
      </c>
      <c r="EK150" s="79">
        <v>1</v>
      </c>
      <c r="EL150" s="79">
        <v>1</v>
      </c>
      <c r="EM150" s="143">
        <f t="shared" si="367"/>
        <v>0</v>
      </c>
      <c r="EN150" s="143">
        <f t="shared" si="368"/>
        <v>0</v>
      </c>
      <c r="EO150" s="82">
        <f t="shared" si="369"/>
        <v>0</v>
      </c>
    </row>
    <row r="151" spans="1:145" x14ac:dyDescent="0.25">
      <c r="A151">
        <v>137</v>
      </c>
      <c r="B151" s="172" t="e">
        <f t="shared" si="338"/>
        <v>#N/A</v>
      </c>
      <c r="C151" s="121" t="e">
        <f t="shared" ref="C151:E151" si="390">AJ151-SUM(AB151:AB155)</f>
        <v>#N/A</v>
      </c>
      <c r="D151" s="122" t="e">
        <f t="shared" si="390"/>
        <v>#N/A</v>
      </c>
      <c r="E151" s="122" t="e">
        <f t="shared" si="390"/>
        <v>#N/A</v>
      </c>
      <c r="F151" s="176" t="e">
        <f t="shared" si="320"/>
        <v>#N/A</v>
      </c>
      <c r="G151" s="121">
        <f t="shared" si="340"/>
        <v>208</v>
      </c>
      <c r="H151" s="176" t="e">
        <f t="shared" si="341"/>
        <v>#N/A</v>
      </c>
      <c r="I151" s="48">
        <v>1</v>
      </c>
      <c r="J151" s="39"/>
      <c r="K151" s="350">
        <v>1</v>
      </c>
      <c r="L151" s="34" t="e">
        <f t="shared" si="321"/>
        <v>#N/A</v>
      </c>
      <c r="M151" s="38" t="e">
        <f>(HLOOKUP(J151,'Construction Times'!$B$3:$W$34,L151+2,FALSE)*HLOOKUP("hq modifier",'Construction Times'!$W$3:$W$34,BS151+2,FALSE))*(1-$H$9)</f>
        <v>#N/A</v>
      </c>
      <c r="N151" s="426" t="e">
        <f t="shared" si="342"/>
        <v>#N/A</v>
      </c>
      <c r="O151" s="427"/>
      <c r="P151" s="430" t="e">
        <f t="shared" si="343"/>
        <v>#N/A</v>
      </c>
      <c r="Q151" s="431"/>
      <c r="R151" s="103">
        <f t="shared" si="371"/>
        <v>0</v>
      </c>
      <c r="S151" s="104">
        <f t="shared" si="371"/>
        <v>0</v>
      </c>
      <c r="T151" s="104">
        <f t="shared" si="372"/>
        <v>0</v>
      </c>
      <c r="U151" s="104">
        <f t="shared" si="372"/>
        <v>0</v>
      </c>
      <c r="V151" s="104">
        <f t="shared" si="372"/>
        <v>9.9999999999999995E-8</v>
      </c>
      <c r="W151" s="104">
        <f t="shared" si="372"/>
        <v>0</v>
      </c>
      <c r="X151" s="104">
        <f t="shared" si="278"/>
        <v>0</v>
      </c>
      <c r="Y151" s="104">
        <f t="shared" si="278"/>
        <v>9.9999999999999995E-8</v>
      </c>
      <c r="Z151" s="104">
        <f t="shared" si="278"/>
        <v>9.9999999999999995E-8</v>
      </c>
      <c r="AA151" s="105">
        <f t="shared" si="278"/>
        <v>9.9999999999999995E-8</v>
      </c>
      <c r="AB151" s="101" t="e">
        <f>$DT151*HLOOKUP($J151,'Construction Costs (timber)'!$B$1:$V$32,'Construction Planner'!$L151+2,FALSE)</f>
        <v>#N/A</v>
      </c>
      <c r="AC151" s="14" t="e">
        <f>$DT151*HLOOKUP($J151,'Construction Costs (clay)'!$B$1:$V$32,'Construction Planner'!$L151+2,FALSE)</f>
        <v>#N/A</v>
      </c>
      <c r="AD151" s="14" t="e">
        <f>$DT151*HLOOKUP($J151,'Construction Costs (iron)'!$B$1:$V$32,'Construction Planner'!$L151+2,FALSE)</f>
        <v>#N/A</v>
      </c>
      <c r="AE151" s="34" t="e">
        <f t="shared" si="384"/>
        <v>#N/A</v>
      </c>
      <c r="AF151" s="33" t="e">
        <f t="shared" si="322"/>
        <v>#N/A</v>
      </c>
      <c r="AG151" s="14" t="e">
        <f t="shared" si="323"/>
        <v>#N/A</v>
      </c>
      <c r="AH151" s="14" t="e">
        <f t="shared" si="324"/>
        <v>#N/A</v>
      </c>
      <c r="AI151" s="34" t="e">
        <f t="shared" si="385"/>
        <v>#N/A</v>
      </c>
      <c r="AJ151" s="49" t="e">
        <f t="shared" si="345"/>
        <v>#N/A</v>
      </c>
      <c r="AK151" s="49" t="e">
        <f t="shared" si="346"/>
        <v>#N/A</v>
      </c>
      <c r="AL151" s="49" t="e">
        <f t="shared" si="347"/>
        <v>#N/A</v>
      </c>
      <c r="AM151" s="25">
        <f t="shared" si="325"/>
        <v>30</v>
      </c>
      <c r="AN151" s="25">
        <f t="shared" si="326"/>
        <v>30</v>
      </c>
      <c r="AO151" s="25">
        <f t="shared" si="327"/>
        <v>30</v>
      </c>
      <c r="AP151" s="52" t="e">
        <f t="shared" si="348"/>
        <v>#N/A</v>
      </c>
      <c r="AQ151" s="53" t="e">
        <f t="shared" si="348"/>
        <v>#N/A</v>
      </c>
      <c r="AR151" s="54" t="e">
        <f t="shared" si="348"/>
        <v>#N/A</v>
      </c>
      <c r="AS151" s="316">
        <f t="shared" si="386"/>
        <v>0</v>
      </c>
      <c r="AT151" s="106">
        <f>_xlfn.IFNA($M151/VLOOKUP($BT151,'Unit information'!$A$2:$K$29,2,FALSE)*R151,0)*(1+$E$9)</f>
        <v>0</v>
      </c>
      <c r="AU151" s="107">
        <f>_xlfn.IFNA($M151/VLOOKUP($BT151,'Unit information'!$A$2:$K$29,3,FALSE)*S151,0)*(1+$E$9)</f>
        <v>0</v>
      </c>
      <c r="AV151" s="107">
        <f>_xlfn.IFNA($M151/VLOOKUP($BT151,'Unit information'!$A$2:$K$29,4,FALSE)*T151,0)*(1+$E$9)</f>
        <v>0</v>
      </c>
      <c r="AW151" s="107">
        <f>_xlfn.IFNA($M151/VLOOKUP($BT151,'Unit information'!$A$2:$K$29,5,FALSE)*U151,0)*(1+$E$9)</f>
        <v>0</v>
      </c>
      <c r="AX151" s="107">
        <f>_xlfn.IFNA($M151/VLOOKUP($BU151,'Unit information'!$A$2:$K$29,6,FALSE)*V151,0)*(1+$E$9)</f>
        <v>0</v>
      </c>
      <c r="AY151" s="107">
        <f>_xlfn.IFNA($M151/VLOOKUP($BU151,'Unit information'!$A$2:$K$29,7,FALSE)*W151,0)*(1+$E$9)</f>
        <v>0</v>
      </c>
      <c r="AZ151" s="107">
        <f>_xlfn.IFNA($M151/VLOOKUP($BU151,'Unit information'!$A$2:$K$29,8,FALSE)*X151,0)*(1+$E$9)</f>
        <v>0</v>
      </c>
      <c r="BA151" s="107">
        <f>_xlfn.IFNA($M151/VLOOKUP($BU151,'Unit information'!$A$2:$K$29,9,FALSE)*Y151,0)*(1+$E$9)</f>
        <v>0</v>
      </c>
      <c r="BB151" s="107">
        <f>_xlfn.IFNA($M151/VLOOKUP($BV151,'Unit information'!$A$2:$K$29,10,FALSE)*Z151,0)*(1+$E$9)</f>
        <v>0</v>
      </c>
      <c r="BC151" s="108">
        <f>_xlfn.IFNA($M151/VLOOKUP($BV151,'Unit information'!$A$2:$K$29,11,FALSE)*AA151,0)*(1+$E$9)</f>
        <v>0</v>
      </c>
      <c r="BD151" s="106">
        <f t="shared" si="328"/>
        <v>0</v>
      </c>
      <c r="BE151" s="107">
        <f t="shared" si="329"/>
        <v>0</v>
      </c>
      <c r="BF151" s="108">
        <f t="shared" si="330"/>
        <v>0</v>
      </c>
      <c r="BG151" s="25" t="e">
        <f t="shared" si="331"/>
        <v>#N/A</v>
      </c>
      <c r="BH151" s="25" t="e">
        <f t="shared" si="332"/>
        <v>#N/A</v>
      </c>
      <c r="BI151" s="25" t="e">
        <f t="shared" si="333"/>
        <v>#N/A</v>
      </c>
      <c r="BJ151" s="27" t="e">
        <f t="shared" si="334"/>
        <v>#N/A</v>
      </c>
      <c r="BK151" s="18" t="e">
        <f t="shared" si="335"/>
        <v>#N/A</v>
      </c>
      <c r="BL151" s="18" t="e">
        <f t="shared" si="336"/>
        <v>#N/A</v>
      </c>
      <c r="BM151" s="28" t="e">
        <f t="shared" si="387"/>
        <v>#N/A</v>
      </c>
      <c r="BN151" s="33">
        <f>HLOOKUP("maximum population",Miscelaneous!$C$1:$C$33,CH151+3,FALSE)</f>
        <v>240</v>
      </c>
      <c r="BO151" s="14">
        <f t="shared" si="349"/>
        <v>32</v>
      </c>
      <c r="BP151" s="14">
        <f t="shared" si="350"/>
        <v>0</v>
      </c>
      <c r="BQ151" s="14">
        <f t="shared" si="351"/>
        <v>208</v>
      </c>
      <c r="BR151" s="34" t="e">
        <f>HLOOKUP(J151,Villagers!$B$1:$V$33,L151+3,FALSE)-HLOOKUP(J151,Villagers!$B$1:$V$33,L151+2,FALSE)</f>
        <v>#N/A</v>
      </c>
      <c r="BS151" s="49">
        <f t="shared" si="352"/>
        <v>1</v>
      </c>
      <c r="BT151" s="50">
        <f t="shared" si="353"/>
        <v>0</v>
      </c>
      <c r="BU151" s="50">
        <f t="shared" si="354"/>
        <v>0</v>
      </c>
      <c r="BV151" s="50">
        <f t="shared" si="355"/>
        <v>0</v>
      </c>
      <c r="BW151" s="50">
        <f t="shared" ref="BW151:BW175" si="391">IF($J150=BW$14,$L150,BW150)</f>
        <v>0</v>
      </c>
      <c r="BX151" s="50">
        <f t="shared" ref="BX151:BY175" si="392">IF($J150=BX$14,$L150,BX150)</f>
        <v>0</v>
      </c>
      <c r="BY151" s="50">
        <f t="shared" si="392"/>
        <v>0</v>
      </c>
      <c r="BZ151" s="50">
        <f t="shared" si="245"/>
        <v>0</v>
      </c>
      <c r="CA151" s="50">
        <f t="shared" si="246"/>
        <v>0</v>
      </c>
      <c r="CB151" s="50">
        <f t="shared" si="247"/>
        <v>1</v>
      </c>
      <c r="CC151" s="50">
        <f t="shared" si="248"/>
        <v>0</v>
      </c>
      <c r="CD151" s="50">
        <f t="shared" si="249"/>
        <v>0</v>
      </c>
      <c r="CE151" s="50">
        <f t="shared" si="250"/>
        <v>1</v>
      </c>
      <c r="CF151" s="50">
        <f t="shared" si="251"/>
        <v>1</v>
      </c>
      <c r="CG151" s="50">
        <f t="shared" si="252"/>
        <v>1</v>
      </c>
      <c r="CH151" s="50">
        <f t="shared" si="253"/>
        <v>1</v>
      </c>
      <c r="CI151" s="50">
        <f t="shared" si="254"/>
        <v>1</v>
      </c>
      <c r="CJ151" s="50">
        <f t="shared" si="255"/>
        <v>1</v>
      </c>
      <c r="CK151" s="50">
        <f t="shared" si="255"/>
        <v>0</v>
      </c>
      <c r="CL151" s="50">
        <f t="shared" si="255"/>
        <v>0</v>
      </c>
      <c r="CM151" s="51">
        <f t="shared" si="256"/>
        <v>0</v>
      </c>
      <c r="CN151" s="33">
        <f>ROUND(IF(BS151=0,0,HLOOKUP(BS$14,Villagers!$B$1:$V$33,BS151+3,FALSE)),)</f>
        <v>5</v>
      </c>
      <c r="CO151" s="14">
        <f>ROUND(IF(BT151=0,0,HLOOKUP(BT$14,Villagers!$B$1:$V$33,BT151+3,FALSE)),)</f>
        <v>0</v>
      </c>
      <c r="CP151" s="14">
        <f>ROUND(IF(BU151=0,0,HLOOKUP(BU$14,Villagers!$B$1:$V$33,BU151+3,FALSE)),)</f>
        <v>0</v>
      </c>
      <c r="CQ151" s="14">
        <f>ROUND(IF(BV151=0,0,HLOOKUP(BV$14,Villagers!$B$1:$V$33,BV151+3,FALSE)),)</f>
        <v>0</v>
      </c>
      <c r="CR151" s="14">
        <f>ROUND(IF(BW151=0,0,HLOOKUP(BW$14,Villagers!$B$1:$V$33,BW151+3,FALSE)),)</f>
        <v>0</v>
      </c>
      <c r="CS151" s="14">
        <f>ROUND(IF(BX151=0,0,HLOOKUP(BX$14,Villagers!$B$1:$V$33,BX151+3,FALSE)),)</f>
        <v>0</v>
      </c>
      <c r="CT151" s="14">
        <f>ROUND(IF(BY151=0,0,HLOOKUP(BY$14,Villagers!$B$1:$V$33,BY151+3,FALSE)),)</f>
        <v>0</v>
      </c>
      <c r="CU151" s="14">
        <f>ROUND(IF(BZ151=0,0,HLOOKUP(BZ$14,Villagers!$B$1:$V$33,BZ151+3,FALSE)),)</f>
        <v>0</v>
      </c>
      <c r="CV151" s="14">
        <f>ROUND(IF(CA151=0,0,HLOOKUP(CA$14,Villagers!$B$1:$V$33,CA151+3,FALSE)),)</f>
        <v>0</v>
      </c>
      <c r="CW151" s="14">
        <f>ROUND(IF(CB151=0,0,HLOOKUP(CB$14,Villagers!$B$1:$V$33,CB151+3,FALSE)),)</f>
        <v>0</v>
      </c>
      <c r="CX151" s="14">
        <f>ROUND(IF(CC151=0,0,HLOOKUP(CC$14,Villagers!$B$1:$V$33,CC151+3,FALSE)),)</f>
        <v>0</v>
      </c>
      <c r="CY151" s="14">
        <f>ROUND(IF(CD151=0,0,HLOOKUP(CD$14,Villagers!$B$1:$V$33,CD151+3,FALSE)),)</f>
        <v>0</v>
      </c>
      <c r="CZ151" s="14">
        <f>ROUND(IF(CE151=0,0,HLOOKUP(CE$14,Villagers!$B$1:$V$33,CE151+3,FALSE)),)</f>
        <v>5</v>
      </c>
      <c r="DA151" s="14">
        <f>ROUND(IF(CF151=0,0,HLOOKUP(CF$14,Villagers!$B$1:$V$33,CF151+3,FALSE)),)</f>
        <v>10</v>
      </c>
      <c r="DB151" s="14">
        <f>ROUND(IF(CG151=0,0,HLOOKUP(CG$14,Villagers!$B$1:$V$33,CG151+3,FALSE)),)</f>
        <v>10</v>
      </c>
      <c r="DC151" s="14">
        <f>ROUND(IF(CH151=0,0,HLOOKUP(CH$14,Villagers!$B$1:$V$33,CH151+3,FALSE)),)</f>
        <v>0</v>
      </c>
      <c r="DD151" s="14">
        <f>ROUND(IF(CI151=0,0,HLOOKUP(CI$14,Villagers!$B$1:$V$33,CI151+3,FALSE)),)</f>
        <v>0</v>
      </c>
      <c r="DE151" s="14">
        <f>ROUND(IF(CJ151=0,0,HLOOKUP(CJ$14,Villagers!$B$1:$V$33,CJ151+3,FALSE)),)</f>
        <v>2</v>
      </c>
      <c r="DF151" s="370">
        <f>ROUND(IF(CK151=0,0,HLOOKUP(CK$14,Villagers!$B$1:$V$33,CK151+3,FALSE)),)</f>
        <v>0</v>
      </c>
      <c r="DG151" s="370">
        <f>ROUND(IF(CL151=0,0,HLOOKUP(CL$14,Villagers!$B$1:$V$33,CL151+3,FALSE)),)</f>
        <v>0</v>
      </c>
      <c r="DH151" s="34">
        <f>ROUND(IF(CM151=0,0,HLOOKUP(CM$14,Villagers!$B$1:$V$33,CM151+3,FALSE)),)</f>
        <v>0</v>
      </c>
      <c r="DI151" s="109">
        <f t="shared" si="373"/>
        <v>0</v>
      </c>
      <c r="DJ151" s="50">
        <f t="shared" si="374"/>
        <v>0</v>
      </c>
      <c r="DK151" s="50">
        <f t="shared" si="375"/>
        <v>0</v>
      </c>
      <c r="DL151" s="50">
        <f t="shared" si="376"/>
        <v>0</v>
      </c>
      <c r="DM151" s="50">
        <f t="shared" si="377"/>
        <v>0</v>
      </c>
      <c r="DN151" s="50">
        <f t="shared" si="378"/>
        <v>0</v>
      </c>
      <c r="DO151" s="50">
        <f t="shared" si="379"/>
        <v>0</v>
      </c>
      <c r="DP151" s="50">
        <f t="shared" si="380"/>
        <v>0</v>
      </c>
      <c r="DQ151" s="50">
        <f t="shared" si="357"/>
        <v>0</v>
      </c>
      <c r="DR151" s="50">
        <f t="shared" si="358"/>
        <v>0</v>
      </c>
      <c r="DS151" s="96">
        <f>Miscelaneous!$D$4*Miscelaneous!$D$2^($CI151-1)</f>
        <v>1000</v>
      </c>
      <c r="DT151" s="333">
        <f t="shared" si="337"/>
        <v>1</v>
      </c>
      <c r="DU151" s="81">
        <v>1</v>
      </c>
      <c r="DV151" s="79">
        <f t="shared" si="359"/>
        <v>0</v>
      </c>
      <c r="DW151" s="79">
        <f t="shared" si="360"/>
        <v>0</v>
      </c>
      <c r="DX151" s="79">
        <f t="shared" si="361"/>
        <v>0</v>
      </c>
      <c r="DY151" s="79">
        <v>1</v>
      </c>
      <c r="DZ151" s="79">
        <f t="shared" si="362"/>
        <v>0</v>
      </c>
      <c r="EA151" s="79">
        <f t="shared" si="363"/>
        <v>0</v>
      </c>
      <c r="EB151" s="79">
        <f t="shared" si="364"/>
        <v>0</v>
      </c>
      <c r="EC151" s="79">
        <f t="shared" si="365"/>
        <v>0</v>
      </c>
      <c r="ED151" s="79">
        <v>1</v>
      </c>
      <c r="EE151" s="79">
        <v>1</v>
      </c>
      <c r="EF151" s="79">
        <f t="shared" si="366"/>
        <v>0</v>
      </c>
      <c r="EG151" s="79">
        <v>1</v>
      </c>
      <c r="EH151" s="79">
        <v>1</v>
      </c>
      <c r="EI151" s="79">
        <v>1</v>
      </c>
      <c r="EJ151" s="79">
        <v>1</v>
      </c>
      <c r="EK151" s="79">
        <v>1</v>
      </c>
      <c r="EL151" s="79">
        <v>1</v>
      </c>
      <c r="EM151" s="143">
        <f t="shared" si="367"/>
        <v>0</v>
      </c>
      <c r="EN151" s="143">
        <f t="shared" si="368"/>
        <v>0</v>
      </c>
      <c r="EO151" s="82">
        <f t="shared" si="369"/>
        <v>0</v>
      </c>
    </row>
    <row r="152" spans="1:145" x14ac:dyDescent="0.25">
      <c r="A152">
        <v>138</v>
      </c>
      <c r="B152" s="172" t="e">
        <f t="shared" si="338"/>
        <v>#N/A</v>
      </c>
      <c r="C152" s="121" t="e">
        <f t="shared" ref="C152:E152" si="393">AJ152-SUM(AB152:AB156)</f>
        <v>#N/A</v>
      </c>
      <c r="D152" s="122" t="e">
        <f t="shared" si="393"/>
        <v>#N/A</v>
      </c>
      <c r="E152" s="122" t="e">
        <f t="shared" si="393"/>
        <v>#N/A</v>
      </c>
      <c r="F152" s="176" t="e">
        <f t="shared" si="320"/>
        <v>#N/A</v>
      </c>
      <c r="G152" s="121">
        <f t="shared" si="340"/>
        <v>208</v>
      </c>
      <c r="H152" s="176" t="e">
        <f t="shared" si="341"/>
        <v>#N/A</v>
      </c>
      <c r="I152" s="48">
        <v>1</v>
      </c>
      <c r="J152" s="39"/>
      <c r="K152" s="350">
        <v>1</v>
      </c>
      <c r="L152" s="34" t="e">
        <f t="shared" si="321"/>
        <v>#N/A</v>
      </c>
      <c r="M152" s="38" t="e">
        <f>(HLOOKUP(J152,'Construction Times'!$B$3:$W$34,L152+2,FALSE)*HLOOKUP("hq modifier",'Construction Times'!$W$3:$W$34,BS152+2,FALSE))*(1-$H$9)</f>
        <v>#N/A</v>
      </c>
      <c r="N152" s="426" t="e">
        <f t="shared" si="342"/>
        <v>#N/A</v>
      </c>
      <c r="O152" s="427"/>
      <c r="P152" s="430" t="e">
        <f t="shared" si="343"/>
        <v>#N/A</v>
      </c>
      <c r="Q152" s="431"/>
      <c r="R152" s="103">
        <f t="shared" si="371"/>
        <v>0</v>
      </c>
      <c r="S152" s="104">
        <f t="shared" si="371"/>
        <v>0</v>
      </c>
      <c r="T152" s="104">
        <f t="shared" si="372"/>
        <v>0</v>
      </c>
      <c r="U152" s="104">
        <f t="shared" si="372"/>
        <v>0</v>
      </c>
      <c r="V152" s="104">
        <f t="shared" si="372"/>
        <v>9.9999999999999995E-8</v>
      </c>
      <c r="W152" s="104">
        <f t="shared" si="372"/>
        <v>0</v>
      </c>
      <c r="X152" s="104">
        <f t="shared" si="278"/>
        <v>0</v>
      </c>
      <c r="Y152" s="104">
        <f t="shared" si="278"/>
        <v>9.9999999999999995E-8</v>
      </c>
      <c r="Z152" s="104">
        <f t="shared" si="278"/>
        <v>9.9999999999999995E-8</v>
      </c>
      <c r="AA152" s="105">
        <f t="shared" si="278"/>
        <v>9.9999999999999995E-8</v>
      </c>
      <c r="AB152" s="101" t="e">
        <f>$DT152*HLOOKUP($J152,'Construction Costs (timber)'!$B$1:$V$32,'Construction Planner'!$L152+2,FALSE)</f>
        <v>#N/A</v>
      </c>
      <c r="AC152" s="14" t="e">
        <f>$DT152*HLOOKUP($J152,'Construction Costs (clay)'!$B$1:$V$32,'Construction Planner'!$L152+2,FALSE)</f>
        <v>#N/A</v>
      </c>
      <c r="AD152" s="14" t="e">
        <f>$DT152*HLOOKUP($J152,'Construction Costs (iron)'!$B$1:$V$32,'Construction Planner'!$L152+2,FALSE)</f>
        <v>#N/A</v>
      </c>
      <c r="AE152" s="34" t="e">
        <f t="shared" si="384"/>
        <v>#N/A</v>
      </c>
      <c r="AF152" s="33" t="e">
        <f t="shared" si="322"/>
        <v>#N/A</v>
      </c>
      <c r="AG152" s="14" t="e">
        <f t="shared" si="323"/>
        <v>#N/A</v>
      </c>
      <c r="AH152" s="14" t="e">
        <f t="shared" si="324"/>
        <v>#N/A</v>
      </c>
      <c r="AI152" s="34" t="e">
        <f t="shared" si="385"/>
        <v>#N/A</v>
      </c>
      <c r="AJ152" s="49" t="e">
        <f t="shared" si="345"/>
        <v>#N/A</v>
      </c>
      <c r="AK152" s="49" t="e">
        <f t="shared" si="346"/>
        <v>#N/A</v>
      </c>
      <c r="AL152" s="49" t="e">
        <f t="shared" si="347"/>
        <v>#N/A</v>
      </c>
      <c r="AM152" s="25">
        <f t="shared" si="325"/>
        <v>30</v>
      </c>
      <c r="AN152" s="25">
        <f t="shared" si="326"/>
        <v>30</v>
      </c>
      <c r="AO152" s="25">
        <f t="shared" si="327"/>
        <v>30</v>
      </c>
      <c r="AP152" s="52" t="e">
        <f t="shared" si="348"/>
        <v>#N/A</v>
      </c>
      <c r="AQ152" s="53" t="e">
        <f t="shared" si="348"/>
        <v>#N/A</v>
      </c>
      <c r="AR152" s="54" t="e">
        <f t="shared" si="348"/>
        <v>#N/A</v>
      </c>
      <c r="AS152" s="316">
        <f t="shared" si="386"/>
        <v>0</v>
      </c>
      <c r="AT152" s="106">
        <f>_xlfn.IFNA($M152/VLOOKUP($BT152,'Unit information'!$A$2:$K$29,2,FALSE)*R152,0)*(1+$E$9)</f>
        <v>0</v>
      </c>
      <c r="AU152" s="107">
        <f>_xlfn.IFNA($M152/VLOOKUP($BT152,'Unit information'!$A$2:$K$29,3,FALSE)*S152,0)*(1+$E$9)</f>
        <v>0</v>
      </c>
      <c r="AV152" s="107">
        <f>_xlfn.IFNA($M152/VLOOKUP($BT152,'Unit information'!$A$2:$K$29,4,FALSE)*T152,0)*(1+$E$9)</f>
        <v>0</v>
      </c>
      <c r="AW152" s="107">
        <f>_xlfn.IFNA($M152/VLOOKUP($BT152,'Unit information'!$A$2:$K$29,5,FALSE)*U152,0)*(1+$E$9)</f>
        <v>0</v>
      </c>
      <c r="AX152" s="107">
        <f>_xlfn.IFNA($M152/VLOOKUP($BU152,'Unit information'!$A$2:$K$29,6,FALSE)*V152,0)*(1+$E$9)</f>
        <v>0</v>
      </c>
      <c r="AY152" s="107">
        <f>_xlfn.IFNA($M152/VLOOKUP($BU152,'Unit information'!$A$2:$K$29,7,FALSE)*W152,0)*(1+$E$9)</f>
        <v>0</v>
      </c>
      <c r="AZ152" s="107">
        <f>_xlfn.IFNA($M152/VLOOKUP($BU152,'Unit information'!$A$2:$K$29,8,FALSE)*X152,0)*(1+$E$9)</f>
        <v>0</v>
      </c>
      <c r="BA152" s="107">
        <f>_xlfn.IFNA($M152/VLOOKUP($BU152,'Unit information'!$A$2:$K$29,9,FALSE)*Y152,0)*(1+$E$9)</f>
        <v>0</v>
      </c>
      <c r="BB152" s="107">
        <f>_xlfn.IFNA($M152/VLOOKUP($BV152,'Unit information'!$A$2:$K$29,10,FALSE)*Z152,0)*(1+$E$9)</f>
        <v>0</v>
      </c>
      <c r="BC152" s="108">
        <f>_xlfn.IFNA($M152/VLOOKUP($BV152,'Unit information'!$A$2:$K$29,11,FALSE)*AA152,0)*(1+$E$9)</f>
        <v>0</v>
      </c>
      <c r="BD152" s="106">
        <f t="shared" si="328"/>
        <v>0</v>
      </c>
      <c r="BE152" s="107">
        <f t="shared" si="329"/>
        <v>0</v>
      </c>
      <c r="BF152" s="108">
        <f t="shared" si="330"/>
        <v>0</v>
      </c>
      <c r="BG152" s="25" t="e">
        <f t="shared" si="331"/>
        <v>#N/A</v>
      </c>
      <c r="BH152" s="25" t="e">
        <f t="shared" si="332"/>
        <v>#N/A</v>
      </c>
      <c r="BI152" s="25" t="e">
        <f t="shared" si="333"/>
        <v>#N/A</v>
      </c>
      <c r="BJ152" s="27" t="e">
        <f t="shared" si="334"/>
        <v>#N/A</v>
      </c>
      <c r="BK152" s="18" t="e">
        <f t="shared" si="335"/>
        <v>#N/A</v>
      </c>
      <c r="BL152" s="18" t="e">
        <f t="shared" si="336"/>
        <v>#N/A</v>
      </c>
      <c r="BM152" s="28" t="e">
        <f t="shared" si="387"/>
        <v>#N/A</v>
      </c>
      <c r="BN152" s="33">
        <f>HLOOKUP("maximum population",Miscelaneous!$C$1:$C$33,CH152+3,FALSE)</f>
        <v>240</v>
      </c>
      <c r="BO152" s="14">
        <f t="shared" si="349"/>
        <v>32</v>
      </c>
      <c r="BP152" s="14">
        <f t="shared" si="350"/>
        <v>0</v>
      </c>
      <c r="BQ152" s="14">
        <f t="shared" si="351"/>
        <v>208</v>
      </c>
      <c r="BR152" s="34" t="e">
        <f>HLOOKUP(J152,Villagers!$B$1:$V$33,L152+3,FALSE)-HLOOKUP(J152,Villagers!$B$1:$V$33,L152+2,FALSE)</f>
        <v>#N/A</v>
      </c>
      <c r="BS152" s="49">
        <f t="shared" si="352"/>
        <v>1</v>
      </c>
      <c r="BT152" s="50">
        <f t="shared" si="353"/>
        <v>0</v>
      </c>
      <c r="BU152" s="50">
        <f t="shared" si="354"/>
        <v>0</v>
      </c>
      <c r="BV152" s="50">
        <f t="shared" si="355"/>
        <v>0</v>
      </c>
      <c r="BW152" s="50">
        <f t="shared" si="391"/>
        <v>0</v>
      </c>
      <c r="BX152" s="50">
        <f t="shared" si="392"/>
        <v>0</v>
      </c>
      <c r="BY152" s="50">
        <f t="shared" si="392"/>
        <v>0</v>
      </c>
      <c r="BZ152" s="50">
        <f t="shared" si="245"/>
        <v>0</v>
      </c>
      <c r="CA152" s="50">
        <f t="shared" si="246"/>
        <v>0</v>
      </c>
      <c r="CB152" s="50">
        <f t="shared" si="247"/>
        <v>1</v>
      </c>
      <c r="CC152" s="50">
        <f t="shared" si="248"/>
        <v>0</v>
      </c>
      <c r="CD152" s="50">
        <f t="shared" si="249"/>
        <v>0</v>
      </c>
      <c r="CE152" s="50">
        <f t="shared" si="250"/>
        <v>1</v>
      </c>
      <c r="CF152" s="50">
        <f t="shared" si="251"/>
        <v>1</v>
      </c>
      <c r="CG152" s="50">
        <f t="shared" si="252"/>
        <v>1</v>
      </c>
      <c r="CH152" s="50">
        <f t="shared" si="253"/>
        <v>1</v>
      </c>
      <c r="CI152" s="50">
        <f t="shared" si="254"/>
        <v>1</v>
      </c>
      <c r="CJ152" s="50">
        <f t="shared" si="255"/>
        <v>1</v>
      </c>
      <c r="CK152" s="50">
        <f t="shared" si="255"/>
        <v>0</v>
      </c>
      <c r="CL152" s="50">
        <f t="shared" si="255"/>
        <v>0</v>
      </c>
      <c r="CM152" s="51">
        <f t="shared" si="256"/>
        <v>0</v>
      </c>
      <c r="CN152" s="33">
        <f>ROUND(IF(BS152=0,0,HLOOKUP(BS$14,Villagers!$B$1:$V$33,BS152+3,FALSE)),)</f>
        <v>5</v>
      </c>
      <c r="CO152" s="14">
        <f>ROUND(IF(BT152=0,0,HLOOKUP(BT$14,Villagers!$B$1:$V$33,BT152+3,FALSE)),)</f>
        <v>0</v>
      </c>
      <c r="CP152" s="14">
        <f>ROUND(IF(BU152=0,0,HLOOKUP(BU$14,Villagers!$B$1:$V$33,BU152+3,FALSE)),)</f>
        <v>0</v>
      </c>
      <c r="CQ152" s="14">
        <f>ROUND(IF(BV152=0,0,HLOOKUP(BV$14,Villagers!$B$1:$V$33,BV152+3,FALSE)),)</f>
        <v>0</v>
      </c>
      <c r="CR152" s="14">
        <f>ROUND(IF(BW152=0,0,HLOOKUP(BW$14,Villagers!$B$1:$V$33,BW152+3,FALSE)),)</f>
        <v>0</v>
      </c>
      <c r="CS152" s="14">
        <f>ROUND(IF(BX152=0,0,HLOOKUP(BX$14,Villagers!$B$1:$V$33,BX152+3,FALSE)),)</f>
        <v>0</v>
      </c>
      <c r="CT152" s="14">
        <f>ROUND(IF(BY152=0,0,HLOOKUP(BY$14,Villagers!$B$1:$V$33,BY152+3,FALSE)),)</f>
        <v>0</v>
      </c>
      <c r="CU152" s="14">
        <f>ROUND(IF(BZ152=0,0,HLOOKUP(BZ$14,Villagers!$B$1:$V$33,BZ152+3,FALSE)),)</f>
        <v>0</v>
      </c>
      <c r="CV152" s="14">
        <f>ROUND(IF(CA152=0,0,HLOOKUP(CA$14,Villagers!$B$1:$V$33,CA152+3,FALSE)),)</f>
        <v>0</v>
      </c>
      <c r="CW152" s="14">
        <f>ROUND(IF(CB152=0,0,HLOOKUP(CB$14,Villagers!$B$1:$V$33,CB152+3,FALSE)),)</f>
        <v>0</v>
      </c>
      <c r="CX152" s="14">
        <f>ROUND(IF(CC152=0,0,HLOOKUP(CC$14,Villagers!$B$1:$V$33,CC152+3,FALSE)),)</f>
        <v>0</v>
      </c>
      <c r="CY152" s="14">
        <f>ROUND(IF(CD152=0,0,HLOOKUP(CD$14,Villagers!$B$1:$V$33,CD152+3,FALSE)),)</f>
        <v>0</v>
      </c>
      <c r="CZ152" s="14">
        <f>ROUND(IF(CE152=0,0,HLOOKUP(CE$14,Villagers!$B$1:$V$33,CE152+3,FALSE)),)</f>
        <v>5</v>
      </c>
      <c r="DA152" s="14">
        <f>ROUND(IF(CF152=0,0,HLOOKUP(CF$14,Villagers!$B$1:$V$33,CF152+3,FALSE)),)</f>
        <v>10</v>
      </c>
      <c r="DB152" s="14">
        <f>ROUND(IF(CG152=0,0,HLOOKUP(CG$14,Villagers!$B$1:$V$33,CG152+3,FALSE)),)</f>
        <v>10</v>
      </c>
      <c r="DC152" s="14">
        <f>ROUND(IF(CH152=0,0,HLOOKUP(CH$14,Villagers!$B$1:$V$33,CH152+3,FALSE)),)</f>
        <v>0</v>
      </c>
      <c r="DD152" s="14">
        <f>ROUND(IF(CI152=0,0,HLOOKUP(CI$14,Villagers!$B$1:$V$33,CI152+3,FALSE)),)</f>
        <v>0</v>
      </c>
      <c r="DE152" s="14">
        <f>ROUND(IF(CJ152=0,0,HLOOKUP(CJ$14,Villagers!$B$1:$V$33,CJ152+3,FALSE)),)</f>
        <v>2</v>
      </c>
      <c r="DF152" s="370">
        <f>ROUND(IF(CK152=0,0,HLOOKUP(CK$14,Villagers!$B$1:$V$33,CK152+3,FALSE)),)</f>
        <v>0</v>
      </c>
      <c r="DG152" s="370">
        <f>ROUND(IF(CL152=0,0,HLOOKUP(CL$14,Villagers!$B$1:$V$33,CL152+3,FALSE)),)</f>
        <v>0</v>
      </c>
      <c r="DH152" s="34">
        <f>ROUND(IF(CM152=0,0,HLOOKUP(CM$14,Villagers!$B$1:$V$33,CM152+3,FALSE)),)</f>
        <v>0</v>
      </c>
      <c r="DI152" s="109">
        <f t="shared" si="373"/>
        <v>0</v>
      </c>
      <c r="DJ152" s="50">
        <f t="shared" si="374"/>
        <v>0</v>
      </c>
      <c r="DK152" s="50">
        <f t="shared" si="375"/>
        <v>0</v>
      </c>
      <c r="DL152" s="50">
        <f t="shared" si="376"/>
        <v>0</v>
      </c>
      <c r="DM152" s="50">
        <f t="shared" si="377"/>
        <v>0</v>
      </c>
      <c r="DN152" s="50">
        <f t="shared" si="378"/>
        <v>0</v>
      </c>
      <c r="DO152" s="50">
        <f t="shared" si="379"/>
        <v>0</v>
      </c>
      <c r="DP152" s="50">
        <f t="shared" si="380"/>
        <v>0</v>
      </c>
      <c r="DQ152" s="50">
        <f t="shared" si="357"/>
        <v>0</v>
      </c>
      <c r="DR152" s="50">
        <f t="shared" si="358"/>
        <v>0</v>
      </c>
      <c r="DS152" s="96">
        <f>Miscelaneous!$D$4*Miscelaneous!$D$2^($CI152-1)</f>
        <v>1000</v>
      </c>
      <c r="DT152" s="333">
        <f t="shared" si="337"/>
        <v>1</v>
      </c>
      <c r="DU152" s="81">
        <v>1</v>
      </c>
      <c r="DV152" s="79">
        <f t="shared" si="359"/>
        <v>0</v>
      </c>
      <c r="DW152" s="79">
        <f t="shared" si="360"/>
        <v>0</v>
      </c>
      <c r="DX152" s="79">
        <f t="shared" si="361"/>
        <v>0</v>
      </c>
      <c r="DY152" s="79">
        <v>1</v>
      </c>
      <c r="DZ152" s="79">
        <f t="shared" si="362"/>
        <v>0</v>
      </c>
      <c r="EA152" s="79">
        <f t="shared" si="363"/>
        <v>0</v>
      </c>
      <c r="EB152" s="79">
        <f t="shared" si="364"/>
        <v>0</v>
      </c>
      <c r="EC152" s="79">
        <f t="shared" si="365"/>
        <v>0</v>
      </c>
      <c r="ED152" s="79">
        <v>1</v>
      </c>
      <c r="EE152" s="79">
        <v>1</v>
      </c>
      <c r="EF152" s="79">
        <f t="shared" si="366"/>
        <v>0</v>
      </c>
      <c r="EG152" s="79">
        <v>1</v>
      </c>
      <c r="EH152" s="79">
        <v>1</v>
      </c>
      <c r="EI152" s="79">
        <v>1</v>
      </c>
      <c r="EJ152" s="79">
        <v>1</v>
      </c>
      <c r="EK152" s="79">
        <v>1</v>
      </c>
      <c r="EL152" s="79">
        <v>1</v>
      </c>
      <c r="EM152" s="143">
        <f t="shared" si="367"/>
        <v>0</v>
      </c>
      <c r="EN152" s="143">
        <f t="shared" si="368"/>
        <v>0</v>
      </c>
      <c r="EO152" s="82">
        <f t="shared" si="369"/>
        <v>0</v>
      </c>
    </row>
    <row r="153" spans="1:145" x14ac:dyDescent="0.25">
      <c r="A153">
        <v>139</v>
      </c>
      <c r="B153" s="172" t="e">
        <f t="shared" si="338"/>
        <v>#N/A</v>
      </c>
      <c r="C153" s="121" t="e">
        <f t="shared" ref="C153:E153" si="394">AJ153-SUM(AB153:AB157)</f>
        <v>#N/A</v>
      </c>
      <c r="D153" s="122" t="e">
        <f t="shared" si="394"/>
        <v>#N/A</v>
      </c>
      <c r="E153" s="122" t="e">
        <f t="shared" si="394"/>
        <v>#N/A</v>
      </c>
      <c r="F153" s="176" t="e">
        <f t="shared" si="320"/>
        <v>#N/A</v>
      </c>
      <c r="G153" s="121">
        <f t="shared" si="340"/>
        <v>208</v>
      </c>
      <c r="H153" s="176" t="e">
        <f t="shared" si="341"/>
        <v>#N/A</v>
      </c>
      <c r="I153" s="48">
        <v>1</v>
      </c>
      <c r="J153" s="39"/>
      <c r="K153" s="350">
        <v>1</v>
      </c>
      <c r="L153" s="34" t="e">
        <f t="shared" si="321"/>
        <v>#N/A</v>
      </c>
      <c r="M153" s="38" t="e">
        <f>(HLOOKUP(J153,'Construction Times'!$B$3:$W$34,L153+2,FALSE)*HLOOKUP("hq modifier",'Construction Times'!$W$3:$W$34,BS153+2,FALSE))*(1-$H$9)</f>
        <v>#N/A</v>
      </c>
      <c r="N153" s="426" t="e">
        <f t="shared" si="342"/>
        <v>#N/A</v>
      </c>
      <c r="O153" s="427"/>
      <c r="P153" s="430" t="e">
        <f t="shared" si="343"/>
        <v>#N/A</v>
      </c>
      <c r="Q153" s="431"/>
      <c r="R153" s="103">
        <f t="shared" si="371"/>
        <v>0</v>
      </c>
      <c r="S153" s="104">
        <f t="shared" si="371"/>
        <v>0</v>
      </c>
      <c r="T153" s="104">
        <f t="shared" si="372"/>
        <v>0</v>
      </c>
      <c r="U153" s="104">
        <f t="shared" si="372"/>
        <v>0</v>
      </c>
      <c r="V153" s="104">
        <f t="shared" si="372"/>
        <v>9.9999999999999995E-8</v>
      </c>
      <c r="W153" s="104">
        <f t="shared" si="372"/>
        <v>0</v>
      </c>
      <c r="X153" s="104">
        <f t="shared" si="278"/>
        <v>0</v>
      </c>
      <c r="Y153" s="104">
        <f t="shared" si="278"/>
        <v>9.9999999999999995E-8</v>
      </c>
      <c r="Z153" s="104">
        <f t="shared" si="278"/>
        <v>9.9999999999999995E-8</v>
      </c>
      <c r="AA153" s="105">
        <f t="shared" si="278"/>
        <v>9.9999999999999995E-8</v>
      </c>
      <c r="AB153" s="101" t="e">
        <f>$DT153*HLOOKUP($J153,'Construction Costs (timber)'!$B$1:$V$32,'Construction Planner'!$L153+2,FALSE)</f>
        <v>#N/A</v>
      </c>
      <c r="AC153" s="14" t="e">
        <f>$DT153*HLOOKUP($J153,'Construction Costs (clay)'!$B$1:$V$32,'Construction Planner'!$L153+2,FALSE)</f>
        <v>#N/A</v>
      </c>
      <c r="AD153" s="14" t="e">
        <f>$DT153*HLOOKUP($J153,'Construction Costs (iron)'!$B$1:$V$32,'Construction Planner'!$L153+2,FALSE)</f>
        <v>#N/A</v>
      </c>
      <c r="AE153" s="34" t="e">
        <f t="shared" si="384"/>
        <v>#N/A</v>
      </c>
      <c r="AF153" s="33" t="e">
        <f t="shared" si="322"/>
        <v>#N/A</v>
      </c>
      <c r="AG153" s="14" t="e">
        <f t="shared" si="323"/>
        <v>#N/A</v>
      </c>
      <c r="AH153" s="14" t="e">
        <f t="shared" si="324"/>
        <v>#N/A</v>
      </c>
      <c r="AI153" s="34" t="e">
        <f t="shared" si="385"/>
        <v>#N/A</v>
      </c>
      <c r="AJ153" s="49" t="e">
        <f t="shared" si="345"/>
        <v>#N/A</v>
      </c>
      <c r="AK153" s="49" t="e">
        <f t="shared" si="346"/>
        <v>#N/A</v>
      </c>
      <c r="AL153" s="49" t="e">
        <f t="shared" si="347"/>
        <v>#N/A</v>
      </c>
      <c r="AM153" s="25">
        <f t="shared" si="325"/>
        <v>30</v>
      </c>
      <c r="AN153" s="25">
        <f t="shared" si="326"/>
        <v>30</v>
      </c>
      <c r="AO153" s="25">
        <f t="shared" si="327"/>
        <v>30</v>
      </c>
      <c r="AP153" s="52" t="e">
        <f t="shared" si="348"/>
        <v>#N/A</v>
      </c>
      <c r="AQ153" s="53" t="e">
        <f t="shared" si="348"/>
        <v>#N/A</v>
      </c>
      <c r="AR153" s="54" t="e">
        <f t="shared" si="348"/>
        <v>#N/A</v>
      </c>
      <c r="AS153" s="316">
        <f t="shared" si="386"/>
        <v>0</v>
      </c>
      <c r="AT153" s="106">
        <f>_xlfn.IFNA($M153/VLOOKUP($BT153,'Unit information'!$A$2:$K$29,2,FALSE)*R153,0)*(1+$E$9)</f>
        <v>0</v>
      </c>
      <c r="AU153" s="107">
        <f>_xlfn.IFNA($M153/VLOOKUP($BT153,'Unit information'!$A$2:$K$29,3,FALSE)*S153,0)*(1+$E$9)</f>
        <v>0</v>
      </c>
      <c r="AV153" s="107">
        <f>_xlfn.IFNA($M153/VLOOKUP($BT153,'Unit information'!$A$2:$K$29,4,FALSE)*T153,0)*(1+$E$9)</f>
        <v>0</v>
      </c>
      <c r="AW153" s="107">
        <f>_xlfn.IFNA($M153/VLOOKUP($BT153,'Unit information'!$A$2:$K$29,5,FALSE)*U153,0)*(1+$E$9)</f>
        <v>0</v>
      </c>
      <c r="AX153" s="107">
        <f>_xlfn.IFNA($M153/VLOOKUP($BU153,'Unit information'!$A$2:$K$29,6,FALSE)*V153,0)*(1+$E$9)</f>
        <v>0</v>
      </c>
      <c r="AY153" s="107">
        <f>_xlfn.IFNA($M153/VLOOKUP($BU153,'Unit information'!$A$2:$K$29,7,FALSE)*W153,0)*(1+$E$9)</f>
        <v>0</v>
      </c>
      <c r="AZ153" s="107">
        <f>_xlfn.IFNA($M153/VLOOKUP($BU153,'Unit information'!$A$2:$K$29,8,FALSE)*X153,0)*(1+$E$9)</f>
        <v>0</v>
      </c>
      <c r="BA153" s="107">
        <f>_xlfn.IFNA($M153/VLOOKUP($BU153,'Unit information'!$A$2:$K$29,9,FALSE)*Y153,0)*(1+$E$9)</f>
        <v>0</v>
      </c>
      <c r="BB153" s="107">
        <f>_xlfn.IFNA($M153/VLOOKUP($BV153,'Unit information'!$A$2:$K$29,10,FALSE)*Z153,0)*(1+$E$9)</f>
        <v>0</v>
      </c>
      <c r="BC153" s="108">
        <f>_xlfn.IFNA($M153/VLOOKUP($BV153,'Unit information'!$A$2:$K$29,11,FALSE)*AA153,0)*(1+$E$9)</f>
        <v>0</v>
      </c>
      <c r="BD153" s="106">
        <f t="shared" si="328"/>
        <v>0</v>
      </c>
      <c r="BE153" s="107">
        <f t="shared" si="329"/>
        <v>0</v>
      </c>
      <c r="BF153" s="108">
        <f t="shared" si="330"/>
        <v>0</v>
      </c>
      <c r="BG153" s="25" t="e">
        <f t="shared" si="331"/>
        <v>#N/A</v>
      </c>
      <c r="BH153" s="25" t="e">
        <f t="shared" si="332"/>
        <v>#N/A</v>
      </c>
      <c r="BI153" s="25" t="e">
        <f t="shared" si="333"/>
        <v>#N/A</v>
      </c>
      <c r="BJ153" s="27" t="e">
        <f t="shared" si="334"/>
        <v>#N/A</v>
      </c>
      <c r="BK153" s="18" t="e">
        <f t="shared" si="335"/>
        <v>#N/A</v>
      </c>
      <c r="BL153" s="18" t="e">
        <f t="shared" si="336"/>
        <v>#N/A</v>
      </c>
      <c r="BM153" s="28" t="e">
        <f t="shared" si="387"/>
        <v>#N/A</v>
      </c>
      <c r="BN153" s="33">
        <f>HLOOKUP("maximum population",Miscelaneous!$C$1:$C$33,CH153+3,FALSE)</f>
        <v>240</v>
      </c>
      <c r="BO153" s="14">
        <f t="shared" si="349"/>
        <v>32</v>
      </c>
      <c r="BP153" s="14">
        <f t="shared" si="350"/>
        <v>0</v>
      </c>
      <c r="BQ153" s="14">
        <f t="shared" si="351"/>
        <v>208</v>
      </c>
      <c r="BR153" s="34" t="e">
        <f>HLOOKUP(J153,Villagers!$B$1:$V$33,L153+3,FALSE)-HLOOKUP(J153,Villagers!$B$1:$V$33,L153+2,FALSE)</f>
        <v>#N/A</v>
      </c>
      <c r="BS153" s="49">
        <f t="shared" si="352"/>
        <v>1</v>
      </c>
      <c r="BT153" s="50">
        <f t="shared" si="353"/>
        <v>0</v>
      </c>
      <c r="BU153" s="50">
        <f t="shared" si="354"/>
        <v>0</v>
      </c>
      <c r="BV153" s="50">
        <f t="shared" si="355"/>
        <v>0</v>
      </c>
      <c r="BW153" s="50">
        <f t="shared" si="391"/>
        <v>0</v>
      </c>
      <c r="BX153" s="50">
        <f t="shared" si="392"/>
        <v>0</v>
      </c>
      <c r="BY153" s="50">
        <f t="shared" si="392"/>
        <v>0</v>
      </c>
      <c r="BZ153" s="50">
        <f t="shared" si="245"/>
        <v>0</v>
      </c>
      <c r="CA153" s="50">
        <f t="shared" si="246"/>
        <v>0</v>
      </c>
      <c r="CB153" s="50">
        <f t="shared" si="247"/>
        <v>1</v>
      </c>
      <c r="CC153" s="50">
        <f t="shared" si="248"/>
        <v>0</v>
      </c>
      <c r="CD153" s="50">
        <f t="shared" si="249"/>
        <v>0</v>
      </c>
      <c r="CE153" s="50">
        <f t="shared" si="250"/>
        <v>1</v>
      </c>
      <c r="CF153" s="50">
        <f t="shared" si="251"/>
        <v>1</v>
      </c>
      <c r="CG153" s="50">
        <f t="shared" si="252"/>
        <v>1</v>
      </c>
      <c r="CH153" s="50">
        <f t="shared" si="253"/>
        <v>1</v>
      </c>
      <c r="CI153" s="50">
        <f t="shared" si="254"/>
        <v>1</v>
      </c>
      <c r="CJ153" s="50">
        <f t="shared" si="255"/>
        <v>1</v>
      </c>
      <c r="CK153" s="50">
        <f t="shared" si="255"/>
        <v>0</v>
      </c>
      <c r="CL153" s="50">
        <f t="shared" si="255"/>
        <v>0</v>
      </c>
      <c r="CM153" s="51">
        <f t="shared" si="256"/>
        <v>0</v>
      </c>
      <c r="CN153" s="33">
        <f>ROUND(IF(BS153=0,0,HLOOKUP(BS$14,Villagers!$B$1:$V$33,BS153+3,FALSE)),)</f>
        <v>5</v>
      </c>
      <c r="CO153" s="14">
        <f>ROUND(IF(BT153=0,0,HLOOKUP(BT$14,Villagers!$B$1:$V$33,BT153+3,FALSE)),)</f>
        <v>0</v>
      </c>
      <c r="CP153" s="14">
        <f>ROUND(IF(BU153=0,0,HLOOKUP(BU$14,Villagers!$B$1:$V$33,BU153+3,FALSE)),)</f>
        <v>0</v>
      </c>
      <c r="CQ153" s="14">
        <f>ROUND(IF(BV153=0,0,HLOOKUP(BV$14,Villagers!$B$1:$V$33,BV153+3,FALSE)),)</f>
        <v>0</v>
      </c>
      <c r="CR153" s="14">
        <f>ROUND(IF(BW153=0,0,HLOOKUP(BW$14,Villagers!$B$1:$V$33,BW153+3,FALSE)),)</f>
        <v>0</v>
      </c>
      <c r="CS153" s="14">
        <f>ROUND(IF(BX153=0,0,HLOOKUP(BX$14,Villagers!$B$1:$V$33,BX153+3,FALSE)),)</f>
        <v>0</v>
      </c>
      <c r="CT153" s="14">
        <f>ROUND(IF(BY153=0,0,HLOOKUP(BY$14,Villagers!$B$1:$V$33,BY153+3,FALSE)),)</f>
        <v>0</v>
      </c>
      <c r="CU153" s="14">
        <f>ROUND(IF(BZ153=0,0,HLOOKUP(BZ$14,Villagers!$B$1:$V$33,BZ153+3,FALSE)),)</f>
        <v>0</v>
      </c>
      <c r="CV153" s="14">
        <f>ROUND(IF(CA153=0,0,HLOOKUP(CA$14,Villagers!$B$1:$V$33,CA153+3,FALSE)),)</f>
        <v>0</v>
      </c>
      <c r="CW153" s="14">
        <f>ROUND(IF(CB153=0,0,HLOOKUP(CB$14,Villagers!$B$1:$V$33,CB153+3,FALSE)),)</f>
        <v>0</v>
      </c>
      <c r="CX153" s="14">
        <f>ROUND(IF(CC153=0,0,HLOOKUP(CC$14,Villagers!$B$1:$V$33,CC153+3,FALSE)),)</f>
        <v>0</v>
      </c>
      <c r="CY153" s="14">
        <f>ROUND(IF(CD153=0,0,HLOOKUP(CD$14,Villagers!$B$1:$V$33,CD153+3,FALSE)),)</f>
        <v>0</v>
      </c>
      <c r="CZ153" s="14">
        <f>ROUND(IF(CE153=0,0,HLOOKUP(CE$14,Villagers!$B$1:$V$33,CE153+3,FALSE)),)</f>
        <v>5</v>
      </c>
      <c r="DA153" s="14">
        <f>ROUND(IF(CF153=0,0,HLOOKUP(CF$14,Villagers!$B$1:$V$33,CF153+3,FALSE)),)</f>
        <v>10</v>
      </c>
      <c r="DB153" s="14">
        <f>ROUND(IF(CG153=0,0,HLOOKUP(CG$14,Villagers!$B$1:$V$33,CG153+3,FALSE)),)</f>
        <v>10</v>
      </c>
      <c r="DC153" s="14">
        <f>ROUND(IF(CH153=0,0,HLOOKUP(CH$14,Villagers!$B$1:$V$33,CH153+3,FALSE)),)</f>
        <v>0</v>
      </c>
      <c r="DD153" s="14">
        <f>ROUND(IF(CI153=0,0,HLOOKUP(CI$14,Villagers!$B$1:$V$33,CI153+3,FALSE)),)</f>
        <v>0</v>
      </c>
      <c r="DE153" s="14">
        <f>ROUND(IF(CJ153=0,0,HLOOKUP(CJ$14,Villagers!$B$1:$V$33,CJ153+3,FALSE)),)</f>
        <v>2</v>
      </c>
      <c r="DF153" s="370">
        <f>ROUND(IF(CK153=0,0,HLOOKUP(CK$14,Villagers!$B$1:$V$33,CK153+3,FALSE)),)</f>
        <v>0</v>
      </c>
      <c r="DG153" s="370">
        <f>ROUND(IF(CL153=0,0,HLOOKUP(CL$14,Villagers!$B$1:$V$33,CL153+3,FALSE)),)</f>
        <v>0</v>
      </c>
      <c r="DH153" s="34">
        <f>ROUND(IF(CM153=0,0,HLOOKUP(CM$14,Villagers!$B$1:$V$33,CM153+3,FALSE)),)</f>
        <v>0</v>
      </c>
      <c r="DI153" s="109">
        <f t="shared" si="373"/>
        <v>0</v>
      </c>
      <c r="DJ153" s="50">
        <f t="shared" si="374"/>
        <v>0</v>
      </c>
      <c r="DK153" s="50">
        <f t="shared" si="375"/>
        <v>0</v>
      </c>
      <c r="DL153" s="50">
        <f t="shared" si="376"/>
        <v>0</v>
      </c>
      <c r="DM153" s="50">
        <f t="shared" si="377"/>
        <v>0</v>
      </c>
      <c r="DN153" s="50">
        <f t="shared" si="378"/>
        <v>0</v>
      </c>
      <c r="DO153" s="50">
        <f t="shared" si="379"/>
        <v>0</v>
      </c>
      <c r="DP153" s="50">
        <f t="shared" si="380"/>
        <v>0</v>
      </c>
      <c r="DQ153" s="50">
        <f t="shared" si="357"/>
        <v>0</v>
      </c>
      <c r="DR153" s="50">
        <f t="shared" si="358"/>
        <v>0</v>
      </c>
      <c r="DS153" s="96">
        <f>Miscelaneous!$D$4*Miscelaneous!$D$2^($CI153-1)</f>
        <v>1000</v>
      </c>
      <c r="DT153" s="333">
        <f t="shared" si="337"/>
        <v>1</v>
      </c>
      <c r="DU153" s="81">
        <v>1</v>
      </c>
      <c r="DV153" s="79">
        <f t="shared" si="359"/>
        <v>0</v>
      </c>
      <c r="DW153" s="79">
        <f t="shared" si="360"/>
        <v>0</v>
      </c>
      <c r="DX153" s="79">
        <f t="shared" si="361"/>
        <v>0</v>
      </c>
      <c r="DY153" s="79">
        <v>1</v>
      </c>
      <c r="DZ153" s="79">
        <f t="shared" si="362"/>
        <v>0</v>
      </c>
      <c r="EA153" s="79">
        <f t="shared" si="363"/>
        <v>0</v>
      </c>
      <c r="EB153" s="79">
        <f t="shared" si="364"/>
        <v>0</v>
      </c>
      <c r="EC153" s="79">
        <f t="shared" si="365"/>
        <v>0</v>
      </c>
      <c r="ED153" s="79">
        <v>1</v>
      </c>
      <c r="EE153" s="79">
        <v>1</v>
      </c>
      <c r="EF153" s="79">
        <f t="shared" si="366"/>
        <v>0</v>
      </c>
      <c r="EG153" s="79">
        <v>1</v>
      </c>
      <c r="EH153" s="79">
        <v>1</v>
      </c>
      <c r="EI153" s="79">
        <v>1</v>
      </c>
      <c r="EJ153" s="79">
        <v>1</v>
      </c>
      <c r="EK153" s="79">
        <v>1</v>
      </c>
      <c r="EL153" s="79">
        <v>1</v>
      </c>
      <c r="EM153" s="143">
        <f t="shared" si="367"/>
        <v>0</v>
      </c>
      <c r="EN153" s="143">
        <f t="shared" si="368"/>
        <v>0</v>
      </c>
      <c r="EO153" s="82">
        <f t="shared" si="369"/>
        <v>0</v>
      </c>
    </row>
    <row r="154" spans="1:145" x14ac:dyDescent="0.25">
      <c r="A154">
        <v>140</v>
      </c>
      <c r="B154" s="172" t="e">
        <f t="shared" si="338"/>
        <v>#N/A</v>
      </c>
      <c r="C154" s="121" t="e">
        <f t="shared" ref="C154:E154" si="395">AJ154-SUM(AB154:AB158)</f>
        <v>#N/A</v>
      </c>
      <c r="D154" s="122" t="e">
        <f t="shared" si="395"/>
        <v>#N/A</v>
      </c>
      <c r="E154" s="122" t="e">
        <f t="shared" si="395"/>
        <v>#N/A</v>
      </c>
      <c r="F154" s="176" t="e">
        <f t="shared" si="320"/>
        <v>#N/A</v>
      </c>
      <c r="G154" s="121">
        <f t="shared" si="340"/>
        <v>208</v>
      </c>
      <c r="H154" s="176" t="e">
        <f t="shared" si="341"/>
        <v>#N/A</v>
      </c>
      <c r="I154" s="48">
        <v>1</v>
      </c>
      <c r="J154" s="39"/>
      <c r="K154" s="350">
        <v>1</v>
      </c>
      <c r="L154" s="34" t="e">
        <f t="shared" si="321"/>
        <v>#N/A</v>
      </c>
      <c r="M154" s="38" t="e">
        <f>(HLOOKUP(J154,'Construction Times'!$B$3:$W$34,L154+2,FALSE)*HLOOKUP("hq modifier",'Construction Times'!$W$3:$W$34,BS154+2,FALSE))*(1-$H$9)</f>
        <v>#N/A</v>
      </c>
      <c r="N154" s="426" t="e">
        <f t="shared" si="342"/>
        <v>#N/A</v>
      </c>
      <c r="O154" s="427"/>
      <c r="P154" s="430" t="e">
        <f t="shared" si="343"/>
        <v>#N/A</v>
      </c>
      <c r="Q154" s="431"/>
      <c r="R154" s="103">
        <f t="shared" si="371"/>
        <v>0</v>
      </c>
      <c r="S154" s="104">
        <f t="shared" si="371"/>
        <v>0</v>
      </c>
      <c r="T154" s="104">
        <f t="shared" si="372"/>
        <v>0</v>
      </c>
      <c r="U154" s="104">
        <f t="shared" si="372"/>
        <v>0</v>
      </c>
      <c r="V154" s="104">
        <f t="shared" si="372"/>
        <v>9.9999999999999995E-8</v>
      </c>
      <c r="W154" s="104">
        <f t="shared" si="372"/>
        <v>0</v>
      </c>
      <c r="X154" s="104">
        <f t="shared" si="278"/>
        <v>0</v>
      </c>
      <c r="Y154" s="104">
        <f t="shared" si="278"/>
        <v>9.9999999999999995E-8</v>
      </c>
      <c r="Z154" s="104">
        <f t="shared" si="278"/>
        <v>9.9999999999999995E-8</v>
      </c>
      <c r="AA154" s="105">
        <f t="shared" si="278"/>
        <v>9.9999999999999995E-8</v>
      </c>
      <c r="AB154" s="101" t="e">
        <f>$DT154*HLOOKUP($J154,'Construction Costs (timber)'!$B$1:$V$32,'Construction Planner'!$L154+2,FALSE)</f>
        <v>#N/A</v>
      </c>
      <c r="AC154" s="14" t="e">
        <f>$DT154*HLOOKUP($J154,'Construction Costs (clay)'!$B$1:$V$32,'Construction Planner'!$L154+2,FALSE)</f>
        <v>#N/A</v>
      </c>
      <c r="AD154" s="14" t="e">
        <f>$DT154*HLOOKUP($J154,'Construction Costs (iron)'!$B$1:$V$32,'Construction Planner'!$L154+2,FALSE)</f>
        <v>#N/A</v>
      </c>
      <c r="AE154" s="34" t="e">
        <f t="shared" si="384"/>
        <v>#N/A</v>
      </c>
      <c r="AF154" s="33" t="e">
        <f t="shared" si="322"/>
        <v>#N/A</v>
      </c>
      <c r="AG154" s="14" t="e">
        <f t="shared" si="323"/>
        <v>#N/A</v>
      </c>
      <c r="AH154" s="14" t="e">
        <f t="shared" si="324"/>
        <v>#N/A</v>
      </c>
      <c r="AI154" s="34" t="e">
        <f t="shared" si="385"/>
        <v>#N/A</v>
      </c>
      <c r="AJ154" s="49" t="e">
        <f t="shared" si="345"/>
        <v>#N/A</v>
      </c>
      <c r="AK154" s="49" t="e">
        <f t="shared" si="346"/>
        <v>#N/A</v>
      </c>
      <c r="AL154" s="49" t="e">
        <f t="shared" si="347"/>
        <v>#N/A</v>
      </c>
      <c r="AM154" s="25">
        <f t="shared" si="325"/>
        <v>30</v>
      </c>
      <c r="AN154" s="25">
        <f t="shared" si="326"/>
        <v>30</v>
      </c>
      <c r="AO154" s="25">
        <f t="shared" si="327"/>
        <v>30</v>
      </c>
      <c r="AP154" s="52" t="e">
        <f t="shared" si="348"/>
        <v>#N/A</v>
      </c>
      <c r="AQ154" s="53" t="e">
        <f t="shared" si="348"/>
        <v>#N/A</v>
      </c>
      <c r="AR154" s="54" t="e">
        <f t="shared" si="348"/>
        <v>#N/A</v>
      </c>
      <c r="AS154" s="316">
        <f t="shared" si="386"/>
        <v>0</v>
      </c>
      <c r="AT154" s="106">
        <f>_xlfn.IFNA($M154/VLOOKUP($BT154,'Unit information'!$A$2:$K$29,2,FALSE)*R154,0)*(1+$E$9)</f>
        <v>0</v>
      </c>
      <c r="AU154" s="107">
        <f>_xlfn.IFNA($M154/VLOOKUP($BT154,'Unit information'!$A$2:$K$29,3,FALSE)*S154,0)*(1+$E$9)</f>
        <v>0</v>
      </c>
      <c r="AV154" s="107">
        <f>_xlfn.IFNA($M154/VLOOKUP($BT154,'Unit information'!$A$2:$K$29,4,FALSE)*T154,0)*(1+$E$9)</f>
        <v>0</v>
      </c>
      <c r="AW154" s="107">
        <f>_xlfn.IFNA($M154/VLOOKUP($BT154,'Unit information'!$A$2:$K$29,5,FALSE)*U154,0)*(1+$E$9)</f>
        <v>0</v>
      </c>
      <c r="AX154" s="107">
        <f>_xlfn.IFNA($M154/VLOOKUP($BU154,'Unit information'!$A$2:$K$29,6,FALSE)*V154,0)*(1+$E$9)</f>
        <v>0</v>
      </c>
      <c r="AY154" s="107">
        <f>_xlfn.IFNA($M154/VLOOKUP($BU154,'Unit information'!$A$2:$K$29,7,FALSE)*W154,0)*(1+$E$9)</f>
        <v>0</v>
      </c>
      <c r="AZ154" s="107">
        <f>_xlfn.IFNA($M154/VLOOKUP($BU154,'Unit information'!$A$2:$K$29,8,FALSE)*X154,0)*(1+$E$9)</f>
        <v>0</v>
      </c>
      <c r="BA154" s="107">
        <f>_xlfn.IFNA($M154/VLOOKUP($BU154,'Unit information'!$A$2:$K$29,9,FALSE)*Y154,0)*(1+$E$9)</f>
        <v>0</v>
      </c>
      <c r="BB154" s="107">
        <f>_xlfn.IFNA($M154/VLOOKUP($BV154,'Unit information'!$A$2:$K$29,10,FALSE)*Z154,0)*(1+$E$9)</f>
        <v>0</v>
      </c>
      <c r="BC154" s="108">
        <f>_xlfn.IFNA($M154/VLOOKUP($BV154,'Unit information'!$A$2:$K$29,11,FALSE)*AA154,0)*(1+$E$9)</f>
        <v>0</v>
      </c>
      <c r="BD154" s="106">
        <f t="shared" si="328"/>
        <v>0</v>
      </c>
      <c r="BE154" s="107">
        <f t="shared" si="329"/>
        <v>0</v>
      </c>
      <c r="BF154" s="108">
        <f t="shared" si="330"/>
        <v>0</v>
      </c>
      <c r="BG154" s="25" t="e">
        <f t="shared" si="331"/>
        <v>#N/A</v>
      </c>
      <c r="BH154" s="25" t="e">
        <f t="shared" si="332"/>
        <v>#N/A</v>
      </c>
      <c r="BI154" s="25" t="e">
        <f t="shared" si="333"/>
        <v>#N/A</v>
      </c>
      <c r="BJ154" s="27" t="e">
        <f t="shared" si="334"/>
        <v>#N/A</v>
      </c>
      <c r="BK154" s="18" t="e">
        <f t="shared" si="335"/>
        <v>#N/A</v>
      </c>
      <c r="BL154" s="18" t="e">
        <f t="shared" si="336"/>
        <v>#N/A</v>
      </c>
      <c r="BM154" s="28" t="e">
        <f t="shared" si="387"/>
        <v>#N/A</v>
      </c>
      <c r="BN154" s="33">
        <f>HLOOKUP("maximum population",Miscelaneous!$C$1:$C$33,CH154+3,FALSE)</f>
        <v>240</v>
      </c>
      <c r="BO154" s="14">
        <f t="shared" si="349"/>
        <v>32</v>
      </c>
      <c r="BP154" s="14">
        <f t="shared" si="350"/>
        <v>0</v>
      </c>
      <c r="BQ154" s="14">
        <f t="shared" si="351"/>
        <v>208</v>
      </c>
      <c r="BR154" s="34" t="e">
        <f>HLOOKUP(J154,Villagers!$B$1:$V$33,L154+3,FALSE)-HLOOKUP(J154,Villagers!$B$1:$V$33,L154+2,FALSE)</f>
        <v>#N/A</v>
      </c>
      <c r="BS154" s="49">
        <f t="shared" si="352"/>
        <v>1</v>
      </c>
      <c r="BT154" s="50">
        <f t="shared" si="353"/>
        <v>0</v>
      </c>
      <c r="BU154" s="50">
        <f t="shared" si="354"/>
        <v>0</v>
      </c>
      <c r="BV154" s="50">
        <f t="shared" si="355"/>
        <v>0</v>
      </c>
      <c r="BW154" s="50">
        <f t="shared" si="391"/>
        <v>0</v>
      </c>
      <c r="BX154" s="50">
        <f t="shared" si="392"/>
        <v>0</v>
      </c>
      <c r="BY154" s="50">
        <f t="shared" si="392"/>
        <v>0</v>
      </c>
      <c r="BZ154" s="50">
        <f t="shared" si="245"/>
        <v>0</v>
      </c>
      <c r="CA154" s="50">
        <f t="shared" si="246"/>
        <v>0</v>
      </c>
      <c r="CB154" s="50">
        <f t="shared" si="247"/>
        <v>1</v>
      </c>
      <c r="CC154" s="50">
        <f t="shared" si="248"/>
        <v>0</v>
      </c>
      <c r="CD154" s="50">
        <f t="shared" si="249"/>
        <v>0</v>
      </c>
      <c r="CE154" s="50">
        <f t="shared" si="250"/>
        <v>1</v>
      </c>
      <c r="CF154" s="50">
        <f t="shared" si="251"/>
        <v>1</v>
      </c>
      <c r="CG154" s="50">
        <f t="shared" si="252"/>
        <v>1</v>
      </c>
      <c r="CH154" s="50">
        <f t="shared" si="253"/>
        <v>1</v>
      </c>
      <c r="CI154" s="50">
        <f t="shared" si="254"/>
        <v>1</v>
      </c>
      <c r="CJ154" s="50">
        <f t="shared" si="255"/>
        <v>1</v>
      </c>
      <c r="CK154" s="50">
        <f t="shared" si="255"/>
        <v>0</v>
      </c>
      <c r="CL154" s="50">
        <f t="shared" si="255"/>
        <v>0</v>
      </c>
      <c r="CM154" s="51">
        <f t="shared" si="256"/>
        <v>0</v>
      </c>
      <c r="CN154" s="33">
        <f>ROUND(IF(BS154=0,0,HLOOKUP(BS$14,Villagers!$B$1:$V$33,BS154+3,FALSE)),)</f>
        <v>5</v>
      </c>
      <c r="CO154" s="14">
        <f>ROUND(IF(BT154=0,0,HLOOKUP(BT$14,Villagers!$B$1:$V$33,BT154+3,FALSE)),)</f>
        <v>0</v>
      </c>
      <c r="CP154" s="14">
        <f>ROUND(IF(BU154=0,0,HLOOKUP(BU$14,Villagers!$B$1:$V$33,BU154+3,FALSE)),)</f>
        <v>0</v>
      </c>
      <c r="CQ154" s="14">
        <f>ROUND(IF(BV154=0,0,HLOOKUP(BV$14,Villagers!$B$1:$V$33,BV154+3,FALSE)),)</f>
        <v>0</v>
      </c>
      <c r="CR154" s="14">
        <f>ROUND(IF(BW154=0,0,HLOOKUP(BW$14,Villagers!$B$1:$V$33,BW154+3,FALSE)),)</f>
        <v>0</v>
      </c>
      <c r="CS154" s="14">
        <f>ROUND(IF(BX154=0,0,HLOOKUP(BX$14,Villagers!$B$1:$V$33,BX154+3,FALSE)),)</f>
        <v>0</v>
      </c>
      <c r="CT154" s="14">
        <f>ROUND(IF(BY154=0,0,HLOOKUP(BY$14,Villagers!$B$1:$V$33,BY154+3,FALSE)),)</f>
        <v>0</v>
      </c>
      <c r="CU154" s="14">
        <f>ROUND(IF(BZ154=0,0,HLOOKUP(BZ$14,Villagers!$B$1:$V$33,BZ154+3,FALSE)),)</f>
        <v>0</v>
      </c>
      <c r="CV154" s="14">
        <f>ROUND(IF(CA154=0,0,HLOOKUP(CA$14,Villagers!$B$1:$V$33,CA154+3,FALSE)),)</f>
        <v>0</v>
      </c>
      <c r="CW154" s="14">
        <f>ROUND(IF(CB154=0,0,HLOOKUP(CB$14,Villagers!$B$1:$V$33,CB154+3,FALSE)),)</f>
        <v>0</v>
      </c>
      <c r="CX154" s="14">
        <f>ROUND(IF(CC154=0,0,HLOOKUP(CC$14,Villagers!$B$1:$V$33,CC154+3,FALSE)),)</f>
        <v>0</v>
      </c>
      <c r="CY154" s="14">
        <f>ROUND(IF(CD154=0,0,HLOOKUP(CD$14,Villagers!$B$1:$V$33,CD154+3,FALSE)),)</f>
        <v>0</v>
      </c>
      <c r="CZ154" s="14">
        <f>ROUND(IF(CE154=0,0,HLOOKUP(CE$14,Villagers!$B$1:$V$33,CE154+3,FALSE)),)</f>
        <v>5</v>
      </c>
      <c r="DA154" s="14">
        <f>ROUND(IF(CF154=0,0,HLOOKUP(CF$14,Villagers!$B$1:$V$33,CF154+3,FALSE)),)</f>
        <v>10</v>
      </c>
      <c r="DB154" s="14">
        <f>ROUND(IF(CG154=0,0,HLOOKUP(CG$14,Villagers!$B$1:$V$33,CG154+3,FALSE)),)</f>
        <v>10</v>
      </c>
      <c r="DC154" s="14">
        <f>ROUND(IF(CH154=0,0,HLOOKUP(CH$14,Villagers!$B$1:$V$33,CH154+3,FALSE)),)</f>
        <v>0</v>
      </c>
      <c r="DD154" s="14">
        <f>ROUND(IF(CI154=0,0,HLOOKUP(CI$14,Villagers!$B$1:$V$33,CI154+3,FALSE)),)</f>
        <v>0</v>
      </c>
      <c r="DE154" s="14">
        <f>ROUND(IF(CJ154=0,0,HLOOKUP(CJ$14,Villagers!$B$1:$V$33,CJ154+3,FALSE)),)</f>
        <v>2</v>
      </c>
      <c r="DF154" s="370">
        <f>ROUND(IF(CK154=0,0,HLOOKUP(CK$14,Villagers!$B$1:$V$33,CK154+3,FALSE)),)</f>
        <v>0</v>
      </c>
      <c r="DG154" s="370">
        <f>ROUND(IF(CL154=0,0,HLOOKUP(CL$14,Villagers!$B$1:$V$33,CL154+3,FALSE)),)</f>
        <v>0</v>
      </c>
      <c r="DH154" s="34">
        <f>ROUND(IF(CM154=0,0,HLOOKUP(CM$14,Villagers!$B$1:$V$33,CM154+3,FALSE)),)</f>
        <v>0</v>
      </c>
      <c r="DI154" s="109">
        <f t="shared" si="373"/>
        <v>0</v>
      </c>
      <c r="DJ154" s="50">
        <f t="shared" si="374"/>
        <v>0</v>
      </c>
      <c r="DK154" s="50">
        <f t="shared" si="375"/>
        <v>0</v>
      </c>
      <c r="DL154" s="50">
        <f t="shared" si="376"/>
        <v>0</v>
      </c>
      <c r="DM154" s="50">
        <f t="shared" si="377"/>
        <v>0</v>
      </c>
      <c r="DN154" s="50">
        <f t="shared" si="378"/>
        <v>0</v>
      </c>
      <c r="DO154" s="50">
        <f t="shared" si="379"/>
        <v>0</v>
      </c>
      <c r="DP154" s="50">
        <f t="shared" si="380"/>
        <v>0</v>
      </c>
      <c r="DQ154" s="50">
        <f t="shared" si="357"/>
        <v>0</v>
      </c>
      <c r="DR154" s="50">
        <f t="shared" si="358"/>
        <v>0</v>
      </c>
      <c r="DS154" s="96">
        <f>Miscelaneous!$D$4*Miscelaneous!$D$2^($CI154-1)</f>
        <v>1000</v>
      </c>
      <c r="DT154" s="333">
        <f t="shared" si="337"/>
        <v>1</v>
      </c>
      <c r="DU154" s="81">
        <v>1</v>
      </c>
      <c r="DV154" s="79">
        <f t="shared" si="359"/>
        <v>0</v>
      </c>
      <c r="DW154" s="79">
        <f t="shared" si="360"/>
        <v>0</v>
      </c>
      <c r="DX154" s="79">
        <f t="shared" si="361"/>
        <v>0</v>
      </c>
      <c r="DY154" s="79">
        <v>1</v>
      </c>
      <c r="DZ154" s="79">
        <f t="shared" si="362"/>
        <v>0</v>
      </c>
      <c r="EA154" s="79">
        <f t="shared" si="363"/>
        <v>0</v>
      </c>
      <c r="EB154" s="79">
        <f t="shared" si="364"/>
        <v>0</v>
      </c>
      <c r="EC154" s="79">
        <f t="shared" si="365"/>
        <v>0</v>
      </c>
      <c r="ED154" s="79">
        <v>1</v>
      </c>
      <c r="EE154" s="79">
        <v>1</v>
      </c>
      <c r="EF154" s="79">
        <f t="shared" si="366"/>
        <v>0</v>
      </c>
      <c r="EG154" s="79">
        <v>1</v>
      </c>
      <c r="EH154" s="79">
        <v>1</v>
      </c>
      <c r="EI154" s="79">
        <v>1</v>
      </c>
      <c r="EJ154" s="79">
        <v>1</v>
      </c>
      <c r="EK154" s="79">
        <v>1</v>
      </c>
      <c r="EL154" s="79">
        <v>1</v>
      </c>
      <c r="EM154" s="143">
        <f t="shared" si="367"/>
        <v>0</v>
      </c>
      <c r="EN154" s="143">
        <f t="shared" si="368"/>
        <v>0</v>
      </c>
      <c r="EO154" s="82">
        <f t="shared" si="369"/>
        <v>0</v>
      </c>
    </row>
    <row r="155" spans="1:145" x14ac:dyDescent="0.25">
      <c r="A155">
        <v>141</v>
      </c>
      <c r="B155" s="172" t="e">
        <f t="shared" si="338"/>
        <v>#N/A</v>
      </c>
      <c r="C155" s="121" t="e">
        <f t="shared" ref="C155:E155" si="396">AJ155-SUM(AB155:AB159)</f>
        <v>#N/A</v>
      </c>
      <c r="D155" s="122" t="e">
        <f t="shared" si="396"/>
        <v>#N/A</v>
      </c>
      <c r="E155" s="122" t="e">
        <f t="shared" si="396"/>
        <v>#N/A</v>
      </c>
      <c r="F155" s="176" t="e">
        <f t="shared" si="320"/>
        <v>#N/A</v>
      </c>
      <c r="G155" s="121">
        <f t="shared" si="340"/>
        <v>208</v>
      </c>
      <c r="H155" s="176" t="e">
        <f t="shared" si="341"/>
        <v>#N/A</v>
      </c>
      <c r="I155" s="48">
        <v>1</v>
      </c>
      <c r="J155" s="39"/>
      <c r="K155" s="350">
        <v>1</v>
      </c>
      <c r="L155" s="34" t="e">
        <f t="shared" si="321"/>
        <v>#N/A</v>
      </c>
      <c r="M155" s="38" t="e">
        <f>(HLOOKUP(J155,'Construction Times'!$B$3:$W$34,L155+2,FALSE)*HLOOKUP("hq modifier",'Construction Times'!$W$3:$W$34,BS155+2,FALSE))*(1-$H$9)</f>
        <v>#N/A</v>
      </c>
      <c r="N155" s="426" t="e">
        <f t="shared" si="342"/>
        <v>#N/A</v>
      </c>
      <c r="O155" s="427"/>
      <c r="P155" s="430" t="e">
        <f t="shared" si="343"/>
        <v>#N/A</v>
      </c>
      <c r="Q155" s="431"/>
      <c r="R155" s="103">
        <f t="shared" si="371"/>
        <v>0</v>
      </c>
      <c r="S155" s="104">
        <f t="shared" si="371"/>
        <v>0</v>
      </c>
      <c r="T155" s="104">
        <f t="shared" si="372"/>
        <v>0</v>
      </c>
      <c r="U155" s="104">
        <f t="shared" si="372"/>
        <v>0</v>
      </c>
      <c r="V155" s="104">
        <f t="shared" si="372"/>
        <v>9.9999999999999995E-8</v>
      </c>
      <c r="W155" s="104">
        <f t="shared" si="372"/>
        <v>0</v>
      </c>
      <c r="X155" s="104">
        <f t="shared" si="278"/>
        <v>0</v>
      </c>
      <c r="Y155" s="104">
        <f t="shared" si="278"/>
        <v>9.9999999999999995E-8</v>
      </c>
      <c r="Z155" s="104">
        <f t="shared" si="278"/>
        <v>9.9999999999999995E-8</v>
      </c>
      <c r="AA155" s="105">
        <f t="shared" si="278"/>
        <v>9.9999999999999995E-8</v>
      </c>
      <c r="AB155" s="101" t="e">
        <f>$DT155*HLOOKUP($J155,'Construction Costs (timber)'!$B$1:$V$32,'Construction Planner'!$L155+2,FALSE)</f>
        <v>#N/A</v>
      </c>
      <c r="AC155" s="14" t="e">
        <f>$DT155*HLOOKUP($J155,'Construction Costs (clay)'!$B$1:$V$32,'Construction Planner'!$L155+2,FALSE)</f>
        <v>#N/A</v>
      </c>
      <c r="AD155" s="14" t="e">
        <f>$DT155*HLOOKUP($J155,'Construction Costs (iron)'!$B$1:$V$32,'Construction Planner'!$L155+2,FALSE)</f>
        <v>#N/A</v>
      </c>
      <c r="AE155" s="34" t="e">
        <f t="shared" si="384"/>
        <v>#N/A</v>
      </c>
      <c r="AF155" s="33" t="e">
        <f t="shared" si="322"/>
        <v>#N/A</v>
      </c>
      <c r="AG155" s="14" t="e">
        <f t="shared" si="323"/>
        <v>#N/A</v>
      </c>
      <c r="AH155" s="14" t="e">
        <f t="shared" si="324"/>
        <v>#N/A</v>
      </c>
      <c r="AI155" s="34" t="e">
        <f t="shared" si="385"/>
        <v>#N/A</v>
      </c>
      <c r="AJ155" s="49" t="e">
        <f t="shared" si="345"/>
        <v>#N/A</v>
      </c>
      <c r="AK155" s="49" t="e">
        <f t="shared" si="346"/>
        <v>#N/A</v>
      </c>
      <c r="AL155" s="49" t="e">
        <f t="shared" si="347"/>
        <v>#N/A</v>
      </c>
      <c r="AM155" s="25">
        <f t="shared" si="325"/>
        <v>30</v>
      </c>
      <c r="AN155" s="25">
        <f t="shared" si="326"/>
        <v>30</v>
      </c>
      <c r="AO155" s="25">
        <f t="shared" si="327"/>
        <v>30</v>
      </c>
      <c r="AP155" s="52" t="e">
        <f t="shared" si="348"/>
        <v>#N/A</v>
      </c>
      <c r="AQ155" s="53" t="e">
        <f t="shared" si="348"/>
        <v>#N/A</v>
      </c>
      <c r="AR155" s="54" t="e">
        <f t="shared" si="348"/>
        <v>#N/A</v>
      </c>
      <c r="AS155" s="316">
        <f t="shared" si="386"/>
        <v>0</v>
      </c>
      <c r="AT155" s="106">
        <f>_xlfn.IFNA($M155/VLOOKUP($BT155,'Unit information'!$A$2:$K$29,2,FALSE)*R155,0)*(1+$E$9)</f>
        <v>0</v>
      </c>
      <c r="AU155" s="107">
        <f>_xlfn.IFNA($M155/VLOOKUP($BT155,'Unit information'!$A$2:$K$29,3,FALSE)*S155,0)*(1+$E$9)</f>
        <v>0</v>
      </c>
      <c r="AV155" s="107">
        <f>_xlfn.IFNA($M155/VLOOKUP($BT155,'Unit information'!$A$2:$K$29,4,FALSE)*T155,0)*(1+$E$9)</f>
        <v>0</v>
      </c>
      <c r="AW155" s="107">
        <f>_xlfn.IFNA($M155/VLOOKUP($BT155,'Unit information'!$A$2:$K$29,5,FALSE)*U155,0)*(1+$E$9)</f>
        <v>0</v>
      </c>
      <c r="AX155" s="107">
        <f>_xlfn.IFNA($M155/VLOOKUP($BU155,'Unit information'!$A$2:$K$29,6,FALSE)*V155,0)*(1+$E$9)</f>
        <v>0</v>
      </c>
      <c r="AY155" s="107">
        <f>_xlfn.IFNA($M155/VLOOKUP($BU155,'Unit information'!$A$2:$K$29,7,FALSE)*W155,0)*(1+$E$9)</f>
        <v>0</v>
      </c>
      <c r="AZ155" s="107">
        <f>_xlfn.IFNA($M155/VLOOKUP($BU155,'Unit information'!$A$2:$K$29,8,FALSE)*X155,0)*(1+$E$9)</f>
        <v>0</v>
      </c>
      <c r="BA155" s="107">
        <f>_xlfn.IFNA($M155/VLOOKUP($BU155,'Unit information'!$A$2:$K$29,9,FALSE)*Y155,0)*(1+$E$9)</f>
        <v>0</v>
      </c>
      <c r="BB155" s="107">
        <f>_xlfn.IFNA($M155/VLOOKUP($BV155,'Unit information'!$A$2:$K$29,10,FALSE)*Z155,0)*(1+$E$9)</f>
        <v>0</v>
      </c>
      <c r="BC155" s="108">
        <f>_xlfn.IFNA($M155/VLOOKUP($BV155,'Unit information'!$A$2:$K$29,11,FALSE)*AA155,0)*(1+$E$9)</f>
        <v>0</v>
      </c>
      <c r="BD155" s="106">
        <f t="shared" si="328"/>
        <v>0</v>
      </c>
      <c r="BE155" s="107">
        <f t="shared" si="329"/>
        <v>0</v>
      </c>
      <c r="BF155" s="108">
        <f t="shared" si="330"/>
        <v>0</v>
      </c>
      <c r="BG155" s="25" t="e">
        <f t="shared" si="331"/>
        <v>#N/A</v>
      </c>
      <c r="BH155" s="25" t="e">
        <f t="shared" si="332"/>
        <v>#N/A</v>
      </c>
      <c r="BI155" s="25" t="e">
        <f t="shared" si="333"/>
        <v>#N/A</v>
      </c>
      <c r="BJ155" s="27" t="e">
        <f t="shared" si="334"/>
        <v>#N/A</v>
      </c>
      <c r="BK155" s="18" t="e">
        <f t="shared" si="335"/>
        <v>#N/A</v>
      </c>
      <c r="BL155" s="18" t="e">
        <f t="shared" si="336"/>
        <v>#N/A</v>
      </c>
      <c r="BM155" s="28" t="e">
        <f t="shared" si="387"/>
        <v>#N/A</v>
      </c>
      <c r="BN155" s="33">
        <f>HLOOKUP("maximum population",Miscelaneous!$C$1:$C$33,CH155+3,FALSE)</f>
        <v>240</v>
      </c>
      <c r="BO155" s="14">
        <f t="shared" si="349"/>
        <v>32</v>
      </c>
      <c r="BP155" s="14">
        <f t="shared" si="350"/>
        <v>0</v>
      </c>
      <c r="BQ155" s="14">
        <f t="shared" si="351"/>
        <v>208</v>
      </c>
      <c r="BR155" s="34" t="e">
        <f>HLOOKUP(J155,Villagers!$B$1:$V$33,L155+3,FALSE)-HLOOKUP(J155,Villagers!$B$1:$V$33,L155+2,FALSE)</f>
        <v>#N/A</v>
      </c>
      <c r="BS155" s="49">
        <f t="shared" si="352"/>
        <v>1</v>
      </c>
      <c r="BT155" s="50">
        <f t="shared" si="353"/>
        <v>0</v>
      </c>
      <c r="BU155" s="50">
        <f t="shared" si="354"/>
        <v>0</v>
      </c>
      <c r="BV155" s="50">
        <f t="shared" si="355"/>
        <v>0</v>
      </c>
      <c r="BW155" s="50">
        <f t="shared" si="391"/>
        <v>0</v>
      </c>
      <c r="BX155" s="50">
        <f t="shared" si="392"/>
        <v>0</v>
      </c>
      <c r="BY155" s="50">
        <f t="shared" si="392"/>
        <v>0</v>
      </c>
      <c r="BZ155" s="50">
        <f t="shared" si="245"/>
        <v>0</v>
      </c>
      <c r="CA155" s="50">
        <f t="shared" si="246"/>
        <v>0</v>
      </c>
      <c r="CB155" s="50">
        <f t="shared" si="247"/>
        <v>1</v>
      </c>
      <c r="CC155" s="50">
        <f t="shared" si="248"/>
        <v>0</v>
      </c>
      <c r="CD155" s="50">
        <f t="shared" si="249"/>
        <v>0</v>
      </c>
      <c r="CE155" s="50">
        <f t="shared" si="250"/>
        <v>1</v>
      </c>
      <c r="CF155" s="50">
        <f t="shared" si="251"/>
        <v>1</v>
      </c>
      <c r="CG155" s="50">
        <f t="shared" si="252"/>
        <v>1</v>
      </c>
      <c r="CH155" s="50">
        <f t="shared" si="253"/>
        <v>1</v>
      </c>
      <c r="CI155" s="50">
        <f t="shared" si="254"/>
        <v>1</v>
      </c>
      <c r="CJ155" s="50">
        <f t="shared" si="255"/>
        <v>1</v>
      </c>
      <c r="CK155" s="50">
        <f t="shared" si="255"/>
        <v>0</v>
      </c>
      <c r="CL155" s="50">
        <f t="shared" si="255"/>
        <v>0</v>
      </c>
      <c r="CM155" s="51">
        <f t="shared" si="256"/>
        <v>0</v>
      </c>
      <c r="CN155" s="33">
        <f>ROUND(IF(BS155=0,0,HLOOKUP(BS$14,Villagers!$B$1:$V$33,BS155+3,FALSE)),)</f>
        <v>5</v>
      </c>
      <c r="CO155" s="14">
        <f>ROUND(IF(BT155=0,0,HLOOKUP(BT$14,Villagers!$B$1:$V$33,BT155+3,FALSE)),)</f>
        <v>0</v>
      </c>
      <c r="CP155" s="14">
        <f>ROUND(IF(BU155=0,0,HLOOKUP(BU$14,Villagers!$B$1:$V$33,BU155+3,FALSE)),)</f>
        <v>0</v>
      </c>
      <c r="CQ155" s="14">
        <f>ROUND(IF(BV155=0,0,HLOOKUP(BV$14,Villagers!$B$1:$V$33,BV155+3,FALSE)),)</f>
        <v>0</v>
      </c>
      <c r="CR155" s="14">
        <f>ROUND(IF(BW155=0,0,HLOOKUP(BW$14,Villagers!$B$1:$V$33,BW155+3,FALSE)),)</f>
        <v>0</v>
      </c>
      <c r="CS155" s="14">
        <f>ROUND(IF(BX155=0,0,HLOOKUP(BX$14,Villagers!$B$1:$V$33,BX155+3,FALSE)),)</f>
        <v>0</v>
      </c>
      <c r="CT155" s="14">
        <f>ROUND(IF(BY155=0,0,HLOOKUP(BY$14,Villagers!$B$1:$V$33,BY155+3,FALSE)),)</f>
        <v>0</v>
      </c>
      <c r="CU155" s="14">
        <f>ROUND(IF(BZ155=0,0,HLOOKUP(BZ$14,Villagers!$B$1:$V$33,BZ155+3,FALSE)),)</f>
        <v>0</v>
      </c>
      <c r="CV155" s="14">
        <f>ROUND(IF(CA155=0,0,HLOOKUP(CA$14,Villagers!$B$1:$V$33,CA155+3,FALSE)),)</f>
        <v>0</v>
      </c>
      <c r="CW155" s="14">
        <f>ROUND(IF(CB155=0,0,HLOOKUP(CB$14,Villagers!$B$1:$V$33,CB155+3,FALSE)),)</f>
        <v>0</v>
      </c>
      <c r="CX155" s="14">
        <f>ROUND(IF(CC155=0,0,HLOOKUP(CC$14,Villagers!$B$1:$V$33,CC155+3,FALSE)),)</f>
        <v>0</v>
      </c>
      <c r="CY155" s="14">
        <f>ROUND(IF(CD155=0,0,HLOOKUP(CD$14,Villagers!$B$1:$V$33,CD155+3,FALSE)),)</f>
        <v>0</v>
      </c>
      <c r="CZ155" s="14">
        <f>ROUND(IF(CE155=0,0,HLOOKUP(CE$14,Villagers!$B$1:$V$33,CE155+3,FALSE)),)</f>
        <v>5</v>
      </c>
      <c r="DA155" s="14">
        <f>ROUND(IF(CF155=0,0,HLOOKUP(CF$14,Villagers!$B$1:$V$33,CF155+3,FALSE)),)</f>
        <v>10</v>
      </c>
      <c r="DB155" s="14">
        <f>ROUND(IF(CG155=0,0,HLOOKUP(CG$14,Villagers!$B$1:$V$33,CG155+3,FALSE)),)</f>
        <v>10</v>
      </c>
      <c r="DC155" s="14">
        <f>ROUND(IF(CH155=0,0,HLOOKUP(CH$14,Villagers!$B$1:$V$33,CH155+3,FALSE)),)</f>
        <v>0</v>
      </c>
      <c r="DD155" s="14">
        <f>ROUND(IF(CI155=0,0,HLOOKUP(CI$14,Villagers!$B$1:$V$33,CI155+3,FALSE)),)</f>
        <v>0</v>
      </c>
      <c r="DE155" s="14">
        <f>ROUND(IF(CJ155=0,0,HLOOKUP(CJ$14,Villagers!$B$1:$V$33,CJ155+3,FALSE)),)</f>
        <v>2</v>
      </c>
      <c r="DF155" s="370">
        <f>ROUND(IF(CK155=0,0,HLOOKUP(CK$14,Villagers!$B$1:$V$33,CK155+3,FALSE)),)</f>
        <v>0</v>
      </c>
      <c r="DG155" s="370">
        <f>ROUND(IF(CL155=0,0,HLOOKUP(CL$14,Villagers!$B$1:$V$33,CL155+3,FALSE)),)</f>
        <v>0</v>
      </c>
      <c r="DH155" s="34">
        <f>ROUND(IF(CM155=0,0,HLOOKUP(CM$14,Villagers!$B$1:$V$33,CM155+3,FALSE)),)</f>
        <v>0</v>
      </c>
      <c r="DI155" s="109">
        <f t="shared" si="373"/>
        <v>0</v>
      </c>
      <c r="DJ155" s="50">
        <f t="shared" si="374"/>
        <v>0</v>
      </c>
      <c r="DK155" s="50">
        <f t="shared" si="375"/>
        <v>0</v>
      </c>
      <c r="DL155" s="50">
        <f t="shared" si="376"/>
        <v>0</v>
      </c>
      <c r="DM155" s="50">
        <f t="shared" si="377"/>
        <v>0</v>
      </c>
      <c r="DN155" s="50">
        <f t="shared" si="378"/>
        <v>0</v>
      </c>
      <c r="DO155" s="50">
        <f t="shared" si="379"/>
        <v>0</v>
      </c>
      <c r="DP155" s="50">
        <f t="shared" si="380"/>
        <v>0</v>
      </c>
      <c r="DQ155" s="50">
        <f t="shared" si="357"/>
        <v>0</v>
      </c>
      <c r="DR155" s="50">
        <f t="shared" si="358"/>
        <v>0</v>
      </c>
      <c r="DS155" s="96">
        <f>Miscelaneous!$D$4*Miscelaneous!$D$2^($CI155-1)</f>
        <v>1000</v>
      </c>
      <c r="DT155" s="333">
        <f t="shared" si="337"/>
        <v>1</v>
      </c>
      <c r="DU155" s="81">
        <v>1</v>
      </c>
      <c r="DV155" s="79">
        <f t="shared" si="359"/>
        <v>0</v>
      </c>
      <c r="DW155" s="79">
        <f t="shared" si="360"/>
        <v>0</v>
      </c>
      <c r="DX155" s="79">
        <f t="shared" si="361"/>
        <v>0</v>
      </c>
      <c r="DY155" s="79">
        <v>1</v>
      </c>
      <c r="DZ155" s="79">
        <f t="shared" si="362"/>
        <v>0</v>
      </c>
      <c r="EA155" s="79">
        <f t="shared" si="363"/>
        <v>0</v>
      </c>
      <c r="EB155" s="79">
        <f t="shared" si="364"/>
        <v>0</v>
      </c>
      <c r="EC155" s="79">
        <f t="shared" si="365"/>
        <v>0</v>
      </c>
      <c r="ED155" s="79">
        <v>1</v>
      </c>
      <c r="EE155" s="79">
        <v>1</v>
      </c>
      <c r="EF155" s="79">
        <f t="shared" si="366"/>
        <v>0</v>
      </c>
      <c r="EG155" s="79">
        <v>1</v>
      </c>
      <c r="EH155" s="79">
        <v>1</v>
      </c>
      <c r="EI155" s="79">
        <v>1</v>
      </c>
      <c r="EJ155" s="79">
        <v>1</v>
      </c>
      <c r="EK155" s="79">
        <v>1</v>
      </c>
      <c r="EL155" s="79">
        <v>1</v>
      </c>
      <c r="EM155" s="143">
        <f t="shared" si="367"/>
        <v>0</v>
      </c>
      <c r="EN155" s="143">
        <f t="shared" si="368"/>
        <v>0</v>
      </c>
      <c r="EO155" s="82">
        <f t="shared" si="369"/>
        <v>0</v>
      </c>
    </row>
    <row r="156" spans="1:145" x14ac:dyDescent="0.25">
      <c r="A156">
        <v>142</v>
      </c>
      <c r="B156" s="172" t="e">
        <f t="shared" si="338"/>
        <v>#N/A</v>
      </c>
      <c r="C156" s="121" t="e">
        <f t="shared" ref="C156:E156" si="397">AJ156-SUM(AB156:AB160)</f>
        <v>#N/A</v>
      </c>
      <c r="D156" s="122" t="e">
        <f t="shared" si="397"/>
        <v>#N/A</v>
      </c>
      <c r="E156" s="122" t="e">
        <f t="shared" si="397"/>
        <v>#N/A</v>
      </c>
      <c r="F156" s="176" t="e">
        <f t="shared" si="320"/>
        <v>#N/A</v>
      </c>
      <c r="G156" s="121">
        <f t="shared" si="340"/>
        <v>208</v>
      </c>
      <c r="H156" s="176" t="e">
        <f t="shared" si="341"/>
        <v>#N/A</v>
      </c>
      <c r="I156" s="48">
        <v>1</v>
      </c>
      <c r="J156" s="39"/>
      <c r="K156" s="350">
        <v>1</v>
      </c>
      <c r="L156" s="34" t="e">
        <f t="shared" si="321"/>
        <v>#N/A</v>
      </c>
      <c r="M156" s="38" t="e">
        <f>(HLOOKUP(J156,'Construction Times'!$B$3:$W$34,L156+2,FALSE)*HLOOKUP("hq modifier",'Construction Times'!$W$3:$W$34,BS156+2,FALSE))*(1-$H$9)</f>
        <v>#N/A</v>
      </c>
      <c r="N156" s="426" t="e">
        <f t="shared" si="342"/>
        <v>#N/A</v>
      </c>
      <c r="O156" s="427"/>
      <c r="P156" s="430" t="e">
        <f t="shared" si="343"/>
        <v>#N/A</v>
      </c>
      <c r="Q156" s="431"/>
      <c r="R156" s="103">
        <f t="shared" si="371"/>
        <v>0</v>
      </c>
      <c r="S156" s="104">
        <f t="shared" si="371"/>
        <v>0</v>
      </c>
      <c r="T156" s="104">
        <f t="shared" si="372"/>
        <v>0</v>
      </c>
      <c r="U156" s="104">
        <f t="shared" si="372"/>
        <v>0</v>
      </c>
      <c r="V156" s="104">
        <f t="shared" si="372"/>
        <v>9.9999999999999995E-8</v>
      </c>
      <c r="W156" s="104">
        <f t="shared" si="372"/>
        <v>0</v>
      </c>
      <c r="X156" s="104">
        <f t="shared" si="278"/>
        <v>0</v>
      </c>
      <c r="Y156" s="104">
        <f t="shared" si="278"/>
        <v>9.9999999999999995E-8</v>
      </c>
      <c r="Z156" s="104">
        <f t="shared" si="278"/>
        <v>9.9999999999999995E-8</v>
      </c>
      <c r="AA156" s="105">
        <f t="shared" si="278"/>
        <v>9.9999999999999995E-8</v>
      </c>
      <c r="AB156" s="101" t="e">
        <f>$DT156*HLOOKUP($J156,'Construction Costs (timber)'!$B$1:$V$32,'Construction Planner'!$L156+2,FALSE)</f>
        <v>#N/A</v>
      </c>
      <c r="AC156" s="14" t="e">
        <f>$DT156*HLOOKUP($J156,'Construction Costs (clay)'!$B$1:$V$32,'Construction Planner'!$L156+2,FALSE)</f>
        <v>#N/A</v>
      </c>
      <c r="AD156" s="14" t="e">
        <f>$DT156*HLOOKUP($J156,'Construction Costs (iron)'!$B$1:$V$32,'Construction Planner'!$L156+2,FALSE)</f>
        <v>#N/A</v>
      </c>
      <c r="AE156" s="34" t="e">
        <f t="shared" si="384"/>
        <v>#N/A</v>
      </c>
      <c r="AF156" s="33" t="e">
        <f t="shared" si="322"/>
        <v>#N/A</v>
      </c>
      <c r="AG156" s="14" t="e">
        <f t="shared" si="323"/>
        <v>#N/A</v>
      </c>
      <c r="AH156" s="14" t="e">
        <f t="shared" si="324"/>
        <v>#N/A</v>
      </c>
      <c r="AI156" s="34" t="e">
        <f t="shared" si="385"/>
        <v>#N/A</v>
      </c>
      <c r="AJ156" s="49" t="e">
        <f t="shared" si="345"/>
        <v>#N/A</v>
      </c>
      <c r="AK156" s="49" t="e">
        <f t="shared" si="346"/>
        <v>#N/A</v>
      </c>
      <c r="AL156" s="49" t="e">
        <f t="shared" si="347"/>
        <v>#N/A</v>
      </c>
      <c r="AM156" s="25">
        <f t="shared" si="325"/>
        <v>30</v>
      </c>
      <c r="AN156" s="25">
        <f t="shared" si="326"/>
        <v>30</v>
      </c>
      <c r="AO156" s="25">
        <f t="shared" si="327"/>
        <v>30</v>
      </c>
      <c r="AP156" s="52" t="e">
        <f t="shared" si="348"/>
        <v>#N/A</v>
      </c>
      <c r="AQ156" s="53" t="e">
        <f t="shared" si="348"/>
        <v>#N/A</v>
      </c>
      <c r="AR156" s="54" t="e">
        <f t="shared" si="348"/>
        <v>#N/A</v>
      </c>
      <c r="AS156" s="316">
        <f t="shared" si="386"/>
        <v>0</v>
      </c>
      <c r="AT156" s="106">
        <f>_xlfn.IFNA($M156/VLOOKUP($BT156,'Unit information'!$A$2:$K$29,2,FALSE)*R156,0)*(1+$E$9)</f>
        <v>0</v>
      </c>
      <c r="AU156" s="107">
        <f>_xlfn.IFNA($M156/VLOOKUP($BT156,'Unit information'!$A$2:$K$29,3,FALSE)*S156,0)*(1+$E$9)</f>
        <v>0</v>
      </c>
      <c r="AV156" s="107">
        <f>_xlfn.IFNA($M156/VLOOKUP($BT156,'Unit information'!$A$2:$K$29,4,FALSE)*T156,0)*(1+$E$9)</f>
        <v>0</v>
      </c>
      <c r="AW156" s="107">
        <f>_xlfn.IFNA($M156/VLOOKUP($BT156,'Unit information'!$A$2:$K$29,5,FALSE)*U156,0)*(1+$E$9)</f>
        <v>0</v>
      </c>
      <c r="AX156" s="107">
        <f>_xlfn.IFNA($M156/VLOOKUP($BU156,'Unit information'!$A$2:$K$29,6,FALSE)*V156,0)*(1+$E$9)</f>
        <v>0</v>
      </c>
      <c r="AY156" s="107">
        <f>_xlfn.IFNA($M156/VLOOKUP($BU156,'Unit information'!$A$2:$K$29,7,FALSE)*W156,0)*(1+$E$9)</f>
        <v>0</v>
      </c>
      <c r="AZ156" s="107">
        <f>_xlfn.IFNA($M156/VLOOKUP($BU156,'Unit information'!$A$2:$K$29,8,FALSE)*X156,0)*(1+$E$9)</f>
        <v>0</v>
      </c>
      <c r="BA156" s="107">
        <f>_xlfn.IFNA($M156/VLOOKUP($BU156,'Unit information'!$A$2:$K$29,9,FALSE)*Y156,0)*(1+$E$9)</f>
        <v>0</v>
      </c>
      <c r="BB156" s="107">
        <f>_xlfn.IFNA($M156/VLOOKUP($BV156,'Unit information'!$A$2:$K$29,10,FALSE)*Z156,0)*(1+$E$9)</f>
        <v>0</v>
      </c>
      <c r="BC156" s="108">
        <f>_xlfn.IFNA($M156/VLOOKUP($BV156,'Unit information'!$A$2:$K$29,11,FALSE)*AA156,0)*(1+$E$9)</f>
        <v>0</v>
      </c>
      <c r="BD156" s="106">
        <f t="shared" si="328"/>
        <v>0</v>
      </c>
      <c r="BE156" s="107">
        <f t="shared" si="329"/>
        <v>0</v>
      </c>
      <c r="BF156" s="108">
        <f t="shared" si="330"/>
        <v>0</v>
      </c>
      <c r="BG156" s="25" t="e">
        <f t="shared" si="331"/>
        <v>#N/A</v>
      </c>
      <c r="BH156" s="25" t="e">
        <f t="shared" si="332"/>
        <v>#N/A</v>
      </c>
      <c r="BI156" s="25" t="e">
        <f t="shared" si="333"/>
        <v>#N/A</v>
      </c>
      <c r="BJ156" s="27" t="e">
        <f t="shared" si="334"/>
        <v>#N/A</v>
      </c>
      <c r="BK156" s="18" t="e">
        <f t="shared" si="335"/>
        <v>#N/A</v>
      </c>
      <c r="BL156" s="18" t="e">
        <f t="shared" si="336"/>
        <v>#N/A</v>
      </c>
      <c r="BM156" s="28" t="e">
        <f t="shared" si="387"/>
        <v>#N/A</v>
      </c>
      <c r="BN156" s="33">
        <f>HLOOKUP("maximum population",Miscelaneous!$C$1:$C$33,CH156+3,FALSE)</f>
        <v>240</v>
      </c>
      <c r="BO156" s="14">
        <f t="shared" si="349"/>
        <v>32</v>
      </c>
      <c r="BP156" s="14">
        <f t="shared" si="350"/>
        <v>0</v>
      </c>
      <c r="BQ156" s="14">
        <f t="shared" si="351"/>
        <v>208</v>
      </c>
      <c r="BR156" s="34" t="e">
        <f>HLOOKUP(J156,Villagers!$B$1:$V$33,L156+3,FALSE)-HLOOKUP(J156,Villagers!$B$1:$V$33,L156+2,FALSE)</f>
        <v>#N/A</v>
      </c>
      <c r="BS156" s="49">
        <f t="shared" si="352"/>
        <v>1</v>
      </c>
      <c r="BT156" s="50">
        <f t="shared" si="353"/>
        <v>0</v>
      </c>
      <c r="BU156" s="50">
        <f t="shared" si="354"/>
        <v>0</v>
      </c>
      <c r="BV156" s="50">
        <f t="shared" si="355"/>
        <v>0</v>
      </c>
      <c r="BW156" s="50">
        <f t="shared" si="391"/>
        <v>0</v>
      </c>
      <c r="BX156" s="50">
        <f t="shared" si="392"/>
        <v>0</v>
      </c>
      <c r="BY156" s="50">
        <f t="shared" si="392"/>
        <v>0</v>
      </c>
      <c r="BZ156" s="50">
        <f t="shared" si="245"/>
        <v>0</v>
      </c>
      <c r="CA156" s="50">
        <f t="shared" si="246"/>
        <v>0</v>
      </c>
      <c r="CB156" s="50">
        <f t="shared" si="247"/>
        <v>1</v>
      </c>
      <c r="CC156" s="50">
        <f t="shared" si="248"/>
        <v>0</v>
      </c>
      <c r="CD156" s="50">
        <f t="shared" si="249"/>
        <v>0</v>
      </c>
      <c r="CE156" s="50">
        <f t="shared" si="250"/>
        <v>1</v>
      </c>
      <c r="CF156" s="50">
        <f t="shared" si="251"/>
        <v>1</v>
      </c>
      <c r="CG156" s="50">
        <f t="shared" si="252"/>
        <v>1</v>
      </c>
      <c r="CH156" s="50">
        <f t="shared" si="253"/>
        <v>1</v>
      </c>
      <c r="CI156" s="50">
        <f t="shared" si="254"/>
        <v>1</v>
      </c>
      <c r="CJ156" s="50">
        <f t="shared" si="255"/>
        <v>1</v>
      </c>
      <c r="CK156" s="50">
        <f t="shared" si="255"/>
        <v>0</v>
      </c>
      <c r="CL156" s="50">
        <f t="shared" si="255"/>
        <v>0</v>
      </c>
      <c r="CM156" s="51">
        <f t="shared" si="256"/>
        <v>0</v>
      </c>
      <c r="CN156" s="33">
        <f>ROUND(IF(BS156=0,0,HLOOKUP(BS$14,Villagers!$B$1:$V$33,BS156+3,FALSE)),)</f>
        <v>5</v>
      </c>
      <c r="CO156" s="14">
        <f>ROUND(IF(BT156=0,0,HLOOKUP(BT$14,Villagers!$B$1:$V$33,BT156+3,FALSE)),)</f>
        <v>0</v>
      </c>
      <c r="CP156" s="14">
        <f>ROUND(IF(BU156=0,0,HLOOKUP(BU$14,Villagers!$B$1:$V$33,BU156+3,FALSE)),)</f>
        <v>0</v>
      </c>
      <c r="CQ156" s="14">
        <f>ROUND(IF(BV156=0,0,HLOOKUP(BV$14,Villagers!$B$1:$V$33,BV156+3,FALSE)),)</f>
        <v>0</v>
      </c>
      <c r="CR156" s="14">
        <f>ROUND(IF(BW156=0,0,HLOOKUP(BW$14,Villagers!$B$1:$V$33,BW156+3,FALSE)),)</f>
        <v>0</v>
      </c>
      <c r="CS156" s="14">
        <f>ROUND(IF(BX156=0,0,HLOOKUP(BX$14,Villagers!$B$1:$V$33,BX156+3,FALSE)),)</f>
        <v>0</v>
      </c>
      <c r="CT156" s="14">
        <f>ROUND(IF(BY156=0,0,HLOOKUP(BY$14,Villagers!$B$1:$V$33,BY156+3,FALSE)),)</f>
        <v>0</v>
      </c>
      <c r="CU156" s="14">
        <f>ROUND(IF(BZ156=0,0,HLOOKUP(BZ$14,Villagers!$B$1:$V$33,BZ156+3,FALSE)),)</f>
        <v>0</v>
      </c>
      <c r="CV156" s="14">
        <f>ROUND(IF(CA156=0,0,HLOOKUP(CA$14,Villagers!$B$1:$V$33,CA156+3,FALSE)),)</f>
        <v>0</v>
      </c>
      <c r="CW156" s="14">
        <f>ROUND(IF(CB156=0,0,HLOOKUP(CB$14,Villagers!$B$1:$V$33,CB156+3,FALSE)),)</f>
        <v>0</v>
      </c>
      <c r="CX156" s="14">
        <f>ROUND(IF(CC156=0,0,HLOOKUP(CC$14,Villagers!$B$1:$V$33,CC156+3,FALSE)),)</f>
        <v>0</v>
      </c>
      <c r="CY156" s="14">
        <f>ROUND(IF(CD156=0,0,HLOOKUP(CD$14,Villagers!$B$1:$V$33,CD156+3,FALSE)),)</f>
        <v>0</v>
      </c>
      <c r="CZ156" s="14">
        <f>ROUND(IF(CE156=0,0,HLOOKUP(CE$14,Villagers!$B$1:$V$33,CE156+3,FALSE)),)</f>
        <v>5</v>
      </c>
      <c r="DA156" s="14">
        <f>ROUND(IF(CF156=0,0,HLOOKUP(CF$14,Villagers!$B$1:$V$33,CF156+3,FALSE)),)</f>
        <v>10</v>
      </c>
      <c r="DB156" s="14">
        <f>ROUND(IF(CG156=0,0,HLOOKUP(CG$14,Villagers!$B$1:$V$33,CG156+3,FALSE)),)</f>
        <v>10</v>
      </c>
      <c r="DC156" s="14">
        <f>ROUND(IF(CH156=0,0,HLOOKUP(CH$14,Villagers!$B$1:$V$33,CH156+3,FALSE)),)</f>
        <v>0</v>
      </c>
      <c r="DD156" s="14">
        <f>ROUND(IF(CI156=0,0,HLOOKUP(CI$14,Villagers!$B$1:$V$33,CI156+3,FALSE)),)</f>
        <v>0</v>
      </c>
      <c r="DE156" s="14">
        <f>ROUND(IF(CJ156=0,0,HLOOKUP(CJ$14,Villagers!$B$1:$V$33,CJ156+3,FALSE)),)</f>
        <v>2</v>
      </c>
      <c r="DF156" s="370">
        <f>ROUND(IF(CK156=0,0,HLOOKUP(CK$14,Villagers!$B$1:$V$33,CK156+3,FALSE)),)</f>
        <v>0</v>
      </c>
      <c r="DG156" s="370">
        <f>ROUND(IF(CL156=0,0,HLOOKUP(CL$14,Villagers!$B$1:$V$33,CL156+3,FALSE)),)</f>
        <v>0</v>
      </c>
      <c r="DH156" s="34">
        <f>ROUND(IF(CM156=0,0,HLOOKUP(CM$14,Villagers!$B$1:$V$33,CM156+3,FALSE)),)</f>
        <v>0</v>
      </c>
      <c r="DI156" s="109">
        <f t="shared" si="373"/>
        <v>0</v>
      </c>
      <c r="DJ156" s="50">
        <f t="shared" si="374"/>
        <v>0</v>
      </c>
      <c r="DK156" s="50">
        <f t="shared" si="375"/>
        <v>0</v>
      </c>
      <c r="DL156" s="50">
        <f t="shared" si="376"/>
        <v>0</v>
      </c>
      <c r="DM156" s="50">
        <f t="shared" si="377"/>
        <v>0</v>
      </c>
      <c r="DN156" s="50">
        <f t="shared" si="378"/>
        <v>0</v>
      </c>
      <c r="DO156" s="50">
        <f t="shared" si="379"/>
        <v>0</v>
      </c>
      <c r="DP156" s="50">
        <f t="shared" si="380"/>
        <v>0</v>
      </c>
      <c r="DQ156" s="50">
        <f t="shared" si="357"/>
        <v>0</v>
      </c>
      <c r="DR156" s="50">
        <f t="shared" si="358"/>
        <v>0</v>
      </c>
      <c r="DS156" s="96">
        <f>Miscelaneous!$D$4*Miscelaneous!$D$2^($CI156-1)</f>
        <v>1000</v>
      </c>
      <c r="DT156" s="333">
        <f t="shared" si="337"/>
        <v>1</v>
      </c>
      <c r="DU156" s="81">
        <v>1</v>
      </c>
      <c r="DV156" s="79">
        <f t="shared" si="359"/>
        <v>0</v>
      </c>
      <c r="DW156" s="79">
        <f t="shared" si="360"/>
        <v>0</v>
      </c>
      <c r="DX156" s="79">
        <f t="shared" si="361"/>
        <v>0</v>
      </c>
      <c r="DY156" s="79">
        <v>1</v>
      </c>
      <c r="DZ156" s="79">
        <f t="shared" si="362"/>
        <v>0</v>
      </c>
      <c r="EA156" s="79">
        <f t="shared" si="363"/>
        <v>0</v>
      </c>
      <c r="EB156" s="79">
        <f t="shared" si="364"/>
        <v>0</v>
      </c>
      <c r="EC156" s="79">
        <f t="shared" si="365"/>
        <v>0</v>
      </c>
      <c r="ED156" s="79">
        <v>1</v>
      </c>
      <c r="EE156" s="79">
        <v>1</v>
      </c>
      <c r="EF156" s="79">
        <f t="shared" si="366"/>
        <v>0</v>
      </c>
      <c r="EG156" s="79">
        <v>1</v>
      </c>
      <c r="EH156" s="79">
        <v>1</v>
      </c>
      <c r="EI156" s="79">
        <v>1</v>
      </c>
      <c r="EJ156" s="79">
        <v>1</v>
      </c>
      <c r="EK156" s="79">
        <v>1</v>
      </c>
      <c r="EL156" s="79">
        <v>1</v>
      </c>
      <c r="EM156" s="143">
        <f t="shared" si="367"/>
        <v>0</v>
      </c>
      <c r="EN156" s="143">
        <f t="shared" si="368"/>
        <v>0</v>
      </c>
      <c r="EO156" s="82">
        <f t="shared" si="369"/>
        <v>0</v>
      </c>
    </row>
    <row r="157" spans="1:145" x14ac:dyDescent="0.25">
      <c r="A157">
        <v>143</v>
      </c>
      <c r="B157" s="172" t="e">
        <f t="shared" si="338"/>
        <v>#N/A</v>
      </c>
      <c r="C157" s="121" t="e">
        <f t="shared" ref="C157:E157" si="398">AJ157-SUM(AB157:AB161)</f>
        <v>#N/A</v>
      </c>
      <c r="D157" s="122" t="e">
        <f t="shared" si="398"/>
        <v>#N/A</v>
      </c>
      <c r="E157" s="122" t="e">
        <f t="shared" si="398"/>
        <v>#N/A</v>
      </c>
      <c r="F157" s="176" t="e">
        <f t="shared" si="320"/>
        <v>#N/A</v>
      </c>
      <c r="G157" s="121">
        <f t="shared" si="340"/>
        <v>208</v>
      </c>
      <c r="H157" s="176" t="e">
        <f t="shared" si="341"/>
        <v>#N/A</v>
      </c>
      <c r="I157" s="48">
        <v>1</v>
      </c>
      <c r="J157" s="39"/>
      <c r="K157" s="350">
        <v>1</v>
      </c>
      <c r="L157" s="34" t="e">
        <f t="shared" si="321"/>
        <v>#N/A</v>
      </c>
      <c r="M157" s="38" t="e">
        <f>(HLOOKUP(J157,'Construction Times'!$B$3:$W$34,L157+2,FALSE)*HLOOKUP("hq modifier",'Construction Times'!$W$3:$W$34,BS157+2,FALSE))*(1-$H$9)</f>
        <v>#N/A</v>
      </c>
      <c r="N157" s="426" t="e">
        <f t="shared" si="342"/>
        <v>#N/A</v>
      </c>
      <c r="O157" s="427"/>
      <c r="P157" s="430" t="e">
        <f t="shared" si="343"/>
        <v>#N/A</v>
      </c>
      <c r="Q157" s="431"/>
      <c r="R157" s="103">
        <f t="shared" si="371"/>
        <v>0</v>
      </c>
      <c r="S157" s="104">
        <f t="shared" si="371"/>
        <v>0</v>
      </c>
      <c r="T157" s="104">
        <f t="shared" si="372"/>
        <v>0</v>
      </c>
      <c r="U157" s="104">
        <f t="shared" si="372"/>
        <v>0</v>
      </c>
      <c r="V157" s="104">
        <f t="shared" si="372"/>
        <v>9.9999999999999995E-8</v>
      </c>
      <c r="W157" s="104">
        <f t="shared" si="372"/>
        <v>0</v>
      </c>
      <c r="X157" s="104">
        <f t="shared" si="278"/>
        <v>0</v>
      </c>
      <c r="Y157" s="104">
        <f t="shared" si="278"/>
        <v>9.9999999999999995E-8</v>
      </c>
      <c r="Z157" s="104">
        <f t="shared" si="278"/>
        <v>9.9999999999999995E-8</v>
      </c>
      <c r="AA157" s="105">
        <f t="shared" si="278"/>
        <v>9.9999999999999995E-8</v>
      </c>
      <c r="AB157" s="101" t="e">
        <f>$DT157*HLOOKUP($J157,'Construction Costs (timber)'!$B$1:$V$32,'Construction Planner'!$L157+2,FALSE)</f>
        <v>#N/A</v>
      </c>
      <c r="AC157" s="14" t="e">
        <f>$DT157*HLOOKUP($J157,'Construction Costs (clay)'!$B$1:$V$32,'Construction Planner'!$L157+2,FALSE)</f>
        <v>#N/A</v>
      </c>
      <c r="AD157" s="14" t="e">
        <f>$DT157*HLOOKUP($J157,'Construction Costs (iron)'!$B$1:$V$32,'Construction Planner'!$L157+2,FALSE)</f>
        <v>#N/A</v>
      </c>
      <c r="AE157" s="34" t="e">
        <f t="shared" si="384"/>
        <v>#N/A</v>
      </c>
      <c r="AF157" s="33" t="e">
        <f t="shared" si="322"/>
        <v>#N/A</v>
      </c>
      <c r="AG157" s="14" t="e">
        <f t="shared" si="323"/>
        <v>#N/A</v>
      </c>
      <c r="AH157" s="14" t="e">
        <f t="shared" si="324"/>
        <v>#N/A</v>
      </c>
      <c r="AI157" s="34" t="e">
        <f t="shared" si="385"/>
        <v>#N/A</v>
      </c>
      <c r="AJ157" s="49" t="e">
        <f t="shared" si="345"/>
        <v>#N/A</v>
      </c>
      <c r="AK157" s="49" t="e">
        <f t="shared" si="346"/>
        <v>#N/A</v>
      </c>
      <c r="AL157" s="49" t="e">
        <f t="shared" si="347"/>
        <v>#N/A</v>
      </c>
      <c r="AM157" s="25">
        <f t="shared" si="325"/>
        <v>30</v>
      </c>
      <c r="AN157" s="25">
        <f t="shared" si="326"/>
        <v>30</v>
      </c>
      <c r="AO157" s="25">
        <f t="shared" si="327"/>
        <v>30</v>
      </c>
      <c r="AP157" s="52" t="e">
        <f t="shared" si="348"/>
        <v>#N/A</v>
      </c>
      <c r="AQ157" s="53" t="e">
        <f t="shared" si="348"/>
        <v>#N/A</v>
      </c>
      <c r="AR157" s="54" t="e">
        <f t="shared" si="348"/>
        <v>#N/A</v>
      </c>
      <c r="AS157" s="316">
        <f t="shared" si="386"/>
        <v>0</v>
      </c>
      <c r="AT157" s="106">
        <f>_xlfn.IFNA($M157/VLOOKUP($BT157,'Unit information'!$A$2:$K$29,2,FALSE)*R157,0)*(1+$E$9)</f>
        <v>0</v>
      </c>
      <c r="AU157" s="107">
        <f>_xlfn.IFNA($M157/VLOOKUP($BT157,'Unit information'!$A$2:$K$29,3,FALSE)*S157,0)*(1+$E$9)</f>
        <v>0</v>
      </c>
      <c r="AV157" s="107">
        <f>_xlfn.IFNA($M157/VLOOKUP($BT157,'Unit information'!$A$2:$K$29,4,FALSE)*T157,0)*(1+$E$9)</f>
        <v>0</v>
      </c>
      <c r="AW157" s="107">
        <f>_xlfn.IFNA($M157/VLOOKUP($BT157,'Unit information'!$A$2:$K$29,5,FALSE)*U157,0)*(1+$E$9)</f>
        <v>0</v>
      </c>
      <c r="AX157" s="107">
        <f>_xlfn.IFNA($M157/VLOOKUP($BU157,'Unit information'!$A$2:$K$29,6,FALSE)*V157,0)*(1+$E$9)</f>
        <v>0</v>
      </c>
      <c r="AY157" s="107">
        <f>_xlfn.IFNA($M157/VLOOKUP($BU157,'Unit information'!$A$2:$K$29,7,FALSE)*W157,0)*(1+$E$9)</f>
        <v>0</v>
      </c>
      <c r="AZ157" s="107">
        <f>_xlfn.IFNA($M157/VLOOKUP($BU157,'Unit information'!$A$2:$K$29,8,FALSE)*X157,0)*(1+$E$9)</f>
        <v>0</v>
      </c>
      <c r="BA157" s="107">
        <f>_xlfn.IFNA($M157/VLOOKUP($BU157,'Unit information'!$A$2:$K$29,9,FALSE)*Y157,0)*(1+$E$9)</f>
        <v>0</v>
      </c>
      <c r="BB157" s="107">
        <f>_xlfn.IFNA($M157/VLOOKUP($BV157,'Unit information'!$A$2:$K$29,10,FALSE)*Z157,0)*(1+$E$9)</f>
        <v>0</v>
      </c>
      <c r="BC157" s="108">
        <f>_xlfn.IFNA($M157/VLOOKUP($BV157,'Unit information'!$A$2:$K$29,11,FALSE)*AA157,0)*(1+$E$9)</f>
        <v>0</v>
      </c>
      <c r="BD157" s="106">
        <f t="shared" si="328"/>
        <v>0</v>
      </c>
      <c r="BE157" s="107">
        <f t="shared" si="329"/>
        <v>0</v>
      </c>
      <c r="BF157" s="108">
        <f t="shared" si="330"/>
        <v>0</v>
      </c>
      <c r="BG157" s="25" t="e">
        <f t="shared" si="331"/>
        <v>#N/A</v>
      </c>
      <c r="BH157" s="25" t="e">
        <f t="shared" si="332"/>
        <v>#N/A</v>
      </c>
      <c r="BI157" s="25" t="e">
        <f t="shared" si="333"/>
        <v>#N/A</v>
      </c>
      <c r="BJ157" s="27" t="e">
        <f t="shared" si="334"/>
        <v>#N/A</v>
      </c>
      <c r="BK157" s="18" t="e">
        <f t="shared" si="335"/>
        <v>#N/A</v>
      </c>
      <c r="BL157" s="18" t="e">
        <f t="shared" si="336"/>
        <v>#N/A</v>
      </c>
      <c r="BM157" s="28" t="e">
        <f t="shared" si="387"/>
        <v>#N/A</v>
      </c>
      <c r="BN157" s="33">
        <f>HLOOKUP("maximum population",Miscelaneous!$C$1:$C$33,CH157+3,FALSE)</f>
        <v>240</v>
      </c>
      <c r="BO157" s="14">
        <f t="shared" si="349"/>
        <v>32</v>
      </c>
      <c r="BP157" s="14">
        <f t="shared" si="350"/>
        <v>0</v>
      </c>
      <c r="BQ157" s="14">
        <f t="shared" si="351"/>
        <v>208</v>
      </c>
      <c r="BR157" s="34" t="e">
        <f>HLOOKUP(J157,Villagers!$B$1:$V$33,L157+3,FALSE)-HLOOKUP(J157,Villagers!$B$1:$V$33,L157+2,FALSE)</f>
        <v>#N/A</v>
      </c>
      <c r="BS157" s="49">
        <f t="shared" si="352"/>
        <v>1</v>
      </c>
      <c r="BT157" s="50">
        <f t="shared" si="353"/>
        <v>0</v>
      </c>
      <c r="BU157" s="50">
        <f t="shared" si="354"/>
        <v>0</v>
      </c>
      <c r="BV157" s="50">
        <f t="shared" si="355"/>
        <v>0</v>
      </c>
      <c r="BW157" s="50">
        <f t="shared" si="391"/>
        <v>0</v>
      </c>
      <c r="BX157" s="50">
        <f t="shared" si="392"/>
        <v>0</v>
      </c>
      <c r="BY157" s="50">
        <f t="shared" si="392"/>
        <v>0</v>
      </c>
      <c r="BZ157" s="50">
        <f t="shared" si="245"/>
        <v>0</v>
      </c>
      <c r="CA157" s="50">
        <f t="shared" si="246"/>
        <v>0</v>
      </c>
      <c r="CB157" s="50">
        <f t="shared" si="247"/>
        <v>1</v>
      </c>
      <c r="CC157" s="50">
        <f t="shared" si="248"/>
        <v>0</v>
      </c>
      <c r="CD157" s="50">
        <f t="shared" si="249"/>
        <v>0</v>
      </c>
      <c r="CE157" s="50">
        <f t="shared" si="250"/>
        <v>1</v>
      </c>
      <c r="CF157" s="50">
        <f t="shared" si="251"/>
        <v>1</v>
      </c>
      <c r="CG157" s="50">
        <f t="shared" si="252"/>
        <v>1</v>
      </c>
      <c r="CH157" s="50">
        <f t="shared" si="253"/>
        <v>1</v>
      </c>
      <c r="CI157" s="50">
        <f t="shared" si="254"/>
        <v>1</v>
      </c>
      <c r="CJ157" s="50">
        <f t="shared" si="255"/>
        <v>1</v>
      </c>
      <c r="CK157" s="50">
        <f t="shared" si="255"/>
        <v>0</v>
      </c>
      <c r="CL157" s="50">
        <f t="shared" si="255"/>
        <v>0</v>
      </c>
      <c r="CM157" s="51">
        <f t="shared" si="256"/>
        <v>0</v>
      </c>
      <c r="CN157" s="33">
        <f>ROUND(IF(BS157=0,0,HLOOKUP(BS$14,Villagers!$B$1:$V$33,BS157+3,FALSE)),)</f>
        <v>5</v>
      </c>
      <c r="CO157" s="14">
        <f>ROUND(IF(BT157=0,0,HLOOKUP(BT$14,Villagers!$B$1:$V$33,BT157+3,FALSE)),)</f>
        <v>0</v>
      </c>
      <c r="CP157" s="14">
        <f>ROUND(IF(BU157=0,0,HLOOKUP(BU$14,Villagers!$B$1:$V$33,BU157+3,FALSE)),)</f>
        <v>0</v>
      </c>
      <c r="CQ157" s="14">
        <f>ROUND(IF(BV157=0,0,HLOOKUP(BV$14,Villagers!$B$1:$V$33,BV157+3,FALSE)),)</f>
        <v>0</v>
      </c>
      <c r="CR157" s="14">
        <f>ROUND(IF(BW157=0,0,HLOOKUP(BW$14,Villagers!$B$1:$V$33,BW157+3,FALSE)),)</f>
        <v>0</v>
      </c>
      <c r="CS157" s="14">
        <f>ROUND(IF(BX157=0,0,HLOOKUP(BX$14,Villagers!$B$1:$V$33,BX157+3,FALSE)),)</f>
        <v>0</v>
      </c>
      <c r="CT157" s="14">
        <f>ROUND(IF(BY157=0,0,HLOOKUP(BY$14,Villagers!$B$1:$V$33,BY157+3,FALSE)),)</f>
        <v>0</v>
      </c>
      <c r="CU157" s="14">
        <f>ROUND(IF(BZ157=0,0,HLOOKUP(BZ$14,Villagers!$B$1:$V$33,BZ157+3,FALSE)),)</f>
        <v>0</v>
      </c>
      <c r="CV157" s="14">
        <f>ROUND(IF(CA157=0,0,HLOOKUP(CA$14,Villagers!$B$1:$V$33,CA157+3,FALSE)),)</f>
        <v>0</v>
      </c>
      <c r="CW157" s="14">
        <f>ROUND(IF(CB157=0,0,HLOOKUP(CB$14,Villagers!$B$1:$V$33,CB157+3,FALSE)),)</f>
        <v>0</v>
      </c>
      <c r="CX157" s="14">
        <f>ROUND(IF(CC157=0,0,HLOOKUP(CC$14,Villagers!$B$1:$V$33,CC157+3,FALSE)),)</f>
        <v>0</v>
      </c>
      <c r="CY157" s="14">
        <f>ROUND(IF(CD157=0,0,HLOOKUP(CD$14,Villagers!$B$1:$V$33,CD157+3,FALSE)),)</f>
        <v>0</v>
      </c>
      <c r="CZ157" s="14">
        <f>ROUND(IF(CE157=0,0,HLOOKUP(CE$14,Villagers!$B$1:$V$33,CE157+3,FALSE)),)</f>
        <v>5</v>
      </c>
      <c r="DA157" s="14">
        <f>ROUND(IF(CF157=0,0,HLOOKUP(CF$14,Villagers!$B$1:$V$33,CF157+3,FALSE)),)</f>
        <v>10</v>
      </c>
      <c r="DB157" s="14">
        <f>ROUND(IF(CG157=0,0,HLOOKUP(CG$14,Villagers!$B$1:$V$33,CG157+3,FALSE)),)</f>
        <v>10</v>
      </c>
      <c r="DC157" s="14">
        <f>ROUND(IF(CH157=0,0,HLOOKUP(CH$14,Villagers!$B$1:$V$33,CH157+3,FALSE)),)</f>
        <v>0</v>
      </c>
      <c r="DD157" s="14">
        <f>ROUND(IF(CI157=0,0,HLOOKUP(CI$14,Villagers!$B$1:$V$33,CI157+3,FALSE)),)</f>
        <v>0</v>
      </c>
      <c r="DE157" s="14">
        <f>ROUND(IF(CJ157=0,0,HLOOKUP(CJ$14,Villagers!$B$1:$V$33,CJ157+3,FALSE)),)</f>
        <v>2</v>
      </c>
      <c r="DF157" s="370">
        <f>ROUND(IF(CK157=0,0,HLOOKUP(CK$14,Villagers!$B$1:$V$33,CK157+3,FALSE)),)</f>
        <v>0</v>
      </c>
      <c r="DG157" s="370">
        <f>ROUND(IF(CL157=0,0,HLOOKUP(CL$14,Villagers!$B$1:$V$33,CL157+3,FALSE)),)</f>
        <v>0</v>
      </c>
      <c r="DH157" s="34">
        <f>ROUND(IF(CM157=0,0,HLOOKUP(CM$14,Villagers!$B$1:$V$33,CM157+3,FALSE)),)</f>
        <v>0</v>
      </c>
      <c r="DI157" s="109">
        <f t="shared" si="373"/>
        <v>0</v>
      </c>
      <c r="DJ157" s="50">
        <f t="shared" si="374"/>
        <v>0</v>
      </c>
      <c r="DK157" s="50">
        <f t="shared" si="375"/>
        <v>0</v>
      </c>
      <c r="DL157" s="50">
        <f t="shared" si="376"/>
        <v>0</v>
      </c>
      <c r="DM157" s="50">
        <f t="shared" si="377"/>
        <v>0</v>
      </c>
      <c r="DN157" s="50">
        <f t="shared" si="378"/>
        <v>0</v>
      </c>
      <c r="DO157" s="50">
        <f t="shared" si="379"/>
        <v>0</v>
      </c>
      <c r="DP157" s="50">
        <f t="shared" si="380"/>
        <v>0</v>
      </c>
      <c r="DQ157" s="50">
        <f t="shared" si="357"/>
        <v>0</v>
      </c>
      <c r="DR157" s="50">
        <f t="shared" si="358"/>
        <v>0</v>
      </c>
      <c r="DS157" s="96">
        <f>Miscelaneous!$D$4*Miscelaneous!$D$2^($CI157-1)</f>
        <v>1000</v>
      </c>
      <c r="DT157" s="333">
        <f t="shared" si="337"/>
        <v>1</v>
      </c>
      <c r="DU157" s="81">
        <v>1</v>
      </c>
      <c r="DV157" s="79">
        <f t="shared" si="359"/>
        <v>0</v>
      </c>
      <c r="DW157" s="79">
        <f t="shared" si="360"/>
        <v>0</v>
      </c>
      <c r="DX157" s="79">
        <f t="shared" si="361"/>
        <v>0</v>
      </c>
      <c r="DY157" s="79">
        <v>1</v>
      </c>
      <c r="DZ157" s="79">
        <f t="shared" si="362"/>
        <v>0</v>
      </c>
      <c r="EA157" s="79">
        <f t="shared" si="363"/>
        <v>0</v>
      </c>
      <c r="EB157" s="79">
        <f t="shared" si="364"/>
        <v>0</v>
      </c>
      <c r="EC157" s="79">
        <f t="shared" si="365"/>
        <v>0</v>
      </c>
      <c r="ED157" s="79">
        <v>1</v>
      </c>
      <c r="EE157" s="79">
        <v>1</v>
      </c>
      <c r="EF157" s="79">
        <f t="shared" si="366"/>
        <v>0</v>
      </c>
      <c r="EG157" s="79">
        <v>1</v>
      </c>
      <c r="EH157" s="79">
        <v>1</v>
      </c>
      <c r="EI157" s="79">
        <v>1</v>
      </c>
      <c r="EJ157" s="79">
        <v>1</v>
      </c>
      <c r="EK157" s="79">
        <v>1</v>
      </c>
      <c r="EL157" s="79">
        <v>1</v>
      </c>
      <c r="EM157" s="143">
        <f t="shared" si="367"/>
        <v>0</v>
      </c>
      <c r="EN157" s="143">
        <f t="shared" si="368"/>
        <v>0</v>
      </c>
      <c r="EO157" s="82">
        <f t="shared" si="369"/>
        <v>0</v>
      </c>
    </row>
    <row r="158" spans="1:145" x14ac:dyDescent="0.25">
      <c r="A158">
        <v>144</v>
      </c>
      <c r="B158" s="172" t="e">
        <f t="shared" si="338"/>
        <v>#N/A</v>
      </c>
      <c r="C158" s="121" t="e">
        <f t="shared" ref="C158:E158" si="399">AJ158-SUM(AB158:AB162)</f>
        <v>#N/A</v>
      </c>
      <c r="D158" s="122" t="e">
        <f t="shared" si="399"/>
        <v>#N/A</v>
      </c>
      <c r="E158" s="122" t="e">
        <f t="shared" si="399"/>
        <v>#N/A</v>
      </c>
      <c r="F158" s="176" t="e">
        <f t="shared" si="320"/>
        <v>#N/A</v>
      </c>
      <c r="G158" s="121">
        <f t="shared" si="340"/>
        <v>208</v>
      </c>
      <c r="H158" s="176" t="e">
        <f t="shared" si="341"/>
        <v>#N/A</v>
      </c>
      <c r="I158" s="48">
        <v>1</v>
      </c>
      <c r="J158" s="39"/>
      <c r="K158" s="350">
        <v>1</v>
      </c>
      <c r="L158" s="34" t="e">
        <f t="shared" si="321"/>
        <v>#N/A</v>
      </c>
      <c r="M158" s="38" t="e">
        <f>(HLOOKUP(J158,'Construction Times'!$B$3:$W$34,L158+2,FALSE)*HLOOKUP("hq modifier",'Construction Times'!$W$3:$W$34,BS158+2,FALSE))*(1-$H$9)</f>
        <v>#N/A</v>
      </c>
      <c r="N158" s="426" t="e">
        <f t="shared" si="342"/>
        <v>#N/A</v>
      </c>
      <c r="O158" s="427"/>
      <c r="P158" s="430" t="e">
        <f t="shared" si="343"/>
        <v>#N/A</v>
      </c>
      <c r="Q158" s="431"/>
      <c r="R158" s="103">
        <f t="shared" si="371"/>
        <v>0</v>
      </c>
      <c r="S158" s="104">
        <f t="shared" si="371"/>
        <v>0</v>
      </c>
      <c r="T158" s="104">
        <f t="shared" si="372"/>
        <v>0</v>
      </c>
      <c r="U158" s="104">
        <f t="shared" si="372"/>
        <v>0</v>
      </c>
      <c r="V158" s="104">
        <f t="shared" si="372"/>
        <v>9.9999999999999995E-8</v>
      </c>
      <c r="W158" s="104">
        <f t="shared" si="372"/>
        <v>0</v>
      </c>
      <c r="X158" s="104">
        <f t="shared" si="278"/>
        <v>0</v>
      </c>
      <c r="Y158" s="104">
        <f t="shared" si="278"/>
        <v>9.9999999999999995E-8</v>
      </c>
      <c r="Z158" s="104">
        <f t="shared" si="278"/>
        <v>9.9999999999999995E-8</v>
      </c>
      <c r="AA158" s="105">
        <f t="shared" si="278"/>
        <v>9.9999999999999995E-8</v>
      </c>
      <c r="AB158" s="101" t="e">
        <f>$DT158*HLOOKUP($J158,'Construction Costs (timber)'!$B$1:$V$32,'Construction Planner'!$L158+2,FALSE)</f>
        <v>#N/A</v>
      </c>
      <c r="AC158" s="14" t="e">
        <f>$DT158*HLOOKUP($J158,'Construction Costs (clay)'!$B$1:$V$32,'Construction Planner'!$L158+2,FALSE)</f>
        <v>#N/A</v>
      </c>
      <c r="AD158" s="14" t="e">
        <f>$DT158*HLOOKUP($J158,'Construction Costs (iron)'!$B$1:$V$32,'Construction Planner'!$L158+2,FALSE)</f>
        <v>#N/A</v>
      </c>
      <c r="AE158" s="34" t="e">
        <f t="shared" si="384"/>
        <v>#N/A</v>
      </c>
      <c r="AF158" s="33" t="e">
        <f t="shared" si="322"/>
        <v>#N/A</v>
      </c>
      <c r="AG158" s="14" t="e">
        <f t="shared" si="323"/>
        <v>#N/A</v>
      </c>
      <c r="AH158" s="14" t="e">
        <f t="shared" si="324"/>
        <v>#N/A</v>
      </c>
      <c r="AI158" s="34" t="e">
        <f t="shared" si="385"/>
        <v>#N/A</v>
      </c>
      <c r="AJ158" s="49" t="e">
        <f t="shared" si="345"/>
        <v>#N/A</v>
      </c>
      <c r="AK158" s="49" t="e">
        <f t="shared" si="346"/>
        <v>#N/A</v>
      </c>
      <c r="AL158" s="49" t="e">
        <f t="shared" si="347"/>
        <v>#N/A</v>
      </c>
      <c r="AM158" s="25">
        <f t="shared" si="325"/>
        <v>30</v>
      </c>
      <c r="AN158" s="25">
        <f t="shared" si="326"/>
        <v>30</v>
      </c>
      <c r="AO158" s="25">
        <f t="shared" si="327"/>
        <v>30</v>
      </c>
      <c r="AP158" s="52" t="e">
        <f t="shared" si="348"/>
        <v>#N/A</v>
      </c>
      <c r="AQ158" s="53" t="e">
        <f t="shared" si="348"/>
        <v>#N/A</v>
      </c>
      <c r="AR158" s="54" t="e">
        <f t="shared" si="348"/>
        <v>#N/A</v>
      </c>
      <c r="AS158" s="316">
        <f t="shared" si="386"/>
        <v>0</v>
      </c>
      <c r="AT158" s="106">
        <f>_xlfn.IFNA($M158/VLOOKUP($BT158,'Unit information'!$A$2:$K$29,2,FALSE)*R158,0)*(1+$E$9)</f>
        <v>0</v>
      </c>
      <c r="AU158" s="107">
        <f>_xlfn.IFNA($M158/VLOOKUP($BT158,'Unit information'!$A$2:$K$29,3,FALSE)*S158,0)*(1+$E$9)</f>
        <v>0</v>
      </c>
      <c r="AV158" s="107">
        <f>_xlfn.IFNA($M158/VLOOKUP($BT158,'Unit information'!$A$2:$K$29,4,FALSE)*T158,0)*(1+$E$9)</f>
        <v>0</v>
      </c>
      <c r="AW158" s="107">
        <f>_xlfn.IFNA($M158/VLOOKUP($BT158,'Unit information'!$A$2:$K$29,5,FALSE)*U158,0)*(1+$E$9)</f>
        <v>0</v>
      </c>
      <c r="AX158" s="107">
        <f>_xlfn.IFNA($M158/VLOOKUP($BU158,'Unit information'!$A$2:$K$29,6,FALSE)*V158,0)*(1+$E$9)</f>
        <v>0</v>
      </c>
      <c r="AY158" s="107">
        <f>_xlfn.IFNA($M158/VLOOKUP($BU158,'Unit information'!$A$2:$K$29,7,FALSE)*W158,0)*(1+$E$9)</f>
        <v>0</v>
      </c>
      <c r="AZ158" s="107">
        <f>_xlfn.IFNA($M158/VLOOKUP($BU158,'Unit information'!$A$2:$K$29,8,FALSE)*X158,0)*(1+$E$9)</f>
        <v>0</v>
      </c>
      <c r="BA158" s="107">
        <f>_xlfn.IFNA($M158/VLOOKUP($BU158,'Unit information'!$A$2:$K$29,9,FALSE)*Y158,0)*(1+$E$9)</f>
        <v>0</v>
      </c>
      <c r="BB158" s="107">
        <f>_xlfn.IFNA($M158/VLOOKUP($BV158,'Unit information'!$A$2:$K$29,10,FALSE)*Z158,0)*(1+$E$9)</f>
        <v>0</v>
      </c>
      <c r="BC158" s="108">
        <f>_xlfn.IFNA($M158/VLOOKUP($BV158,'Unit information'!$A$2:$K$29,11,FALSE)*AA158,0)*(1+$E$9)</f>
        <v>0</v>
      </c>
      <c r="BD158" s="106">
        <f t="shared" si="328"/>
        <v>0</v>
      </c>
      <c r="BE158" s="107">
        <f t="shared" si="329"/>
        <v>0</v>
      </c>
      <c r="BF158" s="108">
        <f t="shared" si="330"/>
        <v>0</v>
      </c>
      <c r="BG158" s="25" t="e">
        <f t="shared" si="331"/>
        <v>#N/A</v>
      </c>
      <c r="BH158" s="25" t="e">
        <f t="shared" si="332"/>
        <v>#N/A</v>
      </c>
      <c r="BI158" s="25" t="e">
        <f t="shared" si="333"/>
        <v>#N/A</v>
      </c>
      <c r="BJ158" s="27" t="e">
        <f t="shared" si="334"/>
        <v>#N/A</v>
      </c>
      <c r="BK158" s="18" t="e">
        <f t="shared" si="335"/>
        <v>#N/A</v>
      </c>
      <c r="BL158" s="18" t="e">
        <f t="shared" si="336"/>
        <v>#N/A</v>
      </c>
      <c r="BM158" s="28" t="e">
        <f t="shared" si="387"/>
        <v>#N/A</v>
      </c>
      <c r="BN158" s="33">
        <f>HLOOKUP("maximum population",Miscelaneous!$C$1:$C$33,CH158+3,FALSE)</f>
        <v>240</v>
      </c>
      <c r="BO158" s="14">
        <f t="shared" si="349"/>
        <v>32</v>
      </c>
      <c r="BP158" s="14">
        <f t="shared" si="350"/>
        <v>0</v>
      </c>
      <c r="BQ158" s="14">
        <f t="shared" si="351"/>
        <v>208</v>
      </c>
      <c r="BR158" s="34" t="e">
        <f>HLOOKUP(J158,Villagers!$B$1:$V$33,L158+3,FALSE)-HLOOKUP(J158,Villagers!$B$1:$V$33,L158+2,FALSE)</f>
        <v>#N/A</v>
      </c>
      <c r="BS158" s="49">
        <f t="shared" si="352"/>
        <v>1</v>
      </c>
      <c r="BT158" s="50">
        <f t="shared" si="353"/>
        <v>0</v>
      </c>
      <c r="BU158" s="50">
        <f t="shared" si="354"/>
        <v>0</v>
      </c>
      <c r="BV158" s="50">
        <f t="shared" si="355"/>
        <v>0</v>
      </c>
      <c r="BW158" s="50">
        <f t="shared" si="391"/>
        <v>0</v>
      </c>
      <c r="BX158" s="50">
        <f t="shared" si="392"/>
        <v>0</v>
      </c>
      <c r="BY158" s="50">
        <f t="shared" si="392"/>
        <v>0</v>
      </c>
      <c r="BZ158" s="50">
        <f t="shared" si="245"/>
        <v>0</v>
      </c>
      <c r="CA158" s="50">
        <f t="shared" si="246"/>
        <v>0</v>
      </c>
      <c r="CB158" s="50">
        <f t="shared" si="247"/>
        <v>1</v>
      </c>
      <c r="CC158" s="50">
        <f t="shared" si="248"/>
        <v>0</v>
      </c>
      <c r="CD158" s="50">
        <f t="shared" si="249"/>
        <v>0</v>
      </c>
      <c r="CE158" s="50">
        <f t="shared" si="250"/>
        <v>1</v>
      </c>
      <c r="CF158" s="50">
        <f t="shared" si="251"/>
        <v>1</v>
      </c>
      <c r="CG158" s="50">
        <f t="shared" si="252"/>
        <v>1</v>
      </c>
      <c r="CH158" s="50">
        <f t="shared" si="253"/>
        <v>1</v>
      </c>
      <c r="CI158" s="50">
        <f t="shared" si="254"/>
        <v>1</v>
      </c>
      <c r="CJ158" s="50">
        <f t="shared" si="255"/>
        <v>1</v>
      </c>
      <c r="CK158" s="50">
        <f t="shared" si="255"/>
        <v>0</v>
      </c>
      <c r="CL158" s="50">
        <f t="shared" si="255"/>
        <v>0</v>
      </c>
      <c r="CM158" s="51">
        <f t="shared" si="256"/>
        <v>0</v>
      </c>
      <c r="CN158" s="33">
        <f>ROUND(IF(BS158=0,0,HLOOKUP(BS$14,Villagers!$B$1:$V$33,BS158+3,FALSE)),)</f>
        <v>5</v>
      </c>
      <c r="CO158" s="14">
        <f>ROUND(IF(BT158=0,0,HLOOKUP(BT$14,Villagers!$B$1:$V$33,BT158+3,FALSE)),)</f>
        <v>0</v>
      </c>
      <c r="CP158" s="14">
        <f>ROUND(IF(BU158=0,0,HLOOKUP(BU$14,Villagers!$B$1:$V$33,BU158+3,FALSE)),)</f>
        <v>0</v>
      </c>
      <c r="CQ158" s="14">
        <f>ROUND(IF(BV158=0,0,HLOOKUP(BV$14,Villagers!$B$1:$V$33,BV158+3,FALSE)),)</f>
        <v>0</v>
      </c>
      <c r="CR158" s="14">
        <f>ROUND(IF(BW158=0,0,HLOOKUP(BW$14,Villagers!$B$1:$V$33,BW158+3,FALSE)),)</f>
        <v>0</v>
      </c>
      <c r="CS158" s="14">
        <f>ROUND(IF(BX158=0,0,HLOOKUP(BX$14,Villagers!$B$1:$V$33,BX158+3,FALSE)),)</f>
        <v>0</v>
      </c>
      <c r="CT158" s="14">
        <f>ROUND(IF(BY158=0,0,HLOOKUP(BY$14,Villagers!$B$1:$V$33,BY158+3,FALSE)),)</f>
        <v>0</v>
      </c>
      <c r="CU158" s="14">
        <f>ROUND(IF(BZ158=0,0,HLOOKUP(BZ$14,Villagers!$B$1:$V$33,BZ158+3,FALSE)),)</f>
        <v>0</v>
      </c>
      <c r="CV158" s="14">
        <f>ROUND(IF(CA158=0,0,HLOOKUP(CA$14,Villagers!$B$1:$V$33,CA158+3,FALSE)),)</f>
        <v>0</v>
      </c>
      <c r="CW158" s="14">
        <f>ROUND(IF(CB158=0,0,HLOOKUP(CB$14,Villagers!$B$1:$V$33,CB158+3,FALSE)),)</f>
        <v>0</v>
      </c>
      <c r="CX158" s="14">
        <f>ROUND(IF(CC158=0,0,HLOOKUP(CC$14,Villagers!$B$1:$V$33,CC158+3,FALSE)),)</f>
        <v>0</v>
      </c>
      <c r="CY158" s="14">
        <f>ROUND(IF(CD158=0,0,HLOOKUP(CD$14,Villagers!$B$1:$V$33,CD158+3,FALSE)),)</f>
        <v>0</v>
      </c>
      <c r="CZ158" s="14">
        <f>ROUND(IF(CE158=0,0,HLOOKUP(CE$14,Villagers!$B$1:$V$33,CE158+3,FALSE)),)</f>
        <v>5</v>
      </c>
      <c r="DA158" s="14">
        <f>ROUND(IF(CF158=0,0,HLOOKUP(CF$14,Villagers!$B$1:$V$33,CF158+3,FALSE)),)</f>
        <v>10</v>
      </c>
      <c r="DB158" s="14">
        <f>ROUND(IF(CG158=0,0,HLOOKUP(CG$14,Villagers!$B$1:$V$33,CG158+3,FALSE)),)</f>
        <v>10</v>
      </c>
      <c r="DC158" s="14">
        <f>ROUND(IF(CH158=0,0,HLOOKUP(CH$14,Villagers!$B$1:$V$33,CH158+3,FALSE)),)</f>
        <v>0</v>
      </c>
      <c r="DD158" s="14">
        <f>ROUND(IF(CI158=0,0,HLOOKUP(CI$14,Villagers!$B$1:$V$33,CI158+3,FALSE)),)</f>
        <v>0</v>
      </c>
      <c r="DE158" s="14">
        <f>ROUND(IF(CJ158=0,0,HLOOKUP(CJ$14,Villagers!$B$1:$V$33,CJ158+3,FALSE)),)</f>
        <v>2</v>
      </c>
      <c r="DF158" s="370">
        <f>ROUND(IF(CK158=0,0,HLOOKUP(CK$14,Villagers!$B$1:$V$33,CK158+3,FALSE)),)</f>
        <v>0</v>
      </c>
      <c r="DG158" s="370">
        <f>ROUND(IF(CL158=0,0,HLOOKUP(CL$14,Villagers!$B$1:$V$33,CL158+3,FALSE)),)</f>
        <v>0</v>
      </c>
      <c r="DH158" s="34">
        <f>ROUND(IF(CM158=0,0,HLOOKUP(CM$14,Villagers!$B$1:$V$33,CM158+3,FALSE)),)</f>
        <v>0</v>
      </c>
      <c r="DI158" s="109">
        <f t="shared" si="373"/>
        <v>0</v>
      </c>
      <c r="DJ158" s="50">
        <f t="shared" si="374"/>
        <v>0</v>
      </c>
      <c r="DK158" s="50">
        <f t="shared" si="375"/>
        <v>0</v>
      </c>
      <c r="DL158" s="50">
        <f t="shared" si="376"/>
        <v>0</v>
      </c>
      <c r="DM158" s="50">
        <f t="shared" si="377"/>
        <v>0</v>
      </c>
      <c r="DN158" s="50">
        <f t="shared" si="378"/>
        <v>0</v>
      </c>
      <c r="DO158" s="50">
        <f t="shared" si="379"/>
        <v>0</v>
      </c>
      <c r="DP158" s="50">
        <f t="shared" si="380"/>
        <v>0</v>
      </c>
      <c r="DQ158" s="50">
        <f t="shared" si="357"/>
        <v>0</v>
      </c>
      <c r="DR158" s="50">
        <f t="shared" si="358"/>
        <v>0</v>
      </c>
      <c r="DS158" s="96">
        <f>Miscelaneous!$D$4*Miscelaneous!$D$2^($CI158-1)</f>
        <v>1000</v>
      </c>
      <c r="DT158" s="333">
        <f t="shared" si="337"/>
        <v>1</v>
      </c>
      <c r="DU158" s="81">
        <v>1</v>
      </c>
      <c r="DV158" s="79">
        <f t="shared" si="359"/>
        <v>0</v>
      </c>
      <c r="DW158" s="79">
        <f t="shared" si="360"/>
        <v>0</v>
      </c>
      <c r="DX158" s="79">
        <f t="shared" si="361"/>
        <v>0</v>
      </c>
      <c r="DY158" s="79">
        <v>1</v>
      </c>
      <c r="DZ158" s="79">
        <f t="shared" si="362"/>
        <v>0</v>
      </c>
      <c r="EA158" s="79">
        <f t="shared" si="363"/>
        <v>0</v>
      </c>
      <c r="EB158" s="79">
        <f t="shared" si="364"/>
        <v>0</v>
      </c>
      <c r="EC158" s="79">
        <f t="shared" si="365"/>
        <v>0</v>
      </c>
      <c r="ED158" s="79">
        <v>1</v>
      </c>
      <c r="EE158" s="79">
        <v>1</v>
      </c>
      <c r="EF158" s="79">
        <f t="shared" si="366"/>
        <v>0</v>
      </c>
      <c r="EG158" s="79">
        <v>1</v>
      </c>
      <c r="EH158" s="79">
        <v>1</v>
      </c>
      <c r="EI158" s="79">
        <v>1</v>
      </c>
      <c r="EJ158" s="79">
        <v>1</v>
      </c>
      <c r="EK158" s="79">
        <v>1</v>
      </c>
      <c r="EL158" s="79">
        <v>1</v>
      </c>
      <c r="EM158" s="143">
        <f t="shared" si="367"/>
        <v>0</v>
      </c>
      <c r="EN158" s="143">
        <f t="shared" si="368"/>
        <v>0</v>
      </c>
      <c r="EO158" s="82">
        <f t="shared" si="369"/>
        <v>0</v>
      </c>
    </row>
    <row r="159" spans="1:145" x14ac:dyDescent="0.25">
      <c r="A159">
        <v>145</v>
      </c>
      <c r="B159" s="172" t="e">
        <f t="shared" si="338"/>
        <v>#N/A</v>
      </c>
      <c r="C159" s="121" t="e">
        <f t="shared" ref="C159:E159" si="400">AJ159-SUM(AB159:AB163)</f>
        <v>#N/A</v>
      </c>
      <c r="D159" s="122" t="e">
        <f t="shared" si="400"/>
        <v>#N/A</v>
      </c>
      <c r="E159" s="122" t="e">
        <f t="shared" si="400"/>
        <v>#N/A</v>
      </c>
      <c r="F159" s="176" t="e">
        <f t="shared" si="320"/>
        <v>#N/A</v>
      </c>
      <c r="G159" s="121">
        <f t="shared" si="340"/>
        <v>208</v>
      </c>
      <c r="H159" s="176" t="e">
        <f t="shared" si="341"/>
        <v>#N/A</v>
      </c>
      <c r="I159" s="48">
        <v>1</v>
      </c>
      <c r="J159" s="39"/>
      <c r="K159" s="350">
        <v>1</v>
      </c>
      <c r="L159" s="34" t="e">
        <f t="shared" si="321"/>
        <v>#N/A</v>
      </c>
      <c r="M159" s="38" t="e">
        <f>(HLOOKUP(J159,'Construction Times'!$B$3:$W$34,L159+2,FALSE)*HLOOKUP("hq modifier",'Construction Times'!$W$3:$W$34,BS159+2,FALSE))*(1-$H$9)</f>
        <v>#N/A</v>
      </c>
      <c r="N159" s="426" t="e">
        <f t="shared" si="342"/>
        <v>#N/A</v>
      </c>
      <c r="O159" s="427"/>
      <c r="P159" s="430" t="e">
        <f t="shared" si="343"/>
        <v>#N/A</v>
      </c>
      <c r="Q159" s="431"/>
      <c r="R159" s="103">
        <f t="shared" si="371"/>
        <v>0</v>
      </c>
      <c r="S159" s="104">
        <f t="shared" si="371"/>
        <v>0</v>
      </c>
      <c r="T159" s="104">
        <f t="shared" si="372"/>
        <v>0</v>
      </c>
      <c r="U159" s="104">
        <f t="shared" si="372"/>
        <v>0</v>
      </c>
      <c r="V159" s="104">
        <f t="shared" si="372"/>
        <v>9.9999999999999995E-8</v>
      </c>
      <c r="W159" s="104">
        <f t="shared" si="372"/>
        <v>0</v>
      </c>
      <c r="X159" s="104">
        <f t="shared" si="278"/>
        <v>0</v>
      </c>
      <c r="Y159" s="104">
        <f t="shared" si="278"/>
        <v>9.9999999999999995E-8</v>
      </c>
      <c r="Z159" s="104">
        <f t="shared" si="278"/>
        <v>9.9999999999999995E-8</v>
      </c>
      <c r="AA159" s="105">
        <f t="shared" si="278"/>
        <v>9.9999999999999995E-8</v>
      </c>
      <c r="AB159" s="101" t="e">
        <f>$DT159*HLOOKUP($J159,'Construction Costs (timber)'!$B$1:$V$32,'Construction Planner'!$L159+2,FALSE)</f>
        <v>#N/A</v>
      </c>
      <c r="AC159" s="14" t="e">
        <f>$DT159*HLOOKUP($J159,'Construction Costs (clay)'!$B$1:$V$32,'Construction Planner'!$L159+2,FALSE)</f>
        <v>#N/A</v>
      </c>
      <c r="AD159" s="14" t="e">
        <f>$DT159*HLOOKUP($J159,'Construction Costs (iron)'!$B$1:$V$32,'Construction Planner'!$L159+2,FALSE)</f>
        <v>#N/A</v>
      </c>
      <c r="AE159" s="34" t="e">
        <f t="shared" si="384"/>
        <v>#N/A</v>
      </c>
      <c r="AF159" s="33" t="e">
        <f t="shared" si="322"/>
        <v>#N/A</v>
      </c>
      <c r="AG159" s="14" t="e">
        <f t="shared" si="323"/>
        <v>#N/A</v>
      </c>
      <c r="AH159" s="14" t="e">
        <f t="shared" si="324"/>
        <v>#N/A</v>
      </c>
      <c r="AI159" s="34" t="e">
        <f t="shared" si="385"/>
        <v>#N/A</v>
      </c>
      <c r="AJ159" s="49" t="e">
        <f t="shared" si="345"/>
        <v>#N/A</v>
      </c>
      <c r="AK159" s="49" t="e">
        <f t="shared" si="346"/>
        <v>#N/A</v>
      </c>
      <c r="AL159" s="49" t="e">
        <f t="shared" si="347"/>
        <v>#N/A</v>
      </c>
      <c r="AM159" s="25">
        <f t="shared" si="325"/>
        <v>30</v>
      </c>
      <c r="AN159" s="25">
        <f t="shared" si="326"/>
        <v>30</v>
      </c>
      <c r="AO159" s="25">
        <f t="shared" si="327"/>
        <v>30</v>
      </c>
      <c r="AP159" s="52" t="e">
        <f t="shared" si="348"/>
        <v>#N/A</v>
      </c>
      <c r="AQ159" s="53" t="e">
        <f t="shared" si="348"/>
        <v>#N/A</v>
      </c>
      <c r="AR159" s="54" t="e">
        <f t="shared" si="348"/>
        <v>#N/A</v>
      </c>
      <c r="AS159" s="316">
        <f t="shared" si="386"/>
        <v>0</v>
      </c>
      <c r="AT159" s="106">
        <f>_xlfn.IFNA($M159/VLOOKUP($BT159,'Unit information'!$A$2:$K$29,2,FALSE)*R159,0)*(1+$E$9)</f>
        <v>0</v>
      </c>
      <c r="AU159" s="107">
        <f>_xlfn.IFNA($M159/VLOOKUP($BT159,'Unit information'!$A$2:$K$29,3,FALSE)*S159,0)*(1+$E$9)</f>
        <v>0</v>
      </c>
      <c r="AV159" s="107">
        <f>_xlfn.IFNA($M159/VLOOKUP($BT159,'Unit information'!$A$2:$K$29,4,FALSE)*T159,0)*(1+$E$9)</f>
        <v>0</v>
      </c>
      <c r="AW159" s="107">
        <f>_xlfn.IFNA($M159/VLOOKUP($BT159,'Unit information'!$A$2:$K$29,5,FALSE)*U159,0)*(1+$E$9)</f>
        <v>0</v>
      </c>
      <c r="AX159" s="107">
        <f>_xlfn.IFNA($M159/VLOOKUP($BU159,'Unit information'!$A$2:$K$29,6,FALSE)*V159,0)*(1+$E$9)</f>
        <v>0</v>
      </c>
      <c r="AY159" s="107">
        <f>_xlfn.IFNA($M159/VLOOKUP($BU159,'Unit information'!$A$2:$K$29,7,FALSE)*W159,0)*(1+$E$9)</f>
        <v>0</v>
      </c>
      <c r="AZ159" s="107">
        <f>_xlfn.IFNA($M159/VLOOKUP($BU159,'Unit information'!$A$2:$K$29,8,FALSE)*X159,0)*(1+$E$9)</f>
        <v>0</v>
      </c>
      <c r="BA159" s="107">
        <f>_xlfn.IFNA($M159/VLOOKUP($BU159,'Unit information'!$A$2:$K$29,9,FALSE)*Y159,0)*(1+$E$9)</f>
        <v>0</v>
      </c>
      <c r="BB159" s="107">
        <f>_xlfn.IFNA($M159/VLOOKUP($BV159,'Unit information'!$A$2:$K$29,10,FALSE)*Z159,0)*(1+$E$9)</f>
        <v>0</v>
      </c>
      <c r="BC159" s="108">
        <f>_xlfn.IFNA($M159/VLOOKUP($BV159,'Unit information'!$A$2:$K$29,11,FALSE)*AA159,0)*(1+$E$9)</f>
        <v>0</v>
      </c>
      <c r="BD159" s="106">
        <f t="shared" si="328"/>
        <v>0</v>
      </c>
      <c r="BE159" s="107">
        <f t="shared" si="329"/>
        <v>0</v>
      </c>
      <c r="BF159" s="108">
        <f t="shared" si="330"/>
        <v>0</v>
      </c>
      <c r="BG159" s="25" t="e">
        <f t="shared" si="331"/>
        <v>#N/A</v>
      </c>
      <c r="BH159" s="25" t="e">
        <f t="shared" si="332"/>
        <v>#N/A</v>
      </c>
      <c r="BI159" s="25" t="e">
        <f t="shared" si="333"/>
        <v>#N/A</v>
      </c>
      <c r="BJ159" s="27" t="e">
        <f t="shared" si="334"/>
        <v>#N/A</v>
      </c>
      <c r="BK159" s="18" t="e">
        <f t="shared" si="335"/>
        <v>#N/A</v>
      </c>
      <c r="BL159" s="18" t="e">
        <f t="shared" si="336"/>
        <v>#N/A</v>
      </c>
      <c r="BM159" s="28" t="e">
        <f t="shared" si="387"/>
        <v>#N/A</v>
      </c>
      <c r="BN159" s="33">
        <f>HLOOKUP("maximum population",Miscelaneous!$C$1:$C$33,CH159+3,FALSE)</f>
        <v>240</v>
      </c>
      <c r="BO159" s="14">
        <f t="shared" si="349"/>
        <v>32</v>
      </c>
      <c r="BP159" s="14">
        <f t="shared" si="350"/>
        <v>0</v>
      </c>
      <c r="BQ159" s="14">
        <f t="shared" si="351"/>
        <v>208</v>
      </c>
      <c r="BR159" s="34" t="e">
        <f>HLOOKUP(J159,Villagers!$B$1:$V$33,L159+3,FALSE)-HLOOKUP(J159,Villagers!$B$1:$V$33,L159+2,FALSE)</f>
        <v>#N/A</v>
      </c>
      <c r="BS159" s="49">
        <f t="shared" si="352"/>
        <v>1</v>
      </c>
      <c r="BT159" s="50">
        <f t="shared" si="353"/>
        <v>0</v>
      </c>
      <c r="BU159" s="50">
        <f t="shared" si="354"/>
        <v>0</v>
      </c>
      <c r="BV159" s="50">
        <f t="shared" si="355"/>
        <v>0</v>
      </c>
      <c r="BW159" s="50">
        <f t="shared" si="391"/>
        <v>0</v>
      </c>
      <c r="BX159" s="50">
        <f t="shared" si="392"/>
        <v>0</v>
      </c>
      <c r="BY159" s="50">
        <f t="shared" si="392"/>
        <v>0</v>
      </c>
      <c r="BZ159" s="50">
        <f t="shared" ref="BZ159:BZ222" si="401">IF($J158=BZ$14,$L158,BZ158)</f>
        <v>0</v>
      </c>
      <c r="CA159" s="50">
        <f t="shared" ref="CA159:CA222" si="402">IF($J158=CA$14,$L158,CA158)</f>
        <v>0</v>
      </c>
      <c r="CB159" s="50">
        <f t="shared" ref="CB159:CB222" si="403">IF($J158=CB$14,$L158,CB158)</f>
        <v>1</v>
      </c>
      <c r="CC159" s="50">
        <f t="shared" ref="CC159:CC222" si="404">IF($J158=CC$14,$L158,CC158)</f>
        <v>0</v>
      </c>
      <c r="CD159" s="50">
        <f t="shared" ref="CD159:CD222" si="405">IF($J158=CD$14,$L158,CD158)</f>
        <v>0</v>
      </c>
      <c r="CE159" s="50">
        <f t="shared" ref="CE159:CE222" si="406">IF($J158=CE$14,$L158,CE158)</f>
        <v>1</v>
      </c>
      <c r="CF159" s="50">
        <f t="shared" ref="CF159:CF222" si="407">IF($J158=CF$14,$L158,CF158)</f>
        <v>1</v>
      </c>
      <c r="CG159" s="50">
        <f t="shared" ref="CG159:CG222" si="408">IF($J158=CG$14,$L158,CG158)</f>
        <v>1</v>
      </c>
      <c r="CH159" s="50">
        <f t="shared" ref="CH159:CH222" si="409">IF($J158=CH$14,$L158,CH158)</f>
        <v>1</v>
      </c>
      <c r="CI159" s="50">
        <f t="shared" ref="CI159:CI222" si="410">IF($J158=CI$14,$L158,CI158)</f>
        <v>1</v>
      </c>
      <c r="CJ159" s="50">
        <f t="shared" ref="CJ159:CL222" si="411">IF($J158=CJ$14,$L158,CJ158)</f>
        <v>1</v>
      </c>
      <c r="CK159" s="50">
        <f t="shared" si="411"/>
        <v>0</v>
      </c>
      <c r="CL159" s="50">
        <f t="shared" si="411"/>
        <v>0</v>
      </c>
      <c r="CM159" s="51">
        <f t="shared" ref="CM159:CM174" si="412">IF($J158=CM$14,$L158,CM158)</f>
        <v>0</v>
      </c>
      <c r="CN159" s="33">
        <f>ROUND(IF(BS159=0,0,HLOOKUP(BS$14,Villagers!$B$1:$V$33,BS159+3,FALSE)),)</f>
        <v>5</v>
      </c>
      <c r="CO159" s="14">
        <f>ROUND(IF(BT159=0,0,HLOOKUP(BT$14,Villagers!$B$1:$V$33,BT159+3,FALSE)),)</f>
        <v>0</v>
      </c>
      <c r="CP159" s="14">
        <f>ROUND(IF(BU159=0,0,HLOOKUP(BU$14,Villagers!$B$1:$V$33,BU159+3,FALSE)),)</f>
        <v>0</v>
      </c>
      <c r="CQ159" s="14">
        <f>ROUND(IF(BV159=0,0,HLOOKUP(BV$14,Villagers!$B$1:$V$33,BV159+3,FALSE)),)</f>
        <v>0</v>
      </c>
      <c r="CR159" s="14">
        <f>ROUND(IF(BW159=0,0,HLOOKUP(BW$14,Villagers!$B$1:$V$33,BW159+3,FALSE)),)</f>
        <v>0</v>
      </c>
      <c r="CS159" s="14">
        <f>ROUND(IF(BX159=0,0,HLOOKUP(BX$14,Villagers!$B$1:$V$33,BX159+3,FALSE)),)</f>
        <v>0</v>
      </c>
      <c r="CT159" s="14">
        <f>ROUND(IF(BY159=0,0,HLOOKUP(BY$14,Villagers!$B$1:$V$33,BY159+3,FALSE)),)</f>
        <v>0</v>
      </c>
      <c r="CU159" s="14">
        <f>ROUND(IF(BZ159=0,0,HLOOKUP(BZ$14,Villagers!$B$1:$V$33,BZ159+3,FALSE)),)</f>
        <v>0</v>
      </c>
      <c r="CV159" s="14">
        <f>ROUND(IF(CA159=0,0,HLOOKUP(CA$14,Villagers!$B$1:$V$33,CA159+3,FALSE)),)</f>
        <v>0</v>
      </c>
      <c r="CW159" s="14">
        <f>ROUND(IF(CB159=0,0,HLOOKUP(CB$14,Villagers!$B$1:$V$33,CB159+3,FALSE)),)</f>
        <v>0</v>
      </c>
      <c r="CX159" s="14">
        <f>ROUND(IF(CC159=0,0,HLOOKUP(CC$14,Villagers!$B$1:$V$33,CC159+3,FALSE)),)</f>
        <v>0</v>
      </c>
      <c r="CY159" s="14">
        <f>ROUND(IF(CD159=0,0,HLOOKUP(CD$14,Villagers!$B$1:$V$33,CD159+3,FALSE)),)</f>
        <v>0</v>
      </c>
      <c r="CZ159" s="14">
        <f>ROUND(IF(CE159=0,0,HLOOKUP(CE$14,Villagers!$B$1:$V$33,CE159+3,FALSE)),)</f>
        <v>5</v>
      </c>
      <c r="DA159" s="14">
        <f>ROUND(IF(CF159=0,0,HLOOKUP(CF$14,Villagers!$B$1:$V$33,CF159+3,FALSE)),)</f>
        <v>10</v>
      </c>
      <c r="DB159" s="14">
        <f>ROUND(IF(CG159=0,0,HLOOKUP(CG$14,Villagers!$B$1:$V$33,CG159+3,FALSE)),)</f>
        <v>10</v>
      </c>
      <c r="DC159" s="14">
        <f>ROUND(IF(CH159=0,0,HLOOKUP(CH$14,Villagers!$B$1:$V$33,CH159+3,FALSE)),)</f>
        <v>0</v>
      </c>
      <c r="DD159" s="14">
        <f>ROUND(IF(CI159=0,0,HLOOKUP(CI$14,Villagers!$B$1:$V$33,CI159+3,FALSE)),)</f>
        <v>0</v>
      </c>
      <c r="DE159" s="14">
        <f>ROUND(IF(CJ159=0,0,HLOOKUP(CJ$14,Villagers!$B$1:$V$33,CJ159+3,FALSE)),)</f>
        <v>2</v>
      </c>
      <c r="DF159" s="370">
        <f>ROUND(IF(CK159=0,0,HLOOKUP(CK$14,Villagers!$B$1:$V$33,CK159+3,FALSE)),)</f>
        <v>0</v>
      </c>
      <c r="DG159" s="370">
        <f>ROUND(IF(CL159=0,0,HLOOKUP(CL$14,Villagers!$B$1:$V$33,CL159+3,FALSE)),)</f>
        <v>0</v>
      </c>
      <c r="DH159" s="34">
        <f>ROUND(IF(CM159=0,0,HLOOKUP(CM$14,Villagers!$B$1:$V$33,CM159+3,FALSE)),)</f>
        <v>0</v>
      </c>
      <c r="DI159" s="109">
        <f t="shared" si="373"/>
        <v>0</v>
      </c>
      <c r="DJ159" s="50">
        <f t="shared" si="374"/>
        <v>0</v>
      </c>
      <c r="DK159" s="50">
        <f t="shared" si="375"/>
        <v>0</v>
      </c>
      <c r="DL159" s="50">
        <f t="shared" si="376"/>
        <v>0</v>
      </c>
      <c r="DM159" s="50">
        <f t="shared" si="377"/>
        <v>0</v>
      </c>
      <c r="DN159" s="50">
        <f t="shared" si="378"/>
        <v>0</v>
      </c>
      <c r="DO159" s="50">
        <f t="shared" si="379"/>
        <v>0</v>
      </c>
      <c r="DP159" s="50">
        <f t="shared" si="380"/>
        <v>0</v>
      </c>
      <c r="DQ159" s="50">
        <f t="shared" si="357"/>
        <v>0</v>
      </c>
      <c r="DR159" s="50">
        <f t="shared" si="358"/>
        <v>0</v>
      </c>
      <c r="DS159" s="96">
        <f>Miscelaneous!$D$4*Miscelaneous!$D$2^($CI159-1)</f>
        <v>1000</v>
      </c>
      <c r="DT159" s="333">
        <f t="shared" si="337"/>
        <v>1</v>
      </c>
      <c r="DU159" s="81">
        <v>1</v>
      </c>
      <c r="DV159" s="79">
        <f t="shared" si="359"/>
        <v>0</v>
      </c>
      <c r="DW159" s="79">
        <f t="shared" si="360"/>
        <v>0</v>
      </c>
      <c r="DX159" s="79">
        <f t="shared" si="361"/>
        <v>0</v>
      </c>
      <c r="DY159" s="79">
        <v>1</v>
      </c>
      <c r="DZ159" s="79">
        <f t="shared" si="362"/>
        <v>0</v>
      </c>
      <c r="EA159" s="79">
        <f t="shared" si="363"/>
        <v>0</v>
      </c>
      <c r="EB159" s="79">
        <f t="shared" si="364"/>
        <v>0</v>
      </c>
      <c r="EC159" s="79">
        <f t="shared" si="365"/>
        <v>0</v>
      </c>
      <c r="ED159" s="79">
        <v>1</v>
      </c>
      <c r="EE159" s="79">
        <v>1</v>
      </c>
      <c r="EF159" s="79">
        <f t="shared" si="366"/>
        <v>0</v>
      </c>
      <c r="EG159" s="79">
        <v>1</v>
      </c>
      <c r="EH159" s="79">
        <v>1</v>
      </c>
      <c r="EI159" s="79">
        <v>1</v>
      </c>
      <c r="EJ159" s="79">
        <v>1</v>
      </c>
      <c r="EK159" s="79">
        <v>1</v>
      </c>
      <c r="EL159" s="79">
        <v>1</v>
      </c>
      <c r="EM159" s="143">
        <f t="shared" si="367"/>
        <v>0</v>
      </c>
      <c r="EN159" s="143">
        <f t="shared" si="368"/>
        <v>0</v>
      </c>
      <c r="EO159" s="82">
        <f t="shared" si="369"/>
        <v>0</v>
      </c>
    </row>
    <row r="160" spans="1:145" x14ac:dyDescent="0.25">
      <c r="A160">
        <v>146</v>
      </c>
      <c r="B160" s="172" t="e">
        <f t="shared" si="338"/>
        <v>#N/A</v>
      </c>
      <c r="C160" s="121" t="e">
        <f t="shared" ref="C160:E160" si="413">AJ160-SUM(AB160:AB164)</f>
        <v>#N/A</v>
      </c>
      <c r="D160" s="122" t="e">
        <f t="shared" si="413"/>
        <v>#N/A</v>
      </c>
      <c r="E160" s="122" t="e">
        <f t="shared" si="413"/>
        <v>#N/A</v>
      </c>
      <c r="F160" s="176" t="e">
        <f t="shared" si="320"/>
        <v>#N/A</v>
      </c>
      <c r="G160" s="121">
        <f t="shared" si="340"/>
        <v>208</v>
      </c>
      <c r="H160" s="176" t="e">
        <f t="shared" si="341"/>
        <v>#N/A</v>
      </c>
      <c r="I160" s="48">
        <v>1</v>
      </c>
      <c r="J160" s="39"/>
      <c r="K160" s="350">
        <v>1</v>
      </c>
      <c r="L160" s="34" t="e">
        <f t="shared" si="321"/>
        <v>#N/A</v>
      </c>
      <c r="M160" s="38" t="e">
        <f>(HLOOKUP(J160,'Construction Times'!$B$3:$W$34,L160+2,FALSE)*HLOOKUP("hq modifier",'Construction Times'!$W$3:$W$34,BS160+2,FALSE))*(1-$H$9)</f>
        <v>#N/A</v>
      </c>
      <c r="N160" s="426" t="e">
        <f t="shared" si="342"/>
        <v>#N/A</v>
      </c>
      <c r="O160" s="427"/>
      <c r="P160" s="430" t="e">
        <f t="shared" si="343"/>
        <v>#N/A</v>
      </c>
      <c r="Q160" s="431"/>
      <c r="R160" s="103">
        <f t="shared" si="371"/>
        <v>0</v>
      </c>
      <c r="S160" s="104">
        <f t="shared" si="371"/>
        <v>0</v>
      </c>
      <c r="T160" s="104">
        <f t="shared" si="372"/>
        <v>0</v>
      </c>
      <c r="U160" s="104">
        <f t="shared" si="372"/>
        <v>0</v>
      </c>
      <c r="V160" s="104">
        <f t="shared" si="372"/>
        <v>9.9999999999999995E-8</v>
      </c>
      <c r="W160" s="104">
        <f t="shared" si="372"/>
        <v>0</v>
      </c>
      <c r="X160" s="104">
        <f t="shared" si="278"/>
        <v>0</v>
      </c>
      <c r="Y160" s="104">
        <f t="shared" si="278"/>
        <v>9.9999999999999995E-8</v>
      </c>
      <c r="Z160" s="104">
        <f t="shared" si="278"/>
        <v>9.9999999999999995E-8</v>
      </c>
      <c r="AA160" s="105">
        <f t="shared" si="278"/>
        <v>9.9999999999999995E-8</v>
      </c>
      <c r="AB160" s="101" t="e">
        <f>$DT160*HLOOKUP($J160,'Construction Costs (timber)'!$B$1:$V$32,'Construction Planner'!$L160+2,FALSE)</f>
        <v>#N/A</v>
      </c>
      <c r="AC160" s="14" t="e">
        <f>$DT160*HLOOKUP($J160,'Construction Costs (clay)'!$B$1:$V$32,'Construction Planner'!$L160+2,FALSE)</f>
        <v>#N/A</v>
      </c>
      <c r="AD160" s="14" t="e">
        <f>$DT160*HLOOKUP($J160,'Construction Costs (iron)'!$B$1:$V$32,'Construction Planner'!$L160+2,FALSE)</f>
        <v>#N/A</v>
      </c>
      <c r="AE160" s="34" t="e">
        <f t="shared" si="384"/>
        <v>#N/A</v>
      </c>
      <c r="AF160" s="33" t="e">
        <f t="shared" si="322"/>
        <v>#N/A</v>
      </c>
      <c r="AG160" s="14" t="e">
        <f t="shared" si="323"/>
        <v>#N/A</v>
      </c>
      <c r="AH160" s="14" t="e">
        <f t="shared" si="324"/>
        <v>#N/A</v>
      </c>
      <c r="AI160" s="34" t="e">
        <f t="shared" si="385"/>
        <v>#N/A</v>
      </c>
      <c r="AJ160" s="49" t="e">
        <f t="shared" si="345"/>
        <v>#N/A</v>
      </c>
      <c r="AK160" s="49" t="e">
        <f t="shared" si="346"/>
        <v>#N/A</v>
      </c>
      <c r="AL160" s="49" t="e">
        <f t="shared" si="347"/>
        <v>#N/A</v>
      </c>
      <c r="AM160" s="25">
        <f t="shared" si="325"/>
        <v>30</v>
      </c>
      <c r="AN160" s="25">
        <f t="shared" si="326"/>
        <v>30</v>
      </c>
      <c r="AO160" s="25">
        <f t="shared" si="327"/>
        <v>30</v>
      </c>
      <c r="AP160" s="52" t="e">
        <f t="shared" si="348"/>
        <v>#N/A</v>
      </c>
      <c r="AQ160" s="53" t="e">
        <f t="shared" si="348"/>
        <v>#N/A</v>
      </c>
      <c r="AR160" s="54" t="e">
        <f t="shared" si="348"/>
        <v>#N/A</v>
      </c>
      <c r="AS160" s="316">
        <f t="shared" si="386"/>
        <v>0</v>
      </c>
      <c r="AT160" s="106">
        <f>_xlfn.IFNA($M160/VLOOKUP($BT160,'Unit information'!$A$2:$K$29,2,FALSE)*R160,0)*(1+$E$9)</f>
        <v>0</v>
      </c>
      <c r="AU160" s="107">
        <f>_xlfn.IFNA($M160/VLOOKUP($BT160,'Unit information'!$A$2:$K$29,3,FALSE)*S160,0)*(1+$E$9)</f>
        <v>0</v>
      </c>
      <c r="AV160" s="107">
        <f>_xlfn.IFNA($M160/VLOOKUP($BT160,'Unit information'!$A$2:$K$29,4,FALSE)*T160,0)*(1+$E$9)</f>
        <v>0</v>
      </c>
      <c r="AW160" s="107">
        <f>_xlfn.IFNA($M160/VLOOKUP($BT160,'Unit information'!$A$2:$K$29,5,FALSE)*U160,0)*(1+$E$9)</f>
        <v>0</v>
      </c>
      <c r="AX160" s="107">
        <f>_xlfn.IFNA($M160/VLOOKUP($BU160,'Unit information'!$A$2:$K$29,6,FALSE)*V160,0)*(1+$E$9)</f>
        <v>0</v>
      </c>
      <c r="AY160" s="107">
        <f>_xlfn.IFNA($M160/VLOOKUP($BU160,'Unit information'!$A$2:$K$29,7,FALSE)*W160,0)*(1+$E$9)</f>
        <v>0</v>
      </c>
      <c r="AZ160" s="107">
        <f>_xlfn.IFNA($M160/VLOOKUP($BU160,'Unit information'!$A$2:$K$29,8,FALSE)*X160,0)*(1+$E$9)</f>
        <v>0</v>
      </c>
      <c r="BA160" s="107">
        <f>_xlfn.IFNA($M160/VLOOKUP($BU160,'Unit information'!$A$2:$K$29,9,FALSE)*Y160,0)*(1+$E$9)</f>
        <v>0</v>
      </c>
      <c r="BB160" s="107">
        <f>_xlfn.IFNA($M160/VLOOKUP($BV160,'Unit information'!$A$2:$K$29,10,FALSE)*Z160,0)*(1+$E$9)</f>
        <v>0</v>
      </c>
      <c r="BC160" s="108">
        <f>_xlfn.IFNA($M160/VLOOKUP($BV160,'Unit information'!$A$2:$K$29,11,FALSE)*AA160,0)*(1+$E$9)</f>
        <v>0</v>
      </c>
      <c r="BD160" s="106">
        <f t="shared" si="328"/>
        <v>0</v>
      </c>
      <c r="BE160" s="107">
        <f t="shared" si="329"/>
        <v>0</v>
      </c>
      <c r="BF160" s="108">
        <f t="shared" si="330"/>
        <v>0</v>
      </c>
      <c r="BG160" s="25" t="e">
        <f t="shared" si="331"/>
        <v>#N/A</v>
      </c>
      <c r="BH160" s="25" t="e">
        <f t="shared" si="332"/>
        <v>#N/A</v>
      </c>
      <c r="BI160" s="25" t="e">
        <f t="shared" si="333"/>
        <v>#N/A</v>
      </c>
      <c r="BJ160" s="27" t="e">
        <f t="shared" si="334"/>
        <v>#N/A</v>
      </c>
      <c r="BK160" s="18" t="e">
        <f t="shared" si="335"/>
        <v>#N/A</v>
      </c>
      <c r="BL160" s="18" t="e">
        <f t="shared" si="336"/>
        <v>#N/A</v>
      </c>
      <c r="BM160" s="28" t="e">
        <f t="shared" si="387"/>
        <v>#N/A</v>
      </c>
      <c r="BN160" s="33">
        <f>HLOOKUP("maximum population",Miscelaneous!$C$1:$C$33,CH160+3,FALSE)</f>
        <v>240</v>
      </c>
      <c r="BO160" s="14">
        <f t="shared" si="349"/>
        <v>32</v>
      </c>
      <c r="BP160" s="14">
        <f t="shared" si="350"/>
        <v>0</v>
      </c>
      <c r="BQ160" s="14">
        <f t="shared" si="351"/>
        <v>208</v>
      </c>
      <c r="BR160" s="34" t="e">
        <f>HLOOKUP(J160,Villagers!$B$1:$V$33,L160+3,FALSE)-HLOOKUP(J160,Villagers!$B$1:$V$33,L160+2,FALSE)</f>
        <v>#N/A</v>
      </c>
      <c r="BS160" s="49">
        <f t="shared" si="352"/>
        <v>1</v>
      </c>
      <c r="BT160" s="50">
        <f t="shared" si="353"/>
        <v>0</v>
      </c>
      <c r="BU160" s="50">
        <f t="shared" si="354"/>
        <v>0</v>
      </c>
      <c r="BV160" s="50">
        <f t="shared" si="355"/>
        <v>0</v>
      </c>
      <c r="BW160" s="50">
        <f t="shared" si="391"/>
        <v>0</v>
      </c>
      <c r="BX160" s="50">
        <f t="shared" si="392"/>
        <v>0</v>
      </c>
      <c r="BY160" s="50">
        <f t="shared" si="392"/>
        <v>0</v>
      </c>
      <c r="BZ160" s="50">
        <f t="shared" si="401"/>
        <v>0</v>
      </c>
      <c r="CA160" s="50">
        <f t="shared" si="402"/>
        <v>0</v>
      </c>
      <c r="CB160" s="50">
        <f t="shared" si="403"/>
        <v>1</v>
      </c>
      <c r="CC160" s="50">
        <f t="shared" si="404"/>
        <v>0</v>
      </c>
      <c r="CD160" s="50">
        <f t="shared" si="405"/>
        <v>0</v>
      </c>
      <c r="CE160" s="50">
        <f t="shared" si="406"/>
        <v>1</v>
      </c>
      <c r="CF160" s="50">
        <f t="shared" si="407"/>
        <v>1</v>
      </c>
      <c r="CG160" s="50">
        <f t="shared" si="408"/>
        <v>1</v>
      </c>
      <c r="CH160" s="50">
        <f t="shared" si="409"/>
        <v>1</v>
      </c>
      <c r="CI160" s="50">
        <f t="shared" si="410"/>
        <v>1</v>
      </c>
      <c r="CJ160" s="50">
        <f t="shared" si="411"/>
        <v>1</v>
      </c>
      <c r="CK160" s="50">
        <f t="shared" si="411"/>
        <v>0</v>
      </c>
      <c r="CL160" s="50">
        <f t="shared" si="411"/>
        <v>0</v>
      </c>
      <c r="CM160" s="51">
        <f t="shared" si="412"/>
        <v>0</v>
      </c>
      <c r="CN160" s="33">
        <f>ROUND(IF(BS160=0,0,HLOOKUP(BS$14,Villagers!$B$1:$V$33,BS160+3,FALSE)),)</f>
        <v>5</v>
      </c>
      <c r="CO160" s="14">
        <f>ROUND(IF(BT160=0,0,HLOOKUP(BT$14,Villagers!$B$1:$V$33,BT160+3,FALSE)),)</f>
        <v>0</v>
      </c>
      <c r="CP160" s="14">
        <f>ROUND(IF(BU160=0,0,HLOOKUP(BU$14,Villagers!$B$1:$V$33,BU160+3,FALSE)),)</f>
        <v>0</v>
      </c>
      <c r="CQ160" s="14">
        <f>ROUND(IF(BV160=0,0,HLOOKUP(BV$14,Villagers!$B$1:$V$33,BV160+3,FALSE)),)</f>
        <v>0</v>
      </c>
      <c r="CR160" s="14">
        <f>ROUND(IF(BW160=0,0,HLOOKUP(BW$14,Villagers!$B$1:$V$33,BW160+3,FALSE)),)</f>
        <v>0</v>
      </c>
      <c r="CS160" s="14">
        <f>ROUND(IF(BX160=0,0,HLOOKUP(BX$14,Villagers!$B$1:$V$33,BX160+3,FALSE)),)</f>
        <v>0</v>
      </c>
      <c r="CT160" s="14">
        <f>ROUND(IF(BY160=0,0,HLOOKUP(BY$14,Villagers!$B$1:$V$33,BY160+3,FALSE)),)</f>
        <v>0</v>
      </c>
      <c r="CU160" s="14">
        <f>ROUND(IF(BZ160=0,0,HLOOKUP(BZ$14,Villagers!$B$1:$V$33,BZ160+3,FALSE)),)</f>
        <v>0</v>
      </c>
      <c r="CV160" s="14">
        <f>ROUND(IF(CA160=0,0,HLOOKUP(CA$14,Villagers!$B$1:$V$33,CA160+3,FALSE)),)</f>
        <v>0</v>
      </c>
      <c r="CW160" s="14">
        <f>ROUND(IF(CB160=0,0,HLOOKUP(CB$14,Villagers!$B$1:$V$33,CB160+3,FALSE)),)</f>
        <v>0</v>
      </c>
      <c r="CX160" s="14">
        <f>ROUND(IF(CC160=0,0,HLOOKUP(CC$14,Villagers!$B$1:$V$33,CC160+3,FALSE)),)</f>
        <v>0</v>
      </c>
      <c r="CY160" s="14">
        <f>ROUND(IF(CD160=0,0,HLOOKUP(CD$14,Villagers!$B$1:$V$33,CD160+3,FALSE)),)</f>
        <v>0</v>
      </c>
      <c r="CZ160" s="14">
        <f>ROUND(IF(CE160=0,0,HLOOKUP(CE$14,Villagers!$B$1:$V$33,CE160+3,FALSE)),)</f>
        <v>5</v>
      </c>
      <c r="DA160" s="14">
        <f>ROUND(IF(CF160=0,0,HLOOKUP(CF$14,Villagers!$B$1:$V$33,CF160+3,FALSE)),)</f>
        <v>10</v>
      </c>
      <c r="DB160" s="14">
        <f>ROUND(IF(CG160=0,0,HLOOKUP(CG$14,Villagers!$B$1:$V$33,CG160+3,FALSE)),)</f>
        <v>10</v>
      </c>
      <c r="DC160" s="14">
        <f>ROUND(IF(CH160=0,0,HLOOKUP(CH$14,Villagers!$B$1:$V$33,CH160+3,FALSE)),)</f>
        <v>0</v>
      </c>
      <c r="DD160" s="14">
        <f>ROUND(IF(CI160=0,0,HLOOKUP(CI$14,Villagers!$B$1:$V$33,CI160+3,FALSE)),)</f>
        <v>0</v>
      </c>
      <c r="DE160" s="14">
        <f>ROUND(IF(CJ160=0,0,HLOOKUP(CJ$14,Villagers!$B$1:$V$33,CJ160+3,FALSE)),)</f>
        <v>2</v>
      </c>
      <c r="DF160" s="370">
        <f>ROUND(IF(CK160=0,0,HLOOKUP(CK$14,Villagers!$B$1:$V$33,CK160+3,FALSE)),)</f>
        <v>0</v>
      </c>
      <c r="DG160" s="370">
        <f>ROUND(IF(CL160=0,0,HLOOKUP(CL$14,Villagers!$B$1:$V$33,CL160+3,FALSE)),)</f>
        <v>0</v>
      </c>
      <c r="DH160" s="34">
        <f>ROUND(IF(CM160=0,0,HLOOKUP(CM$14,Villagers!$B$1:$V$33,CM160+3,FALSE)),)</f>
        <v>0</v>
      </c>
      <c r="DI160" s="109">
        <f t="shared" si="373"/>
        <v>0</v>
      </c>
      <c r="DJ160" s="50">
        <f t="shared" si="374"/>
        <v>0</v>
      </c>
      <c r="DK160" s="50">
        <f t="shared" si="375"/>
        <v>0</v>
      </c>
      <c r="DL160" s="50">
        <f t="shared" si="376"/>
        <v>0</v>
      </c>
      <c r="DM160" s="50">
        <f t="shared" si="377"/>
        <v>0</v>
      </c>
      <c r="DN160" s="50">
        <f t="shared" si="378"/>
        <v>0</v>
      </c>
      <c r="DO160" s="50">
        <f t="shared" si="379"/>
        <v>0</v>
      </c>
      <c r="DP160" s="50">
        <f t="shared" si="380"/>
        <v>0</v>
      </c>
      <c r="DQ160" s="50">
        <f t="shared" si="357"/>
        <v>0</v>
      </c>
      <c r="DR160" s="50">
        <f t="shared" si="358"/>
        <v>0</v>
      </c>
      <c r="DS160" s="96">
        <f>Miscelaneous!$D$4*Miscelaneous!$D$2^($CI160-1)</f>
        <v>1000</v>
      </c>
      <c r="DT160" s="333">
        <f t="shared" si="337"/>
        <v>1</v>
      </c>
      <c r="DU160" s="81">
        <v>1</v>
      </c>
      <c r="DV160" s="79">
        <f t="shared" si="359"/>
        <v>0</v>
      </c>
      <c r="DW160" s="79">
        <f t="shared" si="360"/>
        <v>0</v>
      </c>
      <c r="DX160" s="79">
        <f t="shared" si="361"/>
        <v>0</v>
      </c>
      <c r="DY160" s="79">
        <v>1</v>
      </c>
      <c r="DZ160" s="79">
        <f t="shared" si="362"/>
        <v>0</v>
      </c>
      <c r="EA160" s="79">
        <f t="shared" si="363"/>
        <v>0</v>
      </c>
      <c r="EB160" s="79">
        <f t="shared" si="364"/>
        <v>0</v>
      </c>
      <c r="EC160" s="79">
        <f t="shared" si="365"/>
        <v>0</v>
      </c>
      <c r="ED160" s="79">
        <v>1</v>
      </c>
      <c r="EE160" s="79">
        <v>1</v>
      </c>
      <c r="EF160" s="79">
        <f t="shared" si="366"/>
        <v>0</v>
      </c>
      <c r="EG160" s="79">
        <v>1</v>
      </c>
      <c r="EH160" s="79">
        <v>1</v>
      </c>
      <c r="EI160" s="79">
        <v>1</v>
      </c>
      <c r="EJ160" s="79">
        <v>1</v>
      </c>
      <c r="EK160" s="79">
        <v>1</v>
      </c>
      <c r="EL160" s="79">
        <v>1</v>
      </c>
      <c r="EM160" s="143">
        <f t="shared" si="367"/>
        <v>0</v>
      </c>
      <c r="EN160" s="143">
        <f t="shared" si="368"/>
        <v>0</v>
      </c>
      <c r="EO160" s="82">
        <f t="shared" si="369"/>
        <v>0</v>
      </c>
    </row>
    <row r="161" spans="1:145" x14ac:dyDescent="0.25">
      <c r="A161">
        <v>147</v>
      </c>
      <c r="B161" s="172" t="e">
        <f t="shared" si="338"/>
        <v>#N/A</v>
      </c>
      <c r="C161" s="121" t="e">
        <f t="shared" ref="C161:E161" si="414">AJ161-SUM(AB161:AB165)</f>
        <v>#N/A</v>
      </c>
      <c r="D161" s="122" t="e">
        <f t="shared" si="414"/>
        <v>#N/A</v>
      </c>
      <c r="E161" s="122" t="e">
        <f t="shared" si="414"/>
        <v>#N/A</v>
      </c>
      <c r="F161" s="176" t="e">
        <f t="shared" si="320"/>
        <v>#N/A</v>
      </c>
      <c r="G161" s="121">
        <f t="shared" si="340"/>
        <v>208</v>
      </c>
      <c r="H161" s="176" t="e">
        <f t="shared" si="341"/>
        <v>#N/A</v>
      </c>
      <c r="I161" s="48">
        <v>1</v>
      </c>
      <c r="J161" s="39"/>
      <c r="K161" s="350">
        <v>1</v>
      </c>
      <c r="L161" s="34" t="e">
        <f t="shared" si="321"/>
        <v>#N/A</v>
      </c>
      <c r="M161" s="38" t="e">
        <f>(HLOOKUP(J161,'Construction Times'!$B$3:$W$34,L161+2,FALSE)*HLOOKUP("hq modifier",'Construction Times'!$W$3:$W$34,BS161+2,FALSE))*(1-$H$9)</f>
        <v>#N/A</v>
      </c>
      <c r="N161" s="426" t="e">
        <f t="shared" si="342"/>
        <v>#N/A</v>
      </c>
      <c r="O161" s="427"/>
      <c r="P161" s="430" t="e">
        <f t="shared" si="343"/>
        <v>#N/A</v>
      </c>
      <c r="Q161" s="431"/>
      <c r="R161" s="103">
        <f t="shared" si="371"/>
        <v>0</v>
      </c>
      <c r="S161" s="104">
        <f t="shared" si="371"/>
        <v>0</v>
      </c>
      <c r="T161" s="104">
        <f t="shared" si="372"/>
        <v>0</v>
      </c>
      <c r="U161" s="104">
        <f t="shared" si="372"/>
        <v>0</v>
      </c>
      <c r="V161" s="104">
        <f t="shared" si="372"/>
        <v>9.9999999999999995E-8</v>
      </c>
      <c r="W161" s="104">
        <f t="shared" si="372"/>
        <v>0</v>
      </c>
      <c r="X161" s="104">
        <f t="shared" si="278"/>
        <v>0</v>
      </c>
      <c r="Y161" s="104">
        <f t="shared" si="278"/>
        <v>9.9999999999999995E-8</v>
      </c>
      <c r="Z161" s="104">
        <f t="shared" si="278"/>
        <v>9.9999999999999995E-8</v>
      </c>
      <c r="AA161" s="105">
        <f t="shared" si="278"/>
        <v>9.9999999999999995E-8</v>
      </c>
      <c r="AB161" s="101" t="e">
        <f>$DT161*HLOOKUP($J161,'Construction Costs (timber)'!$B$1:$V$32,'Construction Planner'!$L161+2,FALSE)</f>
        <v>#N/A</v>
      </c>
      <c r="AC161" s="14" t="e">
        <f>$DT161*HLOOKUP($J161,'Construction Costs (clay)'!$B$1:$V$32,'Construction Planner'!$L161+2,FALSE)</f>
        <v>#N/A</v>
      </c>
      <c r="AD161" s="14" t="e">
        <f>$DT161*HLOOKUP($J161,'Construction Costs (iron)'!$B$1:$V$32,'Construction Planner'!$L161+2,FALSE)</f>
        <v>#N/A</v>
      </c>
      <c r="AE161" s="34" t="e">
        <f t="shared" si="384"/>
        <v>#N/A</v>
      </c>
      <c r="AF161" s="33" t="e">
        <f t="shared" si="322"/>
        <v>#N/A</v>
      </c>
      <c r="AG161" s="14" t="e">
        <f t="shared" si="323"/>
        <v>#N/A</v>
      </c>
      <c r="AH161" s="14" t="e">
        <f t="shared" si="324"/>
        <v>#N/A</v>
      </c>
      <c r="AI161" s="34" t="e">
        <f t="shared" si="385"/>
        <v>#N/A</v>
      </c>
      <c r="AJ161" s="49" t="e">
        <f t="shared" si="345"/>
        <v>#N/A</v>
      </c>
      <c r="AK161" s="49" t="e">
        <f t="shared" si="346"/>
        <v>#N/A</v>
      </c>
      <c r="AL161" s="49" t="e">
        <f t="shared" si="347"/>
        <v>#N/A</v>
      </c>
      <c r="AM161" s="25">
        <f t="shared" si="325"/>
        <v>30</v>
      </c>
      <c r="AN161" s="25">
        <f t="shared" si="326"/>
        <v>30</v>
      </c>
      <c r="AO161" s="25">
        <f t="shared" si="327"/>
        <v>30</v>
      </c>
      <c r="AP161" s="52" t="e">
        <f t="shared" si="348"/>
        <v>#N/A</v>
      </c>
      <c r="AQ161" s="53" t="e">
        <f t="shared" si="348"/>
        <v>#N/A</v>
      </c>
      <c r="AR161" s="54" t="e">
        <f t="shared" si="348"/>
        <v>#N/A</v>
      </c>
      <c r="AS161" s="316">
        <f t="shared" si="386"/>
        <v>0</v>
      </c>
      <c r="AT161" s="106">
        <f>_xlfn.IFNA($M161/VLOOKUP($BT161,'Unit information'!$A$2:$K$29,2,FALSE)*R161,0)*(1+$E$9)</f>
        <v>0</v>
      </c>
      <c r="AU161" s="107">
        <f>_xlfn.IFNA($M161/VLOOKUP($BT161,'Unit information'!$A$2:$K$29,3,FALSE)*S161,0)*(1+$E$9)</f>
        <v>0</v>
      </c>
      <c r="AV161" s="107">
        <f>_xlfn.IFNA($M161/VLOOKUP($BT161,'Unit information'!$A$2:$K$29,4,FALSE)*T161,0)*(1+$E$9)</f>
        <v>0</v>
      </c>
      <c r="AW161" s="107">
        <f>_xlfn.IFNA($M161/VLOOKUP($BT161,'Unit information'!$A$2:$K$29,5,FALSE)*U161,0)*(1+$E$9)</f>
        <v>0</v>
      </c>
      <c r="AX161" s="107">
        <f>_xlfn.IFNA($M161/VLOOKUP($BU161,'Unit information'!$A$2:$K$29,6,FALSE)*V161,0)*(1+$E$9)</f>
        <v>0</v>
      </c>
      <c r="AY161" s="107">
        <f>_xlfn.IFNA($M161/VLOOKUP($BU161,'Unit information'!$A$2:$K$29,7,FALSE)*W161,0)*(1+$E$9)</f>
        <v>0</v>
      </c>
      <c r="AZ161" s="107">
        <f>_xlfn.IFNA($M161/VLOOKUP($BU161,'Unit information'!$A$2:$K$29,8,FALSE)*X161,0)*(1+$E$9)</f>
        <v>0</v>
      </c>
      <c r="BA161" s="107">
        <f>_xlfn.IFNA($M161/VLOOKUP($BU161,'Unit information'!$A$2:$K$29,9,FALSE)*Y161,0)*(1+$E$9)</f>
        <v>0</v>
      </c>
      <c r="BB161" s="107">
        <f>_xlfn.IFNA($M161/VLOOKUP($BV161,'Unit information'!$A$2:$K$29,10,FALSE)*Z161,0)*(1+$E$9)</f>
        <v>0</v>
      </c>
      <c r="BC161" s="108">
        <f>_xlfn.IFNA($M161/VLOOKUP($BV161,'Unit information'!$A$2:$K$29,11,FALSE)*AA161,0)*(1+$E$9)</f>
        <v>0</v>
      </c>
      <c r="BD161" s="106">
        <f t="shared" si="328"/>
        <v>0</v>
      </c>
      <c r="BE161" s="107">
        <f t="shared" si="329"/>
        <v>0</v>
      </c>
      <c r="BF161" s="108">
        <f t="shared" si="330"/>
        <v>0</v>
      </c>
      <c r="BG161" s="25" t="e">
        <f t="shared" si="331"/>
        <v>#N/A</v>
      </c>
      <c r="BH161" s="25" t="e">
        <f t="shared" si="332"/>
        <v>#N/A</v>
      </c>
      <c r="BI161" s="25" t="e">
        <f t="shared" si="333"/>
        <v>#N/A</v>
      </c>
      <c r="BJ161" s="27" t="e">
        <f t="shared" si="334"/>
        <v>#N/A</v>
      </c>
      <c r="BK161" s="18" t="e">
        <f t="shared" si="335"/>
        <v>#N/A</v>
      </c>
      <c r="BL161" s="18" t="e">
        <f t="shared" si="336"/>
        <v>#N/A</v>
      </c>
      <c r="BM161" s="28" t="e">
        <f t="shared" si="387"/>
        <v>#N/A</v>
      </c>
      <c r="BN161" s="33">
        <f>HLOOKUP("maximum population",Miscelaneous!$C$1:$C$33,CH161+3,FALSE)</f>
        <v>240</v>
      </c>
      <c r="BO161" s="14">
        <f t="shared" si="349"/>
        <v>32</v>
      </c>
      <c r="BP161" s="14">
        <f t="shared" si="350"/>
        <v>0</v>
      </c>
      <c r="BQ161" s="14">
        <f t="shared" si="351"/>
        <v>208</v>
      </c>
      <c r="BR161" s="34" t="e">
        <f>HLOOKUP(J161,Villagers!$B$1:$V$33,L161+3,FALSE)-HLOOKUP(J161,Villagers!$B$1:$V$33,L161+2,FALSE)</f>
        <v>#N/A</v>
      </c>
      <c r="BS161" s="49">
        <f t="shared" si="352"/>
        <v>1</v>
      </c>
      <c r="BT161" s="50">
        <f t="shared" si="353"/>
        <v>0</v>
      </c>
      <c r="BU161" s="50">
        <f t="shared" si="354"/>
        <v>0</v>
      </c>
      <c r="BV161" s="50">
        <f t="shared" si="355"/>
        <v>0</v>
      </c>
      <c r="BW161" s="50">
        <f t="shared" si="391"/>
        <v>0</v>
      </c>
      <c r="BX161" s="50">
        <f t="shared" si="392"/>
        <v>0</v>
      </c>
      <c r="BY161" s="50">
        <f t="shared" si="392"/>
        <v>0</v>
      </c>
      <c r="BZ161" s="50">
        <f t="shared" si="401"/>
        <v>0</v>
      </c>
      <c r="CA161" s="50">
        <f t="shared" si="402"/>
        <v>0</v>
      </c>
      <c r="CB161" s="50">
        <f t="shared" si="403"/>
        <v>1</v>
      </c>
      <c r="CC161" s="50">
        <f t="shared" si="404"/>
        <v>0</v>
      </c>
      <c r="CD161" s="50">
        <f t="shared" si="405"/>
        <v>0</v>
      </c>
      <c r="CE161" s="50">
        <f t="shared" si="406"/>
        <v>1</v>
      </c>
      <c r="CF161" s="50">
        <f t="shared" si="407"/>
        <v>1</v>
      </c>
      <c r="CG161" s="50">
        <f t="shared" si="408"/>
        <v>1</v>
      </c>
      <c r="CH161" s="50">
        <f t="shared" si="409"/>
        <v>1</v>
      </c>
      <c r="CI161" s="50">
        <f t="shared" si="410"/>
        <v>1</v>
      </c>
      <c r="CJ161" s="50">
        <f t="shared" si="411"/>
        <v>1</v>
      </c>
      <c r="CK161" s="50">
        <f t="shared" si="411"/>
        <v>0</v>
      </c>
      <c r="CL161" s="50">
        <f t="shared" si="411"/>
        <v>0</v>
      </c>
      <c r="CM161" s="51">
        <f t="shared" si="412"/>
        <v>0</v>
      </c>
      <c r="CN161" s="33">
        <f>ROUND(IF(BS161=0,0,HLOOKUP(BS$14,Villagers!$B$1:$V$33,BS161+3,FALSE)),)</f>
        <v>5</v>
      </c>
      <c r="CO161" s="14">
        <f>ROUND(IF(BT161=0,0,HLOOKUP(BT$14,Villagers!$B$1:$V$33,BT161+3,FALSE)),)</f>
        <v>0</v>
      </c>
      <c r="CP161" s="14">
        <f>ROUND(IF(BU161=0,0,HLOOKUP(BU$14,Villagers!$B$1:$V$33,BU161+3,FALSE)),)</f>
        <v>0</v>
      </c>
      <c r="CQ161" s="14">
        <f>ROUND(IF(BV161=0,0,HLOOKUP(BV$14,Villagers!$B$1:$V$33,BV161+3,FALSE)),)</f>
        <v>0</v>
      </c>
      <c r="CR161" s="14">
        <f>ROUND(IF(BW161=0,0,HLOOKUP(BW$14,Villagers!$B$1:$V$33,BW161+3,FALSE)),)</f>
        <v>0</v>
      </c>
      <c r="CS161" s="14">
        <f>ROUND(IF(BX161=0,0,HLOOKUP(BX$14,Villagers!$B$1:$V$33,BX161+3,FALSE)),)</f>
        <v>0</v>
      </c>
      <c r="CT161" s="14">
        <f>ROUND(IF(BY161=0,0,HLOOKUP(BY$14,Villagers!$B$1:$V$33,BY161+3,FALSE)),)</f>
        <v>0</v>
      </c>
      <c r="CU161" s="14">
        <f>ROUND(IF(BZ161=0,0,HLOOKUP(BZ$14,Villagers!$B$1:$V$33,BZ161+3,FALSE)),)</f>
        <v>0</v>
      </c>
      <c r="CV161" s="14">
        <f>ROUND(IF(CA161=0,0,HLOOKUP(CA$14,Villagers!$B$1:$V$33,CA161+3,FALSE)),)</f>
        <v>0</v>
      </c>
      <c r="CW161" s="14">
        <f>ROUND(IF(CB161=0,0,HLOOKUP(CB$14,Villagers!$B$1:$V$33,CB161+3,FALSE)),)</f>
        <v>0</v>
      </c>
      <c r="CX161" s="14">
        <f>ROUND(IF(CC161=0,0,HLOOKUP(CC$14,Villagers!$B$1:$V$33,CC161+3,FALSE)),)</f>
        <v>0</v>
      </c>
      <c r="CY161" s="14">
        <f>ROUND(IF(CD161=0,0,HLOOKUP(CD$14,Villagers!$B$1:$V$33,CD161+3,FALSE)),)</f>
        <v>0</v>
      </c>
      <c r="CZ161" s="14">
        <f>ROUND(IF(CE161=0,0,HLOOKUP(CE$14,Villagers!$B$1:$V$33,CE161+3,FALSE)),)</f>
        <v>5</v>
      </c>
      <c r="DA161" s="14">
        <f>ROUND(IF(CF161=0,0,HLOOKUP(CF$14,Villagers!$B$1:$V$33,CF161+3,FALSE)),)</f>
        <v>10</v>
      </c>
      <c r="DB161" s="14">
        <f>ROUND(IF(CG161=0,0,HLOOKUP(CG$14,Villagers!$B$1:$V$33,CG161+3,FALSE)),)</f>
        <v>10</v>
      </c>
      <c r="DC161" s="14">
        <f>ROUND(IF(CH161=0,0,HLOOKUP(CH$14,Villagers!$B$1:$V$33,CH161+3,FALSE)),)</f>
        <v>0</v>
      </c>
      <c r="DD161" s="14">
        <f>ROUND(IF(CI161=0,0,HLOOKUP(CI$14,Villagers!$B$1:$V$33,CI161+3,FALSE)),)</f>
        <v>0</v>
      </c>
      <c r="DE161" s="14">
        <f>ROUND(IF(CJ161=0,0,HLOOKUP(CJ$14,Villagers!$B$1:$V$33,CJ161+3,FALSE)),)</f>
        <v>2</v>
      </c>
      <c r="DF161" s="370">
        <f>ROUND(IF(CK161=0,0,HLOOKUP(CK$14,Villagers!$B$1:$V$33,CK161+3,FALSE)),)</f>
        <v>0</v>
      </c>
      <c r="DG161" s="370">
        <f>ROUND(IF(CL161=0,0,HLOOKUP(CL$14,Villagers!$B$1:$V$33,CL161+3,FALSE)),)</f>
        <v>0</v>
      </c>
      <c r="DH161" s="34">
        <f>ROUND(IF(CM161=0,0,HLOOKUP(CM$14,Villagers!$B$1:$V$33,CM161+3,FALSE)),)</f>
        <v>0</v>
      </c>
      <c r="DI161" s="109">
        <f t="shared" si="373"/>
        <v>0</v>
      </c>
      <c r="DJ161" s="50">
        <f t="shared" si="374"/>
        <v>0</v>
      </c>
      <c r="DK161" s="50">
        <f t="shared" si="375"/>
        <v>0</v>
      </c>
      <c r="DL161" s="50">
        <f t="shared" si="376"/>
        <v>0</v>
      </c>
      <c r="DM161" s="50">
        <f t="shared" si="377"/>
        <v>0</v>
      </c>
      <c r="DN161" s="50">
        <f t="shared" si="378"/>
        <v>0</v>
      </c>
      <c r="DO161" s="50">
        <f t="shared" si="379"/>
        <v>0</v>
      </c>
      <c r="DP161" s="50">
        <f t="shared" si="380"/>
        <v>0</v>
      </c>
      <c r="DQ161" s="50">
        <f t="shared" si="357"/>
        <v>0</v>
      </c>
      <c r="DR161" s="50">
        <f t="shared" si="358"/>
        <v>0</v>
      </c>
      <c r="DS161" s="96">
        <f>Miscelaneous!$D$4*Miscelaneous!$D$2^($CI161-1)</f>
        <v>1000</v>
      </c>
      <c r="DT161" s="333">
        <f t="shared" si="337"/>
        <v>1</v>
      </c>
      <c r="DU161" s="81">
        <v>1</v>
      </c>
      <c r="DV161" s="79">
        <f t="shared" si="359"/>
        <v>0</v>
      </c>
      <c r="DW161" s="79">
        <f t="shared" si="360"/>
        <v>0</v>
      </c>
      <c r="DX161" s="79">
        <f t="shared" si="361"/>
        <v>0</v>
      </c>
      <c r="DY161" s="79">
        <v>1</v>
      </c>
      <c r="DZ161" s="79">
        <f t="shared" si="362"/>
        <v>0</v>
      </c>
      <c r="EA161" s="79">
        <f t="shared" si="363"/>
        <v>0</v>
      </c>
      <c r="EB161" s="79">
        <f t="shared" si="364"/>
        <v>0</v>
      </c>
      <c r="EC161" s="79">
        <f t="shared" si="365"/>
        <v>0</v>
      </c>
      <c r="ED161" s="79">
        <v>1</v>
      </c>
      <c r="EE161" s="79">
        <v>1</v>
      </c>
      <c r="EF161" s="79">
        <f t="shared" si="366"/>
        <v>0</v>
      </c>
      <c r="EG161" s="79">
        <v>1</v>
      </c>
      <c r="EH161" s="79">
        <v>1</v>
      </c>
      <c r="EI161" s="79">
        <v>1</v>
      </c>
      <c r="EJ161" s="79">
        <v>1</v>
      </c>
      <c r="EK161" s="79">
        <v>1</v>
      </c>
      <c r="EL161" s="79">
        <v>1</v>
      </c>
      <c r="EM161" s="143">
        <f t="shared" si="367"/>
        <v>0</v>
      </c>
      <c r="EN161" s="143">
        <f t="shared" si="368"/>
        <v>0</v>
      </c>
      <c r="EO161" s="82">
        <f t="shared" si="369"/>
        <v>0</v>
      </c>
    </row>
    <row r="162" spans="1:145" x14ac:dyDescent="0.25">
      <c r="A162">
        <v>148</v>
      </c>
      <c r="B162" s="172" t="e">
        <f t="shared" si="338"/>
        <v>#N/A</v>
      </c>
      <c r="C162" s="121" t="e">
        <f t="shared" ref="C162:E162" si="415">AJ162-SUM(AB162:AB166)</f>
        <v>#N/A</v>
      </c>
      <c r="D162" s="122" t="e">
        <f t="shared" si="415"/>
        <v>#N/A</v>
      </c>
      <c r="E162" s="122" t="e">
        <f t="shared" si="415"/>
        <v>#N/A</v>
      </c>
      <c r="F162" s="176" t="e">
        <f t="shared" si="320"/>
        <v>#N/A</v>
      </c>
      <c r="G162" s="121">
        <f t="shared" si="340"/>
        <v>208</v>
      </c>
      <c r="H162" s="176" t="e">
        <f t="shared" si="341"/>
        <v>#N/A</v>
      </c>
      <c r="I162" s="48">
        <v>1</v>
      </c>
      <c r="J162" s="39"/>
      <c r="K162" s="350">
        <v>1</v>
      </c>
      <c r="L162" s="34" t="e">
        <f t="shared" si="321"/>
        <v>#N/A</v>
      </c>
      <c r="M162" s="38" t="e">
        <f>(HLOOKUP(J162,'Construction Times'!$B$3:$W$34,L162+2,FALSE)*HLOOKUP("hq modifier",'Construction Times'!$W$3:$W$34,BS162+2,FALSE))*(1-$H$9)</f>
        <v>#N/A</v>
      </c>
      <c r="N162" s="426" t="e">
        <f t="shared" si="342"/>
        <v>#N/A</v>
      </c>
      <c r="O162" s="427"/>
      <c r="P162" s="430" t="e">
        <f t="shared" si="343"/>
        <v>#N/A</v>
      </c>
      <c r="Q162" s="431"/>
      <c r="R162" s="103">
        <f t="shared" si="371"/>
        <v>0</v>
      </c>
      <c r="S162" s="104">
        <f t="shared" si="371"/>
        <v>0</v>
      </c>
      <c r="T162" s="104">
        <f t="shared" si="372"/>
        <v>0</v>
      </c>
      <c r="U162" s="104">
        <f t="shared" si="372"/>
        <v>0</v>
      </c>
      <c r="V162" s="104">
        <f t="shared" si="372"/>
        <v>9.9999999999999995E-8</v>
      </c>
      <c r="W162" s="104">
        <f t="shared" si="372"/>
        <v>0</v>
      </c>
      <c r="X162" s="104">
        <f t="shared" si="278"/>
        <v>0</v>
      </c>
      <c r="Y162" s="104">
        <f t="shared" si="278"/>
        <v>9.9999999999999995E-8</v>
      </c>
      <c r="Z162" s="104">
        <f t="shared" si="278"/>
        <v>9.9999999999999995E-8</v>
      </c>
      <c r="AA162" s="105">
        <f t="shared" si="278"/>
        <v>9.9999999999999995E-8</v>
      </c>
      <c r="AB162" s="101" t="e">
        <f>$DT162*HLOOKUP($J162,'Construction Costs (timber)'!$B$1:$V$32,'Construction Planner'!$L162+2,FALSE)</f>
        <v>#N/A</v>
      </c>
      <c r="AC162" s="14" t="e">
        <f>$DT162*HLOOKUP($J162,'Construction Costs (clay)'!$B$1:$V$32,'Construction Planner'!$L162+2,FALSE)</f>
        <v>#N/A</v>
      </c>
      <c r="AD162" s="14" t="e">
        <f>$DT162*HLOOKUP($J162,'Construction Costs (iron)'!$B$1:$V$32,'Construction Planner'!$L162+2,FALSE)</f>
        <v>#N/A</v>
      </c>
      <c r="AE162" s="34" t="e">
        <f t="shared" si="384"/>
        <v>#N/A</v>
      </c>
      <c r="AF162" s="33" t="e">
        <f t="shared" si="322"/>
        <v>#N/A</v>
      </c>
      <c r="AG162" s="14" t="e">
        <f t="shared" si="323"/>
        <v>#N/A</v>
      </c>
      <c r="AH162" s="14" t="e">
        <f t="shared" si="324"/>
        <v>#N/A</v>
      </c>
      <c r="AI162" s="34" t="e">
        <f t="shared" si="385"/>
        <v>#N/A</v>
      </c>
      <c r="AJ162" s="49" t="e">
        <f t="shared" si="345"/>
        <v>#N/A</v>
      </c>
      <c r="AK162" s="49" t="e">
        <f t="shared" si="346"/>
        <v>#N/A</v>
      </c>
      <c r="AL162" s="49" t="e">
        <f t="shared" si="347"/>
        <v>#N/A</v>
      </c>
      <c r="AM162" s="25">
        <f t="shared" si="325"/>
        <v>30</v>
      </c>
      <c r="AN162" s="25">
        <f t="shared" si="326"/>
        <v>30</v>
      </c>
      <c r="AO162" s="25">
        <f t="shared" si="327"/>
        <v>30</v>
      </c>
      <c r="AP162" s="52" t="e">
        <f t="shared" si="348"/>
        <v>#N/A</v>
      </c>
      <c r="AQ162" s="53" t="e">
        <f t="shared" si="348"/>
        <v>#N/A</v>
      </c>
      <c r="AR162" s="54" t="e">
        <f t="shared" si="348"/>
        <v>#N/A</v>
      </c>
      <c r="AS162" s="316">
        <f t="shared" si="386"/>
        <v>0</v>
      </c>
      <c r="AT162" s="106">
        <f>_xlfn.IFNA($M162/VLOOKUP($BT162,'Unit information'!$A$2:$K$29,2,FALSE)*R162,0)*(1+$E$9)</f>
        <v>0</v>
      </c>
      <c r="AU162" s="107">
        <f>_xlfn.IFNA($M162/VLOOKUP($BT162,'Unit information'!$A$2:$K$29,3,FALSE)*S162,0)*(1+$E$9)</f>
        <v>0</v>
      </c>
      <c r="AV162" s="107">
        <f>_xlfn.IFNA($M162/VLOOKUP($BT162,'Unit information'!$A$2:$K$29,4,FALSE)*T162,0)*(1+$E$9)</f>
        <v>0</v>
      </c>
      <c r="AW162" s="107">
        <f>_xlfn.IFNA($M162/VLOOKUP($BT162,'Unit information'!$A$2:$K$29,5,FALSE)*U162,0)*(1+$E$9)</f>
        <v>0</v>
      </c>
      <c r="AX162" s="107">
        <f>_xlfn.IFNA($M162/VLOOKUP($BU162,'Unit information'!$A$2:$K$29,6,FALSE)*V162,0)*(1+$E$9)</f>
        <v>0</v>
      </c>
      <c r="AY162" s="107">
        <f>_xlfn.IFNA($M162/VLOOKUP($BU162,'Unit information'!$A$2:$K$29,7,FALSE)*W162,0)*(1+$E$9)</f>
        <v>0</v>
      </c>
      <c r="AZ162" s="107">
        <f>_xlfn.IFNA($M162/VLOOKUP($BU162,'Unit information'!$A$2:$K$29,8,FALSE)*X162,0)*(1+$E$9)</f>
        <v>0</v>
      </c>
      <c r="BA162" s="107">
        <f>_xlfn.IFNA($M162/VLOOKUP($BU162,'Unit information'!$A$2:$K$29,9,FALSE)*Y162,0)*(1+$E$9)</f>
        <v>0</v>
      </c>
      <c r="BB162" s="107">
        <f>_xlfn.IFNA($M162/VLOOKUP($BV162,'Unit information'!$A$2:$K$29,10,FALSE)*Z162,0)*(1+$E$9)</f>
        <v>0</v>
      </c>
      <c r="BC162" s="108">
        <f>_xlfn.IFNA($M162/VLOOKUP($BV162,'Unit information'!$A$2:$K$29,11,FALSE)*AA162,0)*(1+$E$9)</f>
        <v>0</v>
      </c>
      <c r="BD162" s="106">
        <f t="shared" si="328"/>
        <v>0</v>
      </c>
      <c r="BE162" s="107">
        <f t="shared" si="329"/>
        <v>0</v>
      </c>
      <c r="BF162" s="108">
        <f t="shared" si="330"/>
        <v>0</v>
      </c>
      <c r="BG162" s="25" t="e">
        <f t="shared" si="331"/>
        <v>#N/A</v>
      </c>
      <c r="BH162" s="25" t="e">
        <f t="shared" si="332"/>
        <v>#N/A</v>
      </c>
      <c r="BI162" s="25" t="e">
        <f t="shared" si="333"/>
        <v>#N/A</v>
      </c>
      <c r="BJ162" s="27" t="e">
        <f t="shared" si="334"/>
        <v>#N/A</v>
      </c>
      <c r="BK162" s="18" t="e">
        <f t="shared" si="335"/>
        <v>#N/A</v>
      </c>
      <c r="BL162" s="18" t="e">
        <f t="shared" si="336"/>
        <v>#N/A</v>
      </c>
      <c r="BM162" s="28" t="e">
        <f t="shared" si="387"/>
        <v>#N/A</v>
      </c>
      <c r="BN162" s="33">
        <f>HLOOKUP("maximum population",Miscelaneous!$C$1:$C$33,CH162+3,FALSE)</f>
        <v>240</v>
      </c>
      <c r="BO162" s="14">
        <f t="shared" si="349"/>
        <v>32</v>
      </c>
      <c r="BP162" s="14">
        <f t="shared" si="350"/>
        <v>0</v>
      </c>
      <c r="BQ162" s="14">
        <f t="shared" si="351"/>
        <v>208</v>
      </c>
      <c r="BR162" s="34" t="e">
        <f>HLOOKUP(J162,Villagers!$B$1:$V$33,L162+3,FALSE)-HLOOKUP(J162,Villagers!$B$1:$V$33,L162+2,FALSE)</f>
        <v>#N/A</v>
      </c>
      <c r="BS162" s="49">
        <f t="shared" si="352"/>
        <v>1</v>
      </c>
      <c r="BT162" s="50">
        <f t="shared" si="353"/>
        <v>0</v>
      </c>
      <c r="BU162" s="50">
        <f t="shared" si="354"/>
        <v>0</v>
      </c>
      <c r="BV162" s="50">
        <f t="shared" si="355"/>
        <v>0</v>
      </c>
      <c r="BW162" s="50">
        <f t="shared" si="391"/>
        <v>0</v>
      </c>
      <c r="BX162" s="50">
        <f t="shared" si="392"/>
        <v>0</v>
      </c>
      <c r="BY162" s="50">
        <f t="shared" si="392"/>
        <v>0</v>
      </c>
      <c r="BZ162" s="50">
        <f t="shared" si="401"/>
        <v>0</v>
      </c>
      <c r="CA162" s="50">
        <f t="shared" si="402"/>
        <v>0</v>
      </c>
      <c r="CB162" s="50">
        <f t="shared" si="403"/>
        <v>1</v>
      </c>
      <c r="CC162" s="50">
        <f t="shared" si="404"/>
        <v>0</v>
      </c>
      <c r="CD162" s="50">
        <f t="shared" si="405"/>
        <v>0</v>
      </c>
      <c r="CE162" s="50">
        <f t="shared" si="406"/>
        <v>1</v>
      </c>
      <c r="CF162" s="50">
        <f t="shared" si="407"/>
        <v>1</v>
      </c>
      <c r="CG162" s="50">
        <f t="shared" si="408"/>
        <v>1</v>
      </c>
      <c r="CH162" s="50">
        <f t="shared" si="409"/>
        <v>1</v>
      </c>
      <c r="CI162" s="50">
        <f t="shared" si="410"/>
        <v>1</v>
      </c>
      <c r="CJ162" s="50">
        <f t="shared" si="411"/>
        <v>1</v>
      </c>
      <c r="CK162" s="50">
        <f t="shared" si="411"/>
        <v>0</v>
      </c>
      <c r="CL162" s="50">
        <f t="shared" si="411"/>
        <v>0</v>
      </c>
      <c r="CM162" s="51">
        <f t="shared" si="412"/>
        <v>0</v>
      </c>
      <c r="CN162" s="33">
        <f>ROUND(IF(BS162=0,0,HLOOKUP(BS$14,Villagers!$B$1:$V$33,BS162+3,FALSE)),)</f>
        <v>5</v>
      </c>
      <c r="CO162" s="14">
        <f>ROUND(IF(BT162=0,0,HLOOKUP(BT$14,Villagers!$B$1:$V$33,BT162+3,FALSE)),)</f>
        <v>0</v>
      </c>
      <c r="CP162" s="14">
        <f>ROUND(IF(BU162=0,0,HLOOKUP(BU$14,Villagers!$B$1:$V$33,BU162+3,FALSE)),)</f>
        <v>0</v>
      </c>
      <c r="CQ162" s="14">
        <f>ROUND(IF(BV162=0,0,HLOOKUP(BV$14,Villagers!$B$1:$V$33,BV162+3,FALSE)),)</f>
        <v>0</v>
      </c>
      <c r="CR162" s="14">
        <f>ROUND(IF(BW162=0,0,HLOOKUP(BW$14,Villagers!$B$1:$V$33,BW162+3,FALSE)),)</f>
        <v>0</v>
      </c>
      <c r="CS162" s="14">
        <f>ROUND(IF(BX162=0,0,HLOOKUP(BX$14,Villagers!$B$1:$V$33,BX162+3,FALSE)),)</f>
        <v>0</v>
      </c>
      <c r="CT162" s="14">
        <f>ROUND(IF(BY162=0,0,HLOOKUP(BY$14,Villagers!$B$1:$V$33,BY162+3,FALSE)),)</f>
        <v>0</v>
      </c>
      <c r="CU162" s="14">
        <f>ROUND(IF(BZ162=0,0,HLOOKUP(BZ$14,Villagers!$B$1:$V$33,BZ162+3,FALSE)),)</f>
        <v>0</v>
      </c>
      <c r="CV162" s="14">
        <f>ROUND(IF(CA162=0,0,HLOOKUP(CA$14,Villagers!$B$1:$V$33,CA162+3,FALSE)),)</f>
        <v>0</v>
      </c>
      <c r="CW162" s="14">
        <f>ROUND(IF(CB162=0,0,HLOOKUP(CB$14,Villagers!$B$1:$V$33,CB162+3,FALSE)),)</f>
        <v>0</v>
      </c>
      <c r="CX162" s="14">
        <f>ROUND(IF(CC162=0,0,HLOOKUP(CC$14,Villagers!$B$1:$V$33,CC162+3,FALSE)),)</f>
        <v>0</v>
      </c>
      <c r="CY162" s="14">
        <f>ROUND(IF(CD162=0,0,HLOOKUP(CD$14,Villagers!$B$1:$V$33,CD162+3,FALSE)),)</f>
        <v>0</v>
      </c>
      <c r="CZ162" s="14">
        <f>ROUND(IF(CE162=0,0,HLOOKUP(CE$14,Villagers!$B$1:$V$33,CE162+3,FALSE)),)</f>
        <v>5</v>
      </c>
      <c r="DA162" s="14">
        <f>ROUND(IF(CF162=0,0,HLOOKUP(CF$14,Villagers!$B$1:$V$33,CF162+3,FALSE)),)</f>
        <v>10</v>
      </c>
      <c r="DB162" s="14">
        <f>ROUND(IF(CG162=0,0,HLOOKUP(CG$14,Villagers!$B$1:$V$33,CG162+3,FALSE)),)</f>
        <v>10</v>
      </c>
      <c r="DC162" s="14">
        <f>ROUND(IF(CH162=0,0,HLOOKUP(CH$14,Villagers!$B$1:$V$33,CH162+3,FALSE)),)</f>
        <v>0</v>
      </c>
      <c r="DD162" s="14">
        <f>ROUND(IF(CI162=0,0,HLOOKUP(CI$14,Villagers!$B$1:$V$33,CI162+3,FALSE)),)</f>
        <v>0</v>
      </c>
      <c r="DE162" s="14">
        <f>ROUND(IF(CJ162=0,0,HLOOKUP(CJ$14,Villagers!$B$1:$V$33,CJ162+3,FALSE)),)</f>
        <v>2</v>
      </c>
      <c r="DF162" s="370">
        <f>ROUND(IF(CK162=0,0,HLOOKUP(CK$14,Villagers!$B$1:$V$33,CK162+3,FALSE)),)</f>
        <v>0</v>
      </c>
      <c r="DG162" s="370">
        <f>ROUND(IF(CL162=0,0,HLOOKUP(CL$14,Villagers!$B$1:$V$33,CL162+3,FALSE)),)</f>
        <v>0</v>
      </c>
      <c r="DH162" s="34">
        <f>ROUND(IF(CM162=0,0,HLOOKUP(CM$14,Villagers!$B$1:$V$33,CM162+3,FALSE)),)</f>
        <v>0</v>
      </c>
      <c r="DI162" s="109">
        <f t="shared" si="373"/>
        <v>0</v>
      </c>
      <c r="DJ162" s="50">
        <f t="shared" si="374"/>
        <v>0</v>
      </c>
      <c r="DK162" s="50">
        <f t="shared" si="375"/>
        <v>0</v>
      </c>
      <c r="DL162" s="50">
        <f t="shared" si="376"/>
        <v>0</v>
      </c>
      <c r="DM162" s="50">
        <f t="shared" si="377"/>
        <v>0</v>
      </c>
      <c r="DN162" s="50">
        <f t="shared" si="378"/>
        <v>0</v>
      </c>
      <c r="DO162" s="50">
        <f t="shared" si="379"/>
        <v>0</v>
      </c>
      <c r="DP162" s="50">
        <f t="shared" si="380"/>
        <v>0</v>
      </c>
      <c r="DQ162" s="50">
        <f t="shared" si="357"/>
        <v>0</v>
      </c>
      <c r="DR162" s="50">
        <f t="shared" si="358"/>
        <v>0</v>
      </c>
      <c r="DS162" s="96">
        <f>Miscelaneous!$D$4*Miscelaneous!$D$2^($CI162-1)</f>
        <v>1000</v>
      </c>
      <c r="DT162" s="333">
        <f t="shared" si="337"/>
        <v>1</v>
      </c>
      <c r="DU162" s="81">
        <v>1</v>
      </c>
      <c r="DV162" s="79">
        <f t="shared" si="359"/>
        <v>0</v>
      </c>
      <c r="DW162" s="79">
        <f t="shared" si="360"/>
        <v>0</v>
      </c>
      <c r="DX162" s="79">
        <f t="shared" si="361"/>
        <v>0</v>
      </c>
      <c r="DY162" s="79">
        <v>1</v>
      </c>
      <c r="DZ162" s="79">
        <f t="shared" si="362"/>
        <v>0</v>
      </c>
      <c r="EA162" s="79">
        <f t="shared" si="363"/>
        <v>0</v>
      </c>
      <c r="EB162" s="79">
        <f t="shared" si="364"/>
        <v>0</v>
      </c>
      <c r="EC162" s="79">
        <f t="shared" si="365"/>
        <v>0</v>
      </c>
      <c r="ED162" s="79">
        <v>1</v>
      </c>
      <c r="EE162" s="79">
        <v>1</v>
      </c>
      <c r="EF162" s="79">
        <f t="shared" si="366"/>
        <v>0</v>
      </c>
      <c r="EG162" s="79">
        <v>1</v>
      </c>
      <c r="EH162" s="79">
        <v>1</v>
      </c>
      <c r="EI162" s="79">
        <v>1</v>
      </c>
      <c r="EJ162" s="79">
        <v>1</v>
      </c>
      <c r="EK162" s="79">
        <v>1</v>
      </c>
      <c r="EL162" s="79">
        <v>1</v>
      </c>
      <c r="EM162" s="143">
        <f t="shared" si="367"/>
        <v>0</v>
      </c>
      <c r="EN162" s="143">
        <f t="shared" si="368"/>
        <v>0</v>
      </c>
      <c r="EO162" s="82">
        <f t="shared" si="369"/>
        <v>0</v>
      </c>
    </row>
    <row r="163" spans="1:145" x14ac:dyDescent="0.25">
      <c r="A163">
        <v>149</v>
      </c>
      <c r="B163" s="172" t="e">
        <f t="shared" si="338"/>
        <v>#N/A</v>
      </c>
      <c r="C163" s="121" t="e">
        <f t="shared" ref="C163:E163" si="416">AJ163-SUM(AB163:AB167)</f>
        <v>#N/A</v>
      </c>
      <c r="D163" s="122" t="e">
        <f t="shared" si="416"/>
        <v>#N/A</v>
      </c>
      <c r="E163" s="122" t="e">
        <f t="shared" si="416"/>
        <v>#N/A</v>
      </c>
      <c r="F163" s="176" t="e">
        <f t="shared" si="320"/>
        <v>#N/A</v>
      </c>
      <c r="G163" s="121">
        <f t="shared" si="340"/>
        <v>208</v>
      </c>
      <c r="H163" s="176" t="e">
        <f t="shared" si="341"/>
        <v>#N/A</v>
      </c>
      <c r="I163" s="48">
        <v>1</v>
      </c>
      <c r="J163" s="39"/>
      <c r="K163" s="350">
        <v>1</v>
      </c>
      <c r="L163" s="34" t="e">
        <f t="shared" si="321"/>
        <v>#N/A</v>
      </c>
      <c r="M163" s="38" t="e">
        <f>(HLOOKUP(J163,'Construction Times'!$B$3:$W$34,L163+2,FALSE)*HLOOKUP("hq modifier",'Construction Times'!$W$3:$W$34,BS163+2,FALSE))*(1-$H$9)</f>
        <v>#N/A</v>
      </c>
      <c r="N163" s="426" t="e">
        <f t="shared" si="342"/>
        <v>#N/A</v>
      </c>
      <c r="O163" s="427"/>
      <c r="P163" s="430" t="e">
        <f t="shared" si="343"/>
        <v>#N/A</v>
      </c>
      <c r="Q163" s="431"/>
      <c r="R163" s="103">
        <f t="shared" si="371"/>
        <v>0</v>
      </c>
      <c r="S163" s="104">
        <f t="shared" si="371"/>
        <v>0</v>
      </c>
      <c r="T163" s="104">
        <f t="shared" si="372"/>
        <v>0</v>
      </c>
      <c r="U163" s="104">
        <f t="shared" si="372"/>
        <v>0</v>
      </c>
      <c r="V163" s="104">
        <f t="shared" si="372"/>
        <v>9.9999999999999995E-8</v>
      </c>
      <c r="W163" s="104">
        <f t="shared" si="372"/>
        <v>0</v>
      </c>
      <c r="X163" s="104">
        <f t="shared" si="278"/>
        <v>0</v>
      </c>
      <c r="Y163" s="104">
        <f t="shared" si="278"/>
        <v>9.9999999999999995E-8</v>
      </c>
      <c r="Z163" s="104">
        <f t="shared" si="278"/>
        <v>9.9999999999999995E-8</v>
      </c>
      <c r="AA163" s="105">
        <f t="shared" si="278"/>
        <v>9.9999999999999995E-8</v>
      </c>
      <c r="AB163" s="101" t="e">
        <f>$DT163*HLOOKUP($J163,'Construction Costs (timber)'!$B$1:$V$32,'Construction Planner'!$L163+2,FALSE)</f>
        <v>#N/A</v>
      </c>
      <c r="AC163" s="14" t="e">
        <f>$DT163*HLOOKUP($J163,'Construction Costs (clay)'!$B$1:$V$32,'Construction Planner'!$L163+2,FALSE)</f>
        <v>#N/A</v>
      </c>
      <c r="AD163" s="14" t="e">
        <f>$DT163*HLOOKUP($J163,'Construction Costs (iron)'!$B$1:$V$32,'Construction Planner'!$L163+2,FALSE)</f>
        <v>#N/A</v>
      </c>
      <c r="AE163" s="34" t="e">
        <f t="shared" si="384"/>
        <v>#N/A</v>
      </c>
      <c r="AF163" s="33" t="e">
        <f t="shared" si="322"/>
        <v>#N/A</v>
      </c>
      <c r="AG163" s="14" t="e">
        <f t="shared" si="323"/>
        <v>#N/A</v>
      </c>
      <c r="AH163" s="14" t="e">
        <f t="shared" si="324"/>
        <v>#N/A</v>
      </c>
      <c r="AI163" s="34" t="e">
        <f t="shared" si="385"/>
        <v>#N/A</v>
      </c>
      <c r="AJ163" s="49" t="e">
        <f t="shared" si="345"/>
        <v>#N/A</v>
      </c>
      <c r="AK163" s="49" t="e">
        <f t="shared" si="346"/>
        <v>#N/A</v>
      </c>
      <c r="AL163" s="49" t="e">
        <f t="shared" si="347"/>
        <v>#N/A</v>
      </c>
      <c r="AM163" s="25">
        <f t="shared" si="325"/>
        <v>30</v>
      </c>
      <c r="AN163" s="25">
        <f t="shared" si="326"/>
        <v>30</v>
      </c>
      <c r="AO163" s="25">
        <f t="shared" si="327"/>
        <v>30</v>
      </c>
      <c r="AP163" s="52" t="e">
        <f t="shared" si="348"/>
        <v>#N/A</v>
      </c>
      <c r="AQ163" s="53" t="e">
        <f t="shared" si="348"/>
        <v>#N/A</v>
      </c>
      <c r="AR163" s="54" t="e">
        <f t="shared" si="348"/>
        <v>#N/A</v>
      </c>
      <c r="AS163" s="316">
        <f t="shared" si="386"/>
        <v>0</v>
      </c>
      <c r="AT163" s="106">
        <f>_xlfn.IFNA($M163/VLOOKUP($BT163,'Unit information'!$A$2:$K$29,2,FALSE)*R163,0)*(1+$E$9)</f>
        <v>0</v>
      </c>
      <c r="AU163" s="107">
        <f>_xlfn.IFNA($M163/VLOOKUP($BT163,'Unit information'!$A$2:$K$29,3,FALSE)*S163,0)*(1+$E$9)</f>
        <v>0</v>
      </c>
      <c r="AV163" s="107">
        <f>_xlfn.IFNA($M163/VLOOKUP($BT163,'Unit information'!$A$2:$K$29,4,FALSE)*T163,0)*(1+$E$9)</f>
        <v>0</v>
      </c>
      <c r="AW163" s="107">
        <f>_xlfn.IFNA($M163/VLOOKUP($BT163,'Unit information'!$A$2:$K$29,5,FALSE)*U163,0)*(1+$E$9)</f>
        <v>0</v>
      </c>
      <c r="AX163" s="107">
        <f>_xlfn.IFNA($M163/VLOOKUP($BU163,'Unit information'!$A$2:$K$29,6,FALSE)*V163,0)*(1+$E$9)</f>
        <v>0</v>
      </c>
      <c r="AY163" s="107">
        <f>_xlfn.IFNA($M163/VLOOKUP($BU163,'Unit information'!$A$2:$K$29,7,FALSE)*W163,0)*(1+$E$9)</f>
        <v>0</v>
      </c>
      <c r="AZ163" s="107">
        <f>_xlfn.IFNA($M163/VLOOKUP($BU163,'Unit information'!$A$2:$K$29,8,FALSE)*X163,0)*(1+$E$9)</f>
        <v>0</v>
      </c>
      <c r="BA163" s="107">
        <f>_xlfn.IFNA($M163/VLOOKUP($BU163,'Unit information'!$A$2:$K$29,9,FALSE)*Y163,0)*(1+$E$9)</f>
        <v>0</v>
      </c>
      <c r="BB163" s="107">
        <f>_xlfn.IFNA($M163/VLOOKUP($BV163,'Unit information'!$A$2:$K$29,10,FALSE)*Z163,0)*(1+$E$9)</f>
        <v>0</v>
      </c>
      <c r="BC163" s="108">
        <f>_xlfn.IFNA($M163/VLOOKUP($BV163,'Unit information'!$A$2:$K$29,11,FALSE)*AA163,0)*(1+$E$9)</f>
        <v>0</v>
      </c>
      <c r="BD163" s="106">
        <f t="shared" si="328"/>
        <v>0</v>
      </c>
      <c r="BE163" s="107">
        <f t="shared" si="329"/>
        <v>0</v>
      </c>
      <c r="BF163" s="108">
        <f t="shared" si="330"/>
        <v>0</v>
      </c>
      <c r="BG163" s="25" t="e">
        <f t="shared" si="331"/>
        <v>#N/A</v>
      </c>
      <c r="BH163" s="25" t="e">
        <f t="shared" si="332"/>
        <v>#N/A</v>
      </c>
      <c r="BI163" s="25" t="e">
        <f t="shared" si="333"/>
        <v>#N/A</v>
      </c>
      <c r="BJ163" s="27" t="e">
        <f t="shared" si="334"/>
        <v>#N/A</v>
      </c>
      <c r="BK163" s="18" t="e">
        <f t="shared" si="335"/>
        <v>#N/A</v>
      </c>
      <c r="BL163" s="18" t="e">
        <f t="shared" si="336"/>
        <v>#N/A</v>
      </c>
      <c r="BM163" s="28" t="e">
        <f t="shared" si="387"/>
        <v>#N/A</v>
      </c>
      <c r="BN163" s="33">
        <f>HLOOKUP("maximum population",Miscelaneous!$C$1:$C$33,CH163+3,FALSE)</f>
        <v>240</v>
      </c>
      <c r="BO163" s="14">
        <f t="shared" si="349"/>
        <v>32</v>
      </c>
      <c r="BP163" s="14">
        <f t="shared" si="350"/>
        <v>0</v>
      </c>
      <c r="BQ163" s="14">
        <f t="shared" si="351"/>
        <v>208</v>
      </c>
      <c r="BR163" s="34" t="e">
        <f>HLOOKUP(J163,Villagers!$B$1:$V$33,L163+3,FALSE)-HLOOKUP(J163,Villagers!$B$1:$V$33,L163+2,FALSE)</f>
        <v>#N/A</v>
      </c>
      <c r="BS163" s="49">
        <f t="shared" si="352"/>
        <v>1</v>
      </c>
      <c r="BT163" s="50">
        <f t="shared" si="353"/>
        <v>0</v>
      </c>
      <c r="BU163" s="50">
        <f t="shared" si="354"/>
        <v>0</v>
      </c>
      <c r="BV163" s="50">
        <f t="shared" si="355"/>
        <v>0</v>
      </c>
      <c r="BW163" s="50">
        <f t="shared" si="391"/>
        <v>0</v>
      </c>
      <c r="BX163" s="50">
        <f t="shared" si="392"/>
        <v>0</v>
      </c>
      <c r="BY163" s="50">
        <f t="shared" si="392"/>
        <v>0</v>
      </c>
      <c r="BZ163" s="50">
        <f t="shared" si="401"/>
        <v>0</v>
      </c>
      <c r="CA163" s="50">
        <f t="shared" si="402"/>
        <v>0</v>
      </c>
      <c r="CB163" s="50">
        <f t="shared" si="403"/>
        <v>1</v>
      </c>
      <c r="CC163" s="50">
        <f t="shared" si="404"/>
        <v>0</v>
      </c>
      <c r="CD163" s="50">
        <f t="shared" si="405"/>
        <v>0</v>
      </c>
      <c r="CE163" s="50">
        <f t="shared" si="406"/>
        <v>1</v>
      </c>
      <c r="CF163" s="50">
        <f t="shared" si="407"/>
        <v>1</v>
      </c>
      <c r="CG163" s="50">
        <f t="shared" si="408"/>
        <v>1</v>
      </c>
      <c r="CH163" s="50">
        <f t="shared" si="409"/>
        <v>1</v>
      </c>
      <c r="CI163" s="50">
        <f t="shared" si="410"/>
        <v>1</v>
      </c>
      <c r="CJ163" s="50">
        <f t="shared" si="411"/>
        <v>1</v>
      </c>
      <c r="CK163" s="50">
        <f t="shared" si="411"/>
        <v>0</v>
      </c>
      <c r="CL163" s="50">
        <f t="shared" si="411"/>
        <v>0</v>
      </c>
      <c r="CM163" s="51">
        <f t="shared" si="412"/>
        <v>0</v>
      </c>
      <c r="CN163" s="33">
        <f>ROUND(IF(BS163=0,0,HLOOKUP(BS$14,Villagers!$B$1:$V$33,BS163+3,FALSE)),)</f>
        <v>5</v>
      </c>
      <c r="CO163" s="14">
        <f>ROUND(IF(BT163=0,0,HLOOKUP(BT$14,Villagers!$B$1:$V$33,BT163+3,FALSE)),)</f>
        <v>0</v>
      </c>
      <c r="CP163" s="14">
        <f>ROUND(IF(BU163=0,0,HLOOKUP(BU$14,Villagers!$B$1:$V$33,BU163+3,FALSE)),)</f>
        <v>0</v>
      </c>
      <c r="CQ163" s="14">
        <f>ROUND(IF(BV163=0,0,HLOOKUP(BV$14,Villagers!$B$1:$V$33,BV163+3,FALSE)),)</f>
        <v>0</v>
      </c>
      <c r="CR163" s="14">
        <f>ROUND(IF(BW163=0,0,HLOOKUP(BW$14,Villagers!$B$1:$V$33,BW163+3,FALSE)),)</f>
        <v>0</v>
      </c>
      <c r="CS163" s="14">
        <f>ROUND(IF(BX163=0,0,HLOOKUP(BX$14,Villagers!$B$1:$V$33,BX163+3,FALSE)),)</f>
        <v>0</v>
      </c>
      <c r="CT163" s="14">
        <f>ROUND(IF(BY163=0,0,HLOOKUP(BY$14,Villagers!$B$1:$V$33,BY163+3,FALSE)),)</f>
        <v>0</v>
      </c>
      <c r="CU163" s="14">
        <f>ROUND(IF(BZ163=0,0,HLOOKUP(BZ$14,Villagers!$B$1:$V$33,BZ163+3,FALSE)),)</f>
        <v>0</v>
      </c>
      <c r="CV163" s="14">
        <f>ROUND(IF(CA163=0,0,HLOOKUP(CA$14,Villagers!$B$1:$V$33,CA163+3,FALSE)),)</f>
        <v>0</v>
      </c>
      <c r="CW163" s="14">
        <f>ROUND(IF(CB163=0,0,HLOOKUP(CB$14,Villagers!$B$1:$V$33,CB163+3,FALSE)),)</f>
        <v>0</v>
      </c>
      <c r="CX163" s="14">
        <f>ROUND(IF(CC163=0,0,HLOOKUP(CC$14,Villagers!$B$1:$V$33,CC163+3,FALSE)),)</f>
        <v>0</v>
      </c>
      <c r="CY163" s="14">
        <f>ROUND(IF(CD163=0,0,HLOOKUP(CD$14,Villagers!$B$1:$V$33,CD163+3,FALSE)),)</f>
        <v>0</v>
      </c>
      <c r="CZ163" s="14">
        <f>ROUND(IF(CE163=0,0,HLOOKUP(CE$14,Villagers!$B$1:$V$33,CE163+3,FALSE)),)</f>
        <v>5</v>
      </c>
      <c r="DA163" s="14">
        <f>ROUND(IF(CF163=0,0,HLOOKUP(CF$14,Villagers!$B$1:$V$33,CF163+3,FALSE)),)</f>
        <v>10</v>
      </c>
      <c r="DB163" s="14">
        <f>ROUND(IF(CG163=0,0,HLOOKUP(CG$14,Villagers!$B$1:$V$33,CG163+3,FALSE)),)</f>
        <v>10</v>
      </c>
      <c r="DC163" s="14">
        <f>ROUND(IF(CH163=0,0,HLOOKUP(CH$14,Villagers!$B$1:$V$33,CH163+3,FALSE)),)</f>
        <v>0</v>
      </c>
      <c r="DD163" s="14">
        <f>ROUND(IF(CI163=0,0,HLOOKUP(CI$14,Villagers!$B$1:$V$33,CI163+3,FALSE)),)</f>
        <v>0</v>
      </c>
      <c r="DE163" s="14">
        <f>ROUND(IF(CJ163=0,0,HLOOKUP(CJ$14,Villagers!$B$1:$V$33,CJ163+3,FALSE)),)</f>
        <v>2</v>
      </c>
      <c r="DF163" s="370">
        <f>ROUND(IF(CK163=0,0,HLOOKUP(CK$14,Villagers!$B$1:$V$33,CK163+3,FALSE)),)</f>
        <v>0</v>
      </c>
      <c r="DG163" s="370">
        <f>ROUND(IF(CL163=0,0,HLOOKUP(CL$14,Villagers!$B$1:$V$33,CL163+3,FALSE)),)</f>
        <v>0</v>
      </c>
      <c r="DH163" s="34">
        <f>ROUND(IF(CM163=0,0,HLOOKUP(CM$14,Villagers!$B$1:$V$33,CM163+3,FALSE)),)</f>
        <v>0</v>
      </c>
      <c r="DI163" s="109">
        <f t="shared" si="373"/>
        <v>0</v>
      </c>
      <c r="DJ163" s="50">
        <f t="shared" si="374"/>
        <v>0</v>
      </c>
      <c r="DK163" s="50">
        <f t="shared" si="375"/>
        <v>0</v>
      </c>
      <c r="DL163" s="50">
        <f t="shared" si="376"/>
        <v>0</v>
      </c>
      <c r="DM163" s="50">
        <f t="shared" si="377"/>
        <v>0</v>
      </c>
      <c r="DN163" s="50">
        <f t="shared" si="378"/>
        <v>0</v>
      </c>
      <c r="DO163" s="50">
        <f t="shared" si="379"/>
        <v>0</v>
      </c>
      <c r="DP163" s="50">
        <f t="shared" si="380"/>
        <v>0</v>
      </c>
      <c r="DQ163" s="50">
        <f t="shared" si="357"/>
        <v>0</v>
      </c>
      <c r="DR163" s="50">
        <f t="shared" si="358"/>
        <v>0</v>
      </c>
      <c r="DS163" s="96">
        <f>Miscelaneous!$D$4*Miscelaneous!$D$2^($CI163-1)</f>
        <v>1000</v>
      </c>
      <c r="DT163" s="333">
        <f t="shared" si="337"/>
        <v>1</v>
      </c>
      <c r="DU163" s="81">
        <v>1</v>
      </c>
      <c r="DV163" s="79">
        <f t="shared" si="359"/>
        <v>0</v>
      </c>
      <c r="DW163" s="79">
        <f t="shared" si="360"/>
        <v>0</v>
      </c>
      <c r="DX163" s="79">
        <f t="shared" si="361"/>
        <v>0</v>
      </c>
      <c r="DY163" s="79">
        <v>1</v>
      </c>
      <c r="DZ163" s="79">
        <f t="shared" si="362"/>
        <v>0</v>
      </c>
      <c r="EA163" s="79">
        <f t="shared" si="363"/>
        <v>0</v>
      </c>
      <c r="EB163" s="79">
        <f t="shared" si="364"/>
        <v>0</v>
      </c>
      <c r="EC163" s="79">
        <f t="shared" si="365"/>
        <v>0</v>
      </c>
      <c r="ED163" s="79">
        <v>1</v>
      </c>
      <c r="EE163" s="79">
        <v>1</v>
      </c>
      <c r="EF163" s="79">
        <f t="shared" si="366"/>
        <v>0</v>
      </c>
      <c r="EG163" s="79">
        <v>1</v>
      </c>
      <c r="EH163" s="79">
        <v>1</v>
      </c>
      <c r="EI163" s="79">
        <v>1</v>
      </c>
      <c r="EJ163" s="79">
        <v>1</v>
      </c>
      <c r="EK163" s="79">
        <v>1</v>
      </c>
      <c r="EL163" s="79">
        <v>1</v>
      </c>
      <c r="EM163" s="143">
        <f t="shared" si="367"/>
        <v>0</v>
      </c>
      <c r="EN163" s="143">
        <f t="shared" si="368"/>
        <v>0</v>
      </c>
      <c r="EO163" s="82">
        <f t="shared" si="369"/>
        <v>0</v>
      </c>
    </row>
    <row r="164" spans="1:145" x14ac:dyDescent="0.25">
      <c r="A164">
        <v>150</v>
      </c>
      <c r="B164" s="172" t="e">
        <f t="shared" si="338"/>
        <v>#N/A</v>
      </c>
      <c r="C164" s="121" t="e">
        <f t="shared" ref="C164:E164" si="417">AJ164-SUM(AB164:AB168)</f>
        <v>#N/A</v>
      </c>
      <c r="D164" s="122" t="e">
        <f t="shared" si="417"/>
        <v>#N/A</v>
      </c>
      <c r="E164" s="122" t="e">
        <f t="shared" si="417"/>
        <v>#N/A</v>
      </c>
      <c r="F164" s="176" t="e">
        <f t="shared" si="320"/>
        <v>#N/A</v>
      </c>
      <c r="G164" s="121">
        <f t="shared" si="340"/>
        <v>208</v>
      </c>
      <c r="H164" s="176" t="e">
        <f t="shared" si="341"/>
        <v>#N/A</v>
      </c>
      <c r="I164" s="48">
        <v>1</v>
      </c>
      <c r="J164" s="39"/>
      <c r="K164" s="350">
        <v>1</v>
      </c>
      <c r="L164" s="34" t="e">
        <f t="shared" si="321"/>
        <v>#N/A</v>
      </c>
      <c r="M164" s="38" t="e">
        <f>(HLOOKUP(J164,'Construction Times'!$B$3:$W$34,L164+2,FALSE)*HLOOKUP("hq modifier",'Construction Times'!$W$3:$W$34,BS164+2,FALSE))*(1-$H$9)</f>
        <v>#N/A</v>
      </c>
      <c r="N164" s="426" t="e">
        <f t="shared" si="342"/>
        <v>#N/A</v>
      </c>
      <c r="O164" s="427"/>
      <c r="P164" s="430" t="e">
        <f t="shared" si="343"/>
        <v>#N/A</v>
      </c>
      <c r="Q164" s="431"/>
      <c r="R164" s="103">
        <f t="shared" si="371"/>
        <v>0</v>
      </c>
      <c r="S164" s="104">
        <f t="shared" si="371"/>
        <v>0</v>
      </c>
      <c r="T164" s="104">
        <f t="shared" si="372"/>
        <v>0</v>
      </c>
      <c r="U164" s="104">
        <f t="shared" si="372"/>
        <v>0</v>
      </c>
      <c r="V164" s="104">
        <f t="shared" si="372"/>
        <v>9.9999999999999995E-8</v>
      </c>
      <c r="W164" s="104">
        <f t="shared" si="372"/>
        <v>0</v>
      </c>
      <c r="X164" s="104">
        <f t="shared" si="278"/>
        <v>0</v>
      </c>
      <c r="Y164" s="104">
        <f t="shared" si="278"/>
        <v>9.9999999999999995E-8</v>
      </c>
      <c r="Z164" s="104">
        <f t="shared" si="278"/>
        <v>9.9999999999999995E-8</v>
      </c>
      <c r="AA164" s="105">
        <f t="shared" si="278"/>
        <v>9.9999999999999995E-8</v>
      </c>
      <c r="AB164" s="101" t="e">
        <f>$DT164*HLOOKUP($J164,'Construction Costs (timber)'!$B$1:$V$32,'Construction Planner'!$L164+2,FALSE)</f>
        <v>#N/A</v>
      </c>
      <c r="AC164" s="14" t="e">
        <f>$DT164*HLOOKUP($J164,'Construction Costs (clay)'!$B$1:$V$32,'Construction Planner'!$L164+2,FALSE)</f>
        <v>#N/A</v>
      </c>
      <c r="AD164" s="14" t="e">
        <f>$DT164*HLOOKUP($J164,'Construction Costs (iron)'!$B$1:$V$32,'Construction Planner'!$L164+2,FALSE)</f>
        <v>#N/A</v>
      </c>
      <c r="AE164" s="34" t="e">
        <f t="shared" si="384"/>
        <v>#N/A</v>
      </c>
      <c r="AF164" s="33" t="e">
        <f t="shared" si="322"/>
        <v>#N/A</v>
      </c>
      <c r="AG164" s="14" t="e">
        <f t="shared" si="323"/>
        <v>#N/A</v>
      </c>
      <c r="AH164" s="14" t="e">
        <f t="shared" si="324"/>
        <v>#N/A</v>
      </c>
      <c r="AI164" s="34" t="e">
        <f t="shared" si="385"/>
        <v>#N/A</v>
      </c>
      <c r="AJ164" s="49" t="e">
        <f t="shared" si="345"/>
        <v>#N/A</v>
      </c>
      <c r="AK164" s="49" t="e">
        <f t="shared" si="346"/>
        <v>#N/A</v>
      </c>
      <c r="AL164" s="49" t="e">
        <f t="shared" si="347"/>
        <v>#N/A</v>
      </c>
      <c r="AM164" s="25">
        <f t="shared" si="325"/>
        <v>30</v>
      </c>
      <c r="AN164" s="25">
        <f t="shared" si="326"/>
        <v>30</v>
      </c>
      <c r="AO164" s="25">
        <f t="shared" si="327"/>
        <v>30</v>
      </c>
      <c r="AP164" s="52" t="e">
        <f t="shared" si="348"/>
        <v>#N/A</v>
      </c>
      <c r="AQ164" s="53" t="e">
        <f t="shared" si="348"/>
        <v>#N/A</v>
      </c>
      <c r="AR164" s="54" t="e">
        <f t="shared" si="348"/>
        <v>#N/A</v>
      </c>
      <c r="AS164" s="316">
        <f t="shared" ref="AS164:AS179" si="418">AS163</f>
        <v>0</v>
      </c>
      <c r="AT164" s="106">
        <f>_xlfn.IFNA($M164/VLOOKUP($BT164,'Unit information'!$A$2:$K$29,2,FALSE)*R164,0)*(1+$E$9)</f>
        <v>0</v>
      </c>
      <c r="AU164" s="107">
        <f>_xlfn.IFNA($M164/VLOOKUP($BT164,'Unit information'!$A$2:$K$29,3,FALSE)*S164,0)*(1+$E$9)</f>
        <v>0</v>
      </c>
      <c r="AV164" s="107">
        <f>_xlfn.IFNA($M164/VLOOKUP($BT164,'Unit information'!$A$2:$K$29,4,FALSE)*T164,0)*(1+$E$9)</f>
        <v>0</v>
      </c>
      <c r="AW164" s="107">
        <f>_xlfn.IFNA($M164/VLOOKUP($BT164,'Unit information'!$A$2:$K$29,5,FALSE)*U164,0)*(1+$E$9)</f>
        <v>0</v>
      </c>
      <c r="AX164" s="107">
        <f>_xlfn.IFNA($M164/VLOOKUP($BU164,'Unit information'!$A$2:$K$29,6,FALSE)*V164,0)*(1+$E$9)</f>
        <v>0</v>
      </c>
      <c r="AY164" s="107">
        <f>_xlfn.IFNA($M164/VLOOKUP($BU164,'Unit information'!$A$2:$K$29,7,FALSE)*W164,0)*(1+$E$9)</f>
        <v>0</v>
      </c>
      <c r="AZ164" s="107">
        <f>_xlfn.IFNA($M164/VLOOKUP($BU164,'Unit information'!$A$2:$K$29,8,FALSE)*X164,0)*(1+$E$9)</f>
        <v>0</v>
      </c>
      <c r="BA164" s="107">
        <f>_xlfn.IFNA($M164/VLOOKUP($BU164,'Unit information'!$A$2:$K$29,9,FALSE)*Y164,0)*(1+$E$9)</f>
        <v>0</v>
      </c>
      <c r="BB164" s="107">
        <f>_xlfn.IFNA($M164/VLOOKUP($BV164,'Unit information'!$A$2:$K$29,10,FALSE)*Z164,0)*(1+$E$9)</f>
        <v>0</v>
      </c>
      <c r="BC164" s="108">
        <f>_xlfn.IFNA($M164/VLOOKUP($BV164,'Unit information'!$A$2:$K$29,11,FALSE)*AA164,0)*(1+$E$9)</f>
        <v>0</v>
      </c>
      <c r="BD164" s="106">
        <f t="shared" si="328"/>
        <v>0</v>
      </c>
      <c r="BE164" s="107">
        <f t="shared" si="329"/>
        <v>0</v>
      </c>
      <c r="BF164" s="108">
        <f t="shared" si="330"/>
        <v>0</v>
      </c>
      <c r="BG164" s="25" t="e">
        <f t="shared" si="331"/>
        <v>#N/A</v>
      </c>
      <c r="BH164" s="25" t="e">
        <f t="shared" si="332"/>
        <v>#N/A</v>
      </c>
      <c r="BI164" s="25" t="e">
        <f t="shared" si="333"/>
        <v>#N/A</v>
      </c>
      <c r="BJ164" s="27" t="e">
        <f t="shared" si="334"/>
        <v>#N/A</v>
      </c>
      <c r="BK164" s="18" t="e">
        <f t="shared" si="335"/>
        <v>#N/A</v>
      </c>
      <c r="BL164" s="18" t="e">
        <f t="shared" si="336"/>
        <v>#N/A</v>
      </c>
      <c r="BM164" s="28" t="e">
        <f t="shared" si="387"/>
        <v>#N/A</v>
      </c>
      <c r="BN164" s="33">
        <f>HLOOKUP("maximum population",Miscelaneous!$C$1:$C$33,CH164+3,FALSE)</f>
        <v>240</v>
      </c>
      <c r="BO164" s="14">
        <f t="shared" si="349"/>
        <v>32</v>
      </c>
      <c r="BP164" s="14">
        <f t="shared" si="350"/>
        <v>0</v>
      </c>
      <c r="BQ164" s="14">
        <f t="shared" si="351"/>
        <v>208</v>
      </c>
      <c r="BR164" s="34" t="e">
        <f>HLOOKUP(J164,Villagers!$B$1:$V$33,L164+3,FALSE)-HLOOKUP(J164,Villagers!$B$1:$V$33,L164+2,FALSE)</f>
        <v>#N/A</v>
      </c>
      <c r="BS164" s="49">
        <f t="shared" si="352"/>
        <v>1</v>
      </c>
      <c r="BT164" s="50">
        <f t="shared" si="353"/>
        <v>0</v>
      </c>
      <c r="BU164" s="50">
        <f t="shared" si="354"/>
        <v>0</v>
      </c>
      <c r="BV164" s="50">
        <f t="shared" si="355"/>
        <v>0</v>
      </c>
      <c r="BW164" s="50">
        <f t="shared" si="391"/>
        <v>0</v>
      </c>
      <c r="BX164" s="50">
        <f t="shared" si="392"/>
        <v>0</v>
      </c>
      <c r="BY164" s="50">
        <f t="shared" si="392"/>
        <v>0</v>
      </c>
      <c r="BZ164" s="50">
        <f t="shared" si="401"/>
        <v>0</v>
      </c>
      <c r="CA164" s="50">
        <f t="shared" si="402"/>
        <v>0</v>
      </c>
      <c r="CB164" s="50">
        <f t="shared" si="403"/>
        <v>1</v>
      </c>
      <c r="CC164" s="50">
        <f t="shared" si="404"/>
        <v>0</v>
      </c>
      <c r="CD164" s="50">
        <f t="shared" si="405"/>
        <v>0</v>
      </c>
      <c r="CE164" s="50">
        <f t="shared" si="406"/>
        <v>1</v>
      </c>
      <c r="CF164" s="50">
        <f t="shared" si="407"/>
        <v>1</v>
      </c>
      <c r="CG164" s="50">
        <f t="shared" si="408"/>
        <v>1</v>
      </c>
      <c r="CH164" s="50">
        <f t="shared" si="409"/>
        <v>1</v>
      </c>
      <c r="CI164" s="50">
        <f t="shared" si="410"/>
        <v>1</v>
      </c>
      <c r="CJ164" s="50">
        <f t="shared" si="411"/>
        <v>1</v>
      </c>
      <c r="CK164" s="50">
        <f t="shared" si="411"/>
        <v>0</v>
      </c>
      <c r="CL164" s="50">
        <f t="shared" si="411"/>
        <v>0</v>
      </c>
      <c r="CM164" s="51">
        <f t="shared" si="412"/>
        <v>0</v>
      </c>
      <c r="CN164" s="33">
        <f>ROUND(IF(BS164=0,0,HLOOKUP(BS$14,Villagers!$B$1:$V$33,BS164+3,FALSE)),)</f>
        <v>5</v>
      </c>
      <c r="CO164" s="14">
        <f>ROUND(IF(BT164=0,0,HLOOKUP(BT$14,Villagers!$B$1:$V$33,BT164+3,FALSE)),)</f>
        <v>0</v>
      </c>
      <c r="CP164" s="14">
        <f>ROUND(IF(BU164=0,0,HLOOKUP(BU$14,Villagers!$B$1:$V$33,BU164+3,FALSE)),)</f>
        <v>0</v>
      </c>
      <c r="CQ164" s="14">
        <f>ROUND(IF(BV164=0,0,HLOOKUP(BV$14,Villagers!$B$1:$V$33,BV164+3,FALSE)),)</f>
        <v>0</v>
      </c>
      <c r="CR164" s="14">
        <f>ROUND(IF(BW164=0,0,HLOOKUP(BW$14,Villagers!$B$1:$V$33,BW164+3,FALSE)),)</f>
        <v>0</v>
      </c>
      <c r="CS164" s="14">
        <f>ROUND(IF(BX164=0,0,HLOOKUP(BX$14,Villagers!$B$1:$V$33,BX164+3,FALSE)),)</f>
        <v>0</v>
      </c>
      <c r="CT164" s="14">
        <f>ROUND(IF(BY164=0,0,HLOOKUP(BY$14,Villagers!$B$1:$V$33,BY164+3,FALSE)),)</f>
        <v>0</v>
      </c>
      <c r="CU164" s="14">
        <f>ROUND(IF(BZ164=0,0,HLOOKUP(BZ$14,Villagers!$B$1:$V$33,BZ164+3,FALSE)),)</f>
        <v>0</v>
      </c>
      <c r="CV164" s="14">
        <f>ROUND(IF(CA164=0,0,HLOOKUP(CA$14,Villagers!$B$1:$V$33,CA164+3,FALSE)),)</f>
        <v>0</v>
      </c>
      <c r="CW164" s="14">
        <f>ROUND(IF(CB164=0,0,HLOOKUP(CB$14,Villagers!$B$1:$V$33,CB164+3,FALSE)),)</f>
        <v>0</v>
      </c>
      <c r="CX164" s="14">
        <f>ROUND(IF(CC164=0,0,HLOOKUP(CC$14,Villagers!$B$1:$V$33,CC164+3,FALSE)),)</f>
        <v>0</v>
      </c>
      <c r="CY164" s="14">
        <f>ROUND(IF(CD164=0,0,HLOOKUP(CD$14,Villagers!$B$1:$V$33,CD164+3,FALSE)),)</f>
        <v>0</v>
      </c>
      <c r="CZ164" s="14">
        <f>ROUND(IF(CE164=0,0,HLOOKUP(CE$14,Villagers!$B$1:$V$33,CE164+3,FALSE)),)</f>
        <v>5</v>
      </c>
      <c r="DA164" s="14">
        <f>ROUND(IF(CF164=0,0,HLOOKUP(CF$14,Villagers!$B$1:$V$33,CF164+3,FALSE)),)</f>
        <v>10</v>
      </c>
      <c r="DB164" s="14">
        <f>ROUND(IF(CG164=0,0,HLOOKUP(CG$14,Villagers!$B$1:$V$33,CG164+3,FALSE)),)</f>
        <v>10</v>
      </c>
      <c r="DC164" s="14">
        <f>ROUND(IF(CH164=0,0,HLOOKUP(CH$14,Villagers!$B$1:$V$33,CH164+3,FALSE)),)</f>
        <v>0</v>
      </c>
      <c r="DD164" s="14">
        <f>ROUND(IF(CI164=0,0,HLOOKUP(CI$14,Villagers!$B$1:$V$33,CI164+3,FALSE)),)</f>
        <v>0</v>
      </c>
      <c r="DE164" s="14">
        <f>ROUND(IF(CJ164=0,0,HLOOKUP(CJ$14,Villagers!$B$1:$V$33,CJ164+3,FALSE)),)</f>
        <v>2</v>
      </c>
      <c r="DF164" s="370">
        <f>ROUND(IF(CK164=0,0,HLOOKUP(CK$14,Villagers!$B$1:$V$33,CK164+3,FALSE)),)</f>
        <v>0</v>
      </c>
      <c r="DG164" s="370">
        <f>ROUND(IF(CL164=0,0,HLOOKUP(CL$14,Villagers!$B$1:$V$33,CL164+3,FALSE)),)</f>
        <v>0</v>
      </c>
      <c r="DH164" s="34">
        <f>ROUND(IF(CM164=0,0,HLOOKUP(CM$14,Villagers!$B$1:$V$33,CM164+3,FALSE)),)</f>
        <v>0</v>
      </c>
      <c r="DI164" s="109">
        <f t="shared" si="373"/>
        <v>0</v>
      </c>
      <c r="DJ164" s="50">
        <f t="shared" si="374"/>
        <v>0</v>
      </c>
      <c r="DK164" s="50">
        <f t="shared" si="375"/>
        <v>0</v>
      </c>
      <c r="DL164" s="50">
        <f t="shared" si="376"/>
        <v>0</v>
      </c>
      <c r="DM164" s="50">
        <f t="shared" si="377"/>
        <v>0</v>
      </c>
      <c r="DN164" s="50">
        <f t="shared" si="378"/>
        <v>0</v>
      </c>
      <c r="DO164" s="50">
        <f t="shared" si="379"/>
        <v>0</v>
      </c>
      <c r="DP164" s="50">
        <f t="shared" si="380"/>
        <v>0</v>
      </c>
      <c r="DQ164" s="50">
        <f t="shared" si="357"/>
        <v>0</v>
      </c>
      <c r="DR164" s="50">
        <f t="shared" si="358"/>
        <v>0</v>
      </c>
      <c r="DS164" s="96">
        <f>Miscelaneous!$D$4*Miscelaneous!$D$2^($CI164-1)</f>
        <v>1000</v>
      </c>
      <c r="DT164" s="333">
        <f t="shared" si="337"/>
        <v>1</v>
      </c>
      <c r="DU164" s="81">
        <v>1</v>
      </c>
      <c r="DV164" s="79">
        <f t="shared" si="359"/>
        <v>0</v>
      </c>
      <c r="DW164" s="79">
        <f t="shared" si="360"/>
        <v>0</v>
      </c>
      <c r="DX164" s="79">
        <f t="shared" si="361"/>
        <v>0</v>
      </c>
      <c r="DY164" s="79">
        <v>1</v>
      </c>
      <c r="DZ164" s="79">
        <f t="shared" si="362"/>
        <v>0</v>
      </c>
      <c r="EA164" s="79">
        <f t="shared" si="363"/>
        <v>0</v>
      </c>
      <c r="EB164" s="79">
        <f t="shared" si="364"/>
        <v>0</v>
      </c>
      <c r="EC164" s="79">
        <f t="shared" si="365"/>
        <v>0</v>
      </c>
      <c r="ED164" s="79">
        <v>1</v>
      </c>
      <c r="EE164" s="79">
        <v>1</v>
      </c>
      <c r="EF164" s="79">
        <f t="shared" si="366"/>
        <v>0</v>
      </c>
      <c r="EG164" s="79">
        <v>1</v>
      </c>
      <c r="EH164" s="79">
        <v>1</v>
      </c>
      <c r="EI164" s="79">
        <v>1</v>
      </c>
      <c r="EJ164" s="79">
        <v>1</v>
      </c>
      <c r="EK164" s="79">
        <v>1</v>
      </c>
      <c r="EL164" s="79">
        <v>1</v>
      </c>
      <c r="EM164" s="143">
        <f t="shared" si="367"/>
        <v>0</v>
      </c>
      <c r="EN164" s="143">
        <f t="shared" si="368"/>
        <v>0</v>
      </c>
      <c r="EO164" s="82">
        <f t="shared" si="369"/>
        <v>0</v>
      </c>
    </row>
    <row r="165" spans="1:145" x14ac:dyDescent="0.25">
      <c r="A165">
        <v>151</v>
      </c>
      <c r="B165" s="172" t="e">
        <f t="shared" si="338"/>
        <v>#N/A</v>
      </c>
      <c r="C165" s="121" t="e">
        <f t="shared" ref="C165:E165" si="419">AJ165-SUM(AB165:AB169)</f>
        <v>#N/A</v>
      </c>
      <c r="D165" s="122" t="e">
        <f t="shared" si="419"/>
        <v>#N/A</v>
      </c>
      <c r="E165" s="122" t="e">
        <f t="shared" si="419"/>
        <v>#N/A</v>
      </c>
      <c r="F165" s="176" t="e">
        <f t="shared" si="320"/>
        <v>#N/A</v>
      </c>
      <c r="G165" s="121">
        <f t="shared" si="340"/>
        <v>208</v>
      </c>
      <c r="H165" s="176" t="e">
        <f t="shared" si="341"/>
        <v>#N/A</v>
      </c>
      <c r="I165" s="48">
        <v>1</v>
      </c>
      <c r="J165" s="39"/>
      <c r="K165" s="350">
        <v>1</v>
      </c>
      <c r="L165" s="34" t="e">
        <f t="shared" si="321"/>
        <v>#N/A</v>
      </c>
      <c r="M165" s="38" t="e">
        <f>(HLOOKUP(J165,'Construction Times'!$B$3:$W$34,L165+2,FALSE)*HLOOKUP("hq modifier",'Construction Times'!$W$3:$W$34,BS165+2,FALSE))*(1-$H$9)</f>
        <v>#N/A</v>
      </c>
      <c r="N165" s="426" t="e">
        <f t="shared" si="342"/>
        <v>#N/A</v>
      </c>
      <c r="O165" s="427"/>
      <c r="P165" s="430" t="e">
        <f t="shared" si="343"/>
        <v>#N/A</v>
      </c>
      <c r="Q165" s="431"/>
      <c r="R165" s="103">
        <f t="shared" si="371"/>
        <v>0</v>
      </c>
      <c r="S165" s="104">
        <f t="shared" si="371"/>
        <v>0</v>
      </c>
      <c r="T165" s="104">
        <f t="shared" si="372"/>
        <v>0</v>
      </c>
      <c r="U165" s="104">
        <f t="shared" si="372"/>
        <v>0</v>
      </c>
      <c r="V165" s="104">
        <f t="shared" si="372"/>
        <v>9.9999999999999995E-8</v>
      </c>
      <c r="W165" s="104">
        <f t="shared" si="372"/>
        <v>0</v>
      </c>
      <c r="X165" s="104">
        <f t="shared" si="278"/>
        <v>0</v>
      </c>
      <c r="Y165" s="104">
        <f t="shared" si="278"/>
        <v>9.9999999999999995E-8</v>
      </c>
      <c r="Z165" s="104">
        <f t="shared" si="278"/>
        <v>9.9999999999999995E-8</v>
      </c>
      <c r="AA165" s="105">
        <f t="shared" si="278"/>
        <v>9.9999999999999995E-8</v>
      </c>
      <c r="AB165" s="101" t="e">
        <f>$DT165*HLOOKUP($J165,'Construction Costs (timber)'!$B$1:$V$32,'Construction Planner'!$L165+2,FALSE)</f>
        <v>#N/A</v>
      </c>
      <c r="AC165" s="14" t="e">
        <f>$DT165*HLOOKUP($J165,'Construction Costs (clay)'!$B$1:$V$32,'Construction Planner'!$L165+2,FALSE)</f>
        <v>#N/A</v>
      </c>
      <c r="AD165" s="14" t="e">
        <f>$DT165*HLOOKUP($J165,'Construction Costs (iron)'!$B$1:$V$32,'Construction Planner'!$L165+2,FALSE)</f>
        <v>#N/A</v>
      </c>
      <c r="AE165" s="34" t="e">
        <f t="shared" si="384"/>
        <v>#N/A</v>
      </c>
      <c r="AF165" s="33" t="e">
        <f t="shared" si="322"/>
        <v>#N/A</v>
      </c>
      <c r="AG165" s="14" t="e">
        <f t="shared" si="323"/>
        <v>#N/A</v>
      </c>
      <c r="AH165" s="14" t="e">
        <f t="shared" si="324"/>
        <v>#N/A</v>
      </c>
      <c r="AI165" s="34" t="e">
        <f t="shared" si="385"/>
        <v>#N/A</v>
      </c>
      <c r="AJ165" s="49" t="e">
        <f t="shared" si="345"/>
        <v>#N/A</v>
      </c>
      <c r="AK165" s="49" t="e">
        <f t="shared" si="346"/>
        <v>#N/A</v>
      </c>
      <c r="AL165" s="49" t="e">
        <f t="shared" si="347"/>
        <v>#N/A</v>
      </c>
      <c r="AM165" s="25">
        <f t="shared" si="325"/>
        <v>30</v>
      </c>
      <c r="AN165" s="25">
        <f t="shared" si="326"/>
        <v>30</v>
      </c>
      <c r="AO165" s="25">
        <f t="shared" si="327"/>
        <v>30</v>
      </c>
      <c r="AP165" s="52" t="e">
        <f t="shared" si="348"/>
        <v>#N/A</v>
      </c>
      <c r="AQ165" s="53" t="e">
        <f t="shared" si="348"/>
        <v>#N/A</v>
      </c>
      <c r="AR165" s="54" t="e">
        <f t="shared" si="348"/>
        <v>#N/A</v>
      </c>
      <c r="AS165" s="316">
        <f t="shared" si="418"/>
        <v>0</v>
      </c>
      <c r="AT165" s="106">
        <f>_xlfn.IFNA($M165/VLOOKUP($BT165,'Unit information'!$A$2:$K$29,2,FALSE)*R165,0)*(1+$E$9)</f>
        <v>0</v>
      </c>
      <c r="AU165" s="107">
        <f>_xlfn.IFNA($M165/VLOOKUP($BT165,'Unit information'!$A$2:$K$29,3,FALSE)*S165,0)*(1+$E$9)</f>
        <v>0</v>
      </c>
      <c r="AV165" s="107">
        <f>_xlfn.IFNA($M165/VLOOKUP($BT165,'Unit information'!$A$2:$K$29,4,FALSE)*T165,0)*(1+$E$9)</f>
        <v>0</v>
      </c>
      <c r="AW165" s="107">
        <f>_xlfn.IFNA($M165/VLOOKUP($BT165,'Unit information'!$A$2:$K$29,5,FALSE)*U165,0)*(1+$E$9)</f>
        <v>0</v>
      </c>
      <c r="AX165" s="107">
        <f>_xlfn.IFNA($M165/VLOOKUP($BU165,'Unit information'!$A$2:$K$29,6,FALSE)*V165,0)*(1+$E$9)</f>
        <v>0</v>
      </c>
      <c r="AY165" s="107">
        <f>_xlfn.IFNA($M165/VLOOKUP($BU165,'Unit information'!$A$2:$K$29,7,FALSE)*W165,0)*(1+$E$9)</f>
        <v>0</v>
      </c>
      <c r="AZ165" s="107">
        <f>_xlfn.IFNA($M165/VLOOKUP($BU165,'Unit information'!$A$2:$K$29,8,FALSE)*X165,0)*(1+$E$9)</f>
        <v>0</v>
      </c>
      <c r="BA165" s="107">
        <f>_xlfn.IFNA($M165/VLOOKUP($BU165,'Unit information'!$A$2:$K$29,9,FALSE)*Y165,0)*(1+$E$9)</f>
        <v>0</v>
      </c>
      <c r="BB165" s="107">
        <f>_xlfn.IFNA($M165/VLOOKUP($BV165,'Unit information'!$A$2:$K$29,10,FALSE)*Z165,0)*(1+$E$9)</f>
        <v>0</v>
      </c>
      <c r="BC165" s="108">
        <f>_xlfn.IFNA($M165/VLOOKUP($BV165,'Unit information'!$A$2:$K$29,11,FALSE)*AA165,0)*(1+$E$9)</f>
        <v>0</v>
      </c>
      <c r="BD165" s="106">
        <f t="shared" si="328"/>
        <v>0</v>
      </c>
      <c r="BE165" s="107">
        <f t="shared" si="329"/>
        <v>0</v>
      </c>
      <c r="BF165" s="108">
        <f t="shared" si="330"/>
        <v>0</v>
      </c>
      <c r="BG165" s="25" t="e">
        <f t="shared" si="331"/>
        <v>#N/A</v>
      </c>
      <c r="BH165" s="25" t="e">
        <f t="shared" si="332"/>
        <v>#N/A</v>
      </c>
      <c r="BI165" s="25" t="e">
        <f t="shared" si="333"/>
        <v>#N/A</v>
      </c>
      <c r="BJ165" s="27" t="e">
        <f t="shared" si="334"/>
        <v>#N/A</v>
      </c>
      <c r="BK165" s="18" t="e">
        <f t="shared" si="335"/>
        <v>#N/A</v>
      </c>
      <c r="BL165" s="18" t="e">
        <f t="shared" si="336"/>
        <v>#N/A</v>
      </c>
      <c r="BM165" s="28" t="e">
        <f t="shared" si="387"/>
        <v>#N/A</v>
      </c>
      <c r="BN165" s="33">
        <f>HLOOKUP("maximum population",Miscelaneous!$C$1:$C$33,CH165+3,FALSE)</f>
        <v>240</v>
      </c>
      <c r="BO165" s="14">
        <f t="shared" si="349"/>
        <v>32</v>
      </c>
      <c r="BP165" s="14">
        <f t="shared" si="350"/>
        <v>0</v>
      </c>
      <c r="BQ165" s="14">
        <f t="shared" si="351"/>
        <v>208</v>
      </c>
      <c r="BR165" s="34" t="e">
        <f>HLOOKUP(J165,Villagers!$B$1:$V$33,L165+3,FALSE)-HLOOKUP(J165,Villagers!$B$1:$V$33,L165+2,FALSE)</f>
        <v>#N/A</v>
      </c>
      <c r="BS165" s="49">
        <f t="shared" si="352"/>
        <v>1</v>
      </c>
      <c r="BT165" s="50">
        <f t="shared" si="353"/>
        <v>0</v>
      </c>
      <c r="BU165" s="50">
        <f t="shared" si="354"/>
        <v>0</v>
      </c>
      <c r="BV165" s="50">
        <f t="shared" si="355"/>
        <v>0</v>
      </c>
      <c r="BW165" s="50">
        <f t="shared" si="391"/>
        <v>0</v>
      </c>
      <c r="BX165" s="50">
        <f t="shared" si="392"/>
        <v>0</v>
      </c>
      <c r="BY165" s="50">
        <f t="shared" si="392"/>
        <v>0</v>
      </c>
      <c r="BZ165" s="50">
        <f t="shared" si="401"/>
        <v>0</v>
      </c>
      <c r="CA165" s="50">
        <f t="shared" si="402"/>
        <v>0</v>
      </c>
      <c r="CB165" s="50">
        <f t="shared" si="403"/>
        <v>1</v>
      </c>
      <c r="CC165" s="50">
        <f t="shared" si="404"/>
        <v>0</v>
      </c>
      <c r="CD165" s="50">
        <f t="shared" si="405"/>
        <v>0</v>
      </c>
      <c r="CE165" s="50">
        <f t="shared" si="406"/>
        <v>1</v>
      </c>
      <c r="CF165" s="50">
        <f t="shared" si="407"/>
        <v>1</v>
      </c>
      <c r="CG165" s="50">
        <f t="shared" si="408"/>
        <v>1</v>
      </c>
      <c r="CH165" s="50">
        <f t="shared" si="409"/>
        <v>1</v>
      </c>
      <c r="CI165" s="50">
        <f t="shared" si="410"/>
        <v>1</v>
      </c>
      <c r="CJ165" s="50">
        <f t="shared" si="411"/>
        <v>1</v>
      </c>
      <c r="CK165" s="50">
        <f t="shared" si="411"/>
        <v>0</v>
      </c>
      <c r="CL165" s="50">
        <f t="shared" si="411"/>
        <v>0</v>
      </c>
      <c r="CM165" s="51">
        <f t="shared" si="412"/>
        <v>0</v>
      </c>
      <c r="CN165" s="33">
        <f>ROUND(IF(BS165=0,0,HLOOKUP(BS$14,Villagers!$B$1:$V$33,BS165+3,FALSE)),)</f>
        <v>5</v>
      </c>
      <c r="CO165" s="14">
        <f>ROUND(IF(BT165=0,0,HLOOKUP(BT$14,Villagers!$B$1:$V$33,BT165+3,FALSE)),)</f>
        <v>0</v>
      </c>
      <c r="CP165" s="14">
        <f>ROUND(IF(BU165=0,0,HLOOKUP(BU$14,Villagers!$B$1:$V$33,BU165+3,FALSE)),)</f>
        <v>0</v>
      </c>
      <c r="CQ165" s="14">
        <f>ROUND(IF(BV165=0,0,HLOOKUP(BV$14,Villagers!$B$1:$V$33,BV165+3,FALSE)),)</f>
        <v>0</v>
      </c>
      <c r="CR165" s="14">
        <f>ROUND(IF(BW165=0,0,HLOOKUP(BW$14,Villagers!$B$1:$V$33,BW165+3,FALSE)),)</f>
        <v>0</v>
      </c>
      <c r="CS165" s="14">
        <f>ROUND(IF(BX165=0,0,HLOOKUP(BX$14,Villagers!$B$1:$V$33,BX165+3,FALSE)),)</f>
        <v>0</v>
      </c>
      <c r="CT165" s="14">
        <f>ROUND(IF(BY165=0,0,HLOOKUP(BY$14,Villagers!$B$1:$V$33,BY165+3,FALSE)),)</f>
        <v>0</v>
      </c>
      <c r="CU165" s="14">
        <f>ROUND(IF(BZ165=0,0,HLOOKUP(BZ$14,Villagers!$B$1:$V$33,BZ165+3,FALSE)),)</f>
        <v>0</v>
      </c>
      <c r="CV165" s="14">
        <f>ROUND(IF(CA165=0,0,HLOOKUP(CA$14,Villagers!$B$1:$V$33,CA165+3,FALSE)),)</f>
        <v>0</v>
      </c>
      <c r="CW165" s="14">
        <f>ROUND(IF(CB165=0,0,HLOOKUP(CB$14,Villagers!$B$1:$V$33,CB165+3,FALSE)),)</f>
        <v>0</v>
      </c>
      <c r="CX165" s="14">
        <f>ROUND(IF(CC165=0,0,HLOOKUP(CC$14,Villagers!$B$1:$V$33,CC165+3,FALSE)),)</f>
        <v>0</v>
      </c>
      <c r="CY165" s="14">
        <f>ROUND(IF(CD165=0,0,HLOOKUP(CD$14,Villagers!$B$1:$V$33,CD165+3,FALSE)),)</f>
        <v>0</v>
      </c>
      <c r="CZ165" s="14">
        <f>ROUND(IF(CE165=0,0,HLOOKUP(CE$14,Villagers!$B$1:$V$33,CE165+3,FALSE)),)</f>
        <v>5</v>
      </c>
      <c r="DA165" s="14">
        <f>ROUND(IF(CF165=0,0,HLOOKUP(CF$14,Villagers!$B$1:$V$33,CF165+3,FALSE)),)</f>
        <v>10</v>
      </c>
      <c r="DB165" s="14">
        <f>ROUND(IF(CG165=0,0,HLOOKUP(CG$14,Villagers!$B$1:$V$33,CG165+3,FALSE)),)</f>
        <v>10</v>
      </c>
      <c r="DC165" s="14">
        <f>ROUND(IF(CH165=0,0,HLOOKUP(CH$14,Villagers!$B$1:$V$33,CH165+3,FALSE)),)</f>
        <v>0</v>
      </c>
      <c r="DD165" s="14">
        <f>ROUND(IF(CI165=0,0,HLOOKUP(CI$14,Villagers!$B$1:$V$33,CI165+3,FALSE)),)</f>
        <v>0</v>
      </c>
      <c r="DE165" s="14">
        <f>ROUND(IF(CJ165=0,0,HLOOKUP(CJ$14,Villagers!$B$1:$V$33,CJ165+3,FALSE)),)</f>
        <v>2</v>
      </c>
      <c r="DF165" s="370">
        <f>ROUND(IF(CK165=0,0,HLOOKUP(CK$14,Villagers!$B$1:$V$33,CK165+3,FALSE)),)</f>
        <v>0</v>
      </c>
      <c r="DG165" s="370">
        <f>ROUND(IF(CL165=0,0,HLOOKUP(CL$14,Villagers!$B$1:$V$33,CL165+3,FALSE)),)</f>
        <v>0</v>
      </c>
      <c r="DH165" s="34">
        <f>ROUND(IF(CM165=0,0,HLOOKUP(CM$14,Villagers!$B$1:$V$33,CM165+3,FALSE)),)</f>
        <v>0</v>
      </c>
      <c r="DI165" s="109">
        <f t="shared" si="373"/>
        <v>0</v>
      </c>
      <c r="DJ165" s="50">
        <f t="shared" si="374"/>
        <v>0</v>
      </c>
      <c r="DK165" s="50">
        <f t="shared" si="375"/>
        <v>0</v>
      </c>
      <c r="DL165" s="50">
        <f t="shared" si="376"/>
        <v>0</v>
      </c>
      <c r="DM165" s="50">
        <f t="shared" si="377"/>
        <v>0</v>
      </c>
      <c r="DN165" s="50">
        <f t="shared" si="378"/>
        <v>0</v>
      </c>
      <c r="DO165" s="50">
        <f t="shared" si="379"/>
        <v>0</v>
      </c>
      <c r="DP165" s="50">
        <f t="shared" si="380"/>
        <v>0</v>
      </c>
      <c r="DQ165" s="50">
        <f t="shared" si="357"/>
        <v>0</v>
      </c>
      <c r="DR165" s="50">
        <f t="shared" si="358"/>
        <v>0</v>
      </c>
      <c r="DS165" s="96">
        <f>Miscelaneous!$D$4*Miscelaneous!$D$2^($CI165-1)</f>
        <v>1000</v>
      </c>
      <c r="DT165" s="333">
        <f t="shared" si="337"/>
        <v>1</v>
      </c>
      <c r="DU165" s="81">
        <v>1</v>
      </c>
      <c r="DV165" s="79">
        <f t="shared" si="359"/>
        <v>0</v>
      </c>
      <c r="DW165" s="79">
        <f t="shared" si="360"/>
        <v>0</v>
      </c>
      <c r="DX165" s="79">
        <f t="shared" si="361"/>
        <v>0</v>
      </c>
      <c r="DY165" s="79">
        <v>1</v>
      </c>
      <c r="DZ165" s="79">
        <f t="shared" si="362"/>
        <v>0</v>
      </c>
      <c r="EA165" s="79">
        <f t="shared" si="363"/>
        <v>0</v>
      </c>
      <c r="EB165" s="79">
        <f t="shared" si="364"/>
        <v>0</v>
      </c>
      <c r="EC165" s="79">
        <f t="shared" si="365"/>
        <v>0</v>
      </c>
      <c r="ED165" s="79">
        <v>1</v>
      </c>
      <c r="EE165" s="79">
        <v>1</v>
      </c>
      <c r="EF165" s="79">
        <f t="shared" si="366"/>
        <v>0</v>
      </c>
      <c r="EG165" s="79">
        <v>1</v>
      </c>
      <c r="EH165" s="79">
        <v>1</v>
      </c>
      <c r="EI165" s="79">
        <v>1</v>
      </c>
      <c r="EJ165" s="79">
        <v>1</v>
      </c>
      <c r="EK165" s="79">
        <v>1</v>
      </c>
      <c r="EL165" s="79">
        <v>1</v>
      </c>
      <c r="EM165" s="143">
        <f t="shared" si="367"/>
        <v>0</v>
      </c>
      <c r="EN165" s="143">
        <f t="shared" si="368"/>
        <v>0</v>
      </c>
      <c r="EO165" s="82">
        <f t="shared" si="369"/>
        <v>0</v>
      </c>
    </row>
    <row r="166" spans="1:145" x14ac:dyDescent="0.25">
      <c r="A166">
        <v>152</v>
      </c>
      <c r="B166" s="172" t="e">
        <f t="shared" si="338"/>
        <v>#N/A</v>
      </c>
      <c r="C166" s="121" t="e">
        <f t="shared" ref="C166:E166" si="420">AJ166-SUM(AB166:AB170)</f>
        <v>#N/A</v>
      </c>
      <c r="D166" s="122" t="e">
        <f t="shared" si="420"/>
        <v>#N/A</v>
      </c>
      <c r="E166" s="122" t="e">
        <f t="shared" si="420"/>
        <v>#N/A</v>
      </c>
      <c r="F166" s="176" t="e">
        <f t="shared" si="320"/>
        <v>#N/A</v>
      </c>
      <c r="G166" s="121">
        <f t="shared" si="340"/>
        <v>208</v>
      </c>
      <c r="H166" s="176" t="e">
        <f t="shared" si="341"/>
        <v>#N/A</v>
      </c>
      <c r="I166" s="48">
        <v>1</v>
      </c>
      <c r="J166" s="39"/>
      <c r="K166" s="350">
        <v>1</v>
      </c>
      <c r="L166" s="34" t="e">
        <f t="shared" si="321"/>
        <v>#N/A</v>
      </c>
      <c r="M166" s="38" t="e">
        <f>(HLOOKUP(J166,'Construction Times'!$B$3:$W$34,L166+2,FALSE)*HLOOKUP("hq modifier",'Construction Times'!$W$3:$W$34,BS166+2,FALSE))*(1-$H$9)</f>
        <v>#N/A</v>
      </c>
      <c r="N166" s="426" t="e">
        <f t="shared" si="342"/>
        <v>#N/A</v>
      </c>
      <c r="O166" s="427"/>
      <c r="P166" s="430" t="e">
        <f t="shared" si="343"/>
        <v>#N/A</v>
      </c>
      <c r="Q166" s="431"/>
      <c r="R166" s="103">
        <f t="shared" si="371"/>
        <v>0</v>
      </c>
      <c r="S166" s="104">
        <f t="shared" si="371"/>
        <v>0</v>
      </c>
      <c r="T166" s="104">
        <f t="shared" si="372"/>
        <v>0</v>
      </c>
      <c r="U166" s="104">
        <f t="shared" si="372"/>
        <v>0</v>
      </c>
      <c r="V166" s="104">
        <f t="shared" si="372"/>
        <v>9.9999999999999995E-8</v>
      </c>
      <c r="W166" s="104">
        <f t="shared" si="372"/>
        <v>0</v>
      </c>
      <c r="X166" s="104">
        <f t="shared" si="278"/>
        <v>0</v>
      </c>
      <c r="Y166" s="104">
        <f t="shared" si="278"/>
        <v>9.9999999999999995E-8</v>
      </c>
      <c r="Z166" s="104">
        <f t="shared" si="278"/>
        <v>9.9999999999999995E-8</v>
      </c>
      <c r="AA166" s="105">
        <f t="shared" si="278"/>
        <v>9.9999999999999995E-8</v>
      </c>
      <c r="AB166" s="101" t="e">
        <f>$DT166*HLOOKUP($J166,'Construction Costs (timber)'!$B$1:$V$32,'Construction Planner'!$L166+2,FALSE)</f>
        <v>#N/A</v>
      </c>
      <c r="AC166" s="14" t="e">
        <f>$DT166*HLOOKUP($J166,'Construction Costs (clay)'!$B$1:$V$32,'Construction Planner'!$L166+2,FALSE)</f>
        <v>#N/A</v>
      </c>
      <c r="AD166" s="14" t="e">
        <f>$DT166*HLOOKUP($J166,'Construction Costs (iron)'!$B$1:$V$32,'Construction Planner'!$L166+2,FALSE)</f>
        <v>#N/A</v>
      </c>
      <c r="AE166" s="34" t="e">
        <f t="shared" si="384"/>
        <v>#N/A</v>
      </c>
      <c r="AF166" s="33" t="e">
        <f t="shared" si="322"/>
        <v>#N/A</v>
      </c>
      <c r="AG166" s="14" t="e">
        <f t="shared" si="323"/>
        <v>#N/A</v>
      </c>
      <c r="AH166" s="14" t="e">
        <f t="shared" si="324"/>
        <v>#N/A</v>
      </c>
      <c r="AI166" s="34" t="e">
        <f t="shared" si="385"/>
        <v>#N/A</v>
      </c>
      <c r="AJ166" s="49" t="e">
        <f t="shared" si="345"/>
        <v>#N/A</v>
      </c>
      <c r="AK166" s="49" t="e">
        <f t="shared" si="346"/>
        <v>#N/A</v>
      </c>
      <c r="AL166" s="49" t="e">
        <f t="shared" si="347"/>
        <v>#N/A</v>
      </c>
      <c r="AM166" s="25">
        <f t="shared" si="325"/>
        <v>30</v>
      </c>
      <c r="AN166" s="25">
        <f t="shared" si="326"/>
        <v>30</v>
      </c>
      <c r="AO166" s="25">
        <f t="shared" si="327"/>
        <v>30</v>
      </c>
      <c r="AP166" s="52" t="e">
        <f t="shared" si="348"/>
        <v>#N/A</v>
      </c>
      <c r="AQ166" s="53" t="e">
        <f t="shared" si="348"/>
        <v>#N/A</v>
      </c>
      <c r="AR166" s="54" t="e">
        <f t="shared" si="348"/>
        <v>#N/A</v>
      </c>
      <c r="AS166" s="316">
        <f t="shared" si="418"/>
        <v>0</v>
      </c>
      <c r="AT166" s="106">
        <f>_xlfn.IFNA($M166/VLOOKUP($BT166,'Unit information'!$A$2:$K$29,2,FALSE)*R166,0)*(1+$E$9)</f>
        <v>0</v>
      </c>
      <c r="AU166" s="107">
        <f>_xlfn.IFNA($M166/VLOOKUP($BT166,'Unit information'!$A$2:$K$29,3,FALSE)*S166,0)*(1+$E$9)</f>
        <v>0</v>
      </c>
      <c r="AV166" s="107">
        <f>_xlfn.IFNA($M166/VLOOKUP($BT166,'Unit information'!$A$2:$K$29,4,FALSE)*T166,0)*(1+$E$9)</f>
        <v>0</v>
      </c>
      <c r="AW166" s="107">
        <f>_xlfn.IFNA($M166/VLOOKUP($BT166,'Unit information'!$A$2:$K$29,5,FALSE)*U166,0)*(1+$E$9)</f>
        <v>0</v>
      </c>
      <c r="AX166" s="107">
        <f>_xlfn.IFNA($M166/VLOOKUP($BU166,'Unit information'!$A$2:$K$29,6,FALSE)*V166,0)*(1+$E$9)</f>
        <v>0</v>
      </c>
      <c r="AY166" s="107">
        <f>_xlfn.IFNA($M166/VLOOKUP($BU166,'Unit information'!$A$2:$K$29,7,FALSE)*W166,0)*(1+$E$9)</f>
        <v>0</v>
      </c>
      <c r="AZ166" s="107">
        <f>_xlfn.IFNA($M166/VLOOKUP($BU166,'Unit information'!$A$2:$K$29,8,FALSE)*X166,0)*(1+$E$9)</f>
        <v>0</v>
      </c>
      <c r="BA166" s="107">
        <f>_xlfn.IFNA($M166/VLOOKUP($BU166,'Unit information'!$A$2:$K$29,9,FALSE)*Y166,0)*(1+$E$9)</f>
        <v>0</v>
      </c>
      <c r="BB166" s="107">
        <f>_xlfn.IFNA($M166/VLOOKUP($BV166,'Unit information'!$A$2:$K$29,10,FALSE)*Z166,0)*(1+$E$9)</f>
        <v>0</v>
      </c>
      <c r="BC166" s="108">
        <f>_xlfn.IFNA($M166/VLOOKUP($BV166,'Unit information'!$A$2:$K$29,11,FALSE)*AA166,0)*(1+$E$9)</f>
        <v>0</v>
      </c>
      <c r="BD166" s="106">
        <f t="shared" si="328"/>
        <v>0</v>
      </c>
      <c r="BE166" s="107">
        <f t="shared" si="329"/>
        <v>0</v>
      </c>
      <c r="BF166" s="108">
        <f t="shared" si="330"/>
        <v>0</v>
      </c>
      <c r="BG166" s="25" t="e">
        <f t="shared" si="331"/>
        <v>#N/A</v>
      </c>
      <c r="BH166" s="25" t="e">
        <f t="shared" si="332"/>
        <v>#N/A</v>
      </c>
      <c r="BI166" s="25" t="e">
        <f t="shared" si="333"/>
        <v>#N/A</v>
      </c>
      <c r="BJ166" s="27" t="e">
        <f t="shared" si="334"/>
        <v>#N/A</v>
      </c>
      <c r="BK166" s="18" t="e">
        <f t="shared" si="335"/>
        <v>#N/A</v>
      </c>
      <c r="BL166" s="18" t="e">
        <f t="shared" si="336"/>
        <v>#N/A</v>
      </c>
      <c r="BM166" s="28" t="e">
        <f t="shared" si="387"/>
        <v>#N/A</v>
      </c>
      <c r="BN166" s="33">
        <f>HLOOKUP("maximum population",Miscelaneous!$C$1:$C$33,CH166+3,FALSE)</f>
        <v>240</v>
      </c>
      <c r="BO166" s="14">
        <f t="shared" si="349"/>
        <v>32</v>
      </c>
      <c r="BP166" s="14">
        <f t="shared" si="350"/>
        <v>0</v>
      </c>
      <c r="BQ166" s="14">
        <f t="shared" si="351"/>
        <v>208</v>
      </c>
      <c r="BR166" s="34" t="e">
        <f>HLOOKUP(J166,Villagers!$B$1:$V$33,L166+3,FALSE)-HLOOKUP(J166,Villagers!$B$1:$V$33,L166+2,FALSE)</f>
        <v>#N/A</v>
      </c>
      <c r="BS166" s="49">
        <f t="shared" si="352"/>
        <v>1</v>
      </c>
      <c r="BT166" s="50">
        <f t="shared" si="353"/>
        <v>0</v>
      </c>
      <c r="BU166" s="50">
        <f t="shared" si="354"/>
        <v>0</v>
      </c>
      <c r="BV166" s="50">
        <f t="shared" si="355"/>
        <v>0</v>
      </c>
      <c r="BW166" s="50">
        <f t="shared" si="391"/>
        <v>0</v>
      </c>
      <c r="BX166" s="50">
        <f t="shared" si="392"/>
        <v>0</v>
      </c>
      <c r="BY166" s="50">
        <f t="shared" si="392"/>
        <v>0</v>
      </c>
      <c r="BZ166" s="50">
        <f t="shared" si="401"/>
        <v>0</v>
      </c>
      <c r="CA166" s="50">
        <f t="shared" si="402"/>
        <v>0</v>
      </c>
      <c r="CB166" s="50">
        <f t="shared" si="403"/>
        <v>1</v>
      </c>
      <c r="CC166" s="50">
        <f t="shared" si="404"/>
        <v>0</v>
      </c>
      <c r="CD166" s="50">
        <f t="shared" si="405"/>
        <v>0</v>
      </c>
      <c r="CE166" s="50">
        <f t="shared" si="406"/>
        <v>1</v>
      </c>
      <c r="CF166" s="50">
        <f t="shared" si="407"/>
        <v>1</v>
      </c>
      <c r="CG166" s="50">
        <f t="shared" si="408"/>
        <v>1</v>
      </c>
      <c r="CH166" s="50">
        <f t="shared" si="409"/>
        <v>1</v>
      </c>
      <c r="CI166" s="50">
        <f t="shared" si="410"/>
        <v>1</v>
      </c>
      <c r="CJ166" s="50">
        <f t="shared" si="411"/>
        <v>1</v>
      </c>
      <c r="CK166" s="50">
        <f t="shared" si="411"/>
        <v>0</v>
      </c>
      <c r="CL166" s="50">
        <f t="shared" si="411"/>
        <v>0</v>
      </c>
      <c r="CM166" s="51">
        <f t="shared" si="412"/>
        <v>0</v>
      </c>
      <c r="CN166" s="33">
        <f>ROUND(IF(BS166=0,0,HLOOKUP(BS$14,Villagers!$B$1:$V$33,BS166+3,FALSE)),)</f>
        <v>5</v>
      </c>
      <c r="CO166" s="14">
        <f>ROUND(IF(BT166=0,0,HLOOKUP(BT$14,Villagers!$B$1:$V$33,BT166+3,FALSE)),)</f>
        <v>0</v>
      </c>
      <c r="CP166" s="14">
        <f>ROUND(IF(BU166=0,0,HLOOKUP(BU$14,Villagers!$B$1:$V$33,BU166+3,FALSE)),)</f>
        <v>0</v>
      </c>
      <c r="CQ166" s="14">
        <f>ROUND(IF(BV166=0,0,HLOOKUP(BV$14,Villagers!$B$1:$V$33,BV166+3,FALSE)),)</f>
        <v>0</v>
      </c>
      <c r="CR166" s="14">
        <f>ROUND(IF(BW166=0,0,HLOOKUP(BW$14,Villagers!$B$1:$V$33,BW166+3,FALSE)),)</f>
        <v>0</v>
      </c>
      <c r="CS166" s="14">
        <f>ROUND(IF(BX166=0,0,HLOOKUP(BX$14,Villagers!$B$1:$V$33,BX166+3,FALSE)),)</f>
        <v>0</v>
      </c>
      <c r="CT166" s="14">
        <f>ROUND(IF(BY166=0,0,HLOOKUP(BY$14,Villagers!$B$1:$V$33,BY166+3,FALSE)),)</f>
        <v>0</v>
      </c>
      <c r="CU166" s="14">
        <f>ROUND(IF(BZ166=0,0,HLOOKUP(BZ$14,Villagers!$B$1:$V$33,BZ166+3,FALSE)),)</f>
        <v>0</v>
      </c>
      <c r="CV166" s="14">
        <f>ROUND(IF(CA166=0,0,HLOOKUP(CA$14,Villagers!$B$1:$V$33,CA166+3,FALSE)),)</f>
        <v>0</v>
      </c>
      <c r="CW166" s="14">
        <f>ROUND(IF(CB166=0,0,HLOOKUP(CB$14,Villagers!$B$1:$V$33,CB166+3,FALSE)),)</f>
        <v>0</v>
      </c>
      <c r="CX166" s="14">
        <f>ROUND(IF(CC166=0,0,HLOOKUP(CC$14,Villagers!$B$1:$V$33,CC166+3,FALSE)),)</f>
        <v>0</v>
      </c>
      <c r="CY166" s="14">
        <f>ROUND(IF(CD166=0,0,HLOOKUP(CD$14,Villagers!$B$1:$V$33,CD166+3,FALSE)),)</f>
        <v>0</v>
      </c>
      <c r="CZ166" s="14">
        <f>ROUND(IF(CE166=0,0,HLOOKUP(CE$14,Villagers!$B$1:$V$33,CE166+3,FALSE)),)</f>
        <v>5</v>
      </c>
      <c r="DA166" s="14">
        <f>ROUND(IF(CF166=0,0,HLOOKUP(CF$14,Villagers!$B$1:$V$33,CF166+3,FALSE)),)</f>
        <v>10</v>
      </c>
      <c r="DB166" s="14">
        <f>ROUND(IF(CG166=0,0,HLOOKUP(CG$14,Villagers!$B$1:$V$33,CG166+3,FALSE)),)</f>
        <v>10</v>
      </c>
      <c r="DC166" s="14">
        <f>ROUND(IF(CH166=0,0,HLOOKUP(CH$14,Villagers!$B$1:$V$33,CH166+3,FALSE)),)</f>
        <v>0</v>
      </c>
      <c r="DD166" s="14">
        <f>ROUND(IF(CI166=0,0,HLOOKUP(CI$14,Villagers!$B$1:$V$33,CI166+3,FALSE)),)</f>
        <v>0</v>
      </c>
      <c r="DE166" s="14">
        <f>ROUND(IF(CJ166=0,0,HLOOKUP(CJ$14,Villagers!$B$1:$V$33,CJ166+3,FALSE)),)</f>
        <v>2</v>
      </c>
      <c r="DF166" s="370">
        <f>ROUND(IF(CK166=0,0,HLOOKUP(CK$14,Villagers!$B$1:$V$33,CK166+3,FALSE)),)</f>
        <v>0</v>
      </c>
      <c r="DG166" s="370">
        <f>ROUND(IF(CL166=0,0,HLOOKUP(CL$14,Villagers!$B$1:$V$33,CL166+3,FALSE)),)</f>
        <v>0</v>
      </c>
      <c r="DH166" s="34">
        <f>ROUND(IF(CM166=0,0,HLOOKUP(CM$14,Villagers!$B$1:$V$33,CM166+3,FALSE)),)</f>
        <v>0</v>
      </c>
      <c r="DI166" s="109">
        <f t="shared" si="373"/>
        <v>0</v>
      </c>
      <c r="DJ166" s="50">
        <f t="shared" si="374"/>
        <v>0</v>
      </c>
      <c r="DK166" s="50">
        <f t="shared" si="375"/>
        <v>0</v>
      </c>
      <c r="DL166" s="50">
        <f t="shared" si="376"/>
        <v>0</v>
      </c>
      <c r="DM166" s="50">
        <f t="shared" si="377"/>
        <v>0</v>
      </c>
      <c r="DN166" s="50">
        <f t="shared" si="378"/>
        <v>0</v>
      </c>
      <c r="DO166" s="50">
        <f t="shared" si="379"/>
        <v>0</v>
      </c>
      <c r="DP166" s="50">
        <f t="shared" si="380"/>
        <v>0</v>
      </c>
      <c r="DQ166" s="50">
        <f t="shared" si="357"/>
        <v>0</v>
      </c>
      <c r="DR166" s="50">
        <f t="shared" si="358"/>
        <v>0</v>
      </c>
      <c r="DS166" s="96">
        <f>Miscelaneous!$D$4*Miscelaneous!$D$2^($CI166-1)</f>
        <v>1000</v>
      </c>
      <c r="DT166" s="333">
        <f t="shared" si="337"/>
        <v>1</v>
      </c>
      <c r="DU166" s="81">
        <v>1</v>
      </c>
      <c r="DV166" s="79">
        <f t="shared" si="359"/>
        <v>0</v>
      </c>
      <c r="DW166" s="79">
        <f t="shared" si="360"/>
        <v>0</v>
      </c>
      <c r="DX166" s="79">
        <f t="shared" si="361"/>
        <v>0</v>
      </c>
      <c r="DY166" s="79">
        <v>1</v>
      </c>
      <c r="DZ166" s="79">
        <f t="shared" si="362"/>
        <v>0</v>
      </c>
      <c r="EA166" s="79">
        <f t="shared" si="363"/>
        <v>0</v>
      </c>
      <c r="EB166" s="79">
        <f t="shared" si="364"/>
        <v>0</v>
      </c>
      <c r="EC166" s="79">
        <f t="shared" si="365"/>
        <v>0</v>
      </c>
      <c r="ED166" s="79">
        <v>1</v>
      </c>
      <c r="EE166" s="79">
        <v>1</v>
      </c>
      <c r="EF166" s="79">
        <f t="shared" si="366"/>
        <v>0</v>
      </c>
      <c r="EG166" s="79">
        <v>1</v>
      </c>
      <c r="EH166" s="79">
        <v>1</v>
      </c>
      <c r="EI166" s="79">
        <v>1</v>
      </c>
      <c r="EJ166" s="79">
        <v>1</v>
      </c>
      <c r="EK166" s="79">
        <v>1</v>
      </c>
      <c r="EL166" s="79">
        <v>1</v>
      </c>
      <c r="EM166" s="143">
        <f t="shared" si="367"/>
        <v>0</v>
      </c>
      <c r="EN166" s="143">
        <f t="shared" si="368"/>
        <v>0</v>
      </c>
      <c r="EO166" s="82">
        <f t="shared" si="369"/>
        <v>0</v>
      </c>
    </row>
    <row r="167" spans="1:145" x14ac:dyDescent="0.25">
      <c r="A167">
        <v>153</v>
      </c>
      <c r="B167" s="172" t="e">
        <f t="shared" si="338"/>
        <v>#N/A</v>
      </c>
      <c r="C167" s="121" t="e">
        <f t="shared" ref="C167:E167" si="421">AJ167-SUM(AB167:AB171)</f>
        <v>#N/A</v>
      </c>
      <c r="D167" s="122" t="e">
        <f t="shared" si="421"/>
        <v>#N/A</v>
      </c>
      <c r="E167" s="122" t="e">
        <f t="shared" si="421"/>
        <v>#N/A</v>
      </c>
      <c r="F167" s="176" t="e">
        <f t="shared" si="320"/>
        <v>#N/A</v>
      </c>
      <c r="G167" s="121">
        <f t="shared" si="340"/>
        <v>208</v>
      </c>
      <c r="H167" s="176" t="e">
        <f t="shared" si="341"/>
        <v>#N/A</v>
      </c>
      <c r="I167" s="48">
        <v>1</v>
      </c>
      <c r="J167" s="39"/>
      <c r="K167" s="350">
        <v>1</v>
      </c>
      <c r="L167" s="34" t="e">
        <f t="shared" si="321"/>
        <v>#N/A</v>
      </c>
      <c r="M167" s="38" t="e">
        <f>(HLOOKUP(J167,'Construction Times'!$B$3:$W$34,L167+2,FALSE)*HLOOKUP("hq modifier",'Construction Times'!$W$3:$W$34,BS167+2,FALSE))*(1-$H$9)</f>
        <v>#N/A</v>
      </c>
      <c r="N167" s="426" t="e">
        <f t="shared" si="342"/>
        <v>#N/A</v>
      </c>
      <c r="O167" s="427"/>
      <c r="P167" s="430" t="e">
        <f t="shared" si="343"/>
        <v>#N/A</v>
      </c>
      <c r="Q167" s="431"/>
      <c r="R167" s="103">
        <f t="shared" si="371"/>
        <v>0</v>
      </c>
      <c r="S167" s="104">
        <f t="shared" si="371"/>
        <v>0</v>
      </c>
      <c r="T167" s="104">
        <f t="shared" si="372"/>
        <v>0</v>
      </c>
      <c r="U167" s="104">
        <f t="shared" si="372"/>
        <v>0</v>
      </c>
      <c r="V167" s="104">
        <f t="shared" si="372"/>
        <v>9.9999999999999995E-8</v>
      </c>
      <c r="W167" s="104">
        <f t="shared" si="372"/>
        <v>0</v>
      </c>
      <c r="X167" s="104">
        <f t="shared" si="278"/>
        <v>0</v>
      </c>
      <c r="Y167" s="104">
        <f t="shared" si="278"/>
        <v>9.9999999999999995E-8</v>
      </c>
      <c r="Z167" s="104">
        <f t="shared" si="278"/>
        <v>9.9999999999999995E-8</v>
      </c>
      <c r="AA167" s="105">
        <f t="shared" si="278"/>
        <v>9.9999999999999995E-8</v>
      </c>
      <c r="AB167" s="101" t="e">
        <f>$DT167*HLOOKUP($J167,'Construction Costs (timber)'!$B$1:$V$32,'Construction Planner'!$L167+2,FALSE)</f>
        <v>#N/A</v>
      </c>
      <c r="AC167" s="14" t="e">
        <f>$DT167*HLOOKUP($J167,'Construction Costs (clay)'!$B$1:$V$32,'Construction Planner'!$L167+2,FALSE)</f>
        <v>#N/A</v>
      </c>
      <c r="AD167" s="14" t="e">
        <f>$DT167*HLOOKUP($J167,'Construction Costs (iron)'!$B$1:$V$32,'Construction Planner'!$L167+2,FALSE)</f>
        <v>#N/A</v>
      </c>
      <c r="AE167" s="34" t="e">
        <f t="shared" si="384"/>
        <v>#N/A</v>
      </c>
      <c r="AF167" s="33" t="e">
        <f t="shared" si="322"/>
        <v>#N/A</v>
      </c>
      <c r="AG167" s="14" t="e">
        <f t="shared" si="323"/>
        <v>#N/A</v>
      </c>
      <c r="AH167" s="14" t="e">
        <f t="shared" si="324"/>
        <v>#N/A</v>
      </c>
      <c r="AI167" s="34" t="e">
        <f t="shared" si="385"/>
        <v>#N/A</v>
      </c>
      <c r="AJ167" s="49" t="e">
        <f t="shared" si="345"/>
        <v>#N/A</v>
      </c>
      <c r="AK167" s="49" t="e">
        <f t="shared" si="346"/>
        <v>#N/A</v>
      </c>
      <c r="AL167" s="49" t="e">
        <f t="shared" si="347"/>
        <v>#N/A</v>
      </c>
      <c r="AM167" s="25">
        <f t="shared" si="325"/>
        <v>30</v>
      </c>
      <c r="AN167" s="25">
        <f t="shared" si="326"/>
        <v>30</v>
      </c>
      <c r="AO167" s="25">
        <f t="shared" si="327"/>
        <v>30</v>
      </c>
      <c r="AP167" s="52" t="e">
        <f t="shared" si="348"/>
        <v>#N/A</v>
      </c>
      <c r="AQ167" s="53" t="e">
        <f t="shared" si="348"/>
        <v>#N/A</v>
      </c>
      <c r="AR167" s="54" t="e">
        <f t="shared" si="348"/>
        <v>#N/A</v>
      </c>
      <c r="AS167" s="316">
        <f t="shared" si="418"/>
        <v>0</v>
      </c>
      <c r="AT167" s="106">
        <f>_xlfn.IFNA($M167/VLOOKUP($BT167,'Unit information'!$A$2:$K$29,2,FALSE)*R167,0)*(1+$E$9)</f>
        <v>0</v>
      </c>
      <c r="AU167" s="107">
        <f>_xlfn.IFNA($M167/VLOOKUP($BT167,'Unit information'!$A$2:$K$29,3,FALSE)*S167,0)*(1+$E$9)</f>
        <v>0</v>
      </c>
      <c r="AV167" s="107">
        <f>_xlfn.IFNA($M167/VLOOKUP($BT167,'Unit information'!$A$2:$K$29,4,FALSE)*T167,0)*(1+$E$9)</f>
        <v>0</v>
      </c>
      <c r="AW167" s="107">
        <f>_xlfn.IFNA($M167/VLOOKUP($BT167,'Unit information'!$A$2:$K$29,5,FALSE)*U167,0)*(1+$E$9)</f>
        <v>0</v>
      </c>
      <c r="AX167" s="107">
        <f>_xlfn.IFNA($M167/VLOOKUP($BU167,'Unit information'!$A$2:$K$29,6,FALSE)*V167,0)*(1+$E$9)</f>
        <v>0</v>
      </c>
      <c r="AY167" s="107">
        <f>_xlfn.IFNA($M167/VLOOKUP($BU167,'Unit information'!$A$2:$K$29,7,FALSE)*W167,0)*(1+$E$9)</f>
        <v>0</v>
      </c>
      <c r="AZ167" s="107">
        <f>_xlfn.IFNA($M167/VLOOKUP($BU167,'Unit information'!$A$2:$K$29,8,FALSE)*X167,0)*(1+$E$9)</f>
        <v>0</v>
      </c>
      <c r="BA167" s="107">
        <f>_xlfn.IFNA($M167/VLOOKUP($BU167,'Unit information'!$A$2:$K$29,9,FALSE)*Y167,0)*(1+$E$9)</f>
        <v>0</v>
      </c>
      <c r="BB167" s="107">
        <f>_xlfn.IFNA($M167/VLOOKUP($BV167,'Unit information'!$A$2:$K$29,10,FALSE)*Z167,0)*(1+$E$9)</f>
        <v>0</v>
      </c>
      <c r="BC167" s="108">
        <f>_xlfn.IFNA($M167/VLOOKUP($BV167,'Unit information'!$A$2:$K$29,11,FALSE)*AA167,0)*(1+$E$9)</f>
        <v>0</v>
      </c>
      <c r="BD167" s="106">
        <f t="shared" si="328"/>
        <v>0</v>
      </c>
      <c r="BE167" s="107">
        <f t="shared" si="329"/>
        <v>0</v>
      </c>
      <c r="BF167" s="108">
        <f t="shared" si="330"/>
        <v>0</v>
      </c>
      <c r="BG167" s="25" t="e">
        <f t="shared" si="331"/>
        <v>#N/A</v>
      </c>
      <c r="BH167" s="25" t="e">
        <f t="shared" si="332"/>
        <v>#N/A</v>
      </c>
      <c r="BI167" s="25" t="e">
        <f t="shared" si="333"/>
        <v>#N/A</v>
      </c>
      <c r="BJ167" s="27" t="e">
        <f t="shared" si="334"/>
        <v>#N/A</v>
      </c>
      <c r="BK167" s="18" t="e">
        <f t="shared" si="335"/>
        <v>#N/A</v>
      </c>
      <c r="BL167" s="18" t="e">
        <f t="shared" si="336"/>
        <v>#N/A</v>
      </c>
      <c r="BM167" s="28" t="e">
        <f t="shared" si="387"/>
        <v>#N/A</v>
      </c>
      <c r="BN167" s="33">
        <f>HLOOKUP("maximum population",Miscelaneous!$C$1:$C$33,CH167+3,FALSE)</f>
        <v>240</v>
      </c>
      <c r="BO167" s="14">
        <f t="shared" si="349"/>
        <v>32</v>
      </c>
      <c r="BP167" s="14">
        <f t="shared" si="350"/>
        <v>0</v>
      </c>
      <c r="BQ167" s="14">
        <f t="shared" si="351"/>
        <v>208</v>
      </c>
      <c r="BR167" s="34" t="e">
        <f>HLOOKUP(J167,Villagers!$B$1:$V$33,L167+3,FALSE)-HLOOKUP(J167,Villagers!$B$1:$V$33,L167+2,FALSE)</f>
        <v>#N/A</v>
      </c>
      <c r="BS167" s="49">
        <f t="shared" si="352"/>
        <v>1</v>
      </c>
      <c r="BT167" s="50">
        <f t="shared" si="353"/>
        <v>0</v>
      </c>
      <c r="BU167" s="50">
        <f t="shared" si="354"/>
        <v>0</v>
      </c>
      <c r="BV167" s="50">
        <f t="shared" si="355"/>
        <v>0</v>
      </c>
      <c r="BW167" s="50">
        <f t="shared" si="391"/>
        <v>0</v>
      </c>
      <c r="BX167" s="50">
        <f t="shared" si="392"/>
        <v>0</v>
      </c>
      <c r="BY167" s="50">
        <f t="shared" si="392"/>
        <v>0</v>
      </c>
      <c r="BZ167" s="50">
        <f t="shared" si="401"/>
        <v>0</v>
      </c>
      <c r="CA167" s="50">
        <f t="shared" si="402"/>
        <v>0</v>
      </c>
      <c r="CB167" s="50">
        <f t="shared" si="403"/>
        <v>1</v>
      </c>
      <c r="CC167" s="50">
        <f t="shared" si="404"/>
        <v>0</v>
      </c>
      <c r="CD167" s="50">
        <f t="shared" si="405"/>
        <v>0</v>
      </c>
      <c r="CE167" s="50">
        <f t="shared" si="406"/>
        <v>1</v>
      </c>
      <c r="CF167" s="50">
        <f t="shared" si="407"/>
        <v>1</v>
      </c>
      <c r="CG167" s="50">
        <f t="shared" si="408"/>
        <v>1</v>
      </c>
      <c r="CH167" s="50">
        <f t="shared" si="409"/>
        <v>1</v>
      </c>
      <c r="CI167" s="50">
        <f t="shared" si="410"/>
        <v>1</v>
      </c>
      <c r="CJ167" s="50">
        <f t="shared" si="411"/>
        <v>1</v>
      </c>
      <c r="CK167" s="50">
        <f t="shared" si="411"/>
        <v>0</v>
      </c>
      <c r="CL167" s="50">
        <f t="shared" si="411"/>
        <v>0</v>
      </c>
      <c r="CM167" s="51">
        <f t="shared" si="412"/>
        <v>0</v>
      </c>
      <c r="CN167" s="33">
        <f>ROUND(IF(BS167=0,0,HLOOKUP(BS$14,Villagers!$B$1:$V$33,BS167+3,FALSE)),)</f>
        <v>5</v>
      </c>
      <c r="CO167" s="14">
        <f>ROUND(IF(BT167=0,0,HLOOKUP(BT$14,Villagers!$B$1:$V$33,BT167+3,FALSE)),)</f>
        <v>0</v>
      </c>
      <c r="CP167" s="14">
        <f>ROUND(IF(BU167=0,0,HLOOKUP(BU$14,Villagers!$B$1:$V$33,BU167+3,FALSE)),)</f>
        <v>0</v>
      </c>
      <c r="CQ167" s="14">
        <f>ROUND(IF(BV167=0,0,HLOOKUP(BV$14,Villagers!$B$1:$V$33,BV167+3,FALSE)),)</f>
        <v>0</v>
      </c>
      <c r="CR167" s="14">
        <f>ROUND(IF(BW167=0,0,HLOOKUP(BW$14,Villagers!$B$1:$V$33,BW167+3,FALSE)),)</f>
        <v>0</v>
      </c>
      <c r="CS167" s="14">
        <f>ROUND(IF(BX167=0,0,HLOOKUP(BX$14,Villagers!$B$1:$V$33,BX167+3,FALSE)),)</f>
        <v>0</v>
      </c>
      <c r="CT167" s="14">
        <f>ROUND(IF(BY167=0,0,HLOOKUP(BY$14,Villagers!$B$1:$V$33,BY167+3,FALSE)),)</f>
        <v>0</v>
      </c>
      <c r="CU167" s="14">
        <f>ROUND(IF(BZ167=0,0,HLOOKUP(BZ$14,Villagers!$B$1:$V$33,BZ167+3,FALSE)),)</f>
        <v>0</v>
      </c>
      <c r="CV167" s="14">
        <f>ROUND(IF(CA167=0,0,HLOOKUP(CA$14,Villagers!$B$1:$V$33,CA167+3,FALSE)),)</f>
        <v>0</v>
      </c>
      <c r="CW167" s="14">
        <f>ROUND(IF(CB167=0,0,HLOOKUP(CB$14,Villagers!$B$1:$V$33,CB167+3,FALSE)),)</f>
        <v>0</v>
      </c>
      <c r="CX167" s="14">
        <f>ROUND(IF(CC167=0,0,HLOOKUP(CC$14,Villagers!$B$1:$V$33,CC167+3,FALSE)),)</f>
        <v>0</v>
      </c>
      <c r="CY167" s="14">
        <f>ROUND(IF(CD167=0,0,HLOOKUP(CD$14,Villagers!$B$1:$V$33,CD167+3,FALSE)),)</f>
        <v>0</v>
      </c>
      <c r="CZ167" s="14">
        <f>ROUND(IF(CE167=0,0,HLOOKUP(CE$14,Villagers!$B$1:$V$33,CE167+3,FALSE)),)</f>
        <v>5</v>
      </c>
      <c r="DA167" s="14">
        <f>ROUND(IF(CF167=0,0,HLOOKUP(CF$14,Villagers!$B$1:$V$33,CF167+3,FALSE)),)</f>
        <v>10</v>
      </c>
      <c r="DB167" s="14">
        <f>ROUND(IF(CG167=0,0,HLOOKUP(CG$14,Villagers!$B$1:$V$33,CG167+3,FALSE)),)</f>
        <v>10</v>
      </c>
      <c r="DC167" s="14">
        <f>ROUND(IF(CH167=0,0,HLOOKUP(CH$14,Villagers!$B$1:$V$33,CH167+3,FALSE)),)</f>
        <v>0</v>
      </c>
      <c r="DD167" s="14">
        <f>ROUND(IF(CI167=0,0,HLOOKUP(CI$14,Villagers!$B$1:$V$33,CI167+3,FALSE)),)</f>
        <v>0</v>
      </c>
      <c r="DE167" s="14">
        <f>ROUND(IF(CJ167=0,0,HLOOKUP(CJ$14,Villagers!$B$1:$V$33,CJ167+3,FALSE)),)</f>
        <v>2</v>
      </c>
      <c r="DF167" s="370">
        <f>ROUND(IF(CK167=0,0,HLOOKUP(CK$14,Villagers!$B$1:$V$33,CK167+3,FALSE)),)</f>
        <v>0</v>
      </c>
      <c r="DG167" s="370">
        <f>ROUND(IF(CL167=0,0,HLOOKUP(CL$14,Villagers!$B$1:$V$33,CL167+3,FALSE)),)</f>
        <v>0</v>
      </c>
      <c r="DH167" s="34">
        <f>ROUND(IF(CM167=0,0,HLOOKUP(CM$14,Villagers!$B$1:$V$33,CM167+3,FALSE)),)</f>
        <v>0</v>
      </c>
      <c r="DI167" s="109">
        <f t="shared" si="373"/>
        <v>0</v>
      </c>
      <c r="DJ167" s="50">
        <f t="shared" si="374"/>
        <v>0</v>
      </c>
      <c r="DK167" s="50">
        <f t="shared" si="375"/>
        <v>0</v>
      </c>
      <c r="DL167" s="50">
        <f t="shared" si="376"/>
        <v>0</v>
      </c>
      <c r="DM167" s="50">
        <f t="shared" si="377"/>
        <v>0</v>
      </c>
      <c r="DN167" s="50">
        <f t="shared" si="378"/>
        <v>0</v>
      </c>
      <c r="DO167" s="50">
        <f t="shared" si="379"/>
        <v>0</v>
      </c>
      <c r="DP167" s="50">
        <f t="shared" si="380"/>
        <v>0</v>
      </c>
      <c r="DQ167" s="50">
        <f t="shared" si="357"/>
        <v>0</v>
      </c>
      <c r="DR167" s="50">
        <f t="shared" si="358"/>
        <v>0</v>
      </c>
      <c r="DS167" s="96">
        <f>Miscelaneous!$D$4*Miscelaneous!$D$2^($CI167-1)</f>
        <v>1000</v>
      </c>
      <c r="DT167" s="333">
        <f t="shared" si="337"/>
        <v>1</v>
      </c>
      <c r="DU167" s="81">
        <v>1</v>
      </c>
      <c r="DV167" s="79">
        <f t="shared" si="359"/>
        <v>0</v>
      </c>
      <c r="DW167" s="79">
        <f t="shared" si="360"/>
        <v>0</v>
      </c>
      <c r="DX167" s="79">
        <f t="shared" si="361"/>
        <v>0</v>
      </c>
      <c r="DY167" s="79">
        <v>1</v>
      </c>
      <c r="DZ167" s="79">
        <f t="shared" si="362"/>
        <v>0</v>
      </c>
      <c r="EA167" s="79">
        <f t="shared" si="363"/>
        <v>0</v>
      </c>
      <c r="EB167" s="79">
        <f t="shared" si="364"/>
        <v>0</v>
      </c>
      <c r="EC167" s="79">
        <f t="shared" si="365"/>
        <v>0</v>
      </c>
      <c r="ED167" s="79">
        <v>1</v>
      </c>
      <c r="EE167" s="79">
        <v>1</v>
      </c>
      <c r="EF167" s="79">
        <f t="shared" si="366"/>
        <v>0</v>
      </c>
      <c r="EG167" s="79">
        <v>1</v>
      </c>
      <c r="EH167" s="79">
        <v>1</v>
      </c>
      <c r="EI167" s="79">
        <v>1</v>
      </c>
      <c r="EJ167" s="79">
        <v>1</v>
      </c>
      <c r="EK167" s="79">
        <v>1</v>
      </c>
      <c r="EL167" s="79">
        <v>1</v>
      </c>
      <c r="EM167" s="143">
        <f t="shared" si="367"/>
        <v>0</v>
      </c>
      <c r="EN167" s="143">
        <f t="shared" si="368"/>
        <v>0</v>
      </c>
      <c r="EO167" s="82">
        <f t="shared" si="369"/>
        <v>0</v>
      </c>
    </row>
    <row r="168" spans="1:145" x14ac:dyDescent="0.25">
      <c r="A168">
        <v>154</v>
      </c>
      <c r="B168" s="172" t="e">
        <f t="shared" si="338"/>
        <v>#N/A</v>
      </c>
      <c r="C168" s="121" t="e">
        <f t="shared" ref="C168:E168" si="422">AJ168-SUM(AB168:AB172)</f>
        <v>#N/A</v>
      </c>
      <c r="D168" s="122" t="e">
        <f t="shared" si="422"/>
        <v>#N/A</v>
      </c>
      <c r="E168" s="122" t="e">
        <f t="shared" si="422"/>
        <v>#N/A</v>
      </c>
      <c r="F168" s="176" t="e">
        <f t="shared" si="320"/>
        <v>#N/A</v>
      </c>
      <c r="G168" s="121">
        <f t="shared" si="340"/>
        <v>208</v>
      </c>
      <c r="H168" s="176" t="e">
        <f t="shared" si="341"/>
        <v>#N/A</v>
      </c>
      <c r="I168" s="48">
        <v>1</v>
      </c>
      <c r="J168" s="39"/>
      <c r="K168" s="350">
        <v>1</v>
      </c>
      <c r="L168" s="34" t="e">
        <f t="shared" si="321"/>
        <v>#N/A</v>
      </c>
      <c r="M168" s="38" t="e">
        <f>(HLOOKUP(J168,'Construction Times'!$B$3:$W$34,L168+2,FALSE)*HLOOKUP("hq modifier",'Construction Times'!$W$3:$W$34,BS168+2,FALSE))*(1-$H$9)</f>
        <v>#N/A</v>
      </c>
      <c r="N168" s="426" t="e">
        <f t="shared" si="342"/>
        <v>#N/A</v>
      </c>
      <c r="O168" s="427"/>
      <c r="P168" s="430" t="e">
        <f t="shared" si="343"/>
        <v>#N/A</v>
      </c>
      <c r="Q168" s="431"/>
      <c r="R168" s="103">
        <f t="shared" si="371"/>
        <v>0</v>
      </c>
      <c r="S168" s="104">
        <f t="shared" si="371"/>
        <v>0</v>
      </c>
      <c r="T168" s="104">
        <f t="shared" si="372"/>
        <v>0</v>
      </c>
      <c r="U168" s="104">
        <f t="shared" si="372"/>
        <v>0</v>
      </c>
      <c r="V168" s="104">
        <f t="shared" si="372"/>
        <v>9.9999999999999995E-8</v>
      </c>
      <c r="W168" s="104">
        <f t="shared" si="372"/>
        <v>0</v>
      </c>
      <c r="X168" s="104">
        <f t="shared" si="278"/>
        <v>0</v>
      </c>
      <c r="Y168" s="104">
        <f t="shared" si="278"/>
        <v>9.9999999999999995E-8</v>
      </c>
      <c r="Z168" s="104">
        <f t="shared" si="278"/>
        <v>9.9999999999999995E-8</v>
      </c>
      <c r="AA168" s="105">
        <f t="shared" si="278"/>
        <v>9.9999999999999995E-8</v>
      </c>
      <c r="AB168" s="101" t="e">
        <f>$DT168*HLOOKUP($J168,'Construction Costs (timber)'!$B$1:$V$32,'Construction Planner'!$L168+2,FALSE)</f>
        <v>#N/A</v>
      </c>
      <c r="AC168" s="14" t="e">
        <f>$DT168*HLOOKUP($J168,'Construction Costs (clay)'!$B$1:$V$32,'Construction Planner'!$L168+2,FALSE)</f>
        <v>#N/A</v>
      </c>
      <c r="AD168" s="14" t="e">
        <f>$DT168*HLOOKUP($J168,'Construction Costs (iron)'!$B$1:$V$32,'Construction Planner'!$L168+2,FALSE)</f>
        <v>#N/A</v>
      </c>
      <c r="AE168" s="34" t="e">
        <f t="shared" si="384"/>
        <v>#N/A</v>
      </c>
      <c r="AF168" s="33" t="e">
        <f t="shared" si="322"/>
        <v>#N/A</v>
      </c>
      <c r="AG168" s="14" t="e">
        <f t="shared" si="323"/>
        <v>#N/A</v>
      </c>
      <c r="AH168" s="14" t="e">
        <f t="shared" si="324"/>
        <v>#N/A</v>
      </c>
      <c r="AI168" s="34" t="e">
        <f t="shared" si="385"/>
        <v>#N/A</v>
      </c>
      <c r="AJ168" s="49" t="e">
        <f t="shared" si="345"/>
        <v>#N/A</v>
      </c>
      <c r="AK168" s="49" t="e">
        <f t="shared" si="346"/>
        <v>#N/A</v>
      </c>
      <c r="AL168" s="49" t="e">
        <f t="shared" si="347"/>
        <v>#N/A</v>
      </c>
      <c r="AM168" s="25">
        <f t="shared" si="325"/>
        <v>30</v>
      </c>
      <c r="AN168" s="25">
        <f t="shared" si="326"/>
        <v>30</v>
      </c>
      <c r="AO168" s="25">
        <f t="shared" si="327"/>
        <v>30</v>
      </c>
      <c r="AP168" s="52" t="e">
        <f t="shared" si="348"/>
        <v>#N/A</v>
      </c>
      <c r="AQ168" s="53" t="e">
        <f t="shared" si="348"/>
        <v>#N/A</v>
      </c>
      <c r="AR168" s="54" t="e">
        <f t="shared" si="348"/>
        <v>#N/A</v>
      </c>
      <c r="AS168" s="316">
        <f t="shared" si="418"/>
        <v>0</v>
      </c>
      <c r="AT168" s="106">
        <f>_xlfn.IFNA($M168/VLOOKUP($BT168,'Unit information'!$A$2:$K$29,2,FALSE)*R168,0)*(1+$E$9)</f>
        <v>0</v>
      </c>
      <c r="AU168" s="107">
        <f>_xlfn.IFNA($M168/VLOOKUP($BT168,'Unit information'!$A$2:$K$29,3,FALSE)*S168,0)*(1+$E$9)</f>
        <v>0</v>
      </c>
      <c r="AV168" s="107">
        <f>_xlfn.IFNA($M168/VLOOKUP($BT168,'Unit information'!$A$2:$K$29,4,FALSE)*T168,0)*(1+$E$9)</f>
        <v>0</v>
      </c>
      <c r="AW168" s="107">
        <f>_xlfn.IFNA($M168/VLOOKUP($BT168,'Unit information'!$A$2:$K$29,5,FALSE)*U168,0)*(1+$E$9)</f>
        <v>0</v>
      </c>
      <c r="AX168" s="107">
        <f>_xlfn.IFNA($M168/VLOOKUP($BU168,'Unit information'!$A$2:$K$29,6,FALSE)*V168,0)*(1+$E$9)</f>
        <v>0</v>
      </c>
      <c r="AY168" s="107">
        <f>_xlfn.IFNA($M168/VLOOKUP($BU168,'Unit information'!$A$2:$K$29,7,FALSE)*W168,0)*(1+$E$9)</f>
        <v>0</v>
      </c>
      <c r="AZ168" s="107">
        <f>_xlfn.IFNA($M168/VLOOKUP($BU168,'Unit information'!$A$2:$K$29,8,FALSE)*X168,0)*(1+$E$9)</f>
        <v>0</v>
      </c>
      <c r="BA168" s="107">
        <f>_xlfn.IFNA($M168/VLOOKUP($BU168,'Unit information'!$A$2:$K$29,9,FALSE)*Y168,0)*(1+$E$9)</f>
        <v>0</v>
      </c>
      <c r="BB168" s="107">
        <f>_xlfn.IFNA($M168/VLOOKUP($BV168,'Unit information'!$A$2:$K$29,10,FALSE)*Z168,0)*(1+$E$9)</f>
        <v>0</v>
      </c>
      <c r="BC168" s="108">
        <f>_xlfn.IFNA($M168/VLOOKUP($BV168,'Unit information'!$A$2:$K$29,11,FALSE)*AA168,0)*(1+$E$9)</f>
        <v>0</v>
      </c>
      <c r="BD168" s="106">
        <f t="shared" si="328"/>
        <v>0</v>
      </c>
      <c r="BE168" s="107">
        <f t="shared" si="329"/>
        <v>0</v>
      </c>
      <c r="BF168" s="108">
        <f t="shared" si="330"/>
        <v>0</v>
      </c>
      <c r="BG168" s="25" t="e">
        <f t="shared" si="331"/>
        <v>#N/A</v>
      </c>
      <c r="BH168" s="25" t="e">
        <f t="shared" si="332"/>
        <v>#N/A</v>
      </c>
      <c r="BI168" s="25" t="e">
        <f t="shared" si="333"/>
        <v>#N/A</v>
      </c>
      <c r="BJ168" s="27" t="e">
        <f t="shared" si="334"/>
        <v>#N/A</v>
      </c>
      <c r="BK168" s="18" t="e">
        <f t="shared" si="335"/>
        <v>#N/A</v>
      </c>
      <c r="BL168" s="18" t="e">
        <f t="shared" si="336"/>
        <v>#N/A</v>
      </c>
      <c r="BM168" s="28" t="e">
        <f t="shared" si="387"/>
        <v>#N/A</v>
      </c>
      <c r="BN168" s="33">
        <f>HLOOKUP("maximum population",Miscelaneous!$C$1:$C$33,CH168+3,FALSE)</f>
        <v>240</v>
      </c>
      <c r="BO168" s="14">
        <f t="shared" si="349"/>
        <v>32</v>
      </c>
      <c r="BP168" s="14">
        <f t="shared" si="350"/>
        <v>0</v>
      </c>
      <c r="BQ168" s="14">
        <f t="shared" si="351"/>
        <v>208</v>
      </c>
      <c r="BR168" s="34" t="e">
        <f>HLOOKUP(J168,Villagers!$B$1:$V$33,L168+3,FALSE)-HLOOKUP(J168,Villagers!$B$1:$V$33,L168+2,FALSE)</f>
        <v>#N/A</v>
      </c>
      <c r="BS168" s="49">
        <f t="shared" si="352"/>
        <v>1</v>
      </c>
      <c r="BT168" s="50">
        <f t="shared" si="353"/>
        <v>0</v>
      </c>
      <c r="BU168" s="50">
        <f t="shared" si="354"/>
        <v>0</v>
      </c>
      <c r="BV168" s="50">
        <f t="shared" si="355"/>
        <v>0</v>
      </c>
      <c r="BW168" s="50">
        <f t="shared" si="391"/>
        <v>0</v>
      </c>
      <c r="BX168" s="50">
        <f t="shared" si="392"/>
        <v>0</v>
      </c>
      <c r="BY168" s="50">
        <f t="shared" si="392"/>
        <v>0</v>
      </c>
      <c r="BZ168" s="50">
        <f t="shared" si="401"/>
        <v>0</v>
      </c>
      <c r="CA168" s="50">
        <f t="shared" si="402"/>
        <v>0</v>
      </c>
      <c r="CB168" s="50">
        <f t="shared" si="403"/>
        <v>1</v>
      </c>
      <c r="CC168" s="50">
        <f t="shared" si="404"/>
        <v>0</v>
      </c>
      <c r="CD168" s="50">
        <f t="shared" si="405"/>
        <v>0</v>
      </c>
      <c r="CE168" s="50">
        <f t="shared" si="406"/>
        <v>1</v>
      </c>
      <c r="CF168" s="50">
        <f t="shared" si="407"/>
        <v>1</v>
      </c>
      <c r="CG168" s="50">
        <f t="shared" si="408"/>
        <v>1</v>
      </c>
      <c r="CH168" s="50">
        <f t="shared" si="409"/>
        <v>1</v>
      </c>
      <c r="CI168" s="50">
        <f t="shared" si="410"/>
        <v>1</v>
      </c>
      <c r="CJ168" s="50">
        <f t="shared" si="411"/>
        <v>1</v>
      </c>
      <c r="CK168" s="50">
        <f t="shared" si="411"/>
        <v>0</v>
      </c>
      <c r="CL168" s="50">
        <f t="shared" si="411"/>
        <v>0</v>
      </c>
      <c r="CM168" s="51">
        <f t="shared" si="412"/>
        <v>0</v>
      </c>
      <c r="CN168" s="33">
        <f>ROUND(IF(BS168=0,0,HLOOKUP(BS$14,Villagers!$B$1:$V$33,BS168+3,FALSE)),)</f>
        <v>5</v>
      </c>
      <c r="CO168" s="14">
        <f>ROUND(IF(BT168=0,0,HLOOKUP(BT$14,Villagers!$B$1:$V$33,BT168+3,FALSE)),)</f>
        <v>0</v>
      </c>
      <c r="CP168" s="14">
        <f>ROUND(IF(BU168=0,0,HLOOKUP(BU$14,Villagers!$B$1:$V$33,BU168+3,FALSE)),)</f>
        <v>0</v>
      </c>
      <c r="CQ168" s="14">
        <f>ROUND(IF(BV168=0,0,HLOOKUP(BV$14,Villagers!$B$1:$V$33,BV168+3,FALSE)),)</f>
        <v>0</v>
      </c>
      <c r="CR168" s="14">
        <f>ROUND(IF(BW168=0,0,HLOOKUP(BW$14,Villagers!$B$1:$V$33,BW168+3,FALSE)),)</f>
        <v>0</v>
      </c>
      <c r="CS168" s="14">
        <f>ROUND(IF(BX168=0,0,HLOOKUP(BX$14,Villagers!$B$1:$V$33,BX168+3,FALSE)),)</f>
        <v>0</v>
      </c>
      <c r="CT168" s="14">
        <f>ROUND(IF(BY168=0,0,HLOOKUP(BY$14,Villagers!$B$1:$V$33,BY168+3,FALSE)),)</f>
        <v>0</v>
      </c>
      <c r="CU168" s="14">
        <f>ROUND(IF(BZ168=0,0,HLOOKUP(BZ$14,Villagers!$B$1:$V$33,BZ168+3,FALSE)),)</f>
        <v>0</v>
      </c>
      <c r="CV168" s="14">
        <f>ROUND(IF(CA168=0,0,HLOOKUP(CA$14,Villagers!$B$1:$V$33,CA168+3,FALSE)),)</f>
        <v>0</v>
      </c>
      <c r="CW168" s="14">
        <f>ROUND(IF(CB168=0,0,HLOOKUP(CB$14,Villagers!$B$1:$V$33,CB168+3,FALSE)),)</f>
        <v>0</v>
      </c>
      <c r="CX168" s="14">
        <f>ROUND(IF(CC168=0,0,HLOOKUP(CC$14,Villagers!$B$1:$V$33,CC168+3,FALSE)),)</f>
        <v>0</v>
      </c>
      <c r="CY168" s="14">
        <f>ROUND(IF(CD168=0,0,HLOOKUP(CD$14,Villagers!$B$1:$V$33,CD168+3,FALSE)),)</f>
        <v>0</v>
      </c>
      <c r="CZ168" s="14">
        <f>ROUND(IF(CE168=0,0,HLOOKUP(CE$14,Villagers!$B$1:$V$33,CE168+3,FALSE)),)</f>
        <v>5</v>
      </c>
      <c r="DA168" s="14">
        <f>ROUND(IF(CF168=0,0,HLOOKUP(CF$14,Villagers!$B$1:$V$33,CF168+3,FALSE)),)</f>
        <v>10</v>
      </c>
      <c r="DB168" s="14">
        <f>ROUND(IF(CG168=0,0,HLOOKUP(CG$14,Villagers!$B$1:$V$33,CG168+3,FALSE)),)</f>
        <v>10</v>
      </c>
      <c r="DC168" s="14">
        <f>ROUND(IF(CH168=0,0,HLOOKUP(CH$14,Villagers!$B$1:$V$33,CH168+3,FALSE)),)</f>
        <v>0</v>
      </c>
      <c r="DD168" s="14">
        <f>ROUND(IF(CI168=0,0,HLOOKUP(CI$14,Villagers!$B$1:$V$33,CI168+3,FALSE)),)</f>
        <v>0</v>
      </c>
      <c r="DE168" s="14">
        <f>ROUND(IF(CJ168=0,0,HLOOKUP(CJ$14,Villagers!$B$1:$V$33,CJ168+3,FALSE)),)</f>
        <v>2</v>
      </c>
      <c r="DF168" s="370">
        <f>ROUND(IF(CK168=0,0,HLOOKUP(CK$14,Villagers!$B$1:$V$33,CK168+3,FALSE)),)</f>
        <v>0</v>
      </c>
      <c r="DG168" s="370">
        <f>ROUND(IF(CL168=0,0,HLOOKUP(CL$14,Villagers!$B$1:$V$33,CL168+3,FALSE)),)</f>
        <v>0</v>
      </c>
      <c r="DH168" s="34">
        <f>ROUND(IF(CM168=0,0,HLOOKUP(CM$14,Villagers!$B$1:$V$33,CM168+3,FALSE)),)</f>
        <v>0</v>
      </c>
      <c r="DI168" s="109">
        <f t="shared" si="373"/>
        <v>0</v>
      </c>
      <c r="DJ168" s="50">
        <f t="shared" si="374"/>
        <v>0</v>
      </c>
      <c r="DK168" s="50">
        <f t="shared" si="375"/>
        <v>0</v>
      </c>
      <c r="DL168" s="50">
        <f t="shared" si="376"/>
        <v>0</v>
      </c>
      <c r="DM168" s="50">
        <f t="shared" si="377"/>
        <v>0</v>
      </c>
      <c r="DN168" s="50">
        <f t="shared" si="378"/>
        <v>0</v>
      </c>
      <c r="DO168" s="50">
        <f t="shared" si="379"/>
        <v>0</v>
      </c>
      <c r="DP168" s="50">
        <f t="shared" si="380"/>
        <v>0</v>
      </c>
      <c r="DQ168" s="50">
        <f t="shared" si="357"/>
        <v>0</v>
      </c>
      <c r="DR168" s="50">
        <f t="shared" si="358"/>
        <v>0</v>
      </c>
      <c r="DS168" s="96">
        <f>Miscelaneous!$D$4*Miscelaneous!$D$2^($CI168-1)</f>
        <v>1000</v>
      </c>
      <c r="DT168" s="333">
        <f t="shared" si="337"/>
        <v>1</v>
      </c>
      <c r="DU168" s="81">
        <v>1</v>
      </c>
      <c r="DV168" s="79">
        <f t="shared" si="359"/>
        <v>0</v>
      </c>
      <c r="DW168" s="79">
        <f t="shared" si="360"/>
        <v>0</v>
      </c>
      <c r="DX168" s="79">
        <f t="shared" si="361"/>
        <v>0</v>
      </c>
      <c r="DY168" s="79">
        <v>1</v>
      </c>
      <c r="DZ168" s="79">
        <f t="shared" si="362"/>
        <v>0</v>
      </c>
      <c r="EA168" s="79">
        <f t="shared" si="363"/>
        <v>0</v>
      </c>
      <c r="EB168" s="79">
        <f t="shared" si="364"/>
        <v>0</v>
      </c>
      <c r="EC168" s="79">
        <f t="shared" si="365"/>
        <v>0</v>
      </c>
      <c r="ED168" s="79">
        <v>1</v>
      </c>
      <c r="EE168" s="79">
        <v>1</v>
      </c>
      <c r="EF168" s="79">
        <f t="shared" si="366"/>
        <v>0</v>
      </c>
      <c r="EG168" s="79">
        <v>1</v>
      </c>
      <c r="EH168" s="79">
        <v>1</v>
      </c>
      <c r="EI168" s="79">
        <v>1</v>
      </c>
      <c r="EJ168" s="79">
        <v>1</v>
      </c>
      <c r="EK168" s="79">
        <v>1</v>
      </c>
      <c r="EL168" s="79">
        <v>1</v>
      </c>
      <c r="EM168" s="143">
        <f t="shared" si="367"/>
        <v>0</v>
      </c>
      <c r="EN168" s="143">
        <f t="shared" si="368"/>
        <v>0</v>
      </c>
      <c r="EO168" s="82">
        <f t="shared" si="369"/>
        <v>0</v>
      </c>
    </row>
    <row r="169" spans="1:145" x14ac:dyDescent="0.25">
      <c r="A169">
        <v>155</v>
      </c>
      <c r="B169" s="172" t="e">
        <f t="shared" si="338"/>
        <v>#N/A</v>
      </c>
      <c r="C169" s="121" t="e">
        <f t="shared" ref="C169:E169" si="423">AJ169-SUM(AB169:AB173)</f>
        <v>#N/A</v>
      </c>
      <c r="D169" s="122" t="e">
        <f t="shared" si="423"/>
        <v>#N/A</v>
      </c>
      <c r="E169" s="122" t="e">
        <f t="shared" si="423"/>
        <v>#N/A</v>
      </c>
      <c r="F169" s="176" t="e">
        <f t="shared" si="320"/>
        <v>#N/A</v>
      </c>
      <c r="G169" s="121">
        <f t="shared" si="340"/>
        <v>208</v>
      </c>
      <c r="H169" s="176" t="e">
        <f t="shared" si="341"/>
        <v>#N/A</v>
      </c>
      <c r="I169" s="48">
        <v>1</v>
      </c>
      <c r="J169" s="39"/>
      <c r="K169" s="350">
        <v>1</v>
      </c>
      <c r="L169" s="34" t="e">
        <f t="shared" si="321"/>
        <v>#N/A</v>
      </c>
      <c r="M169" s="38" t="e">
        <f>(HLOOKUP(J169,'Construction Times'!$B$3:$W$34,L169+2,FALSE)*HLOOKUP("hq modifier",'Construction Times'!$W$3:$W$34,BS169+2,FALSE))*(1-$H$9)</f>
        <v>#N/A</v>
      </c>
      <c r="N169" s="426" t="e">
        <f t="shared" si="342"/>
        <v>#N/A</v>
      </c>
      <c r="O169" s="427"/>
      <c r="P169" s="430" t="e">
        <f t="shared" si="343"/>
        <v>#N/A</v>
      </c>
      <c r="Q169" s="431"/>
      <c r="R169" s="103">
        <f t="shared" si="371"/>
        <v>0</v>
      </c>
      <c r="S169" s="104">
        <f t="shared" si="371"/>
        <v>0</v>
      </c>
      <c r="T169" s="104">
        <f t="shared" si="372"/>
        <v>0</v>
      </c>
      <c r="U169" s="104">
        <f t="shared" si="372"/>
        <v>0</v>
      </c>
      <c r="V169" s="104">
        <f t="shared" si="372"/>
        <v>9.9999999999999995E-8</v>
      </c>
      <c r="W169" s="104">
        <f t="shared" si="372"/>
        <v>0</v>
      </c>
      <c r="X169" s="104">
        <f t="shared" si="278"/>
        <v>0</v>
      </c>
      <c r="Y169" s="104">
        <f t="shared" si="278"/>
        <v>9.9999999999999995E-8</v>
      </c>
      <c r="Z169" s="104">
        <f t="shared" si="278"/>
        <v>9.9999999999999995E-8</v>
      </c>
      <c r="AA169" s="105">
        <f t="shared" si="278"/>
        <v>9.9999999999999995E-8</v>
      </c>
      <c r="AB169" s="101" t="e">
        <f>$DT169*HLOOKUP($J169,'Construction Costs (timber)'!$B$1:$V$32,'Construction Planner'!$L169+2,FALSE)</f>
        <v>#N/A</v>
      </c>
      <c r="AC169" s="14" t="e">
        <f>$DT169*HLOOKUP($J169,'Construction Costs (clay)'!$B$1:$V$32,'Construction Planner'!$L169+2,FALSE)</f>
        <v>#N/A</v>
      </c>
      <c r="AD169" s="14" t="e">
        <f>$DT169*HLOOKUP($J169,'Construction Costs (iron)'!$B$1:$V$32,'Construction Planner'!$L169+2,FALSE)</f>
        <v>#N/A</v>
      </c>
      <c r="AE169" s="34" t="e">
        <f t="shared" si="384"/>
        <v>#N/A</v>
      </c>
      <c r="AF169" s="33" t="e">
        <f t="shared" si="322"/>
        <v>#N/A</v>
      </c>
      <c r="AG169" s="14" t="e">
        <f t="shared" si="323"/>
        <v>#N/A</v>
      </c>
      <c r="AH169" s="14" t="e">
        <f t="shared" si="324"/>
        <v>#N/A</v>
      </c>
      <c r="AI169" s="34" t="e">
        <f t="shared" si="385"/>
        <v>#N/A</v>
      </c>
      <c r="AJ169" s="49" t="e">
        <f t="shared" si="345"/>
        <v>#N/A</v>
      </c>
      <c r="AK169" s="49" t="e">
        <f t="shared" si="346"/>
        <v>#N/A</v>
      </c>
      <c r="AL169" s="49" t="e">
        <f t="shared" si="347"/>
        <v>#N/A</v>
      </c>
      <c r="AM169" s="25">
        <f t="shared" si="325"/>
        <v>30</v>
      </c>
      <c r="AN169" s="25">
        <f t="shared" si="326"/>
        <v>30</v>
      </c>
      <c r="AO169" s="25">
        <f t="shared" si="327"/>
        <v>30</v>
      </c>
      <c r="AP169" s="52" t="e">
        <f t="shared" si="348"/>
        <v>#N/A</v>
      </c>
      <c r="AQ169" s="53" t="e">
        <f t="shared" si="348"/>
        <v>#N/A</v>
      </c>
      <c r="AR169" s="54" t="e">
        <f t="shared" si="348"/>
        <v>#N/A</v>
      </c>
      <c r="AS169" s="316">
        <f t="shared" si="418"/>
        <v>0</v>
      </c>
      <c r="AT169" s="106">
        <f>_xlfn.IFNA($M169/VLOOKUP($BT169,'Unit information'!$A$2:$K$29,2,FALSE)*R169,0)*(1+$E$9)</f>
        <v>0</v>
      </c>
      <c r="AU169" s="107">
        <f>_xlfn.IFNA($M169/VLOOKUP($BT169,'Unit information'!$A$2:$K$29,3,FALSE)*S169,0)*(1+$E$9)</f>
        <v>0</v>
      </c>
      <c r="AV169" s="107">
        <f>_xlfn.IFNA($M169/VLOOKUP($BT169,'Unit information'!$A$2:$K$29,4,FALSE)*T169,0)*(1+$E$9)</f>
        <v>0</v>
      </c>
      <c r="AW169" s="107">
        <f>_xlfn.IFNA($M169/VLOOKUP($BT169,'Unit information'!$A$2:$K$29,5,FALSE)*U169,0)*(1+$E$9)</f>
        <v>0</v>
      </c>
      <c r="AX169" s="107">
        <f>_xlfn.IFNA($M169/VLOOKUP($BU169,'Unit information'!$A$2:$K$29,6,FALSE)*V169,0)*(1+$E$9)</f>
        <v>0</v>
      </c>
      <c r="AY169" s="107">
        <f>_xlfn.IFNA($M169/VLOOKUP($BU169,'Unit information'!$A$2:$K$29,7,FALSE)*W169,0)*(1+$E$9)</f>
        <v>0</v>
      </c>
      <c r="AZ169" s="107">
        <f>_xlfn.IFNA($M169/VLOOKUP($BU169,'Unit information'!$A$2:$K$29,8,FALSE)*X169,0)*(1+$E$9)</f>
        <v>0</v>
      </c>
      <c r="BA169" s="107">
        <f>_xlfn.IFNA($M169/VLOOKUP($BU169,'Unit information'!$A$2:$K$29,9,FALSE)*Y169,0)*(1+$E$9)</f>
        <v>0</v>
      </c>
      <c r="BB169" s="107">
        <f>_xlfn.IFNA($M169/VLOOKUP($BV169,'Unit information'!$A$2:$K$29,10,FALSE)*Z169,0)*(1+$E$9)</f>
        <v>0</v>
      </c>
      <c r="BC169" s="108">
        <f>_xlfn.IFNA($M169/VLOOKUP($BV169,'Unit information'!$A$2:$K$29,11,FALSE)*AA169,0)*(1+$E$9)</f>
        <v>0</v>
      </c>
      <c r="BD169" s="106">
        <f t="shared" si="328"/>
        <v>0</v>
      </c>
      <c r="BE169" s="107">
        <f t="shared" si="329"/>
        <v>0</v>
      </c>
      <c r="BF169" s="108">
        <f t="shared" si="330"/>
        <v>0</v>
      </c>
      <c r="BG169" s="25" t="e">
        <f t="shared" si="331"/>
        <v>#N/A</v>
      </c>
      <c r="BH169" s="25" t="e">
        <f t="shared" si="332"/>
        <v>#N/A</v>
      </c>
      <c r="BI169" s="25" t="e">
        <f t="shared" si="333"/>
        <v>#N/A</v>
      </c>
      <c r="BJ169" s="27" t="e">
        <f t="shared" si="334"/>
        <v>#N/A</v>
      </c>
      <c r="BK169" s="18" t="e">
        <f t="shared" si="335"/>
        <v>#N/A</v>
      </c>
      <c r="BL169" s="18" t="e">
        <f t="shared" si="336"/>
        <v>#N/A</v>
      </c>
      <c r="BM169" s="28" t="e">
        <f t="shared" si="387"/>
        <v>#N/A</v>
      </c>
      <c r="BN169" s="33">
        <f>HLOOKUP("maximum population",Miscelaneous!$C$1:$C$33,CH169+3,FALSE)</f>
        <v>240</v>
      </c>
      <c r="BO169" s="14">
        <f t="shared" si="349"/>
        <v>32</v>
      </c>
      <c r="BP169" s="14">
        <f t="shared" si="350"/>
        <v>0</v>
      </c>
      <c r="BQ169" s="14">
        <f t="shared" si="351"/>
        <v>208</v>
      </c>
      <c r="BR169" s="34" t="e">
        <f>HLOOKUP(J169,Villagers!$B$1:$V$33,L169+3,FALSE)-HLOOKUP(J169,Villagers!$B$1:$V$33,L169+2,FALSE)</f>
        <v>#N/A</v>
      </c>
      <c r="BS169" s="49">
        <f t="shared" si="352"/>
        <v>1</v>
      </c>
      <c r="BT169" s="50">
        <f t="shared" si="353"/>
        <v>0</v>
      </c>
      <c r="BU169" s="50">
        <f t="shared" si="354"/>
        <v>0</v>
      </c>
      <c r="BV169" s="50">
        <f t="shared" si="355"/>
        <v>0</v>
      </c>
      <c r="BW169" s="50">
        <f t="shared" si="391"/>
        <v>0</v>
      </c>
      <c r="BX169" s="50">
        <f t="shared" si="392"/>
        <v>0</v>
      </c>
      <c r="BY169" s="50">
        <f t="shared" si="392"/>
        <v>0</v>
      </c>
      <c r="BZ169" s="50">
        <f t="shared" si="401"/>
        <v>0</v>
      </c>
      <c r="CA169" s="50">
        <f t="shared" si="402"/>
        <v>0</v>
      </c>
      <c r="CB169" s="50">
        <f t="shared" si="403"/>
        <v>1</v>
      </c>
      <c r="CC169" s="50">
        <f t="shared" si="404"/>
        <v>0</v>
      </c>
      <c r="CD169" s="50">
        <f t="shared" si="405"/>
        <v>0</v>
      </c>
      <c r="CE169" s="50">
        <f t="shared" si="406"/>
        <v>1</v>
      </c>
      <c r="CF169" s="50">
        <f t="shared" si="407"/>
        <v>1</v>
      </c>
      <c r="CG169" s="50">
        <f t="shared" si="408"/>
        <v>1</v>
      </c>
      <c r="CH169" s="50">
        <f t="shared" si="409"/>
        <v>1</v>
      </c>
      <c r="CI169" s="50">
        <f t="shared" si="410"/>
        <v>1</v>
      </c>
      <c r="CJ169" s="50">
        <f t="shared" si="411"/>
        <v>1</v>
      </c>
      <c r="CK169" s="50">
        <f t="shared" si="411"/>
        <v>0</v>
      </c>
      <c r="CL169" s="50">
        <f t="shared" si="411"/>
        <v>0</v>
      </c>
      <c r="CM169" s="51">
        <f t="shared" si="412"/>
        <v>0</v>
      </c>
      <c r="CN169" s="33">
        <f>ROUND(IF(BS169=0,0,HLOOKUP(BS$14,Villagers!$B$1:$V$33,BS169+3,FALSE)),)</f>
        <v>5</v>
      </c>
      <c r="CO169" s="14">
        <f>ROUND(IF(BT169=0,0,HLOOKUP(BT$14,Villagers!$B$1:$V$33,BT169+3,FALSE)),)</f>
        <v>0</v>
      </c>
      <c r="CP169" s="14">
        <f>ROUND(IF(BU169=0,0,HLOOKUP(BU$14,Villagers!$B$1:$V$33,BU169+3,FALSE)),)</f>
        <v>0</v>
      </c>
      <c r="CQ169" s="14">
        <f>ROUND(IF(BV169=0,0,HLOOKUP(BV$14,Villagers!$B$1:$V$33,BV169+3,FALSE)),)</f>
        <v>0</v>
      </c>
      <c r="CR169" s="14">
        <f>ROUND(IF(BW169=0,0,HLOOKUP(BW$14,Villagers!$B$1:$V$33,BW169+3,FALSE)),)</f>
        <v>0</v>
      </c>
      <c r="CS169" s="14">
        <f>ROUND(IF(BX169=0,0,HLOOKUP(BX$14,Villagers!$B$1:$V$33,BX169+3,FALSE)),)</f>
        <v>0</v>
      </c>
      <c r="CT169" s="14">
        <f>ROUND(IF(BY169=0,0,HLOOKUP(BY$14,Villagers!$B$1:$V$33,BY169+3,FALSE)),)</f>
        <v>0</v>
      </c>
      <c r="CU169" s="14">
        <f>ROUND(IF(BZ169=0,0,HLOOKUP(BZ$14,Villagers!$B$1:$V$33,BZ169+3,FALSE)),)</f>
        <v>0</v>
      </c>
      <c r="CV169" s="14">
        <f>ROUND(IF(CA169=0,0,HLOOKUP(CA$14,Villagers!$B$1:$V$33,CA169+3,FALSE)),)</f>
        <v>0</v>
      </c>
      <c r="CW169" s="14">
        <f>ROUND(IF(CB169=0,0,HLOOKUP(CB$14,Villagers!$B$1:$V$33,CB169+3,FALSE)),)</f>
        <v>0</v>
      </c>
      <c r="CX169" s="14">
        <f>ROUND(IF(CC169=0,0,HLOOKUP(CC$14,Villagers!$B$1:$V$33,CC169+3,FALSE)),)</f>
        <v>0</v>
      </c>
      <c r="CY169" s="14">
        <f>ROUND(IF(CD169=0,0,HLOOKUP(CD$14,Villagers!$B$1:$V$33,CD169+3,FALSE)),)</f>
        <v>0</v>
      </c>
      <c r="CZ169" s="14">
        <f>ROUND(IF(CE169=0,0,HLOOKUP(CE$14,Villagers!$B$1:$V$33,CE169+3,FALSE)),)</f>
        <v>5</v>
      </c>
      <c r="DA169" s="14">
        <f>ROUND(IF(CF169=0,0,HLOOKUP(CF$14,Villagers!$B$1:$V$33,CF169+3,FALSE)),)</f>
        <v>10</v>
      </c>
      <c r="DB169" s="14">
        <f>ROUND(IF(CG169=0,0,HLOOKUP(CG$14,Villagers!$B$1:$V$33,CG169+3,FALSE)),)</f>
        <v>10</v>
      </c>
      <c r="DC169" s="14">
        <f>ROUND(IF(CH169=0,0,HLOOKUP(CH$14,Villagers!$B$1:$V$33,CH169+3,FALSE)),)</f>
        <v>0</v>
      </c>
      <c r="DD169" s="14">
        <f>ROUND(IF(CI169=0,0,HLOOKUP(CI$14,Villagers!$B$1:$V$33,CI169+3,FALSE)),)</f>
        <v>0</v>
      </c>
      <c r="DE169" s="14">
        <f>ROUND(IF(CJ169=0,0,HLOOKUP(CJ$14,Villagers!$B$1:$V$33,CJ169+3,FALSE)),)</f>
        <v>2</v>
      </c>
      <c r="DF169" s="370">
        <f>ROUND(IF(CK169=0,0,HLOOKUP(CK$14,Villagers!$B$1:$V$33,CK169+3,FALSE)),)</f>
        <v>0</v>
      </c>
      <c r="DG169" s="370">
        <f>ROUND(IF(CL169=0,0,HLOOKUP(CL$14,Villagers!$B$1:$V$33,CL169+3,FALSE)),)</f>
        <v>0</v>
      </c>
      <c r="DH169" s="34">
        <f>ROUND(IF(CM169=0,0,HLOOKUP(CM$14,Villagers!$B$1:$V$33,CM169+3,FALSE)),)</f>
        <v>0</v>
      </c>
      <c r="DI169" s="109">
        <f t="shared" si="373"/>
        <v>0</v>
      </c>
      <c r="DJ169" s="50">
        <f t="shared" si="374"/>
        <v>0</v>
      </c>
      <c r="DK169" s="50">
        <f t="shared" si="375"/>
        <v>0</v>
      </c>
      <c r="DL169" s="50">
        <f t="shared" si="376"/>
        <v>0</v>
      </c>
      <c r="DM169" s="50">
        <f t="shared" si="377"/>
        <v>0</v>
      </c>
      <c r="DN169" s="50">
        <f t="shared" si="378"/>
        <v>0</v>
      </c>
      <c r="DO169" s="50">
        <f t="shared" si="379"/>
        <v>0</v>
      </c>
      <c r="DP169" s="50">
        <f t="shared" si="380"/>
        <v>0</v>
      </c>
      <c r="DQ169" s="50">
        <f t="shared" si="357"/>
        <v>0</v>
      </c>
      <c r="DR169" s="50">
        <f t="shared" si="358"/>
        <v>0</v>
      </c>
      <c r="DS169" s="96">
        <f>Miscelaneous!$D$4*Miscelaneous!$D$2^($CI169-1)</f>
        <v>1000</v>
      </c>
      <c r="DT169" s="333">
        <f t="shared" si="337"/>
        <v>1</v>
      </c>
      <c r="DU169" s="81">
        <v>1</v>
      </c>
      <c r="DV169" s="79">
        <f t="shared" si="359"/>
        <v>0</v>
      </c>
      <c r="DW169" s="79">
        <f t="shared" si="360"/>
        <v>0</v>
      </c>
      <c r="DX169" s="79">
        <f t="shared" si="361"/>
        <v>0</v>
      </c>
      <c r="DY169" s="79">
        <v>1</v>
      </c>
      <c r="DZ169" s="79">
        <f t="shared" si="362"/>
        <v>0</v>
      </c>
      <c r="EA169" s="79">
        <f t="shared" si="363"/>
        <v>0</v>
      </c>
      <c r="EB169" s="79">
        <f t="shared" si="364"/>
        <v>0</v>
      </c>
      <c r="EC169" s="79">
        <f t="shared" si="365"/>
        <v>0</v>
      </c>
      <c r="ED169" s="79">
        <v>1</v>
      </c>
      <c r="EE169" s="79">
        <v>1</v>
      </c>
      <c r="EF169" s="79">
        <f t="shared" si="366"/>
        <v>0</v>
      </c>
      <c r="EG169" s="79">
        <v>1</v>
      </c>
      <c r="EH169" s="79">
        <v>1</v>
      </c>
      <c r="EI169" s="79">
        <v>1</v>
      </c>
      <c r="EJ169" s="79">
        <v>1</v>
      </c>
      <c r="EK169" s="79">
        <v>1</v>
      </c>
      <c r="EL169" s="79">
        <v>1</v>
      </c>
      <c r="EM169" s="143">
        <f t="shared" si="367"/>
        <v>0</v>
      </c>
      <c r="EN169" s="143">
        <f t="shared" si="368"/>
        <v>0</v>
      </c>
      <c r="EO169" s="82">
        <f t="shared" si="369"/>
        <v>0</v>
      </c>
    </row>
    <row r="170" spans="1:145" x14ac:dyDescent="0.25">
      <c r="A170">
        <v>156</v>
      </c>
      <c r="B170" s="172" t="e">
        <f t="shared" si="338"/>
        <v>#N/A</v>
      </c>
      <c r="C170" s="121" t="e">
        <f t="shared" ref="C170:E170" si="424">AJ170-SUM(AB170:AB174)</f>
        <v>#N/A</v>
      </c>
      <c r="D170" s="122" t="e">
        <f t="shared" si="424"/>
        <v>#N/A</v>
      </c>
      <c r="E170" s="122" t="e">
        <f t="shared" si="424"/>
        <v>#N/A</v>
      </c>
      <c r="F170" s="176" t="e">
        <f t="shared" si="320"/>
        <v>#N/A</v>
      </c>
      <c r="G170" s="121">
        <f t="shared" si="340"/>
        <v>208</v>
      </c>
      <c r="H170" s="176" t="e">
        <f t="shared" si="341"/>
        <v>#N/A</v>
      </c>
      <c r="I170" s="48">
        <v>1</v>
      </c>
      <c r="J170" s="39"/>
      <c r="K170" s="350">
        <v>1</v>
      </c>
      <c r="L170" s="34" t="e">
        <f t="shared" si="321"/>
        <v>#N/A</v>
      </c>
      <c r="M170" s="38" t="e">
        <f>(HLOOKUP(J170,'Construction Times'!$B$3:$W$34,L170+2,FALSE)*HLOOKUP("hq modifier",'Construction Times'!$W$3:$W$34,BS170+2,FALSE))*(1-$H$9)</f>
        <v>#N/A</v>
      </c>
      <c r="N170" s="426" t="e">
        <f t="shared" si="342"/>
        <v>#N/A</v>
      </c>
      <c r="O170" s="427"/>
      <c r="P170" s="430" t="e">
        <f t="shared" si="343"/>
        <v>#N/A</v>
      </c>
      <c r="Q170" s="431"/>
      <c r="R170" s="103">
        <f t="shared" si="371"/>
        <v>0</v>
      </c>
      <c r="S170" s="104">
        <f t="shared" si="371"/>
        <v>0</v>
      </c>
      <c r="T170" s="104">
        <f t="shared" si="372"/>
        <v>0</v>
      </c>
      <c r="U170" s="104">
        <f t="shared" si="372"/>
        <v>0</v>
      </c>
      <c r="V170" s="104">
        <f t="shared" si="372"/>
        <v>9.9999999999999995E-8</v>
      </c>
      <c r="W170" s="104">
        <f t="shared" si="372"/>
        <v>0</v>
      </c>
      <c r="X170" s="104">
        <f t="shared" si="278"/>
        <v>0</v>
      </c>
      <c r="Y170" s="104">
        <f t="shared" si="278"/>
        <v>9.9999999999999995E-8</v>
      </c>
      <c r="Z170" s="104">
        <f t="shared" si="278"/>
        <v>9.9999999999999995E-8</v>
      </c>
      <c r="AA170" s="105">
        <f t="shared" si="278"/>
        <v>9.9999999999999995E-8</v>
      </c>
      <c r="AB170" s="101" t="e">
        <f>$DT170*HLOOKUP($J170,'Construction Costs (timber)'!$B$1:$V$32,'Construction Planner'!$L170+2,FALSE)</f>
        <v>#N/A</v>
      </c>
      <c r="AC170" s="14" t="e">
        <f>$DT170*HLOOKUP($J170,'Construction Costs (clay)'!$B$1:$V$32,'Construction Planner'!$L170+2,FALSE)</f>
        <v>#N/A</v>
      </c>
      <c r="AD170" s="14" t="e">
        <f>$DT170*HLOOKUP($J170,'Construction Costs (iron)'!$B$1:$V$32,'Construction Planner'!$L170+2,FALSE)</f>
        <v>#N/A</v>
      </c>
      <c r="AE170" s="34" t="e">
        <f t="shared" si="384"/>
        <v>#N/A</v>
      </c>
      <c r="AF170" s="33" t="e">
        <f t="shared" si="322"/>
        <v>#N/A</v>
      </c>
      <c r="AG170" s="14" t="e">
        <f t="shared" si="323"/>
        <v>#N/A</v>
      </c>
      <c r="AH170" s="14" t="e">
        <f t="shared" si="324"/>
        <v>#N/A</v>
      </c>
      <c r="AI170" s="34" t="e">
        <f t="shared" si="385"/>
        <v>#N/A</v>
      </c>
      <c r="AJ170" s="49" t="e">
        <f t="shared" si="345"/>
        <v>#N/A</v>
      </c>
      <c r="AK170" s="49" t="e">
        <f t="shared" si="346"/>
        <v>#N/A</v>
      </c>
      <c r="AL170" s="49" t="e">
        <f t="shared" si="347"/>
        <v>#N/A</v>
      </c>
      <c r="AM170" s="25">
        <f t="shared" si="325"/>
        <v>30</v>
      </c>
      <c r="AN170" s="25">
        <f t="shared" si="326"/>
        <v>30</v>
      </c>
      <c r="AO170" s="25">
        <f t="shared" si="327"/>
        <v>30</v>
      </c>
      <c r="AP170" s="52" t="e">
        <f t="shared" si="348"/>
        <v>#N/A</v>
      </c>
      <c r="AQ170" s="53" t="e">
        <f t="shared" si="348"/>
        <v>#N/A</v>
      </c>
      <c r="AR170" s="54" t="e">
        <f t="shared" si="348"/>
        <v>#N/A</v>
      </c>
      <c r="AS170" s="316">
        <f t="shared" si="418"/>
        <v>0</v>
      </c>
      <c r="AT170" s="106">
        <f>_xlfn.IFNA($M170/VLOOKUP($BT170,'Unit information'!$A$2:$K$29,2,FALSE)*R170,0)*(1+$E$9)</f>
        <v>0</v>
      </c>
      <c r="AU170" s="107">
        <f>_xlfn.IFNA($M170/VLOOKUP($BT170,'Unit information'!$A$2:$K$29,3,FALSE)*S170,0)*(1+$E$9)</f>
        <v>0</v>
      </c>
      <c r="AV170" s="107">
        <f>_xlfn.IFNA($M170/VLOOKUP($BT170,'Unit information'!$A$2:$K$29,4,FALSE)*T170,0)*(1+$E$9)</f>
        <v>0</v>
      </c>
      <c r="AW170" s="107">
        <f>_xlfn.IFNA($M170/VLOOKUP($BT170,'Unit information'!$A$2:$K$29,5,FALSE)*U170,0)*(1+$E$9)</f>
        <v>0</v>
      </c>
      <c r="AX170" s="107">
        <f>_xlfn.IFNA($M170/VLOOKUP($BU170,'Unit information'!$A$2:$K$29,6,FALSE)*V170,0)*(1+$E$9)</f>
        <v>0</v>
      </c>
      <c r="AY170" s="107">
        <f>_xlfn.IFNA($M170/VLOOKUP($BU170,'Unit information'!$A$2:$K$29,7,FALSE)*W170,0)*(1+$E$9)</f>
        <v>0</v>
      </c>
      <c r="AZ170" s="107">
        <f>_xlfn.IFNA($M170/VLOOKUP($BU170,'Unit information'!$A$2:$K$29,8,FALSE)*X170,0)*(1+$E$9)</f>
        <v>0</v>
      </c>
      <c r="BA170" s="107">
        <f>_xlfn.IFNA($M170/VLOOKUP($BU170,'Unit information'!$A$2:$K$29,9,FALSE)*Y170,0)*(1+$E$9)</f>
        <v>0</v>
      </c>
      <c r="BB170" s="107">
        <f>_xlfn.IFNA($M170/VLOOKUP($BV170,'Unit information'!$A$2:$K$29,10,FALSE)*Z170,0)*(1+$E$9)</f>
        <v>0</v>
      </c>
      <c r="BC170" s="108">
        <f>_xlfn.IFNA($M170/VLOOKUP($BV170,'Unit information'!$A$2:$K$29,11,FALSE)*AA170,0)*(1+$E$9)</f>
        <v>0</v>
      </c>
      <c r="BD170" s="106">
        <f t="shared" si="328"/>
        <v>0</v>
      </c>
      <c r="BE170" s="107">
        <f t="shared" si="329"/>
        <v>0</v>
      </c>
      <c r="BF170" s="108">
        <f t="shared" si="330"/>
        <v>0</v>
      </c>
      <c r="BG170" s="25" t="e">
        <f t="shared" si="331"/>
        <v>#N/A</v>
      </c>
      <c r="BH170" s="25" t="e">
        <f t="shared" si="332"/>
        <v>#N/A</v>
      </c>
      <c r="BI170" s="25" t="e">
        <f t="shared" si="333"/>
        <v>#N/A</v>
      </c>
      <c r="BJ170" s="27" t="e">
        <f t="shared" si="334"/>
        <v>#N/A</v>
      </c>
      <c r="BK170" s="18" t="e">
        <f t="shared" si="335"/>
        <v>#N/A</v>
      </c>
      <c r="BL170" s="18" t="e">
        <f t="shared" si="336"/>
        <v>#N/A</v>
      </c>
      <c r="BM170" s="28" t="e">
        <f t="shared" si="387"/>
        <v>#N/A</v>
      </c>
      <c r="BN170" s="33">
        <f>HLOOKUP("maximum population",Miscelaneous!$C$1:$C$33,CH170+3,FALSE)</f>
        <v>240</v>
      </c>
      <c r="BO170" s="14">
        <f t="shared" si="349"/>
        <v>32</v>
      </c>
      <c r="BP170" s="14">
        <f t="shared" si="350"/>
        <v>0</v>
      </c>
      <c r="BQ170" s="14">
        <f t="shared" si="351"/>
        <v>208</v>
      </c>
      <c r="BR170" s="34" t="e">
        <f>HLOOKUP(J170,Villagers!$B$1:$V$33,L170+3,FALSE)-HLOOKUP(J170,Villagers!$B$1:$V$33,L170+2,FALSE)</f>
        <v>#N/A</v>
      </c>
      <c r="BS170" s="49">
        <f t="shared" si="352"/>
        <v>1</v>
      </c>
      <c r="BT170" s="50">
        <f t="shared" si="353"/>
        <v>0</v>
      </c>
      <c r="BU170" s="50">
        <f t="shared" si="354"/>
        <v>0</v>
      </c>
      <c r="BV170" s="50">
        <f t="shared" si="355"/>
        <v>0</v>
      </c>
      <c r="BW170" s="50">
        <f t="shared" si="391"/>
        <v>0</v>
      </c>
      <c r="BX170" s="50">
        <f t="shared" si="392"/>
        <v>0</v>
      </c>
      <c r="BY170" s="50">
        <f t="shared" si="392"/>
        <v>0</v>
      </c>
      <c r="BZ170" s="50">
        <f t="shared" si="401"/>
        <v>0</v>
      </c>
      <c r="CA170" s="50">
        <f t="shared" si="402"/>
        <v>0</v>
      </c>
      <c r="CB170" s="50">
        <f t="shared" si="403"/>
        <v>1</v>
      </c>
      <c r="CC170" s="50">
        <f t="shared" si="404"/>
        <v>0</v>
      </c>
      <c r="CD170" s="50">
        <f t="shared" si="405"/>
        <v>0</v>
      </c>
      <c r="CE170" s="50">
        <f t="shared" si="406"/>
        <v>1</v>
      </c>
      <c r="CF170" s="50">
        <f t="shared" si="407"/>
        <v>1</v>
      </c>
      <c r="CG170" s="50">
        <f t="shared" si="408"/>
        <v>1</v>
      </c>
      <c r="CH170" s="50">
        <f t="shared" si="409"/>
        <v>1</v>
      </c>
      <c r="CI170" s="50">
        <f t="shared" si="410"/>
        <v>1</v>
      </c>
      <c r="CJ170" s="50">
        <f t="shared" si="411"/>
        <v>1</v>
      </c>
      <c r="CK170" s="50">
        <f t="shared" si="411"/>
        <v>0</v>
      </c>
      <c r="CL170" s="50">
        <f t="shared" si="411"/>
        <v>0</v>
      </c>
      <c r="CM170" s="51">
        <f t="shared" si="412"/>
        <v>0</v>
      </c>
      <c r="CN170" s="33">
        <f>ROUND(IF(BS170=0,0,HLOOKUP(BS$14,Villagers!$B$1:$V$33,BS170+3,FALSE)),)</f>
        <v>5</v>
      </c>
      <c r="CO170" s="14">
        <f>ROUND(IF(BT170=0,0,HLOOKUP(BT$14,Villagers!$B$1:$V$33,BT170+3,FALSE)),)</f>
        <v>0</v>
      </c>
      <c r="CP170" s="14">
        <f>ROUND(IF(BU170=0,0,HLOOKUP(BU$14,Villagers!$B$1:$V$33,BU170+3,FALSE)),)</f>
        <v>0</v>
      </c>
      <c r="CQ170" s="14">
        <f>ROUND(IF(BV170=0,0,HLOOKUP(BV$14,Villagers!$B$1:$V$33,BV170+3,FALSE)),)</f>
        <v>0</v>
      </c>
      <c r="CR170" s="14">
        <f>ROUND(IF(BW170=0,0,HLOOKUP(BW$14,Villagers!$B$1:$V$33,BW170+3,FALSE)),)</f>
        <v>0</v>
      </c>
      <c r="CS170" s="14">
        <f>ROUND(IF(BX170=0,0,HLOOKUP(BX$14,Villagers!$B$1:$V$33,BX170+3,FALSE)),)</f>
        <v>0</v>
      </c>
      <c r="CT170" s="14">
        <f>ROUND(IF(BY170=0,0,HLOOKUP(BY$14,Villagers!$B$1:$V$33,BY170+3,FALSE)),)</f>
        <v>0</v>
      </c>
      <c r="CU170" s="14">
        <f>ROUND(IF(BZ170=0,0,HLOOKUP(BZ$14,Villagers!$B$1:$V$33,BZ170+3,FALSE)),)</f>
        <v>0</v>
      </c>
      <c r="CV170" s="14">
        <f>ROUND(IF(CA170=0,0,HLOOKUP(CA$14,Villagers!$B$1:$V$33,CA170+3,FALSE)),)</f>
        <v>0</v>
      </c>
      <c r="CW170" s="14">
        <f>ROUND(IF(CB170=0,0,HLOOKUP(CB$14,Villagers!$B$1:$V$33,CB170+3,FALSE)),)</f>
        <v>0</v>
      </c>
      <c r="CX170" s="14">
        <f>ROUND(IF(CC170=0,0,HLOOKUP(CC$14,Villagers!$B$1:$V$33,CC170+3,FALSE)),)</f>
        <v>0</v>
      </c>
      <c r="CY170" s="14">
        <f>ROUND(IF(CD170=0,0,HLOOKUP(CD$14,Villagers!$B$1:$V$33,CD170+3,FALSE)),)</f>
        <v>0</v>
      </c>
      <c r="CZ170" s="14">
        <f>ROUND(IF(CE170=0,0,HLOOKUP(CE$14,Villagers!$B$1:$V$33,CE170+3,FALSE)),)</f>
        <v>5</v>
      </c>
      <c r="DA170" s="14">
        <f>ROUND(IF(CF170=0,0,HLOOKUP(CF$14,Villagers!$B$1:$V$33,CF170+3,FALSE)),)</f>
        <v>10</v>
      </c>
      <c r="DB170" s="14">
        <f>ROUND(IF(CG170=0,0,HLOOKUP(CG$14,Villagers!$B$1:$V$33,CG170+3,FALSE)),)</f>
        <v>10</v>
      </c>
      <c r="DC170" s="14">
        <f>ROUND(IF(CH170=0,0,HLOOKUP(CH$14,Villagers!$B$1:$V$33,CH170+3,FALSE)),)</f>
        <v>0</v>
      </c>
      <c r="DD170" s="14">
        <f>ROUND(IF(CI170=0,0,HLOOKUP(CI$14,Villagers!$B$1:$V$33,CI170+3,FALSE)),)</f>
        <v>0</v>
      </c>
      <c r="DE170" s="14">
        <f>ROUND(IF(CJ170=0,0,HLOOKUP(CJ$14,Villagers!$B$1:$V$33,CJ170+3,FALSE)),)</f>
        <v>2</v>
      </c>
      <c r="DF170" s="370">
        <f>ROUND(IF(CK170=0,0,HLOOKUP(CK$14,Villagers!$B$1:$V$33,CK170+3,FALSE)),)</f>
        <v>0</v>
      </c>
      <c r="DG170" s="370">
        <f>ROUND(IF(CL170=0,0,HLOOKUP(CL$14,Villagers!$B$1:$V$33,CL170+3,FALSE)),)</f>
        <v>0</v>
      </c>
      <c r="DH170" s="34">
        <f>ROUND(IF(CM170=0,0,HLOOKUP(CM$14,Villagers!$B$1:$V$33,CM170+3,FALSE)),)</f>
        <v>0</v>
      </c>
      <c r="DI170" s="109">
        <f t="shared" si="373"/>
        <v>0</v>
      </c>
      <c r="DJ170" s="50">
        <f t="shared" si="374"/>
        <v>0</v>
      </c>
      <c r="DK170" s="50">
        <f t="shared" si="375"/>
        <v>0</v>
      </c>
      <c r="DL170" s="50">
        <f t="shared" si="376"/>
        <v>0</v>
      </c>
      <c r="DM170" s="50">
        <f t="shared" si="377"/>
        <v>0</v>
      </c>
      <c r="DN170" s="50">
        <f t="shared" si="378"/>
        <v>0</v>
      </c>
      <c r="DO170" s="50">
        <f t="shared" si="379"/>
        <v>0</v>
      </c>
      <c r="DP170" s="50">
        <f t="shared" si="380"/>
        <v>0</v>
      </c>
      <c r="DQ170" s="50">
        <f t="shared" si="357"/>
        <v>0</v>
      </c>
      <c r="DR170" s="50">
        <f t="shared" si="358"/>
        <v>0</v>
      </c>
      <c r="DS170" s="96">
        <f>Miscelaneous!$D$4*Miscelaneous!$D$2^($CI170-1)</f>
        <v>1000</v>
      </c>
      <c r="DT170" s="333">
        <f t="shared" si="337"/>
        <v>1</v>
      </c>
      <c r="DU170" s="81">
        <v>1</v>
      </c>
      <c r="DV170" s="79">
        <f t="shared" si="359"/>
        <v>0</v>
      </c>
      <c r="DW170" s="79">
        <f t="shared" si="360"/>
        <v>0</v>
      </c>
      <c r="DX170" s="79">
        <f t="shared" si="361"/>
        <v>0</v>
      </c>
      <c r="DY170" s="79">
        <v>1</v>
      </c>
      <c r="DZ170" s="79">
        <f t="shared" si="362"/>
        <v>0</v>
      </c>
      <c r="EA170" s="79">
        <f t="shared" si="363"/>
        <v>0</v>
      </c>
      <c r="EB170" s="79">
        <f t="shared" si="364"/>
        <v>0</v>
      </c>
      <c r="EC170" s="79">
        <f t="shared" si="365"/>
        <v>0</v>
      </c>
      <c r="ED170" s="79">
        <v>1</v>
      </c>
      <c r="EE170" s="79">
        <v>1</v>
      </c>
      <c r="EF170" s="79">
        <f t="shared" si="366"/>
        <v>0</v>
      </c>
      <c r="EG170" s="79">
        <v>1</v>
      </c>
      <c r="EH170" s="79">
        <v>1</v>
      </c>
      <c r="EI170" s="79">
        <v>1</v>
      </c>
      <c r="EJ170" s="79">
        <v>1</v>
      </c>
      <c r="EK170" s="79">
        <v>1</v>
      </c>
      <c r="EL170" s="79">
        <v>1</v>
      </c>
      <c r="EM170" s="143">
        <f t="shared" si="367"/>
        <v>0</v>
      </c>
      <c r="EN170" s="143">
        <f t="shared" si="368"/>
        <v>0</v>
      </c>
      <c r="EO170" s="82">
        <f t="shared" si="369"/>
        <v>0</v>
      </c>
    </row>
    <row r="171" spans="1:145" x14ac:dyDescent="0.25">
      <c r="A171">
        <v>157</v>
      </c>
      <c r="B171" s="172" t="e">
        <f t="shared" si="338"/>
        <v>#N/A</v>
      </c>
      <c r="C171" s="121" t="e">
        <f t="shared" ref="C171:E171" si="425">AJ171-SUM(AB171:AB175)</f>
        <v>#N/A</v>
      </c>
      <c r="D171" s="122" t="e">
        <f t="shared" si="425"/>
        <v>#N/A</v>
      </c>
      <c r="E171" s="122" t="e">
        <f t="shared" si="425"/>
        <v>#N/A</v>
      </c>
      <c r="F171" s="176" t="e">
        <f t="shared" si="320"/>
        <v>#N/A</v>
      </c>
      <c r="G171" s="121">
        <f t="shared" si="340"/>
        <v>208</v>
      </c>
      <c r="H171" s="176" t="e">
        <f t="shared" si="341"/>
        <v>#N/A</v>
      </c>
      <c r="I171" s="48">
        <v>1</v>
      </c>
      <c r="J171" s="39"/>
      <c r="K171" s="350">
        <v>1</v>
      </c>
      <c r="L171" s="34" t="e">
        <f t="shared" si="321"/>
        <v>#N/A</v>
      </c>
      <c r="M171" s="38" t="e">
        <f>(HLOOKUP(J171,'Construction Times'!$B$3:$W$34,L171+2,FALSE)*HLOOKUP("hq modifier",'Construction Times'!$W$3:$W$34,BS171+2,FALSE))*(1-$H$9)</f>
        <v>#N/A</v>
      </c>
      <c r="N171" s="426" t="e">
        <f t="shared" si="342"/>
        <v>#N/A</v>
      </c>
      <c r="O171" s="427"/>
      <c r="P171" s="430" t="e">
        <f t="shared" si="343"/>
        <v>#N/A</v>
      </c>
      <c r="Q171" s="431"/>
      <c r="R171" s="103">
        <f t="shared" si="371"/>
        <v>0</v>
      </c>
      <c r="S171" s="104">
        <f t="shared" si="371"/>
        <v>0</v>
      </c>
      <c r="T171" s="104">
        <f t="shared" si="372"/>
        <v>0</v>
      </c>
      <c r="U171" s="104">
        <f t="shared" si="372"/>
        <v>0</v>
      </c>
      <c r="V171" s="104">
        <f t="shared" si="372"/>
        <v>9.9999999999999995E-8</v>
      </c>
      <c r="W171" s="104">
        <f t="shared" si="372"/>
        <v>0</v>
      </c>
      <c r="X171" s="104">
        <f t="shared" si="278"/>
        <v>0</v>
      </c>
      <c r="Y171" s="104">
        <f t="shared" si="278"/>
        <v>9.9999999999999995E-8</v>
      </c>
      <c r="Z171" s="104">
        <f t="shared" si="278"/>
        <v>9.9999999999999995E-8</v>
      </c>
      <c r="AA171" s="105">
        <f t="shared" si="278"/>
        <v>9.9999999999999995E-8</v>
      </c>
      <c r="AB171" s="101" t="e">
        <f>$DT171*HLOOKUP($J171,'Construction Costs (timber)'!$B$1:$V$32,'Construction Planner'!$L171+2,FALSE)</f>
        <v>#N/A</v>
      </c>
      <c r="AC171" s="14" t="e">
        <f>$DT171*HLOOKUP($J171,'Construction Costs (clay)'!$B$1:$V$32,'Construction Planner'!$L171+2,FALSE)</f>
        <v>#N/A</v>
      </c>
      <c r="AD171" s="14" t="e">
        <f>$DT171*HLOOKUP($J171,'Construction Costs (iron)'!$B$1:$V$32,'Construction Planner'!$L171+2,FALSE)</f>
        <v>#N/A</v>
      </c>
      <c r="AE171" s="34" t="e">
        <f t="shared" si="384"/>
        <v>#N/A</v>
      </c>
      <c r="AF171" s="33" t="e">
        <f t="shared" si="322"/>
        <v>#N/A</v>
      </c>
      <c r="AG171" s="14" t="e">
        <f t="shared" si="323"/>
        <v>#N/A</v>
      </c>
      <c r="AH171" s="14" t="e">
        <f t="shared" si="324"/>
        <v>#N/A</v>
      </c>
      <c r="AI171" s="34" t="e">
        <f t="shared" si="385"/>
        <v>#N/A</v>
      </c>
      <c r="AJ171" s="49" t="e">
        <f t="shared" si="345"/>
        <v>#N/A</v>
      </c>
      <c r="AK171" s="49" t="e">
        <f t="shared" si="346"/>
        <v>#N/A</v>
      </c>
      <c r="AL171" s="49" t="e">
        <f t="shared" si="347"/>
        <v>#N/A</v>
      </c>
      <c r="AM171" s="25">
        <f t="shared" si="325"/>
        <v>30</v>
      </c>
      <c r="AN171" s="25">
        <f t="shared" si="326"/>
        <v>30</v>
      </c>
      <c r="AO171" s="25">
        <f t="shared" si="327"/>
        <v>30</v>
      </c>
      <c r="AP171" s="52" t="e">
        <f t="shared" si="348"/>
        <v>#N/A</v>
      </c>
      <c r="AQ171" s="53" t="e">
        <f t="shared" si="348"/>
        <v>#N/A</v>
      </c>
      <c r="AR171" s="54" t="e">
        <f t="shared" si="348"/>
        <v>#N/A</v>
      </c>
      <c r="AS171" s="316">
        <f t="shared" si="418"/>
        <v>0</v>
      </c>
      <c r="AT171" s="106">
        <f>_xlfn.IFNA($M171/VLOOKUP($BT171,'Unit information'!$A$2:$K$29,2,FALSE)*R171,0)*(1+$E$9)</f>
        <v>0</v>
      </c>
      <c r="AU171" s="107">
        <f>_xlfn.IFNA($M171/VLOOKUP($BT171,'Unit information'!$A$2:$K$29,3,FALSE)*S171,0)*(1+$E$9)</f>
        <v>0</v>
      </c>
      <c r="AV171" s="107">
        <f>_xlfn.IFNA($M171/VLOOKUP($BT171,'Unit information'!$A$2:$K$29,4,FALSE)*T171,0)*(1+$E$9)</f>
        <v>0</v>
      </c>
      <c r="AW171" s="107">
        <f>_xlfn.IFNA($M171/VLOOKUP($BT171,'Unit information'!$A$2:$K$29,5,FALSE)*U171,0)*(1+$E$9)</f>
        <v>0</v>
      </c>
      <c r="AX171" s="107">
        <f>_xlfn.IFNA($M171/VLOOKUP($BU171,'Unit information'!$A$2:$K$29,6,FALSE)*V171,0)*(1+$E$9)</f>
        <v>0</v>
      </c>
      <c r="AY171" s="107">
        <f>_xlfn.IFNA($M171/VLOOKUP($BU171,'Unit information'!$A$2:$K$29,7,FALSE)*W171,0)*(1+$E$9)</f>
        <v>0</v>
      </c>
      <c r="AZ171" s="107">
        <f>_xlfn.IFNA($M171/VLOOKUP($BU171,'Unit information'!$A$2:$K$29,8,FALSE)*X171,0)*(1+$E$9)</f>
        <v>0</v>
      </c>
      <c r="BA171" s="107">
        <f>_xlfn.IFNA($M171/VLOOKUP($BU171,'Unit information'!$A$2:$K$29,9,FALSE)*Y171,0)*(1+$E$9)</f>
        <v>0</v>
      </c>
      <c r="BB171" s="107">
        <f>_xlfn.IFNA($M171/VLOOKUP($BV171,'Unit information'!$A$2:$K$29,10,FALSE)*Z171,0)*(1+$E$9)</f>
        <v>0</v>
      </c>
      <c r="BC171" s="108">
        <f>_xlfn.IFNA($M171/VLOOKUP($BV171,'Unit information'!$A$2:$K$29,11,FALSE)*AA171,0)*(1+$E$9)</f>
        <v>0</v>
      </c>
      <c r="BD171" s="106">
        <f t="shared" si="328"/>
        <v>0</v>
      </c>
      <c r="BE171" s="107">
        <f t="shared" si="329"/>
        <v>0</v>
      </c>
      <c r="BF171" s="108">
        <f t="shared" si="330"/>
        <v>0</v>
      </c>
      <c r="BG171" s="25" t="e">
        <f t="shared" si="331"/>
        <v>#N/A</v>
      </c>
      <c r="BH171" s="25" t="e">
        <f t="shared" si="332"/>
        <v>#N/A</v>
      </c>
      <c r="BI171" s="25" t="e">
        <f t="shared" si="333"/>
        <v>#N/A</v>
      </c>
      <c r="BJ171" s="27" t="e">
        <f t="shared" si="334"/>
        <v>#N/A</v>
      </c>
      <c r="BK171" s="18" t="e">
        <f t="shared" si="335"/>
        <v>#N/A</v>
      </c>
      <c r="BL171" s="18" t="e">
        <f t="shared" si="336"/>
        <v>#N/A</v>
      </c>
      <c r="BM171" s="28" t="e">
        <f t="shared" si="387"/>
        <v>#N/A</v>
      </c>
      <c r="BN171" s="33">
        <f>HLOOKUP("maximum population",Miscelaneous!$C$1:$C$33,CH171+3,FALSE)</f>
        <v>240</v>
      </c>
      <c r="BO171" s="14">
        <f t="shared" si="349"/>
        <v>32</v>
      </c>
      <c r="BP171" s="14">
        <f t="shared" si="350"/>
        <v>0</v>
      </c>
      <c r="BQ171" s="14">
        <f t="shared" si="351"/>
        <v>208</v>
      </c>
      <c r="BR171" s="34" t="e">
        <f>HLOOKUP(J171,Villagers!$B$1:$V$33,L171+3,FALSE)-HLOOKUP(J171,Villagers!$B$1:$V$33,L171+2,FALSE)</f>
        <v>#N/A</v>
      </c>
      <c r="BS171" s="49">
        <f t="shared" si="352"/>
        <v>1</v>
      </c>
      <c r="BT171" s="50">
        <f t="shared" si="353"/>
        <v>0</v>
      </c>
      <c r="BU171" s="50">
        <f t="shared" si="354"/>
        <v>0</v>
      </c>
      <c r="BV171" s="50">
        <f t="shared" si="355"/>
        <v>0</v>
      </c>
      <c r="BW171" s="50">
        <f t="shared" si="391"/>
        <v>0</v>
      </c>
      <c r="BX171" s="50">
        <f t="shared" si="392"/>
        <v>0</v>
      </c>
      <c r="BY171" s="50">
        <f t="shared" si="392"/>
        <v>0</v>
      </c>
      <c r="BZ171" s="50">
        <f t="shared" si="401"/>
        <v>0</v>
      </c>
      <c r="CA171" s="50">
        <f t="shared" si="402"/>
        <v>0</v>
      </c>
      <c r="CB171" s="50">
        <f t="shared" si="403"/>
        <v>1</v>
      </c>
      <c r="CC171" s="50">
        <f t="shared" si="404"/>
        <v>0</v>
      </c>
      <c r="CD171" s="50">
        <f t="shared" si="405"/>
        <v>0</v>
      </c>
      <c r="CE171" s="50">
        <f t="shared" si="406"/>
        <v>1</v>
      </c>
      <c r="CF171" s="50">
        <f t="shared" si="407"/>
        <v>1</v>
      </c>
      <c r="CG171" s="50">
        <f t="shared" si="408"/>
        <v>1</v>
      </c>
      <c r="CH171" s="50">
        <f t="shared" si="409"/>
        <v>1</v>
      </c>
      <c r="CI171" s="50">
        <f t="shared" si="410"/>
        <v>1</v>
      </c>
      <c r="CJ171" s="50">
        <f t="shared" si="411"/>
        <v>1</v>
      </c>
      <c r="CK171" s="50">
        <f t="shared" si="411"/>
        <v>0</v>
      </c>
      <c r="CL171" s="50">
        <f t="shared" si="411"/>
        <v>0</v>
      </c>
      <c r="CM171" s="51">
        <f t="shared" si="412"/>
        <v>0</v>
      </c>
      <c r="CN171" s="33">
        <f>ROUND(IF(BS171=0,0,HLOOKUP(BS$14,Villagers!$B$1:$V$33,BS171+3,FALSE)),)</f>
        <v>5</v>
      </c>
      <c r="CO171" s="14">
        <f>ROUND(IF(BT171=0,0,HLOOKUP(BT$14,Villagers!$B$1:$V$33,BT171+3,FALSE)),)</f>
        <v>0</v>
      </c>
      <c r="CP171" s="14">
        <f>ROUND(IF(BU171=0,0,HLOOKUP(BU$14,Villagers!$B$1:$V$33,BU171+3,FALSE)),)</f>
        <v>0</v>
      </c>
      <c r="CQ171" s="14">
        <f>ROUND(IF(BV171=0,0,HLOOKUP(BV$14,Villagers!$B$1:$V$33,BV171+3,FALSE)),)</f>
        <v>0</v>
      </c>
      <c r="CR171" s="14">
        <f>ROUND(IF(BW171=0,0,HLOOKUP(BW$14,Villagers!$B$1:$V$33,BW171+3,FALSE)),)</f>
        <v>0</v>
      </c>
      <c r="CS171" s="14">
        <f>ROUND(IF(BX171=0,0,HLOOKUP(BX$14,Villagers!$B$1:$V$33,BX171+3,FALSE)),)</f>
        <v>0</v>
      </c>
      <c r="CT171" s="14">
        <f>ROUND(IF(BY171=0,0,HLOOKUP(BY$14,Villagers!$B$1:$V$33,BY171+3,FALSE)),)</f>
        <v>0</v>
      </c>
      <c r="CU171" s="14">
        <f>ROUND(IF(BZ171=0,0,HLOOKUP(BZ$14,Villagers!$B$1:$V$33,BZ171+3,FALSE)),)</f>
        <v>0</v>
      </c>
      <c r="CV171" s="14">
        <f>ROUND(IF(CA171=0,0,HLOOKUP(CA$14,Villagers!$B$1:$V$33,CA171+3,FALSE)),)</f>
        <v>0</v>
      </c>
      <c r="CW171" s="14">
        <f>ROUND(IF(CB171=0,0,HLOOKUP(CB$14,Villagers!$B$1:$V$33,CB171+3,FALSE)),)</f>
        <v>0</v>
      </c>
      <c r="CX171" s="14">
        <f>ROUND(IF(CC171=0,0,HLOOKUP(CC$14,Villagers!$B$1:$V$33,CC171+3,FALSE)),)</f>
        <v>0</v>
      </c>
      <c r="CY171" s="14">
        <f>ROUND(IF(CD171=0,0,HLOOKUP(CD$14,Villagers!$B$1:$V$33,CD171+3,FALSE)),)</f>
        <v>0</v>
      </c>
      <c r="CZ171" s="14">
        <f>ROUND(IF(CE171=0,0,HLOOKUP(CE$14,Villagers!$B$1:$V$33,CE171+3,FALSE)),)</f>
        <v>5</v>
      </c>
      <c r="DA171" s="14">
        <f>ROUND(IF(CF171=0,0,HLOOKUP(CF$14,Villagers!$B$1:$V$33,CF171+3,FALSE)),)</f>
        <v>10</v>
      </c>
      <c r="DB171" s="14">
        <f>ROUND(IF(CG171=0,0,HLOOKUP(CG$14,Villagers!$B$1:$V$33,CG171+3,FALSE)),)</f>
        <v>10</v>
      </c>
      <c r="DC171" s="14">
        <f>ROUND(IF(CH171=0,0,HLOOKUP(CH$14,Villagers!$B$1:$V$33,CH171+3,FALSE)),)</f>
        <v>0</v>
      </c>
      <c r="DD171" s="14">
        <f>ROUND(IF(CI171=0,0,HLOOKUP(CI$14,Villagers!$B$1:$V$33,CI171+3,FALSE)),)</f>
        <v>0</v>
      </c>
      <c r="DE171" s="14">
        <f>ROUND(IF(CJ171=0,0,HLOOKUP(CJ$14,Villagers!$B$1:$V$33,CJ171+3,FALSE)),)</f>
        <v>2</v>
      </c>
      <c r="DF171" s="370">
        <f>ROUND(IF(CK171=0,0,HLOOKUP(CK$14,Villagers!$B$1:$V$33,CK171+3,FALSE)),)</f>
        <v>0</v>
      </c>
      <c r="DG171" s="370">
        <f>ROUND(IF(CL171=0,0,HLOOKUP(CL$14,Villagers!$B$1:$V$33,CL171+3,FALSE)),)</f>
        <v>0</v>
      </c>
      <c r="DH171" s="34">
        <f>ROUND(IF(CM171=0,0,HLOOKUP(CM$14,Villagers!$B$1:$V$33,CM171+3,FALSE)),)</f>
        <v>0</v>
      </c>
      <c r="DI171" s="109">
        <f t="shared" si="373"/>
        <v>0</v>
      </c>
      <c r="DJ171" s="50">
        <f t="shared" si="374"/>
        <v>0</v>
      </c>
      <c r="DK171" s="50">
        <f t="shared" si="375"/>
        <v>0</v>
      </c>
      <c r="DL171" s="50">
        <f t="shared" si="376"/>
        <v>0</v>
      </c>
      <c r="DM171" s="50">
        <f t="shared" si="377"/>
        <v>0</v>
      </c>
      <c r="DN171" s="50">
        <f t="shared" si="378"/>
        <v>0</v>
      </c>
      <c r="DO171" s="50">
        <f t="shared" si="379"/>
        <v>0</v>
      </c>
      <c r="DP171" s="50">
        <f t="shared" si="380"/>
        <v>0</v>
      </c>
      <c r="DQ171" s="50">
        <f t="shared" si="357"/>
        <v>0</v>
      </c>
      <c r="DR171" s="50">
        <f t="shared" si="358"/>
        <v>0</v>
      </c>
      <c r="DS171" s="96">
        <f>Miscelaneous!$D$4*Miscelaneous!$D$2^($CI171-1)</f>
        <v>1000</v>
      </c>
      <c r="DT171" s="333">
        <f t="shared" si="337"/>
        <v>1</v>
      </c>
      <c r="DU171" s="81">
        <v>1</v>
      </c>
      <c r="DV171" s="79">
        <f t="shared" si="359"/>
        <v>0</v>
      </c>
      <c r="DW171" s="79">
        <f t="shared" si="360"/>
        <v>0</v>
      </c>
      <c r="DX171" s="79">
        <f t="shared" si="361"/>
        <v>0</v>
      </c>
      <c r="DY171" s="79">
        <v>1</v>
      </c>
      <c r="DZ171" s="79">
        <f t="shared" si="362"/>
        <v>0</v>
      </c>
      <c r="EA171" s="79">
        <f t="shared" si="363"/>
        <v>0</v>
      </c>
      <c r="EB171" s="79">
        <f t="shared" si="364"/>
        <v>0</v>
      </c>
      <c r="EC171" s="79">
        <f t="shared" si="365"/>
        <v>0</v>
      </c>
      <c r="ED171" s="79">
        <v>1</v>
      </c>
      <c r="EE171" s="79">
        <v>1</v>
      </c>
      <c r="EF171" s="79">
        <f t="shared" si="366"/>
        <v>0</v>
      </c>
      <c r="EG171" s="79">
        <v>1</v>
      </c>
      <c r="EH171" s="79">
        <v>1</v>
      </c>
      <c r="EI171" s="79">
        <v>1</v>
      </c>
      <c r="EJ171" s="79">
        <v>1</v>
      </c>
      <c r="EK171" s="79">
        <v>1</v>
      </c>
      <c r="EL171" s="79">
        <v>1</v>
      </c>
      <c r="EM171" s="143">
        <f t="shared" si="367"/>
        <v>0</v>
      </c>
      <c r="EN171" s="143">
        <f t="shared" si="368"/>
        <v>0</v>
      </c>
      <c r="EO171" s="82">
        <f t="shared" si="369"/>
        <v>0</v>
      </c>
    </row>
    <row r="172" spans="1:145" x14ac:dyDescent="0.25">
      <c r="A172">
        <v>158</v>
      </c>
      <c r="B172" s="172" t="e">
        <f t="shared" si="338"/>
        <v>#N/A</v>
      </c>
      <c r="C172" s="121" t="e">
        <f t="shared" ref="C172:E172" si="426">AJ172-SUM(AB172:AB176)</f>
        <v>#N/A</v>
      </c>
      <c r="D172" s="122" t="e">
        <f t="shared" si="426"/>
        <v>#N/A</v>
      </c>
      <c r="E172" s="122" t="e">
        <f t="shared" si="426"/>
        <v>#N/A</v>
      </c>
      <c r="F172" s="176" t="e">
        <f t="shared" si="320"/>
        <v>#N/A</v>
      </c>
      <c r="G172" s="121">
        <f t="shared" si="340"/>
        <v>208</v>
      </c>
      <c r="H172" s="176" t="e">
        <f t="shared" si="341"/>
        <v>#N/A</v>
      </c>
      <c r="I172" s="48">
        <v>1</v>
      </c>
      <c r="J172" s="39"/>
      <c r="K172" s="350">
        <v>1</v>
      </c>
      <c r="L172" s="34" t="e">
        <f t="shared" si="321"/>
        <v>#N/A</v>
      </c>
      <c r="M172" s="38" t="e">
        <f>(HLOOKUP(J172,'Construction Times'!$B$3:$W$34,L172+2,FALSE)*HLOOKUP("hq modifier",'Construction Times'!$W$3:$W$34,BS172+2,FALSE))*(1-$H$9)</f>
        <v>#N/A</v>
      </c>
      <c r="N172" s="426" t="e">
        <f t="shared" si="342"/>
        <v>#N/A</v>
      </c>
      <c r="O172" s="427"/>
      <c r="P172" s="430" t="e">
        <f t="shared" si="343"/>
        <v>#N/A</v>
      </c>
      <c r="Q172" s="431"/>
      <c r="R172" s="103">
        <f t="shared" si="371"/>
        <v>0</v>
      </c>
      <c r="S172" s="104">
        <f t="shared" si="371"/>
        <v>0</v>
      </c>
      <c r="T172" s="104">
        <f t="shared" si="372"/>
        <v>0</v>
      </c>
      <c r="U172" s="104">
        <f t="shared" si="372"/>
        <v>0</v>
      </c>
      <c r="V172" s="104">
        <f t="shared" si="372"/>
        <v>9.9999999999999995E-8</v>
      </c>
      <c r="W172" s="104">
        <f t="shared" si="372"/>
        <v>0</v>
      </c>
      <c r="X172" s="104">
        <f t="shared" si="278"/>
        <v>0</v>
      </c>
      <c r="Y172" s="104">
        <f t="shared" si="278"/>
        <v>9.9999999999999995E-8</v>
      </c>
      <c r="Z172" s="104">
        <f t="shared" si="278"/>
        <v>9.9999999999999995E-8</v>
      </c>
      <c r="AA172" s="105">
        <f t="shared" ref="AA172" si="427">AA171</f>
        <v>9.9999999999999995E-8</v>
      </c>
      <c r="AB172" s="101" t="e">
        <f>$DT172*HLOOKUP($J172,'Construction Costs (timber)'!$B$1:$V$32,'Construction Planner'!$L172+2,FALSE)</f>
        <v>#N/A</v>
      </c>
      <c r="AC172" s="14" t="e">
        <f>$DT172*HLOOKUP($J172,'Construction Costs (clay)'!$B$1:$V$32,'Construction Planner'!$L172+2,FALSE)</f>
        <v>#N/A</v>
      </c>
      <c r="AD172" s="14" t="e">
        <f>$DT172*HLOOKUP($J172,'Construction Costs (iron)'!$B$1:$V$32,'Construction Planner'!$L172+2,FALSE)</f>
        <v>#N/A</v>
      </c>
      <c r="AE172" s="34" t="e">
        <f t="shared" si="384"/>
        <v>#N/A</v>
      </c>
      <c r="AF172" s="33" t="e">
        <f t="shared" si="322"/>
        <v>#N/A</v>
      </c>
      <c r="AG172" s="14" t="e">
        <f t="shared" si="323"/>
        <v>#N/A</v>
      </c>
      <c r="AH172" s="14" t="e">
        <f t="shared" si="324"/>
        <v>#N/A</v>
      </c>
      <c r="AI172" s="34" t="e">
        <f t="shared" si="385"/>
        <v>#N/A</v>
      </c>
      <c r="AJ172" s="49" t="e">
        <f t="shared" si="345"/>
        <v>#N/A</v>
      </c>
      <c r="AK172" s="49" t="e">
        <f t="shared" si="346"/>
        <v>#N/A</v>
      </c>
      <c r="AL172" s="49" t="e">
        <f t="shared" si="347"/>
        <v>#N/A</v>
      </c>
      <c r="AM172" s="25">
        <f t="shared" si="325"/>
        <v>30</v>
      </c>
      <c r="AN172" s="25">
        <f t="shared" si="326"/>
        <v>30</v>
      </c>
      <c r="AO172" s="25">
        <f t="shared" si="327"/>
        <v>30</v>
      </c>
      <c r="AP172" s="52" t="e">
        <f t="shared" si="348"/>
        <v>#N/A</v>
      </c>
      <c r="AQ172" s="53" t="e">
        <f t="shared" si="348"/>
        <v>#N/A</v>
      </c>
      <c r="AR172" s="54" t="e">
        <f t="shared" si="348"/>
        <v>#N/A</v>
      </c>
      <c r="AS172" s="316">
        <f t="shared" si="418"/>
        <v>0</v>
      </c>
      <c r="AT172" s="106">
        <f>_xlfn.IFNA($M172/VLOOKUP($BT172,'Unit information'!$A$2:$K$29,2,FALSE)*R172,0)*(1+$E$9)</f>
        <v>0</v>
      </c>
      <c r="AU172" s="107">
        <f>_xlfn.IFNA($M172/VLOOKUP($BT172,'Unit information'!$A$2:$K$29,3,FALSE)*S172,0)*(1+$E$9)</f>
        <v>0</v>
      </c>
      <c r="AV172" s="107">
        <f>_xlfn.IFNA($M172/VLOOKUP($BT172,'Unit information'!$A$2:$K$29,4,FALSE)*T172,0)*(1+$E$9)</f>
        <v>0</v>
      </c>
      <c r="AW172" s="107">
        <f>_xlfn.IFNA($M172/VLOOKUP($BT172,'Unit information'!$A$2:$K$29,5,FALSE)*U172,0)*(1+$E$9)</f>
        <v>0</v>
      </c>
      <c r="AX172" s="107">
        <f>_xlfn.IFNA($M172/VLOOKUP($BU172,'Unit information'!$A$2:$K$29,6,FALSE)*V172,0)*(1+$E$9)</f>
        <v>0</v>
      </c>
      <c r="AY172" s="107">
        <f>_xlfn.IFNA($M172/VLOOKUP($BU172,'Unit information'!$A$2:$K$29,7,FALSE)*W172,0)*(1+$E$9)</f>
        <v>0</v>
      </c>
      <c r="AZ172" s="107">
        <f>_xlfn.IFNA($M172/VLOOKUP($BU172,'Unit information'!$A$2:$K$29,8,FALSE)*X172,0)*(1+$E$9)</f>
        <v>0</v>
      </c>
      <c r="BA172" s="107">
        <f>_xlfn.IFNA($M172/VLOOKUP($BU172,'Unit information'!$A$2:$K$29,9,FALSE)*Y172,0)*(1+$E$9)</f>
        <v>0</v>
      </c>
      <c r="BB172" s="107">
        <f>_xlfn.IFNA($M172/VLOOKUP($BV172,'Unit information'!$A$2:$K$29,10,FALSE)*Z172,0)*(1+$E$9)</f>
        <v>0</v>
      </c>
      <c r="BC172" s="108">
        <f>_xlfn.IFNA($M172/VLOOKUP($BV172,'Unit information'!$A$2:$K$29,11,FALSE)*AA172,0)*(1+$E$9)</f>
        <v>0</v>
      </c>
      <c r="BD172" s="106">
        <f t="shared" si="328"/>
        <v>0</v>
      </c>
      <c r="BE172" s="107">
        <f t="shared" si="329"/>
        <v>0</v>
      </c>
      <c r="BF172" s="108">
        <f t="shared" si="330"/>
        <v>0</v>
      </c>
      <c r="BG172" s="25" t="e">
        <f t="shared" si="331"/>
        <v>#N/A</v>
      </c>
      <c r="BH172" s="25" t="e">
        <f t="shared" si="332"/>
        <v>#N/A</v>
      </c>
      <c r="BI172" s="25" t="e">
        <f t="shared" si="333"/>
        <v>#N/A</v>
      </c>
      <c r="BJ172" s="27" t="e">
        <f t="shared" si="334"/>
        <v>#N/A</v>
      </c>
      <c r="BK172" s="18" t="e">
        <f t="shared" si="335"/>
        <v>#N/A</v>
      </c>
      <c r="BL172" s="18" t="e">
        <f t="shared" si="336"/>
        <v>#N/A</v>
      </c>
      <c r="BM172" s="28" t="e">
        <f t="shared" si="387"/>
        <v>#N/A</v>
      </c>
      <c r="BN172" s="33">
        <f>HLOOKUP("maximum population",Miscelaneous!$C$1:$C$33,CH172+3,FALSE)</f>
        <v>240</v>
      </c>
      <c r="BO172" s="14">
        <f t="shared" si="349"/>
        <v>32</v>
      </c>
      <c r="BP172" s="14">
        <f t="shared" si="350"/>
        <v>0</v>
      </c>
      <c r="BQ172" s="14">
        <f t="shared" si="351"/>
        <v>208</v>
      </c>
      <c r="BR172" s="34" t="e">
        <f>HLOOKUP(J172,Villagers!$B$1:$V$33,L172+3,FALSE)-HLOOKUP(J172,Villagers!$B$1:$V$33,L172+2,FALSE)</f>
        <v>#N/A</v>
      </c>
      <c r="BS172" s="49">
        <f t="shared" si="352"/>
        <v>1</v>
      </c>
      <c r="BT172" s="50">
        <f t="shared" si="353"/>
        <v>0</v>
      </c>
      <c r="BU172" s="50">
        <f t="shared" si="354"/>
        <v>0</v>
      </c>
      <c r="BV172" s="50">
        <f t="shared" si="355"/>
        <v>0</v>
      </c>
      <c r="BW172" s="50">
        <f t="shared" si="391"/>
        <v>0</v>
      </c>
      <c r="BX172" s="50">
        <f t="shared" si="392"/>
        <v>0</v>
      </c>
      <c r="BY172" s="50">
        <f t="shared" si="392"/>
        <v>0</v>
      </c>
      <c r="BZ172" s="50">
        <f t="shared" si="401"/>
        <v>0</v>
      </c>
      <c r="CA172" s="50">
        <f t="shared" si="402"/>
        <v>0</v>
      </c>
      <c r="CB172" s="50">
        <f t="shared" si="403"/>
        <v>1</v>
      </c>
      <c r="CC172" s="50">
        <f t="shared" si="404"/>
        <v>0</v>
      </c>
      <c r="CD172" s="50">
        <f t="shared" si="405"/>
        <v>0</v>
      </c>
      <c r="CE172" s="50">
        <f t="shared" si="406"/>
        <v>1</v>
      </c>
      <c r="CF172" s="50">
        <f t="shared" si="407"/>
        <v>1</v>
      </c>
      <c r="CG172" s="50">
        <f t="shared" si="408"/>
        <v>1</v>
      </c>
      <c r="CH172" s="50">
        <f t="shared" si="409"/>
        <v>1</v>
      </c>
      <c r="CI172" s="50">
        <f t="shared" si="410"/>
        <v>1</v>
      </c>
      <c r="CJ172" s="50">
        <f t="shared" si="411"/>
        <v>1</v>
      </c>
      <c r="CK172" s="50">
        <f t="shared" si="411"/>
        <v>0</v>
      </c>
      <c r="CL172" s="50">
        <f t="shared" si="411"/>
        <v>0</v>
      </c>
      <c r="CM172" s="51">
        <f t="shared" si="412"/>
        <v>0</v>
      </c>
      <c r="CN172" s="33">
        <f>ROUND(IF(BS172=0,0,HLOOKUP(BS$14,Villagers!$B$1:$V$33,BS172+3,FALSE)),)</f>
        <v>5</v>
      </c>
      <c r="CO172" s="14">
        <f>ROUND(IF(BT172=0,0,HLOOKUP(BT$14,Villagers!$B$1:$V$33,BT172+3,FALSE)),)</f>
        <v>0</v>
      </c>
      <c r="CP172" s="14">
        <f>ROUND(IF(BU172=0,0,HLOOKUP(BU$14,Villagers!$B$1:$V$33,BU172+3,FALSE)),)</f>
        <v>0</v>
      </c>
      <c r="CQ172" s="14">
        <f>ROUND(IF(BV172=0,0,HLOOKUP(BV$14,Villagers!$B$1:$V$33,BV172+3,FALSE)),)</f>
        <v>0</v>
      </c>
      <c r="CR172" s="14">
        <f>ROUND(IF(BW172=0,0,HLOOKUP(BW$14,Villagers!$B$1:$V$33,BW172+3,FALSE)),)</f>
        <v>0</v>
      </c>
      <c r="CS172" s="14">
        <f>ROUND(IF(BX172=0,0,HLOOKUP(BX$14,Villagers!$B$1:$V$33,BX172+3,FALSE)),)</f>
        <v>0</v>
      </c>
      <c r="CT172" s="14">
        <f>ROUND(IF(BY172=0,0,HLOOKUP(BY$14,Villagers!$B$1:$V$33,BY172+3,FALSE)),)</f>
        <v>0</v>
      </c>
      <c r="CU172" s="14">
        <f>ROUND(IF(BZ172=0,0,HLOOKUP(BZ$14,Villagers!$B$1:$V$33,BZ172+3,FALSE)),)</f>
        <v>0</v>
      </c>
      <c r="CV172" s="14">
        <f>ROUND(IF(CA172=0,0,HLOOKUP(CA$14,Villagers!$B$1:$V$33,CA172+3,FALSE)),)</f>
        <v>0</v>
      </c>
      <c r="CW172" s="14">
        <f>ROUND(IF(CB172=0,0,HLOOKUP(CB$14,Villagers!$B$1:$V$33,CB172+3,FALSE)),)</f>
        <v>0</v>
      </c>
      <c r="CX172" s="14">
        <f>ROUND(IF(CC172=0,0,HLOOKUP(CC$14,Villagers!$B$1:$V$33,CC172+3,FALSE)),)</f>
        <v>0</v>
      </c>
      <c r="CY172" s="14">
        <f>ROUND(IF(CD172=0,0,HLOOKUP(CD$14,Villagers!$B$1:$V$33,CD172+3,FALSE)),)</f>
        <v>0</v>
      </c>
      <c r="CZ172" s="14">
        <f>ROUND(IF(CE172=0,0,HLOOKUP(CE$14,Villagers!$B$1:$V$33,CE172+3,FALSE)),)</f>
        <v>5</v>
      </c>
      <c r="DA172" s="14">
        <f>ROUND(IF(CF172=0,0,HLOOKUP(CF$14,Villagers!$B$1:$V$33,CF172+3,FALSE)),)</f>
        <v>10</v>
      </c>
      <c r="DB172" s="14">
        <f>ROUND(IF(CG172=0,0,HLOOKUP(CG$14,Villagers!$B$1:$V$33,CG172+3,FALSE)),)</f>
        <v>10</v>
      </c>
      <c r="DC172" s="14">
        <f>ROUND(IF(CH172=0,0,HLOOKUP(CH$14,Villagers!$B$1:$V$33,CH172+3,FALSE)),)</f>
        <v>0</v>
      </c>
      <c r="DD172" s="14">
        <f>ROUND(IF(CI172=0,0,HLOOKUP(CI$14,Villagers!$B$1:$V$33,CI172+3,FALSE)),)</f>
        <v>0</v>
      </c>
      <c r="DE172" s="14">
        <f>ROUND(IF(CJ172=0,0,HLOOKUP(CJ$14,Villagers!$B$1:$V$33,CJ172+3,FALSE)),)</f>
        <v>2</v>
      </c>
      <c r="DF172" s="370">
        <f>ROUND(IF(CK172=0,0,HLOOKUP(CK$14,Villagers!$B$1:$V$33,CK172+3,FALSE)),)</f>
        <v>0</v>
      </c>
      <c r="DG172" s="370">
        <f>ROUND(IF(CL172=0,0,HLOOKUP(CL$14,Villagers!$B$1:$V$33,CL172+3,FALSE)),)</f>
        <v>0</v>
      </c>
      <c r="DH172" s="34">
        <f>ROUND(IF(CM172=0,0,HLOOKUP(CM$14,Villagers!$B$1:$V$33,CM172+3,FALSE)),)</f>
        <v>0</v>
      </c>
      <c r="DI172" s="109">
        <f t="shared" si="373"/>
        <v>0</v>
      </c>
      <c r="DJ172" s="50">
        <f t="shared" si="374"/>
        <v>0</v>
      </c>
      <c r="DK172" s="50">
        <f t="shared" si="375"/>
        <v>0</v>
      </c>
      <c r="DL172" s="50">
        <f t="shared" si="376"/>
        <v>0</v>
      </c>
      <c r="DM172" s="50">
        <f t="shared" si="377"/>
        <v>0</v>
      </c>
      <c r="DN172" s="50">
        <f t="shared" si="378"/>
        <v>0</v>
      </c>
      <c r="DO172" s="50">
        <f t="shared" si="379"/>
        <v>0</v>
      </c>
      <c r="DP172" s="50">
        <f t="shared" si="380"/>
        <v>0</v>
      </c>
      <c r="DQ172" s="50">
        <f t="shared" si="357"/>
        <v>0</v>
      </c>
      <c r="DR172" s="50">
        <f t="shared" si="358"/>
        <v>0</v>
      </c>
      <c r="DS172" s="96">
        <f>Miscelaneous!$D$4*Miscelaneous!$D$2^($CI172-1)</f>
        <v>1000</v>
      </c>
      <c r="DT172" s="333">
        <f t="shared" si="337"/>
        <v>1</v>
      </c>
      <c r="DU172" s="81">
        <v>1</v>
      </c>
      <c r="DV172" s="79">
        <f t="shared" si="359"/>
        <v>0</v>
      </c>
      <c r="DW172" s="79">
        <f t="shared" si="360"/>
        <v>0</v>
      </c>
      <c r="DX172" s="79">
        <f t="shared" si="361"/>
        <v>0</v>
      </c>
      <c r="DY172" s="79">
        <v>1</v>
      </c>
      <c r="DZ172" s="79">
        <f t="shared" si="362"/>
        <v>0</v>
      </c>
      <c r="EA172" s="79">
        <f t="shared" si="363"/>
        <v>0</v>
      </c>
      <c r="EB172" s="79">
        <f t="shared" si="364"/>
        <v>0</v>
      </c>
      <c r="EC172" s="79">
        <f t="shared" si="365"/>
        <v>0</v>
      </c>
      <c r="ED172" s="79">
        <v>1</v>
      </c>
      <c r="EE172" s="79">
        <v>1</v>
      </c>
      <c r="EF172" s="79">
        <f t="shared" si="366"/>
        <v>0</v>
      </c>
      <c r="EG172" s="79">
        <v>1</v>
      </c>
      <c r="EH172" s="79">
        <v>1</v>
      </c>
      <c r="EI172" s="79">
        <v>1</v>
      </c>
      <c r="EJ172" s="79">
        <v>1</v>
      </c>
      <c r="EK172" s="79">
        <v>1</v>
      </c>
      <c r="EL172" s="79">
        <v>1</v>
      </c>
      <c r="EM172" s="143">
        <f t="shared" si="367"/>
        <v>0</v>
      </c>
      <c r="EN172" s="143">
        <f t="shared" si="368"/>
        <v>0</v>
      </c>
      <c r="EO172" s="82">
        <f t="shared" si="369"/>
        <v>0</v>
      </c>
    </row>
    <row r="173" spans="1:145" x14ac:dyDescent="0.25">
      <c r="A173">
        <v>159</v>
      </c>
      <c r="B173" s="172" t="e">
        <f t="shared" si="338"/>
        <v>#N/A</v>
      </c>
      <c r="C173" s="121" t="e">
        <f t="shared" ref="C173:E173" si="428">AJ173-SUM(AB173:AB177)</f>
        <v>#N/A</v>
      </c>
      <c r="D173" s="122" t="e">
        <f t="shared" si="428"/>
        <v>#N/A</v>
      </c>
      <c r="E173" s="122" t="e">
        <f t="shared" si="428"/>
        <v>#N/A</v>
      </c>
      <c r="F173" s="176" t="e">
        <f t="shared" si="320"/>
        <v>#N/A</v>
      </c>
      <c r="G173" s="121">
        <f t="shared" si="340"/>
        <v>208</v>
      </c>
      <c r="H173" s="176" t="e">
        <f t="shared" si="341"/>
        <v>#N/A</v>
      </c>
      <c r="I173" s="48">
        <v>1</v>
      </c>
      <c r="J173" s="39"/>
      <c r="K173" s="350">
        <v>1</v>
      </c>
      <c r="L173" s="34" t="e">
        <f t="shared" si="321"/>
        <v>#N/A</v>
      </c>
      <c r="M173" s="38" t="e">
        <f>(HLOOKUP(J173,'Construction Times'!$B$3:$W$34,L173+2,FALSE)*HLOOKUP("hq modifier",'Construction Times'!$W$3:$W$34,BS173+2,FALSE))*(1-$H$9)</f>
        <v>#N/A</v>
      </c>
      <c r="N173" s="426" t="e">
        <f t="shared" si="342"/>
        <v>#N/A</v>
      </c>
      <c r="O173" s="427"/>
      <c r="P173" s="430" t="e">
        <f t="shared" si="343"/>
        <v>#N/A</v>
      </c>
      <c r="Q173" s="431"/>
      <c r="R173" s="103">
        <f t="shared" si="371"/>
        <v>0</v>
      </c>
      <c r="S173" s="104">
        <f t="shared" si="371"/>
        <v>0</v>
      </c>
      <c r="T173" s="104">
        <f t="shared" si="372"/>
        <v>0</v>
      </c>
      <c r="U173" s="104">
        <f t="shared" si="372"/>
        <v>0</v>
      </c>
      <c r="V173" s="104">
        <f t="shared" si="372"/>
        <v>9.9999999999999995E-8</v>
      </c>
      <c r="W173" s="104">
        <f t="shared" si="372"/>
        <v>0</v>
      </c>
      <c r="X173" s="104">
        <f t="shared" ref="X173:AA236" si="429">X172</f>
        <v>0</v>
      </c>
      <c r="Y173" s="104">
        <f t="shared" si="429"/>
        <v>9.9999999999999995E-8</v>
      </c>
      <c r="Z173" s="104">
        <f t="shared" si="429"/>
        <v>9.9999999999999995E-8</v>
      </c>
      <c r="AA173" s="105">
        <f t="shared" si="429"/>
        <v>9.9999999999999995E-8</v>
      </c>
      <c r="AB173" s="101" t="e">
        <f>$DT173*HLOOKUP($J173,'Construction Costs (timber)'!$B$1:$V$32,'Construction Planner'!$L173+2,FALSE)</f>
        <v>#N/A</v>
      </c>
      <c r="AC173" s="14" t="e">
        <f>$DT173*HLOOKUP($J173,'Construction Costs (clay)'!$B$1:$V$32,'Construction Planner'!$L173+2,FALSE)</f>
        <v>#N/A</v>
      </c>
      <c r="AD173" s="14" t="e">
        <f>$DT173*HLOOKUP($J173,'Construction Costs (iron)'!$B$1:$V$32,'Construction Planner'!$L173+2,FALSE)</f>
        <v>#N/A</v>
      </c>
      <c r="AE173" s="34" t="e">
        <f t="shared" si="384"/>
        <v>#N/A</v>
      </c>
      <c r="AF173" s="33" t="e">
        <f t="shared" si="322"/>
        <v>#N/A</v>
      </c>
      <c r="AG173" s="14" t="e">
        <f t="shared" si="323"/>
        <v>#N/A</v>
      </c>
      <c r="AH173" s="14" t="e">
        <f t="shared" si="324"/>
        <v>#N/A</v>
      </c>
      <c r="AI173" s="34" t="e">
        <f t="shared" si="385"/>
        <v>#N/A</v>
      </c>
      <c r="AJ173" s="49" t="e">
        <f t="shared" si="345"/>
        <v>#N/A</v>
      </c>
      <c r="AK173" s="49" t="e">
        <f t="shared" si="346"/>
        <v>#N/A</v>
      </c>
      <c r="AL173" s="49" t="e">
        <f t="shared" si="347"/>
        <v>#N/A</v>
      </c>
      <c r="AM173" s="25">
        <f t="shared" si="325"/>
        <v>30</v>
      </c>
      <c r="AN173" s="25">
        <f t="shared" si="326"/>
        <v>30</v>
      </c>
      <c r="AO173" s="25">
        <f t="shared" si="327"/>
        <v>30</v>
      </c>
      <c r="AP173" s="52" t="e">
        <f t="shared" si="348"/>
        <v>#N/A</v>
      </c>
      <c r="AQ173" s="53" t="e">
        <f t="shared" si="348"/>
        <v>#N/A</v>
      </c>
      <c r="AR173" s="54" t="e">
        <f t="shared" si="348"/>
        <v>#N/A</v>
      </c>
      <c r="AS173" s="316">
        <f t="shared" si="418"/>
        <v>0</v>
      </c>
      <c r="AT173" s="106">
        <f>_xlfn.IFNA($M173/VLOOKUP($BT173,'Unit information'!$A$2:$K$29,2,FALSE)*R173,0)*(1+$E$9)</f>
        <v>0</v>
      </c>
      <c r="AU173" s="107">
        <f>_xlfn.IFNA($M173/VLOOKUP($BT173,'Unit information'!$A$2:$K$29,3,FALSE)*S173,0)*(1+$E$9)</f>
        <v>0</v>
      </c>
      <c r="AV173" s="107">
        <f>_xlfn.IFNA($M173/VLOOKUP($BT173,'Unit information'!$A$2:$K$29,4,FALSE)*T173,0)*(1+$E$9)</f>
        <v>0</v>
      </c>
      <c r="AW173" s="107">
        <f>_xlfn.IFNA($M173/VLOOKUP($BT173,'Unit information'!$A$2:$K$29,5,FALSE)*U173,0)*(1+$E$9)</f>
        <v>0</v>
      </c>
      <c r="AX173" s="107">
        <f>_xlfn.IFNA($M173/VLOOKUP($BU173,'Unit information'!$A$2:$K$29,6,FALSE)*V173,0)*(1+$E$9)</f>
        <v>0</v>
      </c>
      <c r="AY173" s="107">
        <f>_xlfn.IFNA($M173/VLOOKUP($BU173,'Unit information'!$A$2:$K$29,7,FALSE)*W173,0)*(1+$E$9)</f>
        <v>0</v>
      </c>
      <c r="AZ173" s="107">
        <f>_xlfn.IFNA($M173/VLOOKUP($BU173,'Unit information'!$A$2:$K$29,8,FALSE)*X173,0)*(1+$E$9)</f>
        <v>0</v>
      </c>
      <c r="BA173" s="107">
        <f>_xlfn.IFNA($M173/VLOOKUP($BU173,'Unit information'!$A$2:$K$29,9,FALSE)*Y173,0)*(1+$E$9)</f>
        <v>0</v>
      </c>
      <c r="BB173" s="107">
        <f>_xlfn.IFNA($M173/VLOOKUP($BV173,'Unit information'!$A$2:$K$29,10,FALSE)*Z173,0)*(1+$E$9)</f>
        <v>0</v>
      </c>
      <c r="BC173" s="108">
        <f>_xlfn.IFNA($M173/VLOOKUP($BV173,'Unit information'!$A$2:$K$29,11,FALSE)*AA173,0)*(1+$E$9)</f>
        <v>0</v>
      </c>
      <c r="BD173" s="106">
        <f t="shared" si="328"/>
        <v>0</v>
      </c>
      <c r="BE173" s="107">
        <f t="shared" si="329"/>
        <v>0</v>
      </c>
      <c r="BF173" s="108">
        <f t="shared" si="330"/>
        <v>0</v>
      </c>
      <c r="BG173" s="25" t="e">
        <f t="shared" si="331"/>
        <v>#N/A</v>
      </c>
      <c r="BH173" s="25" t="e">
        <f t="shared" si="332"/>
        <v>#N/A</v>
      </c>
      <c r="BI173" s="25" t="e">
        <f t="shared" si="333"/>
        <v>#N/A</v>
      </c>
      <c r="BJ173" s="27" t="e">
        <f t="shared" si="334"/>
        <v>#N/A</v>
      </c>
      <c r="BK173" s="18" t="e">
        <f t="shared" si="335"/>
        <v>#N/A</v>
      </c>
      <c r="BL173" s="18" t="e">
        <f t="shared" si="336"/>
        <v>#N/A</v>
      </c>
      <c r="BM173" s="28" t="e">
        <f t="shared" si="387"/>
        <v>#N/A</v>
      </c>
      <c r="BN173" s="33">
        <f>HLOOKUP("maximum population",Miscelaneous!$C$1:$C$33,CH173+3,FALSE)</f>
        <v>240</v>
      </c>
      <c r="BO173" s="14">
        <f t="shared" si="349"/>
        <v>32</v>
      </c>
      <c r="BP173" s="14">
        <f t="shared" si="350"/>
        <v>0</v>
      </c>
      <c r="BQ173" s="14">
        <f t="shared" si="351"/>
        <v>208</v>
      </c>
      <c r="BR173" s="34" t="e">
        <f>HLOOKUP(J173,Villagers!$B$1:$V$33,L173+3,FALSE)-HLOOKUP(J173,Villagers!$B$1:$V$33,L173+2,FALSE)</f>
        <v>#N/A</v>
      </c>
      <c r="BS173" s="49">
        <f t="shared" si="352"/>
        <v>1</v>
      </c>
      <c r="BT173" s="50">
        <f t="shared" si="353"/>
        <v>0</v>
      </c>
      <c r="BU173" s="50">
        <f t="shared" si="354"/>
        <v>0</v>
      </c>
      <c r="BV173" s="50">
        <f t="shared" si="355"/>
        <v>0</v>
      </c>
      <c r="BW173" s="50">
        <f t="shared" si="391"/>
        <v>0</v>
      </c>
      <c r="BX173" s="50">
        <f t="shared" si="392"/>
        <v>0</v>
      </c>
      <c r="BY173" s="50">
        <f t="shared" si="392"/>
        <v>0</v>
      </c>
      <c r="BZ173" s="50">
        <f t="shared" si="401"/>
        <v>0</v>
      </c>
      <c r="CA173" s="50">
        <f t="shared" si="402"/>
        <v>0</v>
      </c>
      <c r="CB173" s="50">
        <f t="shared" si="403"/>
        <v>1</v>
      </c>
      <c r="CC173" s="50">
        <f t="shared" si="404"/>
        <v>0</v>
      </c>
      <c r="CD173" s="50">
        <f t="shared" si="405"/>
        <v>0</v>
      </c>
      <c r="CE173" s="50">
        <f t="shared" si="406"/>
        <v>1</v>
      </c>
      <c r="CF173" s="50">
        <f t="shared" si="407"/>
        <v>1</v>
      </c>
      <c r="CG173" s="50">
        <f t="shared" si="408"/>
        <v>1</v>
      </c>
      <c r="CH173" s="50">
        <f t="shared" si="409"/>
        <v>1</v>
      </c>
      <c r="CI173" s="50">
        <f t="shared" si="410"/>
        <v>1</v>
      </c>
      <c r="CJ173" s="50">
        <f t="shared" si="411"/>
        <v>1</v>
      </c>
      <c r="CK173" s="50">
        <f t="shared" si="411"/>
        <v>0</v>
      </c>
      <c r="CL173" s="50">
        <f t="shared" si="411"/>
        <v>0</v>
      </c>
      <c r="CM173" s="51">
        <f t="shared" si="412"/>
        <v>0</v>
      </c>
      <c r="CN173" s="33">
        <f>ROUND(IF(BS173=0,0,HLOOKUP(BS$14,Villagers!$B$1:$V$33,BS173+3,FALSE)),)</f>
        <v>5</v>
      </c>
      <c r="CO173" s="14">
        <f>ROUND(IF(BT173=0,0,HLOOKUP(BT$14,Villagers!$B$1:$V$33,BT173+3,FALSE)),)</f>
        <v>0</v>
      </c>
      <c r="CP173" s="14">
        <f>ROUND(IF(BU173=0,0,HLOOKUP(BU$14,Villagers!$B$1:$V$33,BU173+3,FALSE)),)</f>
        <v>0</v>
      </c>
      <c r="CQ173" s="14">
        <f>ROUND(IF(BV173=0,0,HLOOKUP(BV$14,Villagers!$B$1:$V$33,BV173+3,FALSE)),)</f>
        <v>0</v>
      </c>
      <c r="CR173" s="14">
        <f>ROUND(IF(BW173=0,0,HLOOKUP(BW$14,Villagers!$B$1:$V$33,BW173+3,FALSE)),)</f>
        <v>0</v>
      </c>
      <c r="CS173" s="14">
        <f>ROUND(IF(BX173=0,0,HLOOKUP(BX$14,Villagers!$B$1:$V$33,BX173+3,FALSE)),)</f>
        <v>0</v>
      </c>
      <c r="CT173" s="14">
        <f>ROUND(IF(BY173=0,0,HLOOKUP(BY$14,Villagers!$B$1:$V$33,BY173+3,FALSE)),)</f>
        <v>0</v>
      </c>
      <c r="CU173" s="14">
        <f>ROUND(IF(BZ173=0,0,HLOOKUP(BZ$14,Villagers!$B$1:$V$33,BZ173+3,FALSE)),)</f>
        <v>0</v>
      </c>
      <c r="CV173" s="14">
        <f>ROUND(IF(CA173=0,0,HLOOKUP(CA$14,Villagers!$B$1:$V$33,CA173+3,FALSE)),)</f>
        <v>0</v>
      </c>
      <c r="CW173" s="14">
        <f>ROUND(IF(CB173=0,0,HLOOKUP(CB$14,Villagers!$B$1:$V$33,CB173+3,FALSE)),)</f>
        <v>0</v>
      </c>
      <c r="CX173" s="14">
        <f>ROUND(IF(CC173=0,0,HLOOKUP(CC$14,Villagers!$B$1:$V$33,CC173+3,FALSE)),)</f>
        <v>0</v>
      </c>
      <c r="CY173" s="14">
        <f>ROUND(IF(CD173=0,0,HLOOKUP(CD$14,Villagers!$B$1:$V$33,CD173+3,FALSE)),)</f>
        <v>0</v>
      </c>
      <c r="CZ173" s="14">
        <f>ROUND(IF(CE173=0,0,HLOOKUP(CE$14,Villagers!$B$1:$V$33,CE173+3,FALSE)),)</f>
        <v>5</v>
      </c>
      <c r="DA173" s="14">
        <f>ROUND(IF(CF173=0,0,HLOOKUP(CF$14,Villagers!$B$1:$V$33,CF173+3,FALSE)),)</f>
        <v>10</v>
      </c>
      <c r="DB173" s="14">
        <f>ROUND(IF(CG173=0,0,HLOOKUP(CG$14,Villagers!$B$1:$V$33,CG173+3,FALSE)),)</f>
        <v>10</v>
      </c>
      <c r="DC173" s="14">
        <f>ROUND(IF(CH173=0,0,HLOOKUP(CH$14,Villagers!$B$1:$V$33,CH173+3,FALSE)),)</f>
        <v>0</v>
      </c>
      <c r="DD173" s="14">
        <f>ROUND(IF(CI173=0,0,HLOOKUP(CI$14,Villagers!$B$1:$V$33,CI173+3,FALSE)),)</f>
        <v>0</v>
      </c>
      <c r="DE173" s="14">
        <f>ROUND(IF(CJ173=0,0,HLOOKUP(CJ$14,Villagers!$B$1:$V$33,CJ173+3,FALSE)),)</f>
        <v>2</v>
      </c>
      <c r="DF173" s="370">
        <f>ROUND(IF(CK173=0,0,HLOOKUP(CK$14,Villagers!$B$1:$V$33,CK173+3,FALSE)),)</f>
        <v>0</v>
      </c>
      <c r="DG173" s="370">
        <f>ROUND(IF(CL173=0,0,HLOOKUP(CL$14,Villagers!$B$1:$V$33,CL173+3,FALSE)),)</f>
        <v>0</v>
      </c>
      <c r="DH173" s="34">
        <f>ROUND(IF(CM173=0,0,HLOOKUP(CM$14,Villagers!$B$1:$V$33,CM173+3,FALSE)),)</f>
        <v>0</v>
      </c>
      <c r="DI173" s="109">
        <f t="shared" si="373"/>
        <v>0</v>
      </c>
      <c r="DJ173" s="50">
        <f t="shared" si="374"/>
        <v>0</v>
      </c>
      <c r="DK173" s="50">
        <f t="shared" si="375"/>
        <v>0</v>
      </c>
      <c r="DL173" s="50">
        <f t="shared" si="376"/>
        <v>0</v>
      </c>
      <c r="DM173" s="50">
        <f t="shared" si="377"/>
        <v>0</v>
      </c>
      <c r="DN173" s="50">
        <f t="shared" si="378"/>
        <v>0</v>
      </c>
      <c r="DO173" s="50">
        <f t="shared" si="379"/>
        <v>0</v>
      </c>
      <c r="DP173" s="50">
        <f t="shared" si="380"/>
        <v>0</v>
      </c>
      <c r="DQ173" s="50">
        <f t="shared" si="357"/>
        <v>0</v>
      </c>
      <c r="DR173" s="50">
        <f t="shared" si="358"/>
        <v>0</v>
      </c>
      <c r="DS173" s="96">
        <f>Miscelaneous!$D$4*Miscelaneous!$D$2^($CI173-1)</f>
        <v>1000</v>
      </c>
      <c r="DT173" s="333">
        <f t="shared" si="337"/>
        <v>1</v>
      </c>
      <c r="DU173" s="81">
        <v>1</v>
      </c>
      <c r="DV173" s="79">
        <f t="shared" si="359"/>
        <v>0</v>
      </c>
      <c r="DW173" s="79">
        <f t="shared" si="360"/>
        <v>0</v>
      </c>
      <c r="DX173" s="79">
        <f t="shared" si="361"/>
        <v>0</v>
      </c>
      <c r="DY173" s="79">
        <v>1</v>
      </c>
      <c r="DZ173" s="79">
        <f t="shared" si="362"/>
        <v>0</v>
      </c>
      <c r="EA173" s="79">
        <f t="shared" si="363"/>
        <v>0</v>
      </c>
      <c r="EB173" s="79">
        <f t="shared" si="364"/>
        <v>0</v>
      </c>
      <c r="EC173" s="79">
        <f t="shared" si="365"/>
        <v>0</v>
      </c>
      <c r="ED173" s="79">
        <v>1</v>
      </c>
      <c r="EE173" s="79">
        <v>1</v>
      </c>
      <c r="EF173" s="79">
        <f t="shared" si="366"/>
        <v>0</v>
      </c>
      <c r="EG173" s="79">
        <v>1</v>
      </c>
      <c r="EH173" s="79">
        <v>1</v>
      </c>
      <c r="EI173" s="79">
        <v>1</v>
      </c>
      <c r="EJ173" s="79">
        <v>1</v>
      </c>
      <c r="EK173" s="79">
        <v>1</v>
      </c>
      <c r="EL173" s="79">
        <v>1</v>
      </c>
      <c r="EM173" s="143">
        <f t="shared" si="367"/>
        <v>0</v>
      </c>
      <c r="EN173" s="143">
        <f t="shared" si="368"/>
        <v>0</v>
      </c>
      <c r="EO173" s="82">
        <f t="shared" si="369"/>
        <v>0</v>
      </c>
    </row>
    <row r="174" spans="1:145" x14ac:dyDescent="0.25">
      <c r="A174">
        <v>160</v>
      </c>
      <c r="B174" s="172" t="e">
        <f t="shared" si="338"/>
        <v>#N/A</v>
      </c>
      <c r="C174" s="121" t="e">
        <f t="shared" ref="C174:E174" si="430">AJ174-SUM(AB174:AB178)</f>
        <v>#N/A</v>
      </c>
      <c r="D174" s="122" t="e">
        <f t="shared" si="430"/>
        <v>#N/A</v>
      </c>
      <c r="E174" s="122" t="e">
        <f t="shared" si="430"/>
        <v>#N/A</v>
      </c>
      <c r="F174" s="176" t="e">
        <f t="shared" si="320"/>
        <v>#N/A</v>
      </c>
      <c r="G174" s="121">
        <f t="shared" si="340"/>
        <v>208</v>
      </c>
      <c r="H174" s="176" t="e">
        <f t="shared" si="341"/>
        <v>#N/A</v>
      </c>
      <c r="I174" s="48">
        <v>1</v>
      </c>
      <c r="J174" s="39"/>
      <c r="K174" s="350">
        <v>1</v>
      </c>
      <c r="L174" s="34" t="e">
        <f t="shared" si="321"/>
        <v>#N/A</v>
      </c>
      <c r="M174" s="38" t="e">
        <f>(HLOOKUP(J174,'Construction Times'!$B$3:$W$34,L174+2,FALSE)*HLOOKUP("hq modifier",'Construction Times'!$W$3:$W$34,BS174+2,FALSE))*(1-$H$9)</f>
        <v>#N/A</v>
      </c>
      <c r="N174" s="426" t="e">
        <f t="shared" si="342"/>
        <v>#N/A</v>
      </c>
      <c r="O174" s="427"/>
      <c r="P174" s="430" t="e">
        <f t="shared" si="343"/>
        <v>#N/A</v>
      </c>
      <c r="Q174" s="431"/>
      <c r="R174" s="103">
        <f t="shared" si="371"/>
        <v>0</v>
      </c>
      <c r="S174" s="104">
        <f t="shared" si="371"/>
        <v>0</v>
      </c>
      <c r="T174" s="104">
        <f t="shared" si="372"/>
        <v>0</v>
      </c>
      <c r="U174" s="104">
        <f t="shared" si="372"/>
        <v>0</v>
      </c>
      <c r="V174" s="104">
        <f t="shared" si="372"/>
        <v>9.9999999999999995E-8</v>
      </c>
      <c r="W174" s="104">
        <f t="shared" si="372"/>
        <v>0</v>
      </c>
      <c r="X174" s="104">
        <f t="shared" si="429"/>
        <v>0</v>
      </c>
      <c r="Y174" s="104">
        <f t="shared" si="429"/>
        <v>9.9999999999999995E-8</v>
      </c>
      <c r="Z174" s="104">
        <f t="shared" si="429"/>
        <v>9.9999999999999995E-8</v>
      </c>
      <c r="AA174" s="105">
        <f t="shared" si="429"/>
        <v>9.9999999999999995E-8</v>
      </c>
      <c r="AB174" s="101" t="e">
        <f>$DT174*HLOOKUP($J174,'Construction Costs (timber)'!$B$1:$V$32,'Construction Planner'!$L174+2,FALSE)</f>
        <v>#N/A</v>
      </c>
      <c r="AC174" s="14" t="e">
        <f>$DT174*HLOOKUP($J174,'Construction Costs (clay)'!$B$1:$V$32,'Construction Planner'!$L174+2,FALSE)</f>
        <v>#N/A</v>
      </c>
      <c r="AD174" s="14" t="e">
        <f>$DT174*HLOOKUP($J174,'Construction Costs (iron)'!$B$1:$V$32,'Construction Planner'!$L174+2,FALSE)</f>
        <v>#N/A</v>
      </c>
      <c r="AE174" s="34" t="e">
        <f t="shared" si="384"/>
        <v>#N/A</v>
      </c>
      <c r="AF174" s="33" t="e">
        <f t="shared" si="322"/>
        <v>#N/A</v>
      </c>
      <c r="AG174" s="14" t="e">
        <f t="shared" si="323"/>
        <v>#N/A</v>
      </c>
      <c r="AH174" s="14" t="e">
        <f t="shared" si="324"/>
        <v>#N/A</v>
      </c>
      <c r="AI174" s="34" t="e">
        <f t="shared" si="385"/>
        <v>#N/A</v>
      </c>
      <c r="AJ174" s="49" t="e">
        <f t="shared" si="345"/>
        <v>#N/A</v>
      </c>
      <c r="AK174" s="49" t="e">
        <f t="shared" si="346"/>
        <v>#N/A</v>
      </c>
      <c r="AL174" s="49" t="e">
        <f t="shared" si="347"/>
        <v>#N/A</v>
      </c>
      <c r="AM174" s="25">
        <f t="shared" si="325"/>
        <v>30</v>
      </c>
      <c r="AN174" s="25">
        <f t="shared" si="326"/>
        <v>30</v>
      </c>
      <c r="AO174" s="25">
        <f t="shared" si="327"/>
        <v>30</v>
      </c>
      <c r="AP174" s="52" t="e">
        <f t="shared" si="348"/>
        <v>#N/A</v>
      </c>
      <c r="AQ174" s="53" t="e">
        <f t="shared" si="348"/>
        <v>#N/A</v>
      </c>
      <c r="AR174" s="54" t="e">
        <f t="shared" si="348"/>
        <v>#N/A</v>
      </c>
      <c r="AS174" s="316">
        <f t="shared" si="418"/>
        <v>0</v>
      </c>
      <c r="AT174" s="106">
        <f>_xlfn.IFNA($M174/VLOOKUP($BT174,'Unit information'!$A$2:$K$29,2,FALSE)*R174,0)*(1+$E$9)</f>
        <v>0</v>
      </c>
      <c r="AU174" s="107">
        <f>_xlfn.IFNA($M174/VLOOKUP($BT174,'Unit information'!$A$2:$K$29,3,FALSE)*S174,0)*(1+$E$9)</f>
        <v>0</v>
      </c>
      <c r="AV174" s="107">
        <f>_xlfn.IFNA($M174/VLOOKUP($BT174,'Unit information'!$A$2:$K$29,4,FALSE)*T174,0)*(1+$E$9)</f>
        <v>0</v>
      </c>
      <c r="AW174" s="107">
        <f>_xlfn.IFNA($M174/VLOOKUP($BT174,'Unit information'!$A$2:$K$29,5,FALSE)*U174,0)*(1+$E$9)</f>
        <v>0</v>
      </c>
      <c r="AX174" s="107">
        <f>_xlfn.IFNA($M174/VLOOKUP($BU174,'Unit information'!$A$2:$K$29,6,FALSE)*V174,0)*(1+$E$9)</f>
        <v>0</v>
      </c>
      <c r="AY174" s="107">
        <f>_xlfn.IFNA($M174/VLOOKUP($BU174,'Unit information'!$A$2:$K$29,7,FALSE)*W174,0)*(1+$E$9)</f>
        <v>0</v>
      </c>
      <c r="AZ174" s="107">
        <f>_xlfn.IFNA($M174/VLOOKUP($BU174,'Unit information'!$A$2:$K$29,8,FALSE)*X174,0)*(1+$E$9)</f>
        <v>0</v>
      </c>
      <c r="BA174" s="107">
        <f>_xlfn.IFNA($M174/VLOOKUP($BU174,'Unit information'!$A$2:$K$29,9,FALSE)*Y174,0)*(1+$E$9)</f>
        <v>0</v>
      </c>
      <c r="BB174" s="107">
        <f>_xlfn.IFNA($M174/VLOOKUP($BV174,'Unit information'!$A$2:$K$29,10,FALSE)*Z174,0)*(1+$E$9)</f>
        <v>0</v>
      </c>
      <c r="BC174" s="108">
        <f>_xlfn.IFNA($M174/VLOOKUP($BV174,'Unit information'!$A$2:$K$29,11,FALSE)*AA174,0)*(1+$E$9)</f>
        <v>0</v>
      </c>
      <c r="BD174" s="106">
        <f t="shared" si="328"/>
        <v>0</v>
      </c>
      <c r="BE174" s="107">
        <f t="shared" si="329"/>
        <v>0</v>
      </c>
      <c r="BF174" s="108">
        <f t="shared" si="330"/>
        <v>0</v>
      </c>
      <c r="BG174" s="25" t="e">
        <f t="shared" si="331"/>
        <v>#N/A</v>
      </c>
      <c r="BH174" s="25" t="e">
        <f t="shared" si="332"/>
        <v>#N/A</v>
      </c>
      <c r="BI174" s="25" t="e">
        <f t="shared" si="333"/>
        <v>#N/A</v>
      </c>
      <c r="BJ174" s="27" t="e">
        <f t="shared" si="334"/>
        <v>#N/A</v>
      </c>
      <c r="BK174" s="18" t="e">
        <f t="shared" si="335"/>
        <v>#N/A</v>
      </c>
      <c r="BL174" s="18" t="e">
        <f t="shared" si="336"/>
        <v>#N/A</v>
      </c>
      <c r="BM174" s="28" t="e">
        <f t="shared" si="387"/>
        <v>#N/A</v>
      </c>
      <c r="BN174" s="33">
        <f>HLOOKUP("maximum population",Miscelaneous!$C$1:$C$33,CH174+3,FALSE)</f>
        <v>240</v>
      </c>
      <c r="BO174" s="14">
        <f t="shared" si="349"/>
        <v>32</v>
      </c>
      <c r="BP174" s="14">
        <f t="shared" si="350"/>
        <v>0</v>
      </c>
      <c r="BQ174" s="14">
        <f t="shared" si="351"/>
        <v>208</v>
      </c>
      <c r="BR174" s="34" t="e">
        <f>HLOOKUP(J174,Villagers!$B$1:$V$33,L174+3,FALSE)-HLOOKUP(J174,Villagers!$B$1:$V$33,L174+2,FALSE)</f>
        <v>#N/A</v>
      </c>
      <c r="BS174" s="49">
        <f t="shared" si="352"/>
        <v>1</v>
      </c>
      <c r="BT174" s="50">
        <f t="shared" si="353"/>
        <v>0</v>
      </c>
      <c r="BU174" s="50">
        <f t="shared" si="354"/>
        <v>0</v>
      </c>
      <c r="BV174" s="50">
        <f t="shared" si="355"/>
        <v>0</v>
      </c>
      <c r="BW174" s="50">
        <f t="shared" si="391"/>
        <v>0</v>
      </c>
      <c r="BX174" s="50">
        <f t="shared" si="392"/>
        <v>0</v>
      </c>
      <c r="BY174" s="50">
        <f t="shared" si="392"/>
        <v>0</v>
      </c>
      <c r="BZ174" s="50">
        <f t="shared" si="401"/>
        <v>0</v>
      </c>
      <c r="CA174" s="50">
        <f t="shared" si="402"/>
        <v>0</v>
      </c>
      <c r="CB174" s="50">
        <f t="shared" si="403"/>
        <v>1</v>
      </c>
      <c r="CC174" s="50">
        <f t="shared" si="404"/>
        <v>0</v>
      </c>
      <c r="CD174" s="50">
        <f t="shared" si="405"/>
        <v>0</v>
      </c>
      <c r="CE174" s="50">
        <f t="shared" si="406"/>
        <v>1</v>
      </c>
      <c r="CF174" s="50">
        <f t="shared" si="407"/>
        <v>1</v>
      </c>
      <c r="CG174" s="50">
        <f t="shared" si="408"/>
        <v>1</v>
      </c>
      <c r="CH174" s="50">
        <f t="shared" si="409"/>
        <v>1</v>
      </c>
      <c r="CI174" s="50">
        <f t="shared" si="410"/>
        <v>1</v>
      </c>
      <c r="CJ174" s="50">
        <f t="shared" si="411"/>
        <v>1</v>
      </c>
      <c r="CK174" s="50">
        <f t="shared" si="411"/>
        <v>0</v>
      </c>
      <c r="CL174" s="50">
        <f t="shared" si="411"/>
        <v>0</v>
      </c>
      <c r="CM174" s="51">
        <f t="shared" si="412"/>
        <v>0</v>
      </c>
      <c r="CN174" s="33">
        <f>ROUND(IF(BS174=0,0,HLOOKUP(BS$14,Villagers!$B$1:$V$33,BS174+3,FALSE)),)</f>
        <v>5</v>
      </c>
      <c r="CO174" s="14">
        <f>ROUND(IF(BT174=0,0,HLOOKUP(BT$14,Villagers!$B$1:$V$33,BT174+3,FALSE)),)</f>
        <v>0</v>
      </c>
      <c r="CP174" s="14">
        <f>ROUND(IF(BU174=0,0,HLOOKUP(BU$14,Villagers!$B$1:$V$33,BU174+3,FALSE)),)</f>
        <v>0</v>
      </c>
      <c r="CQ174" s="14">
        <f>ROUND(IF(BV174=0,0,HLOOKUP(BV$14,Villagers!$B$1:$V$33,BV174+3,FALSE)),)</f>
        <v>0</v>
      </c>
      <c r="CR174" s="14">
        <f>ROUND(IF(BW174=0,0,HLOOKUP(BW$14,Villagers!$B$1:$V$33,BW174+3,FALSE)),)</f>
        <v>0</v>
      </c>
      <c r="CS174" s="14">
        <f>ROUND(IF(BX174=0,0,HLOOKUP(BX$14,Villagers!$B$1:$V$33,BX174+3,FALSE)),)</f>
        <v>0</v>
      </c>
      <c r="CT174" s="14">
        <f>ROUND(IF(BY174=0,0,HLOOKUP(BY$14,Villagers!$B$1:$V$33,BY174+3,FALSE)),)</f>
        <v>0</v>
      </c>
      <c r="CU174" s="14">
        <f>ROUND(IF(BZ174=0,0,HLOOKUP(BZ$14,Villagers!$B$1:$V$33,BZ174+3,FALSE)),)</f>
        <v>0</v>
      </c>
      <c r="CV174" s="14">
        <f>ROUND(IF(CA174=0,0,HLOOKUP(CA$14,Villagers!$B$1:$V$33,CA174+3,FALSE)),)</f>
        <v>0</v>
      </c>
      <c r="CW174" s="14">
        <f>ROUND(IF(CB174=0,0,HLOOKUP(CB$14,Villagers!$B$1:$V$33,CB174+3,FALSE)),)</f>
        <v>0</v>
      </c>
      <c r="CX174" s="14">
        <f>ROUND(IF(CC174=0,0,HLOOKUP(CC$14,Villagers!$B$1:$V$33,CC174+3,FALSE)),)</f>
        <v>0</v>
      </c>
      <c r="CY174" s="14">
        <f>ROUND(IF(CD174=0,0,HLOOKUP(CD$14,Villagers!$B$1:$V$33,CD174+3,FALSE)),)</f>
        <v>0</v>
      </c>
      <c r="CZ174" s="14">
        <f>ROUND(IF(CE174=0,0,HLOOKUP(CE$14,Villagers!$B$1:$V$33,CE174+3,FALSE)),)</f>
        <v>5</v>
      </c>
      <c r="DA174" s="14">
        <f>ROUND(IF(CF174=0,0,HLOOKUP(CF$14,Villagers!$B$1:$V$33,CF174+3,FALSE)),)</f>
        <v>10</v>
      </c>
      <c r="DB174" s="14">
        <f>ROUND(IF(CG174=0,0,HLOOKUP(CG$14,Villagers!$B$1:$V$33,CG174+3,FALSE)),)</f>
        <v>10</v>
      </c>
      <c r="DC174" s="14">
        <f>ROUND(IF(CH174=0,0,HLOOKUP(CH$14,Villagers!$B$1:$V$33,CH174+3,FALSE)),)</f>
        <v>0</v>
      </c>
      <c r="DD174" s="14">
        <f>ROUND(IF(CI174=0,0,HLOOKUP(CI$14,Villagers!$B$1:$V$33,CI174+3,FALSE)),)</f>
        <v>0</v>
      </c>
      <c r="DE174" s="14">
        <f>ROUND(IF(CJ174=0,0,HLOOKUP(CJ$14,Villagers!$B$1:$V$33,CJ174+3,FALSE)),)</f>
        <v>2</v>
      </c>
      <c r="DF174" s="370">
        <f>ROUND(IF(CK174=0,0,HLOOKUP(CK$14,Villagers!$B$1:$V$33,CK174+3,FALSE)),)</f>
        <v>0</v>
      </c>
      <c r="DG174" s="370">
        <f>ROUND(IF(CL174=0,0,HLOOKUP(CL$14,Villagers!$B$1:$V$33,CL174+3,FALSE)),)</f>
        <v>0</v>
      </c>
      <c r="DH174" s="34">
        <f>ROUND(IF(CM174=0,0,HLOOKUP(CM$14,Villagers!$B$1:$V$33,CM174+3,FALSE)),)</f>
        <v>0</v>
      </c>
      <c r="DI174" s="109">
        <f t="shared" si="373"/>
        <v>0</v>
      </c>
      <c r="DJ174" s="50">
        <f t="shared" si="374"/>
        <v>0</v>
      </c>
      <c r="DK174" s="50">
        <f t="shared" si="375"/>
        <v>0</v>
      </c>
      <c r="DL174" s="50">
        <f t="shared" si="376"/>
        <v>0</v>
      </c>
      <c r="DM174" s="50">
        <f t="shared" si="377"/>
        <v>0</v>
      </c>
      <c r="DN174" s="50">
        <f t="shared" si="378"/>
        <v>0</v>
      </c>
      <c r="DO174" s="50">
        <f t="shared" si="379"/>
        <v>0</v>
      </c>
      <c r="DP174" s="50">
        <f t="shared" si="380"/>
        <v>0</v>
      </c>
      <c r="DQ174" s="50">
        <f t="shared" si="357"/>
        <v>0</v>
      </c>
      <c r="DR174" s="50">
        <f t="shared" si="358"/>
        <v>0</v>
      </c>
      <c r="DS174" s="96">
        <f>Miscelaneous!$D$4*Miscelaneous!$D$2^($CI174-1)</f>
        <v>1000</v>
      </c>
      <c r="DT174" s="333">
        <f t="shared" si="337"/>
        <v>1</v>
      </c>
      <c r="DU174" s="81">
        <v>1</v>
      </c>
      <c r="DV174" s="79">
        <f t="shared" si="359"/>
        <v>0</v>
      </c>
      <c r="DW174" s="79">
        <f t="shared" si="360"/>
        <v>0</v>
      </c>
      <c r="DX174" s="79">
        <f t="shared" si="361"/>
        <v>0</v>
      </c>
      <c r="DY174" s="79">
        <v>1</v>
      </c>
      <c r="DZ174" s="79">
        <f t="shared" si="362"/>
        <v>0</v>
      </c>
      <c r="EA174" s="79">
        <f t="shared" si="363"/>
        <v>0</v>
      </c>
      <c r="EB174" s="79">
        <f t="shared" si="364"/>
        <v>0</v>
      </c>
      <c r="EC174" s="79">
        <f t="shared" si="365"/>
        <v>0</v>
      </c>
      <c r="ED174" s="79">
        <v>1</v>
      </c>
      <c r="EE174" s="79">
        <v>1</v>
      </c>
      <c r="EF174" s="79">
        <f t="shared" si="366"/>
        <v>0</v>
      </c>
      <c r="EG174" s="79">
        <v>1</v>
      </c>
      <c r="EH174" s="79">
        <v>1</v>
      </c>
      <c r="EI174" s="79">
        <v>1</v>
      </c>
      <c r="EJ174" s="79">
        <v>1</v>
      </c>
      <c r="EK174" s="79">
        <v>1</v>
      </c>
      <c r="EL174" s="79">
        <v>1</v>
      </c>
      <c r="EM174" s="143">
        <f t="shared" si="367"/>
        <v>0</v>
      </c>
      <c r="EN174" s="143">
        <f t="shared" si="368"/>
        <v>0</v>
      </c>
      <c r="EO174" s="82">
        <f t="shared" si="369"/>
        <v>0</v>
      </c>
    </row>
    <row r="175" spans="1:145" x14ac:dyDescent="0.25">
      <c r="A175">
        <v>161</v>
      </c>
      <c r="B175" s="172" t="e">
        <f t="shared" si="338"/>
        <v>#N/A</v>
      </c>
      <c r="C175" s="121" t="e">
        <f t="shared" ref="C175:E175" si="431">AJ175-SUM(AB175:AB179)</f>
        <v>#N/A</v>
      </c>
      <c r="D175" s="122" t="e">
        <f t="shared" si="431"/>
        <v>#N/A</v>
      </c>
      <c r="E175" s="122" t="e">
        <f t="shared" si="431"/>
        <v>#N/A</v>
      </c>
      <c r="F175" s="176" t="e">
        <f t="shared" si="320"/>
        <v>#N/A</v>
      </c>
      <c r="G175" s="121">
        <f t="shared" si="340"/>
        <v>208</v>
      </c>
      <c r="H175" s="176" t="e">
        <f t="shared" si="341"/>
        <v>#N/A</v>
      </c>
      <c r="I175" s="48">
        <v>1</v>
      </c>
      <c r="J175" s="39"/>
      <c r="K175" s="350">
        <v>1</v>
      </c>
      <c r="L175" s="34" t="e">
        <f t="shared" si="321"/>
        <v>#N/A</v>
      </c>
      <c r="M175" s="38" t="e">
        <f>(HLOOKUP(J175,'Construction Times'!$B$3:$W$34,L175+2,FALSE)*HLOOKUP("hq modifier",'Construction Times'!$W$3:$W$34,BS175+2,FALSE))*(1-$H$9)</f>
        <v>#N/A</v>
      </c>
      <c r="N175" s="426" t="e">
        <f t="shared" si="342"/>
        <v>#N/A</v>
      </c>
      <c r="O175" s="427"/>
      <c r="P175" s="430" t="e">
        <f t="shared" si="343"/>
        <v>#N/A</v>
      </c>
      <c r="Q175" s="431"/>
      <c r="R175" s="103">
        <f t="shared" si="371"/>
        <v>0</v>
      </c>
      <c r="S175" s="104">
        <f t="shared" si="371"/>
        <v>0</v>
      </c>
      <c r="T175" s="104">
        <f t="shared" si="372"/>
        <v>0</v>
      </c>
      <c r="U175" s="104">
        <f t="shared" si="372"/>
        <v>0</v>
      </c>
      <c r="V175" s="104">
        <f t="shared" si="372"/>
        <v>9.9999999999999995E-8</v>
      </c>
      <c r="W175" s="104">
        <f t="shared" si="372"/>
        <v>0</v>
      </c>
      <c r="X175" s="104">
        <f t="shared" si="429"/>
        <v>0</v>
      </c>
      <c r="Y175" s="104">
        <f t="shared" si="429"/>
        <v>9.9999999999999995E-8</v>
      </c>
      <c r="Z175" s="104">
        <f t="shared" si="429"/>
        <v>9.9999999999999995E-8</v>
      </c>
      <c r="AA175" s="105">
        <f t="shared" si="429"/>
        <v>9.9999999999999995E-8</v>
      </c>
      <c r="AB175" s="101" t="e">
        <f>$DT175*HLOOKUP($J175,'Construction Costs (timber)'!$B$1:$V$32,'Construction Planner'!$L175+2,FALSE)</f>
        <v>#N/A</v>
      </c>
      <c r="AC175" s="14" t="e">
        <f>$DT175*HLOOKUP($J175,'Construction Costs (clay)'!$B$1:$V$32,'Construction Planner'!$L175+2,FALSE)</f>
        <v>#N/A</v>
      </c>
      <c r="AD175" s="14" t="e">
        <f>$DT175*HLOOKUP($J175,'Construction Costs (iron)'!$B$1:$V$32,'Construction Planner'!$L175+2,FALSE)</f>
        <v>#N/A</v>
      </c>
      <c r="AE175" s="34" t="e">
        <f t="shared" si="384"/>
        <v>#N/A</v>
      </c>
      <c r="AF175" s="33" t="e">
        <f t="shared" si="322"/>
        <v>#N/A</v>
      </c>
      <c r="AG175" s="14" t="e">
        <f t="shared" si="323"/>
        <v>#N/A</v>
      </c>
      <c r="AH175" s="14" t="e">
        <f t="shared" si="324"/>
        <v>#N/A</v>
      </c>
      <c r="AI175" s="34" t="e">
        <f t="shared" si="385"/>
        <v>#N/A</v>
      </c>
      <c r="AJ175" s="49" t="e">
        <f t="shared" si="345"/>
        <v>#N/A</v>
      </c>
      <c r="AK175" s="49" t="e">
        <f t="shared" si="346"/>
        <v>#N/A</v>
      </c>
      <c r="AL175" s="49" t="e">
        <f t="shared" si="347"/>
        <v>#N/A</v>
      </c>
      <c r="AM175" s="25">
        <f t="shared" si="325"/>
        <v>30</v>
      </c>
      <c r="AN175" s="25">
        <f t="shared" si="326"/>
        <v>30</v>
      </c>
      <c r="AO175" s="25">
        <f t="shared" si="327"/>
        <v>30</v>
      </c>
      <c r="AP175" s="52" t="e">
        <f t="shared" si="348"/>
        <v>#N/A</v>
      </c>
      <c r="AQ175" s="53" t="e">
        <f t="shared" si="348"/>
        <v>#N/A</v>
      </c>
      <c r="AR175" s="54" t="e">
        <f t="shared" si="348"/>
        <v>#N/A</v>
      </c>
      <c r="AS175" s="316">
        <f t="shared" si="418"/>
        <v>0</v>
      </c>
      <c r="AT175" s="106">
        <f>_xlfn.IFNA($M175/VLOOKUP($BT175,'Unit information'!$A$2:$K$29,2,FALSE)*R175,0)*(1+$E$9)</f>
        <v>0</v>
      </c>
      <c r="AU175" s="107">
        <f>_xlfn.IFNA($M175/VLOOKUP($BT175,'Unit information'!$A$2:$K$29,3,FALSE)*S175,0)*(1+$E$9)</f>
        <v>0</v>
      </c>
      <c r="AV175" s="107">
        <f>_xlfn.IFNA($M175/VLOOKUP($BT175,'Unit information'!$A$2:$K$29,4,FALSE)*T175,0)*(1+$E$9)</f>
        <v>0</v>
      </c>
      <c r="AW175" s="107">
        <f>_xlfn.IFNA($M175/VLOOKUP($BT175,'Unit information'!$A$2:$K$29,5,FALSE)*U175,0)*(1+$E$9)</f>
        <v>0</v>
      </c>
      <c r="AX175" s="107">
        <f>_xlfn.IFNA($M175/VLOOKUP($BU175,'Unit information'!$A$2:$K$29,6,FALSE)*V175,0)*(1+$E$9)</f>
        <v>0</v>
      </c>
      <c r="AY175" s="107">
        <f>_xlfn.IFNA($M175/VLOOKUP($BU175,'Unit information'!$A$2:$K$29,7,FALSE)*W175,0)*(1+$E$9)</f>
        <v>0</v>
      </c>
      <c r="AZ175" s="107">
        <f>_xlfn.IFNA($M175/VLOOKUP($BU175,'Unit information'!$A$2:$K$29,8,FALSE)*X175,0)*(1+$E$9)</f>
        <v>0</v>
      </c>
      <c r="BA175" s="107">
        <f>_xlfn.IFNA($M175/VLOOKUP($BU175,'Unit information'!$A$2:$K$29,9,FALSE)*Y175,0)*(1+$E$9)</f>
        <v>0</v>
      </c>
      <c r="BB175" s="107">
        <f>_xlfn.IFNA($M175/VLOOKUP($BV175,'Unit information'!$A$2:$K$29,10,FALSE)*Z175,0)*(1+$E$9)</f>
        <v>0</v>
      </c>
      <c r="BC175" s="108">
        <f>_xlfn.IFNA($M175/VLOOKUP($BV175,'Unit information'!$A$2:$K$29,11,FALSE)*AA175,0)*(1+$E$9)</f>
        <v>0</v>
      </c>
      <c r="BD175" s="106">
        <f t="shared" si="328"/>
        <v>0</v>
      </c>
      <c r="BE175" s="107">
        <f t="shared" si="329"/>
        <v>0</v>
      </c>
      <c r="BF175" s="108">
        <f t="shared" si="330"/>
        <v>0</v>
      </c>
      <c r="BG175" s="25" t="e">
        <f t="shared" si="331"/>
        <v>#N/A</v>
      </c>
      <c r="BH175" s="25" t="e">
        <f t="shared" si="332"/>
        <v>#N/A</v>
      </c>
      <c r="BI175" s="25" t="e">
        <f t="shared" si="333"/>
        <v>#N/A</v>
      </c>
      <c r="BJ175" s="27" t="e">
        <f t="shared" si="334"/>
        <v>#N/A</v>
      </c>
      <c r="BK175" s="18" t="e">
        <f t="shared" si="335"/>
        <v>#N/A</v>
      </c>
      <c r="BL175" s="18" t="e">
        <f t="shared" si="336"/>
        <v>#N/A</v>
      </c>
      <c r="BM175" s="28" t="e">
        <f t="shared" si="387"/>
        <v>#N/A</v>
      </c>
      <c r="BN175" s="33">
        <f>HLOOKUP("maximum population",Miscelaneous!$C$1:$C$33,CH175+3,FALSE)</f>
        <v>240</v>
      </c>
      <c r="BO175" s="14">
        <f t="shared" si="349"/>
        <v>32</v>
      </c>
      <c r="BP175" s="14">
        <f t="shared" si="350"/>
        <v>0</v>
      </c>
      <c r="BQ175" s="14">
        <f t="shared" si="351"/>
        <v>208</v>
      </c>
      <c r="BR175" s="34" t="e">
        <f>HLOOKUP(J175,Villagers!$B$1:$V$33,L175+3,FALSE)-HLOOKUP(J175,Villagers!$B$1:$V$33,L175+2,FALSE)</f>
        <v>#N/A</v>
      </c>
      <c r="BS175" s="49">
        <f t="shared" si="352"/>
        <v>1</v>
      </c>
      <c r="BT175" s="50">
        <f t="shared" si="353"/>
        <v>0</v>
      </c>
      <c r="BU175" s="50">
        <f t="shared" si="354"/>
        <v>0</v>
      </c>
      <c r="BV175" s="50">
        <f t="shared" si="355"/>
        <v>0</v>
      </c>
      <c r="BW175" s="50">
        <f t="shared" si="391"/>
        <v>0</v>
      </c>
      <c r="BX175" s="50">
        <f t="shared" si="392"/>
        <v>0</v>
      </c>
      <c r="BY175" s="50">
        <f t="shared" si="392"/>
        <v>0</v>
      </c>
      <c r="BZ175" s="50">
        <f t="shared" si="401"/>
        <v>0</v>
      </c>
      <c r="CA175" s="50">
        <f t="shared" si="402"/>
        <v>0</v>
      </c>
      <c r="CB175" s="50">
        <f t="shared" si="403"/>
        <v>1</v>
      </c>
      <c r="CC175" s="50">
        <f t="shared" si="404"/>
        <v>0</v>
      </c>
      <c r="CD175" s="50">
        <f t="shared" si="405"/>
        <v>0</v>
      </c>
      <c r="CE175" s="50">
        <f t="shared" si="406"/>
        <v>1</v>
      </c>
      <c r="CF175" s="50">
        <f t="shared" si="407"/>
        <v>1</v>
      </c>
      <c r="CG175" s="50">
        <f t="shared" si="408"/>
        <v>1</v>
      </c>
      <c r="CH175" s="50">
        <f t="shared" si="409"/>
        <v>1</v>
      </c>
      <c r="CI175" s="50">
        <f t="shared" si="410"/>
        <v>1</v>
      </c>
      <c r="CJ175" s="50">
        <f t="shared" si="411"/>
        <v>1</v>
      </c>
      <c r="CK175" s="50">
        <f t="shared" si="411"/>
        <v>0</v>
      </c>
      <c r="CL175" s="50">
        <f t="shared" si="411"/>
        <v>0</v>
      </c>
      <c r="CM175" s="51">
        <f t="shared" ref="CM175:CM238" si="432">IF($J174=CM$14,$L174,CM174)</f>
        <v>0</v>
      </c>
      <c r="CN175" s="33">
        <f>ROUND(IF(BS175=0,0,HLOOKUP(BS$14,Villagers!$B$1:$V$33,BS175+3,FALSE)),)</f>
        <v>5</v>
      </c>
      <c r="CO175" s="14">
        <f>ROUND(IF(BT175=0,0,HLOOKUP(BT$14,Villagers!$B$1:$V$33,BT175+3,FALSE)),)</f>
        <v>0</v>
      </c>
      <c r="CP175" s="14">
        <f>ROUND(IF(BU175=0,0,HLOOKUP(BU$14,Villagers!$B$1:$V$33,BU175+3,FALSE)),)</f>
        <v>0</v>
      </c>
      <c r="CQ175" s="14">
        <f>ROUND(IF(BV175=0,0,HLOOKUP(BV$14,Villagers!$B$1:$V$33,BV175+3,FALSE)),)</f>
        <v>0</v>
      </c>
      <c r="CR175" s="14">
        <f>ROUND(IF(BW175=0,0,HLOOKUP(BW$14,Villagers!$B$1:$V$33,BW175+3,FALSE)),)</f>
        <v>0</v>
      </c>
      <c r="CS175" s="14">
        <f>ROUND(IF(BX175=0,0,HLOOKUP(BX$14,Villagers!$B$1:$V$33,BX175+3,FALSE)),)</f>
        <v>0</v>
      </c>
      <c r="CT175" s="14">
        <f>ROUND(IF(BY175=0,0,HLOOKUP(BY$14,Villagers!$B$1:$V$33,BY175+3,FALSE)),)</f>
        <v>0</v>
      </c>
      <c r="CU175" s="14">
        <f>ROUND(IF(BZ175=0,0,HLOOKUP(BZ$14,Villagers!$B$1:$V$33,BZ175+3,FALSE)),)</f>
        <v>0</v>
      </c>
      <c r="CV175" s="14">
        <f>ROUND(IF(CA175=0,0,HLOOKUP(CA$14,Villagers!$B$1:$V$33,CA175+3,FALSE)),)</f>
        <v>0</v>
      </c>
      <c r="CW175" s="14">
        <f>ROUND(IF(CB175=0,0,HLOOKUP(CB$14,Villagers!$B$1:$V$33,CB175+3,FALSE)),)</f>
        <v>0</v>
      </c>
      <c r="CX175" s="14">
        <f>ROUND(IF(CC175=0,0,HLOOKUP(CC$14,Villagers!$B$1:$V$33,CC175+3,FALSE)),)</f>
        <v>0</v>
      </c>
      <c r="CY175" s="14">
        <f>ROUND(IF(CD175=0,0,HLOOKUP(CD$14,Villagers!$B$1:$V$33,CD175+3,FALSE)),)</f>
        <v>0</v>
      </c>
      <c r="CZ175" s="14">
        <f>ROUND(IF(CE175=0,0,HLOOKUP(CE$14,Villagers!$B$1:$V$33,CE175+3,FALSE)),)</f>
        <v>5</v>
      </c>
      <c r="DA175" s="14">
        <f>ROUND(IF(CF175=0,0,HLOOKUP(CF$14,Villagers!$B$1:$V$33,CF175+3,FALSE)),)</f>
        <v>10</v>
      </c>
      <c r="DB175" s="14">
        <f>ROUND(IF(CG175=0,0,HLOOKUP(CG$14,Villagers!$B$1:$V$33,CG175+3,FALSE)),)</f>
        <v>10</v>
      </c>
      <c r="DC175" s="14">
        <f>ROUND(IF(CH175=0,0,HLOOKUP(CH$14,Villagers!$B$1:$V$33,CH175+3,FALSE)),)</f>
        <v>0</v>
      </c>
      <c r="DD175" s="14">
        <f>ROUND(IF(CI175=0,0,HLOOKUP(CI$14,Villagers!$B$1:$V$33,CI175+3,FALSE)),)</f>
        <v>0</v>
      </c>
      <c r="DE175" s="14">
        <f>ROUND(IF(CJ175=0,0,HLOOKUP(CJ$14,Villagers!$B$1:$V$33,CJ175+3,FALSE)),)</f>
        <v>2</v>
      </c>
      <c r="DF175" s="370">
        <f>ROUND(IF(CK175=0,0,HLOOKUP(CK$14,Villagers!$B$1:$V$33,CK175+3,FALSE)),)</f>
        <v>0</v>
      </c>
      <c r="DG175" s="370">
        <f>ROUND(IF(CL175=0,0,HLOOKUP(CL$14,Villagers!$B$1:$V$33,CL175+3,FALSE)),)</f>
        <v>0</v>
      </c>
      <c r="DH175" s="34">
        <f>ROUND(IF(CM175=0,0,HLOOKUP(CM$14,Villagers!$B$1:$V$33,CM175+3,FALSE)),)</f>
        <v>0</v>
      </c>
      <c r="DI175" s="109">
        <f t="shared" si="373"/>
        <v>0</v>
      </c>
      <c r="DJ175" s="50">
        <f t="shared" si="374"/>
        <v>0</v>
      </c>
      <c r="DK175" s="50">
        <f t="shared" si="375"/>
        <v>0</v>
      </c>
      <c r="DL175" s="50">
        <f t="shared" si="376"/>
        <v>0</v>
      </c>
      <c r="DM175" s="50">
        <f t="shared" si="377"/>
        <v>0</v>
      </c>
      <c r="DN175" s="50">
        <f t="shared" si="378"/>
        <v>0</v>
      </c>
      <c r="DO175" s="50">
        <f t="shared" si="379"/>
        <v>0</v>
      </c>
      <c r="DP175" s="50">
        <f t="shared" si="380"/>
        <v>0</v>
      </c>
      <c r="DQ175" s="50">
        <f t="shared" si="357"/>
        <v>0</v>
      </c>
      <c r="DR175" s="50">
        <f t="shared" si="358"/>
        <v>0</v>
      </c>
      <c r="DS175" s="96">
        <f>Miscelaneous!$D$4*Miscelaneous!$D$2^($CI175-1)</f>
        <v>1000</v>
      </c>
      <c r="DT175" s="333">
        <f t="shared" si="337"/>
        <v>1</v>
      </c>
      <c r="DU175" s="81">
        <v>1</v>
      </c>
      <c r="DV175" s="79">
        <f t="shared" si="359"/>
        <v>0</v>
      </c>
      <c r="DW175" s="79">
        <f t="shared" si="360"/>
        <v>0</v>
      </c>
      <c r="DX175" s="79">
        <f t="shared" si="361"/>
        <v>0</v>
      </c>
      <c r="DY175" s="79">
        <v>1</v>
      </c>
      <c r="DZ175" s="79">
        <f t="shared" si="362"/>
        <v>0</v>
      </c>
      <c r="EA175" s="79">
        <f t="shared" si="363"/>
        <v>0</v>
      </c>
      <c r="EB175" s="79">
        <f t="shared" si="364"/>
        <v>0</v>
      </c>
      <c r="EC175" s="79">
        <f t="shared" si="365"/>
        <v>0</v>
      </c>
      <c r="ED175" s="79">
        <v>1</v>
      </c>
      <c r="EE175" s="79">
        <v>1</v>
      </c>
      <c r="EF175" s="79">
        <f t="shared" si="366"/>
        <v>0</v>
      </c>
      <c r="EG175" s="79">
        <v>1</v>
      </c>
      <c r="EH175" s="79">
        <v>1</v>
      </c>
      <c r="EI175" s="79">
        <v>1</v>
      </c>
      <c r="EJ175" s="79">
        <v>1</v>
      </c>
      <c r="EK175" s="79">
        <v>1</v>
      </c>
      <c r="EL175" s="79">
        <v>1</v>
      </c>
      <c r="EM175" s="143">
        <f t="shared" si="367"/>
        <v>0</v>
      </c>
      <c r="EN175" s="143">
        <f t="shared" si="368"/>
        <v>0</v>
      </c>
      <c r="EO175" s="82">
        <f t="shared" si="369"/>
        <v>0</v>
      </c>
    </row>
    <row r="176" spans="1:145" x14ac:dyDescent="0.25">
      <c r="A176">
        <v>162</v>
      </c>
      <c r="B176" s="172" t="e">
        <f t="shared" si="338"/>
        <v>#N/A</v>
      </c>
      <c r="C176" s="121" t="e">
        <f t="shared" ref="C176:E176" si="433">AJ176-SUM(AB176:AB180)</f>
        <v>#N/A</v>
      </c>
      <c r="D176" s="122" t="e">
        <f t="shared" si="433"/>
        <v>#N/A</v>
      </c>
      <c r="E176" s="122" t="e">
        <f t="shared" si="433"/>
        <v>#N/A</v>
      </c>
      <c r="F176" s="176" t="e">
        <f t="shared" si="320"/>
        <v>#N/A</v>
      </c>
      <c r="G176" s="121">
        <f t="shared" si="340"/>
        <v>208</v>
      </c>
      <c r="H176" s="176" t="e">
        <f t="shared" si="341"/>
        <v>#N/A</v>
      </c>
      <c r="I176" s="48">
        <v>1</v>
      </c>
      <c r="J176" s="39"/>
      <c r="K176" s="350">
        <v>1</v>
      </c>
      <c r="L176" s="34" t="e">
        <f t="shared" si="321"/>
        <v>#N/A</v>
      </c>
      <c r="M176" s="38" t="e">
        <f>(HLOOKUP(J176,'Construction Times'!$B$3:$W$34,L176+2,FALSE)*HLOOKUP("hq modifier",'Construction Times'!$W$3:$W$34,BS176+2,FALSE))*(1-$H$9)</f>
        <v>#N/A</v>
      </c>
      <c r="N176" s="426" t="e">
        <f t="shared" si="342"/>
        <v>#N/A</v>
      </c>
      <c r="O176" s="427"/>
      <c r="P176" s="430" t="e">
        <f t="shared" si="343"/>
        <v>#N/A</v>
      </c>
      <c r="Q176" s="431"/>
      <c r="R176" s="103">
        <f t="shared" si="371"/>
        <v>0</v>
      </c>
      <c r="S176" s="104">
        <f t="shared" si="371"/>
        <v>0</v>
      </c>
      <c r="T176" s="104">
        <f t="shared" si="372"/>
        <v>0</v>
      </c>
      <c r="U176" s="104">
        <f t="shared" si="372"/>
        <v>0</v>
      </c>
      <c r="V176" s="104">
        <f t="shared" si="372"/>
        <v>9.9999999999999995E-8</v>
      </c>
      <c r="W176" s="104">
        <f t="shared" si="372"/>
        <v>0</v>
      </c>
      <c r="X176" s="104">
        <f t="shared" si="429"/>
        <v>0</v>
      </c>
      <c r="Y176" s="104">
        <f t="shared" si="429"/>
        <v>9.9999999999999995E-8</v>
      </c>
      <c r="Z176" s="104">
        <f t="shared" si="429"/>
        <v>9.9999999999999995E-8</v>
      </c>
      <c r="AA176" s="105">
        <f t="shared" si="429"/>
        <v>9.9999999999999995E-8</v>
      </c>
      <c r="AB176" s="101" t="e">
        <f>$DT176*HLOOKUP($J176,'Construction Costs (timber)'!$B$1:$V$32,'Construction Planner'!$L176+2,FALSE)</f>
        <v>#N/A</v>
      </c>
      <c r="AC176" s="14" t="e">
        <f>$DT176*HLOOKUP($J176,'Construction Costs (clay)'!$B$1:$V$32,'Construction Planner'!$L176+2,FALSE)</f>
        <v>#N/A</v>
      </c>
      <c r="AD176" s="14" t="e">
        <f>$DT176*HLOOKUP($J176,'Construction Costs (iron)'!$B$1:$V$32,'Construction Planner'!$L176+2,FALSE)</f>
        <v>#N/A</v>
      </c>
      <c r="AE176" s="34" t="e">
        <f t="shared" si="384"/>
        <v>#N/A</v>
      </c>
      <c r="AF176" s="33" t="e">
        <f t="shared" si="322"/>
        <v>#N/A</v>
      </c>
      <c r="AG176" s="14" t="e">
        <f t="shared" si="323"/>
        <v>#N/A</v>
      </c>
      <c r="AH176" s="14" t="e">
        <f t="shared" si="324"/>
        <v>#N/A</v>
      </c>
      <c r="AI176" s="34" t="e">
        <f t="shared" si="385"/>
        <v>#N/A</v>
      </c>
      <c r="AJ176" s="49" t="e">
        <f t="shared" si="345"/>
        <v>#N/A</v>
      </c>
      <c r="AK176" s="49" t="e">
        <f t="shared" si="346"/>
        <v>#N/A</v>
      </c>
      <c r="AL176" s="49" t="e">
        <f t="shared" si="347"/>
        <v>#N/A</v>
      </c>
      <c r="AM176" s="25">
        <f t="shared" si="325"/>
        <v>30</v>
      </c>
      <c r="AN176" s="25">
        <f t="shared" si="326"/>
        <v>30</v>
      </c>
      <c r="AO176" s="25">
        <f t="shared" si="327"/>
        <v>30</v>
      </c>
      <c r="AP176" s="52" t="e">
        <f t="shared" si="348"/>
        <v>#N/A</v>
      </c>
      <c r="AQ176" s="53" t="e">
        <f t="shared" si="348"/>
        <v>#N/A</v>
      </c>
      <c r="AR176" s="54" t="e">
        <f t="shared" si="348"/>
        <v>#N/A</v>
      </c>
      <c r="AS176" s="316">
        <f t="shared" si="418"/>
        <v>0</v>
      </c>
      <c r="AT176" s="106">
        <f>_xlfn.IFNA($M176/VLOOKUP($BT176,'Unit information'!$A$2:$K$29,2,FALSE)*R176,0)*(1+$E$9)</f>
        <v>0</v>
      </c>
      <c r="AU176" s="107">
        <f>_xlfn.IFNA($M176/VLOOKUP($BT176,'Unit information'!$A$2:$K$29,3,FALSE)*S176,0)*(1+$E$9)</f>
        <v>0</v>
      </c>
      <c r="AV176" s="107">
        <f>_xlfn.IFNA($M176/VLOOKUP($BT176,'Unit information'!$A$2:$K$29,4,FALSE)*T176,0)*(1+$E$9)</f>
        <v>0</v>
      </c>
      <c r="AW176" s="107">
        <f>_xlfn.IFNA($M176/VLOOKUP($BT176,'Unit information'!$A$2:$K$29,5,FALSE)*U176,0)*(1+$E$9)</f>
        <v>0</v>
      </c>
      <c r="AX176" s="107">
        <f>_xlfn.IFNA($M176/VLOOKUP($BU176,'Unit information'!$A$2:$K$29,6,FALSE)*V176,0)*(1+$E$9)</f>
        <v>0</v>
      </c>
      <c r="AY176" s="107">
        <f>_xlfn.IFNA($M176/VLOOKUP($BU176,'Unit information'!$A$2:$K$29,7,FALSE)*W176,0)*(1+$E$9)</f>
        <v>0</v>
      </c>
      <c r="AZ176" s="107">
        <f>_xlfn.IFNA($M176/VLOOKUP($BU176,'Unit information'!$A$2:$K$29,8,FALSE)*X176,0)*(1+$E$9)</f>
        <v>0</v>
      </c>
      <c r="BA176" s="107">
        <f>_xlfn.IFNA($M176/VLOOKUP($BU176,'Unit information'!$A$2:$K$29,9,FALSE)*Y176,0)*(1+$E$9)</f>
        <v>0</v>
      </c>
      <c r="BB176" s="107">
        <f>_xlfn.IFNA($M176/VLOOKUP($BV176,'Unit information'!$A$2:$K$29,10,FALSE)*Z176,0)*(1+$E$9)</f>
        <v>0</v>
      </c>
      <c r="BC176" s="108">
        <f>_xlfn.IFNA($M176/VLOOKUP($BV176,'Unit information'!$A$2:$K$29,11,FALSE)*AA176,0)*(1+$E$9)</f>
        <v>0</v>
      </c>
      <c r="BD176" s="106">
        <f t="shared" si="328"/>
        <v>0</v>
      </c>
      <c r="BE176" s="107">
        <f t="shared" si="329"/>
        <v>0</v>
      </c>
      <c r="BF176" s="108">
        <f t="shared" si="330"/>
        <v>0</v>
      </c>
      <c r="BG176" s="25" t="e">
        <f t="shared" si="331"/>
        <v>#N/A</v>
      </c>
      <c r="BH176" s="25" t="e">
        <f t="shared" si="332"/>
        <v>#N/A</v>
      </c>
      <c r="BI176" s="25" t="e">
        <f t="shared" si="333"/>
        <v>#N/A</v>
      </c>
      <c r="BJ176" s="27" t="e">
        <f t="shared" si="334"/>
        <v>#N/A</v>
      </c>
      <c r="BK176" s="18" t="e">
        <f t="shared" si="335"/>
        <v>#N/A</v>
      </c>
      <c r="BL176" s="18" t="e">
        <f t="shared" si="336"/>
        <v>#N/A</v>
      </c>
      <c r="BM176" s="28" t="e">
        <f t="shared" si="387"/>
        <v>#N/A</v>
      </c>
      <c r="BN176" s="33">
        <f>HLOOKUP("maximum population",Miscelaneous!$C$1:$C$33,CH176+3,FALSE)</f>
        <v>240</v>
      </c>
      <c r="BO176" s="14">
        <f t="shared" si="349"/>
        <v>32</v>
      </c>
      <c r="BP176" s="14">
        <f t="shared" si="350"/>
        <v>0</v>
      </c>
      <c r="BQ176" s="14">
        <f t="shared" si="351"/>
        <v>208</v>
      </c>
      <c r="BR176" s="34" t="e">
        <f>HLOOKUP(J176,Villagers!$B$1:$V$33,L176+3,FALSE)-HLOOKUP(J176,Villagers!$B$1:$V$33,L176+2,FALSE)</f>
        <v>#N/A</v>
      </c>
      <c r="BS176" s="49">
        <f t="shared" si="352"/>
        <v>1</v>
      </c>
      <c r="BT176" s="50">
        <f t="shared" si="353"/>
        <v>0</v>
      </c>
      <c r="BU176" s="50">
        <f t="shared" si="354"/>
        <v>0</v>
      </c>
      <c r="BV176" s="50">
        <f t="shared" si="355"/>
        <v>0</v>
      </c>
      <c r="BW176" s="50">
        <f t="shared" ref="BW176:BY182" si="434">IF($J175=BW$14,$L175,BW175)</f>
        <v>0</v>
      </c>
      <c r="BX176" s="50">
        <f t="shared" si="434"/>
        <v>0</v>
      </c>
      <c r="BY176" s="50">
        <f t="shared" si="434"/>
        <v>0</v>
      </c>
      <c r="BZ176" s="50">
        <f t="shared" si="401"/>
        <v>0</v>
      </c>
      <c r="CA176" s="50">
        <f t="shared" si="402"/>
        <v>0</v>
      </c>
      <c r="CB176" s="50">
        <f t="shared" si="403"/>
        <v>1</v>
      </c>
      <c r="CC176" s="50">
        <f t="shared" si="404"/>
        <v>0</v>
      </c>
      <c r="CD176" s="50">
        <f t="shared" si="405"/>
        <v>0</v>
      </c>
      <c r="CE176" s="50">
        <f t="shared" si="406"/>
        <v>1</v>
      </c>
      <c r="CF176" s="50">
        <f t="shared" si="407"/>
        <v>1</v>
      </c>
      <c r="CG176" s="50">
        <f t="shared" si="408"/>
        <v>1</v>
      </c>
      <c r="CH176" s="50">
        <f t="shared" si="409"/>
        <v>1</v>
      </c>
      <c r="CI176" s="50">
        <f t="shared" si="410"/>
        <v>1</v>
      </c>
      <c r="CJ176" s="50">
        <f t="shared" si="411"/>
        <v>1</v>
      </c>
      <c r="CK176" s="50">
        <f t="shared" si="411"/>
        <v>0</v>
      </c>
      <c r="CL176" s="50">
        <f t="shared" si="411"/>
        <v>0</v>
      </c>
      <c r="CM176" s="51">
        <f t="shared" si="432"/>
        <v>0</v>
      </c>
      <c r="CN176" s="33">
        <f>ROUND(IF(BS176=0,0,HLOOKUP(BS$14,Villagers!$B$1:$V$33,BS176+3,FALSE)),)</f>
        <v>5</v>
      </c>
      <c r="CO176" s="14">
        <f>ROUND(IF(BT176=0,0,HLOOKUP(BT$14,Villagers!$B$1:$V$33,BT176+3,FALSE)),)</f>
        <v>0</v>
      </c>
      <c r="CP176" s="14">
        <f>ROUND(IF(BU176=0,0,HLOOKUP(BU$14,Villagers!$B$1:$V$33,BU176+3,FALSE)),)</f>
        <v>0</v>
      </c>
      <c r="CQ176" s="14">
        <f>ROUND(IF(BV176=0,0,HLOOKUP(BV$14,Villagers!$B$1:$V$33,BV176+3,FALSE)),)</f>
        <v>0</v>
      </c>
      <c r="CR176" s="14">
        <f>ROUND(IF(BW176=0,0,HLOOKUP(BW$14,Villagers!$B$1:$V$33,BW176+3,FALSE)),)</f>
        <v>0</v>
      </c>
      <c r="CS176" s="14">
        <f>ROUND(IF(BX176=0,0,HLOOKUP(BX$14,Villagers!$B$1:$V$33,BX176+3,FALSE)),)</f>
        <v>0</v>
      </c>
      <c r="CT176" s="14">
        <f>ROUND(IF(BY176=0,0,HLOOKUP(BY$14,Villagers!$B$1:$V$33,BY176+3,FALSE)),)</f>
        <v>0</v>
      </c>
      <c r="CU176" s="14">
        <f>ROUND(IF(BZ176=0,0,HLOOKUP(BZ$14,Villagers!$B$1:$V$33,BZ176+3,FALSE)),)</f>
        <v>0</v>
      </c>
      <c r="CV176" s="14">
        <f>ROUND(IF(CA176=0,0,HLOOKUP(CA$14,Villagers!$B$1:$V$33,CA176+3,FALSE)),)</f>
        <v>0</v>
      </c>
      <c r="CW176" s="14">
        <f>ROUND(IF(CB176=0,0,HLOOKUP(CB$14,Villagers!$B$1:$V$33,CB176+3,FALSE)),)</f>
        <v>0</v>
      </c>
      <c r="CX176" s="14">
        <f>ROUND(IF(CC176=0,0,HLOOKUP(CC$14,Villagers!$B$1:$V$33,CC176+3,FALSE)),)</f>
        <v>0</v>
      </c>
      <c r="CY176" s="14">
        <f>ROUND(IF(CD176=0,0,HLOOKUP(CD$14,Villagers!$B$1:$V$33,CD176+3,FALSE)),)</f>
        <v>0</v>
      </c>
      <c r="CZ176" s="14">
        <f>ROUND(IF(CE176=0,0,HLOOKUP(CE$14,Villagers!$B$1:$V$33,CE176+3,FALSE)),)</f>
        <v>5</v>
      </c>
      <c r="DA176" s="14">
        <f>ROUND(IF(CF176=0,0,HLOOKUP(CF$14,Villagers!$B$1:$V$33,CF176+3,FALSE)),)</f>
        <v>10</v>
      </c>
      <c r="DB176" s="14">
        <f>ROUND(IF(CG176=0,0,HLOOKUP(CG$14,Villagers!$B$1:$V$33,CG176+3,FALSE)),)</f>
        <v>10</v>
      </c>
      <c r="DC176" s="14">
        <f>ROUND(IF(CH176=0,0,HLOOKUP(CH$14,Villagers!$B$1:$V$33,CH176+3,FALSE)),)</f>
        <v>0</v>
      </c>
      <c r="DD176" s="14">
        <f>ROUND(IF(CI176=0,0,HLOOKUP(CI$14,Villagers!$B$1:$V$33,CI176+3,FALSE)),)</f>
        <v>0</v>
      </c>
      <c r="DE176" s="14">
        <f>ROUND(IF(CJ176=0,0,HLOOKUP(CJ$14,Villagers!$B$1:$V$33,CJ176+3,FALSE)),)</f>
        <v>2</v>
      </c>
      <c r="DF176" s="370">
        <f>ROUND(IF(CK176=0,0,HLOOKUP(CK$14,Villagers!$B$1:$V$33,CK176+3,FALSE)),)</f>
        <v>0</v>
      </c>
      <c r="DG176" s="370">
        <f>ROUND(IF(CL176=0,0,HLOOKUP(CL$14,Villagers!$B$1:$V$33,CL176+3,FALSE)),)</f>
        <v>0</v>
      </c>
      <c r="DH176" s="34">
        <f>ROUND(IF(CM176=0,0,HLOOKUP(CM$14,Villagers!$B$1:$V$33,CM176+3,FALSE)),)</f>
        <v>0</v>
      </c>
      <c r="DI176" s="109">
        <f t="shared" si="373"/>
        <v>0</v>
      </c>
      <c r="DJ176" s="50">
        <f t="shared" si="374"/>
        <v>0</v>
      </c>
      <c r="DK176" s="50">
        <f t="shared" si="375"/>
        <v>0</v>
      </c>
      <c r="DL176" s="50">
        <f t="shared" si="376"/>
        <v>0</v>
      </c>
      <c r="DM176" s="50">
        <f t="shared" si="377"/>
        <v>0</v>
      </c>
      <c r="DN176" s="50">
        <f t="shared" si="378"/>
        <v>0</v>
      </c>
      <c r="DO176" s="50">
        <f t="shared" si="379"/>
        <v>0</v>
      </c>
      <c r="DP176" s="50">
        <f t="shared" si="380"/>
        <v>0</v>
      </c>
      <c r="DQ176" s="50">
        <f t="shared" si="357"/>
        <v>0</v>
      </c>
      <c r="DR176" s="50">
        <f t="shared" si="358"/>
        <v>0</v>
      </c>
      <c r="DS176" s="96">
        <f>Miscelaneous!$D$4*Miscelaneous!$D$2^($CI176-1)</f>
        <v>1000</v>
      </c>
      <c r="DT176" s="333">
        <f t="shared" si="337"/>
        <v>1</v>
      </c>
      <c r="DU176" s="81">
        <v>1</v>
      </c>
      <c r="DV176" s="79">
        <f t="shared" si="359"/>
        <v>0</v>
      </c>
      <c r="DW176" s="79">
        <f t="shared" si="360"/>
        <v>0</v>
      </c>
      <c r="DX176" s="79">
        <f t="shared" si="361"/>
        <v>0</v>
      </c>
      <c r="DY176" s="79">
        <v>1</v>
      </c>
      <c r="DZ176" s="79">
        <f t="shared" si="362"/>
        <v>0</v>
      </c>
      <c r="EA176" s="79">
        <f t="shared" si="363"/>
        <v>0</v>
      </c>
      <c r="EB176" s="79">
        <f t="shared" si="364"/>
        <v>0</v>
      </c>
      <c r="EC176" s="79">
        <f t="shared" si="365"/>
        <v>0</v>
      </c>
      <c r="ED176" s="79">
        <v>1</v>
      </c>
      <c r="EE176" s="79">
        <v>1</v>
      </c>
      <c r="EF176" s="79">
        <f t="shared" si="366"/>
        <v>0</v>
      </c>
      <c r="EG176" s="79">
        <v>1</v>
      </c>
      <c r="EH176" s="79">
        <v>1</v>
      </c>
      <c r="EI176" s="79">
        <v>1</v>
      </c>
      <c r="EJ176" s="79">
        <v>1</v>
      </c>
      <c r="EK176" s="79">
        <v>1</v>
      </c>
      <c r="EL176" s="79">
        <v>1</v>
      </c>
      <c r="EM176" s="143">
        <f t="shared" si="367"/>
        <v>0</v>
      </c>
      <c r="EN176" s="143">
        <f t="shared" si="368"/>
        <v>0</v>
      </c>
      <c r="EO176" s="82">
        <f t="shared" si="369"/>
        <v>0</v>
      </c>
    </row>
    <row r="177" spans="1:145" x14ac:dyDescent="0.25">
      <c r="A177">
        <v>163</v>
      </c>
      <c r="B177" s="172" t="e">
        <f t="shared" si="338"/>
        <v>#N/A</v>
      </c>
      <c r="C177" s="121" t="e">
        <f t="shared" ref="C177:E177" si="435">AJ177-SUM(AB177:AB181)</f>
        <v>#N/A</v>
      </c>
      <c r="D177" s="122" t="e">
        <f t="shared" si="435"/>
        <v>#N/A</v>
      </c>
      <c r="E177" s="122" t="e">
        <f t="shared" si="435"/>
        <v>#N/A</v>
      </c>
      <c r="F177" s="176" t="e">
        <f t="shared" si="320"/>
        <v>#N/A</v>
      </c>
      <c r="G177" s="121">
        <f t="shared" si="340"/>
        <v>208</v>
      </c>
      <c r="H177" s="176" t="e">
        <f t="shared" si="341"/>
        <v>#N/A</v>
      </c>
      <c r="I177" s="48">
        <v>1</v>
      </c>
      <c r="J177" s="39"/>
      <c r="K177" s="350">
        <v>1</v>
      </c>
      <c r="L177" s="34" t="e">
        <f t="shared" si="321"/>
        <v>#N/A</v>
      </c>
      <c r="M177" s="38" t="e">
        <f>(HLOOKUP(J177,'Construction Times'!$B$3:$W$34,L177+2,FALSE)*HLOOKUP("hq modifier",'Construction Times'!$W$3:$W$34,BS177+2,FALSE))*(1-$H$9)</f>
        <v>#N/A</v>
      </c>
      <c r="N177" s="426" t="e">
        <f t="shared" si="342"/>
        <v>#N/A</v>
      </c>
      <c r="O177" s="427"/>
      <c r="P177" s="430" t="e">
        <f t="shared" si="343"/>
        <v>#N/A</v>
      </c>
      <c r="Q177" s="431"/>
      <c r="R177" s="103">
        <f t="shared" si="371"/>
        <v>0</v>
      </c>
      <c r="S177" s="104">
        <f t="shared" si="371"/>
        <v>0</v>
      </c>
      <c r="T177" s="104">
        <f t="shared" si="372"/>
        <v>0</v>
      </c>
      <c r="U177" s="104">
        <f t="shared" si="372"/>
        <v>0</v>
      </c>
      <c r="V177" s="104">
        <f t="shared" si="372"/>
        <v>9.9999999999999995E-8</v>
      </c>
      <c r="W177" s="104">
        <f t="shared" si="372"/>
        <v>0</v>
      </c>
      <c r="X177" s="104">
        <f t="shared" si="429"/>
        <v>0</v>
      </c>
      <c r="Y177" s="104">
        <f t="shared" si="429"/>
        <v>9.9999999999999995E-8</v>
      </c>
      <c r="Z177" s="104">
        <f t="shared" si="429"/>
        <v>9.9999999999999995E-8</v>
      </c>
      <c r="AA177" s="105">
        <f t="shared" si="429"/>
        <v>9.9999999999999995E-8</v>
      </c>
      <c r="AB177" s="101" t="e">
        <f>$DT177*HLOOKUP($J177,'Construction Costs (timber)'!$B$1:$V$32,'Construction Planner'!$L177+2,FALSE)</f>
        <v>#N/A</v>
      </c>
      <c r="AC177" s="14" t="e">
        <f>$DT177*HLOOKUP($J177,'Construction Costs (clay)'!$B$1:$V$32,'Construction Planner'!$L177+2,FALSE)</f>
        <v>#N/A</v>
      </c>
      <c r="AD177" s="14" t="e">
        <f>$DT177*HLOOKUP($J177,'Construction Costs (iron)'!$B$1:$V$32,'Construction Planner'!$L177+2,FALSE)</f>
        <v>#N/A</v>
      </c>
      <c r="AE177" s="34" t="e">
        <f t="shared" si="384"/>
        <v>#N/A</v>
      </c>
      <c r="AF177" s="33" t="e">
        <f t="shared" si="322"/>
        <v>#N/A</v>
      </c>
      <c r="AG177" s="14" t="e">
        <f t="shared" si="323"/>
        <v>#N/A</v>
      </c>
      <c r="AH177" s="14" t="e">
        <f t="shared" si="324"/>
        <v>#N/A</v>
      </c>
      <c r="AI177" s="34" t="e">
        <f t="shared" si="385"/>
        <v>#N/A</v>
      </c>
      <c r="AJ177" s="49" t="e">
        <f t="shared" si="345"/>
        <v>#N/A</v>
      </c>
      <c r="AK177" s="49" t="e">
        <f t="shared" si="346"/>
        <v>#N/A</v>
      </c>
      <c r="AL177" s="49" t="e">
        <f t="shared" si="347"/>
        <v>#N/A</v>
      </c>
      <c r="AM177" s="25">
        <f t="shared" si="325"/>
        <v>30</v>
      </c>
      <c r="AN177" s="25">
        <f t="shared" si="326"/>
        <v>30</v>
      </c>
      <c r="AO177" s="25">
        <f t="shared" si="327"/>
        <v>30</v>
      </c>
      <c r="AP177" s="52" t="e">
        <f t="shared" si="348"/>
        <v>#N/A</v>
      </c>
      <c r="AQ177" s="53" t="e">
        <f t="shared" si="348"/>
        <v>#N/A</v>
      </c>
      <c r="AR177" s="54" t="e">
        <f t="shared" si="348"/>
        <v>#N/A</v>
      </c>
      <c r="AS177" s="316">
        <f t="shared" si="418"/>
        <v>0</v>
      </c>
      <c r="AT177" s="106">
        <f>_xlfn.IFNA($M177/VLOOKUP($BT177,'Unit information'!$A$2:$K$29,2,FALSE)*R177,0)*(1+$E$9)</f>
        <v>0</v>
      </c>
      <c r="AU177" s="107">
        <f>_xlfn.IFNA($M177/VLOOKUP($BT177,'Unit information'!$A$2:$K$29,3,FALSE)*S177,0)*(1+$E$9)</f>
        <v>0</v>
      </c>
      <c r="AV177" s="107">
        <f>_xlfn.IFNA($M177/VLOOKUP($BT177,'Unit information'!$A$2:$K$29,4,FALSE)*T177,0)*(1+$E$9)</f>
        <v>0</v>
      </c>
      <c r="AW177" s="107">
        <f>_xlfn.IFNA($M177/VLOOKUP($BT177,'Unit information'!$A$2:$K$29,5,FALSE)*U177,0)*(1+$E$9)</f>
        <v>0</v>
      </c>
      <c r="AX177" s="107">
        <f>_xlfn.IFNA($M177/VLOOKUP($BU177,'Unit information'!$A$2:$K$29,6,FALSE)*V177,0)*(1+$E$9)</f>
        <v>0</v>
      </c>
      <c r="AY177" s="107">
        <f>_xlfn.IFNA($M177/VLOOKUP($BU177,'Unit information'!$A$2:$K$29,7,FALSE)*W177,0)*(1+$E$9)</f>
        <v>0</v>
      </c>
      <c r="AZ177" s="107">
        <f>_xlfn.IFNA($M177/VLOOKUP($BU177,'Unit information'!$A$2:$K$29,8,FALSE)*X177,0)*(1+$E$9)</f>
        <v>0</v>
      </c>
      <c r="BA177" s="107">
        <f>_xlfn.IFNA($M177/VLOOKUP($BU177,'Unit information'!$A$2:$K$29,9,FALSE)*Y177,0)*(1+$E$9)</f>
        <v>0</v>
      </c>
      <c r="BB177" s="107">
        <f>_xlfn.IFNA($M177/VLOOKUP($BV177,'Unit information'!$A$2:$K$29,10,FALSE)*Z177,0)*(1+$E$9)</f>
        <v>0</v>
      </c>
      <c r="BC177" s="108">
        <f>_xlfn.IFNA($M177/VLOOKUP($BV177,'Unit information'!$A$2:$K$29,11,FALSE)*AA177,0)*(1+$E$9)</f>
        <v>0</v>
      </c>
      <c r="BD177" s="106">
        <f t="shared" si="328"/>
        <v>0</v>
      </c>
      <c r="BE177" s="107">
        <f t="shared" si="329"/>
        <v>0</v>
      </c>
      <c r="BF177" s="108">
        <f t="shared" si="330"/>
        <v>0</v>
      </c>
      <c r="BG177" s="25" t="e">
        <f t="shared" si="331"/>
        <v>#N/A</v>
      </c>
      <c r="BH177" s="25" t="e">
        <f t="shared" si="332"/>
        <v>#N/A</v>
      </c>
      <c r="BI177" s="25" t="e">
        <f t="shared" si="333"/>
        <v>#N/A</v>
      </c>
      <c r="BJ177" s="27" t="e">
        <f t="shared" si="334"/>
        <v>#N/A</v>
      </c>
      <c r="BK177" s="18" t="e">
        <f t="shared" si="335"/>
        <v>#N/A</v>
      </c>
      <c r="BL177" s="18" t="e">
        <f t="shared" si="336"/>
        <v>#N/A</v>
      </c>
      <c r="BM177" s="28" t="e">
        <f t="shared" si="387"/>
        <v>#N/A</v>
      </c>
      <c r="BN177" s="33">
        <f>HLOOKUP("maximum population",Miscelaneous!$C$1:$C$33,CH177+3,FALSE)</f>
        <v>240</v>
      </c>
      <c r="BO177" s="14">
        <f t="shared" si="349"/>
        <v>32</v>
      </c>
      <c r="BP177" s="14">
        <f t="shared" si="350"/>
        <v>0</v>
      </c>
      <c r="BQ177" s="14">
        <f t="shared" si="351"/>
        <v>208</v>
      </c>
      <c r="BR177" s="34" t="e">
        <f>HLOOKUP(J177,Villagers!$B$1:$V$33,L177+3,FALSE)-HLOOKUP(J177,Villagers!$B$1:$V$33,L177+2,FALSE)</f>
        <v>#N/A</v>
      </c>
      <c r="BS177" s="49">
        <f t="shared" si="352"/>
        <v>1</v>
      </c>
      <c r="BT177" s="50">
        <f t="shared" si="353"/>
        <v>0</v>
      </c>
      <c r="BU177" s="50">
        <f t="shared" si="354"/>
        <v>0</v>
      </c>
      <c r="BV177" s="50">
        <f t="shared" si="355"/>
        <v>0</v>
      </c>
      <c r="BW177" s="50">
        <f t="shared" si="434"/>
        <v>0</v>
      </c>
      <c r="BX177" s="50">
        <f t="shared" si="434"/>
        <v>0</v>
      </c>
      <c r="BY177" s="50">
        <f t="shared" si="434"/>
        <v>0</v>
      </c>
      <c r="BZ177" s="50">
        <f t="shared" si="401"/>
        <v>0</v>
      </c>
      <c r="CA177" s="50">
        <f t="shared" si="402"/>
        <v>0</v>
      </c>
      <c r="CB177" s="50">
        <f t="shared" si="403"/>
        <v>1</v>
      </c>
      <c r="CC177" s="50">
        <f t="shared" si="404"/>
        <v>0</v>
      </c>
      <c r="CD177" s="50">
        <f t="shared" si="405"/>
        <v>0</v>
      </c>
      <c r="CE177" s="50">
        <f t="shared" si="406"/>
        <v>1</v>
      </c>
      <c r="CF177" s="50">
        <f t="shared" si="407"/>
        <v>1</v>
      </c>
      <c r="CG177" s="50">
        <f t="shared" si="408"/>
        <v>1</v>
      </c>
      <c r="CH177" s="50">
        <f t="shared" si="409"/>
        <v>1</v>
      </c>
      <c r="CI177" s="50">
        <f t="shared" si="410"/>
        <v>1</v>
      </c>
      <c r="CJ177" s="50">
        <f t="shared" si="411"/>
        <v>1</v>
      </c>
      <c r="CK177" s="50">
        <f t="shared" si="411"/>
        <v>0</v>
      </c>
      <c r="CL177" s="50">
        <f t="shared" si="411"/>
        <v>0</v>
      </c>
      <c r="CM177" s="51">
        <f t="shared" si="432"/>
        <v>0</v>
      </c>
      <c r="CN177" s="33">
        <f>ROUND(IF(BS177=0,0,HLOOKUP(BS$14,Villagers!$B$1:$V$33,BS177+3,FALSE)),)</f>
        <v>5</v>
      </c>
      <c r="CO177" s="14">
        <f>ROUND(IF(BT177=0,0,HLOOKUP(BT$14,Villagers!$B$1:$V$33,BT177+3,FALSE)),)</f>
        <v>0</v>
      </c>
      <c r="CP177" s="14">
        <f>ROUND(IF(BU177=0,0,HLOOKUP(BU$14,Villagers!$B$1:$V$33,BU177+3,FALSE)),)</f>
        <v>0</v>
      </c>
      <c r="CQ177" s="14">
        <f>ROUND(IF(BV177=0,0,HLOOKUP(BV$14,Villagers!$B$1:$V$33,BV177+3,FALSE)),)</f>
        <v>0</v>
      </c>
      <c r="CR177" s="14">
        <f>ROUND(IF(BW177=0,0,HLOOKUP(BW$14,Villagers!$B$1:$V$33,BW177+3,FALSE)),)</f>
        <v>0</v>
      </c>
      <c r="CS177" s="14">
        <f>ROUND(IF(BX177=0,0,HLOOKUP(BX$14,Villagers!$B$1:$V$33,BX177+3,FALSE)),)</f>
        <v>0</v>
      </c>
      <c r="CT177" s="14">
        <f>ROUND(IF(BY177=0,0,HLOOKUP(BY$14,Villagers!$B$1:$V$33,BY177+3,FALSE)),)</f>
        <v>0</v>
      </c>
      <c r="CU177" s="14">
        <f>ROUND(IF(BZ177=0,0,HLOOKUP(BZ$14,Villagers!$B$1:$V$33,BZ177+3,FALSE)),)</f>
        <v>0</v>
      </c>
      <c r="CV177" s="14">
        <f>ROUND(IF(CA177=0,0,HLOOKUP(CA$14,Villagers!$B$1:$V$33,CA177+3,FALSE)),)</f>
        <v>0</v>
      </c>
      <c r="CW177" s="14">
        <f>ROUND(IF(CB177=0,0,HLOOKUP(CB$14,Villagers!$B$1:$V$33,CB177+3,FALSE)),)</f>
        <v>0</v>
      </c>
      <c r="CX177" s="14">
        <f>ROUND(IF(CC177=0,0,HLOOKUP(CC$14,Villagers!$B$1:$V$33,CC177+3,FALSE)),)</f>
        <v>0</v>
      </c>
      <c r="CY177" s="14">
        <f>ROUND(IF(CD177=0,0,HLOOKUP(CD$14,Villagers!$B$1:$V$33,CD177+3,FALSE)),)</f>
        <v>0</v>
      </c>
      <c r="CZ177" s="14">
        <f>ROUND(IF(CE177=0,0,HLOOKUP(CE$14,Villagers!$B$1:$V$33,CE177+3,FALSE)),)</f>
        <v>5</v>
      </c>
      <c r="DA177" s="14">
        <f>ROUND(IF(CF177=0,0,HLOOKUP(CF$14,Villagers!$B$1:$V$33,CF177+3,FALSE)),)</f>
        <v>10</v>
      </c>
      <c r="DB177" s="14">
        <f>ROUND(IF(CG177=0,0,HLOOKUP(CG$14,Villagers!$B$1:$V$33,CG177+3,FALSE)),)</f>
        <v>10</v>
      </c>
      <c r="DC177" s="14">
        <f>ROUND(IF(CH177=0,0,HLOOKUP(CH$14,Villagers!$B$1:$V$33,CH177+3,FALSE)),)</f>
        <v>0</v>
      </c>
      <c r="DD177" s="14">
        <f>ROUND(IF(CI177=0,0,HLOOKUP(CI$14,Villagers!$B$1:$V$33,CI177+3,FALSE)),)</f>
        <v>0</v>
      </c>
      <c r="DE177" s="14">
        <f>ROUND(IF(CJ177=0,0,HLOOKUP(CJ$14,Villagers!$B$1:$V$33,CJ177+3,FALSE)),)</f>
        <v>2</v>
      </c>
      <c r="DF177" s="370">
        <f>ROUND(IF(CK177=0,0,HLOOKUP(CK$14,Villagers!$B$1:$V$33,CK177+3,FALSE)),)</f>
        <v>0</v>
      </c>
      <c r="DG177" s="370">
        <f>ROUND(IF(CL177=0,0,HLOOKUP(CL$14,Villagers!$B$1:$V$33,CL177+3,FALSE)),)</f>
        <v>0</v>
      </c>
      <c r="DH177" s="34">
        <f>ROUND(IF(CM177=0,0,HLOOKUP(CM$14,Villagers!$B$1:$V$33,CM177+3,FALSE)),)</f>
        <v>0</v>
      </c>
      <c r="DI177" s="109">
        <f t="shared" si="373"/>
        <v>0</v>
      </c>
      <c r="DJ177" s="50">
        <f t="shared" si="374"/>
        <v>0</v>
      </c>
      <c r="DK177" s="50">
        <f t="shared" si="375"/>
        <v>0</v>
      </c>
      <c r="DL177" s="50">
        <f t="shared" si="376"/>
        <v>0</v>
      </c>
      <c r="DM177" s="50">
        <f t="shared" si="377"/>
        <v>0</v>
      </c>
      <c r="DN177" s="50">
        <f t="shared" si="378"/>
        <v>0</v>
      </c>
      <c r="DO177" s="50">
        <f t="shared" si="379"/>
        <v>0</v>
      </c>
      <c r="DP177" s="50">
        <f t="shared" si="380"/>
        <v>0</v>
      </c>
      <c r="DQ177" s="50">
        <f t="shared" si="357"/>
        <v>0</v>
      </c>
      <c r="DR177" s="50">
        <f t="shared" si="358"/>
        <v>0</v>
      </c>
      <c r="DS177" s="96">
        <f>Miscelaneous!$D$4*Miscelaneous!$D$2^($CI177-1)</f>
        <v>1000</v>
      </c>
      <c r="DT177" s="333">
        <f t="shared" si="337"/>
        <v>1</v>
      </c>
      <c r="DU177" s="81">
        <v>1</v>
      </c>
      <c r="DV177" s="79">
        <f t="shared" si="359"/>
        <v>0</v>
      </c>
      <c r="DW177" s="79">
        <f t="shared" si="360"/>
        <v>0</v>
      </c>
      <c r="DX177" s="79">
        <f t="shared" si="361"/>
        <v>0</v>
      </c>
      <c r="DY177" s="79">
        <v>1</v>
      </c>
      <c r="DZ177" s="79">
        <f t="shared" si="362"/>
        <v>0</v>
      </c>
      <c r="EA177" s="79">
        <f t="shared" si="363"/>
        <v>0</v>
      </c>
      <c r="EB177" s="79">
        <f t="shared" si="364"/>
        <v>0</v>
      </c>
      <c r="EC177" s="79">
        <f t="shared" si="365"/>
        <v>0</v>
      </c>
      <c r="ED177" s="79">
        <v>1</v>
      </c>
      <c r="EE177" s="79">
        <v>1</v>
      </c>
      <c r="EF177" s="79">
        <f t="shared" si="366"/>
        <v>0</v>
      </c>
      <c r="EG177" s="79">
        <v>1</v>
      </c>
      <c r="EH177" s="79">
        <v>1</v>
      </c>
      <c r="EI177" s="79">
        <v>1</v>
      </c>
      <c r="EJ177" s="79">
        <v>1</v>
      </c>
      <c r="EK177" s="79">
        <v>1</v>
      </c>
      <c r="EL177" s="79">
        <v>1</v>
      </c>
      <c r="EM177" s="143">
        <f t="shared" si="367"/>
        <v>0</v>
      </c>
      <c r="EN177" s="143">
        <f t="shared" si="368"/>
        <v>0</v>
      </c>
      <c r="EO177" s="82">
        <f t="shared" si="369"/>
        <v>0</v>
      </c>
    </row>
    <row r="178" spans="1:145" x14ac:dyDescent="0.25">
      <c r="A178">
        <v>164</v>
      </c>
      <c r="B178" s="172" t="e">
        <f t="shared" si="338"/>
        <v>#N/A</v>
      </c>
      <c r="C178" s="121" t="e">
        <f t="shared" ref="C178:E178" si="436">AJ178-SUM(AB178:AB182)</f>
        <v>#N/A</v>
      </c>
      <c r="D178" s="122" t="e">
        <f t="shared" si="436"/>
        <v>#N/A</v>
      </c>
      <c r="E178" s="122" t="e">
        <f t="shared" si="436"/>
        <v>#N/A</v>
      </c>
      <c r="F178" s="176" t="e">
        <f t="shared" si="320"/>
        <v>#N/A</v>
      </c>
      <c r="G178" s="121">
        <f t="shared" si="340"/>
        <v>208</v>
      </c>
      <c r="H178" s="176" t="e">
        <f t="shared" si="341"/>
        <v>#N/A</v>
      </c>
      <c r="I178" s="48">
        <v>1</v>
      </c>
      <c r="J178" s="39"/>
      <c r="K178" s="350">
        <v>1</v>
      </c>
      <c r="L178" s="34" t="e">
        <f t="shared" si="321"/>
        <v>#N/A</v>
      </c>
      <c r="M178" s="38" t="e">
        <f>(HLOOKUP(J178,'Construction Times'!$B$3:$W$34,L178+2,FALSE)*HLOOKUP("hq modifier",'Construction Times'!$W$3:$W$34,BS178+2,FALSE))*(1-$H$9)</f>
        <v>#N/A</v>
      </c>
      <c r="N178" s="426" t="e">
        <f t="shared" si="342"/>
        <v>#N/A</v>
      </c>
      <c r="O178" s="427"/>
      <c r="P178" s="430" t="e">
        <f t="shared" si="343"/>
        <v>#N/A</v>
      </c>
      <c r="Q178" s="431"/>
      <c r="R178" s="103">
        <f t="shared" si="371"/>
        <v>0</v>
      </c>
      <c r="S178" s="104">
        <f t="shared" si="371"/>
        <v>0</v>
      </c>
      <c r="T178" s="104">
        <f t="shared" si="372"/>
        <v>0</v>
      </c>
      <c r="U178" s="104">
        <f t="shared" si="372"/>
        <v>0</v>
      </c>
      <c r="V178" s="104">
        <f t="shared" si="372"/>
        <v>9.9999999999999995E-8</v>
      </c>
      <c r="W178" s="104">
        <f t="shared" si="372"/>
        <v>0</v>
      </c>
      <c r="X178" s="104">
        <f t="shared" si="429"/>
        <v>0</v>
      </c>
      <c r="Y178" s="104">
        <f t="shared" si="429"/>
        <v>9.9999999999999995E-8</v>
      </c>
      <c r="Z178" s="104">
        <f t="shared" si="429"/>
        <v>9.9999999999999995E-8</v>
      </c>
      <c r="AA178" s="105">
        <f t="shared" si="429"/>
        <v>9.9999999999999995E-8</v>
      </c>
      <c r="AB178" s="101" t="e">
        <f>$DT178*HLOOKUP($J178,'Construction Costs (timber)'!$B$1:$V$32,'Construction Planner'!$L178+2,FALSE)</f>
        <v>#N/A</v>
      </c>
      <c r="AC178" s="14" t="e">
        <f>$DT178*HLOOKUP($J178,'Construction Costs (clay)'!$B$1:$V$32,'Construction Planner'!$L178+2,FALSE)</f>
        <v>#N/A</v>
      </c>
      <c r="AD178" s="14" t="e">
        <f>$DT178*HLOOKUP($J178,'Construction Costs (iron)'!$B$1:$V$32,'Construction Planner'!$L178+2,FALSE)</f>
        <v>#N/A</v>
      </c>
      <c r="AE178" s="34" t="e">
        <f t="shared" si="384"/>
        <v>#N/A</v>
      </c>
      <c r="AF178" s="33" t="e">
        <f t="shared" si="322"/>
        <v>#N/A</v>
      </c>
      <c r="AG178" s="14" t="e">
        <f t="shared" si="323"/>
        <v>#N/A</v>
      </c>
      <c r="AH178" s="14" t="e">
        <f t="shared" si="324"/>
        <v>#N/A</v>
      </c>
      <c r="AI178" s="34" t="e">
        <f t="shared" si="385"/>
        <v>#N/A</v>
      </c>
      <c r="AJ178" s="49" t="e">
        <f t="shared" si="345"/>
        <v>#N/A</v>
      </c>
      <c r="AK178" s="49" t="e">
        <f t="shared" si="346"/>
        <v>#N/A</v>
      </c>
      <c r="AL178" s="49" t="e">
        <f t="shared" si="347"/>
        <v>#N/A</v>
      </c>
      <c r="AM178" s="25">
        <f t="shared" si="325"/>
        <v>30</v>
      </c>
      <c r="AN178" s="25">
        <f t="shared" si="326"/>
        <v>30</v>
      </c>
      <c r="AO178" s="25">
        <f t="shared" si="327"/>
        <v>30</v>
      </c>
      <c r="AP178" s="52" t="e">
        <f t="shared" si="348"/>
        <v>#N/A</v>
      </c>
      <c r="AQ178" s="53" t="e">
        <f t="shared" si="348"/>
        <v>#N/A</v>
      </c>
      <c r="AR178" s="54" t="e">
        <f t="shared" si="348"/>
        <v>#N/A</v>
      </c>
      <c r="AS178" s="316">
        <f t="shared" si="418"/>
        <v>0</v>
      </c>
      <c r="AT178" s="106">
        <f>_xlfn.IFNA($M178/VLOOKUP($BT178,'Unit information'!$A$2:$K$29,2,FALSE)*R178,0)*(1+$E$9)</f>
        <v>0</v>
      </c>
      <c r="AU178" s="107">
        <f>_xlfn.IFNA($M178/VLOOKUP($BT178,'Unit information'!$A$2:$K$29,3,FALSE)*S178,0)*(1+$E$9)</f>
        <v>0</v>
      </c>
      <c r="AV178" s="107">
        <f>_xlfn.IFNA($M178/VLOOKUP($BT178,'Unit information'!$A$2:$K$29,4,FALSE)*T178,0)*(1+$E$9)</f>
        <v>0</v>
      </c>
      <c r="AW178" s="107">
        <f>_xlfn.IFNA($M178/VLOOKUP($BT178,'Unit information'!$A$2:$K$29,5,FALSE)*U178,0)*(1+$E$9)</f>
        <v>0</v>
      </c>
      <c r="AX178" s="107">
        <f>_xlfn.IFNA($M178/VLOOKUP($BU178,'Unit information'!$A$2:$K$29,6,FALSE)*V178,0)*(1+$E$9)</f>
        <v>0</v>
      </c>
      <c r="AY178" s="107">
        <f>_xlfn.IFNA($M178/VLOOKUP($BU178,'Unit information'!$A$2:$K$29,7,FALSE)*W178,0)*(1+$E$9)</f>
        <v>0</v>
      </c>
      <c r="AZ178" s="107">
        <f>_xlfn.IFNA($M178/VLOOKUP($BU178,'Unit information'!$A$2:$K$29,8,FALSE)*X178,0)*(1+$E$9)</f>
        <v>0</v>
      </c>
      <c r="BA178" s="107">
        <f>_xlfn.IFNA($M178/VLOOKUP($BU178,'Unit information'!$A$2:$K$29,9,FALSE)*Y178,0)*(1+$E$9)</f>
        <v>0</v>
      </c>
      <c r="BB178" s="107">
        <f>_xlfn.IFNA($M178/VLOOKUP($BV178,'Unit information'!$A$2:$K$29,10,FALSE)*Z178,0)*(1+$E$9)</f>
        <v>0</v>
      </c>
      <c r="BC178" s="108">
        <f>_xlfn.IFNA($M178/VLOOKUP($BV178,'Unit information'!$A$2:$K$29,11,FALSE)*AA178,0)*(1+$E$9)</f>
        <v>0</v>
      </c>
      <c r="BD178" s="106">
        <f t="shared" si="328"/>
        <v>0</v>
      </c>
      <c r="BE178" s="107">
        <f t="shared" si="329"/>
        <v>0</v>
      </c>
      <c r="BF178" s="108">
        <f t="shared" si="330"/>
        <v>0</v>
      </c>
      <c r="BG178" s="25" t="e">
        <f t="shared" si="331"/>
        <v>#N/A</v>
      </c>
      <c r="BH178" s="25" t="e">
        <f t="shared" si="332"/>
        <v>#N/A</v>
      </c>
      <c r="BI178" s="25" t="e">
        <f t="shared" si="333"/>
        <v>#N/A</v>
      </c>
      <c r="BJ178" s="27" t="e">
        <f t="shared" si="334"/>
        <v>#N/A</v>
      </c>
      <c r="BK178" s="18" t="e">
        <f t="shared" si="335"/>
        <v>#N/A</v>
      </c>
      <c r="BL178" s="18" t="e">
        <f t="shared" si="336"/>
        <v>#N/A</v>
      </c>
      <c r="BM178" s="28" t="e">
        <f t="shared" si="387"/>
        <v>#N/A</v>
      </c>
      <c r="BN178" s="33">
        <f>HLOOKUP("maximum population",Miscelaneous!$C$1:$C$33,CH178+3,FALSE)</f>
        <v>240</v>
      </c>
      <c r="BO178" s="14">
        <f t="shared" si="349"/>
        <v>32</v>
      </c>
      <c r="BP178" s="14">
        <f t="shared" si="350"/>
        <v>0</v>
      </c>
      <c r="BQ178" s="14">
        <f t="shared" si="351"/>
        <v>208</v>
      </c>
      <c r="BR178" s="34" t="e">
        <f>HLOOKUP(J178,Villagers!$B$1:$V$33,L178+3,FALSE)-HLOOKUP(J178,Villagers!$B$1:$V$33,L178+2,FALSE)</f>
        <v>#N/A</v>
      </c>
      <c r="BS178" s="49">
        <f t="shared" si="352"/>
        <v>1</v>
      </c>
      <c r="BT178" s="50">
        <f t="shared" si="353"/>
        <v>0</v>
      </c>
      <c r="BU178" s="50">
        <f t="shared" si="354"/>
        <v>0</v>
      </c>
      <c r="BV178" s="50">
        <f t="shared" si="355"/>
        <v>0</v>
      </c>
      <c r="BW178" s="50">
        <f t="shared" si="434"/>
        <v>0</v>
      </c>
      <c r="BX178" s="50">
        <f t="shared" si="434"/>
        <v>0</v>
      </c>
      <c r="BY178" s="50">
        <f t="shared" si="434"/>
        <v>0</v>
      </c>
      <c r="BZ178" s="50">
        <f t="shared" si="401"/>
        <v>0</v>
      </c>
      <c r="CA178" s="50">
        <f t="shared" si="402"/>
        <v>0</v>
      </c>
      <c r="CB178" s="50">
        <f t="shared" si="403"/>
        <v>1</v>
      </c>
      <c r="CC178" s="50">
        <f t="shared" si="404"/>
        <v>0</v>
      </c>
      <c r="CD178" s="50">
        <f t="shared" si="405"/>
        <v>0</v>
      </c>
      <c r="CE178" s="50">
        <f t="shared" si="406"/>
        <v>1</v>
      </c>
      <c r="CF178" s="50">
        <f t="shared" si="407"/>
        <v>1</v>
      </c>
      <c r="CG178" s="50">
        <f t="shared" si="408"/>
        <v>1</v>
      </c>
      <c r="CH178" s="50">
        <f t="shared" si="409"/>
        <v>1</v>
      </c>
      <c r="CI178" s="50">
        <f t="shared" si="410"/>
        <v>1</v>
      </c>
      <c r="CJ178" s="50">
        <f t="shared" si="411"/>
        <v>1</v>
      </c>
      <c r="CK178" s="50">
        <f t="shared" si="411"/>
        <v>0</v>
      </c>
      <c r="CL178" s="50">
        <f t="shared" si="411"/>
        <v>0</v>
      </c>
      <c r="CM178" s="51">
        <f t="shared" si="432"/>
        <v>0</v>
      </c>
      <c r="CN178" s="33">
        <f>ROUND(IF(BS178=0,0,HLOOKUP(BS$14,Villagers!$B$1:$V$33,BS178+3,FALSE)),)</f>
        <v>5</v>
      </c>
      <c r="CO178" s="14">
        <f>ROUND(IF(BT178=0,0,HLOOKUP(BT$14,Villagers!$B$1:$V$33,BT178+3,FALSE)),)</f>
        <v>0</v>
      </c>
      <c r="CP178" s="14">
        <f>ROUND(IF(BU178=0,0,HLOOKUP(BU$14,Villagers!$B$1:$V$33,BU178+3,FALSE)),)</f>
        <v>0</v>
      </c>
      <c r="CQ178" s="14">
        <f>ROUND(IF(BV178=0,0,HLOOKUP(BV$14,Villagers!$B$1:$V$33,BV178+3,FALSE)),)</f>
        <v>0</v>
      </c>
      <c r="CR178" s="14">
        <f>ROUND(IF(BW178=0,0,HLOOKUP(BW$14,Villagers!$B$1:$V$33,BW178+3,FALSE)),)</f>
        <v>0</v>
      </c>
      <c r="CS178" s="14">
        <f>ROUND(IF(BX178=0,0,HLOOKUP(BX$14,Villagers!$B$1:$V$33,BX178+3,FALSE)),)</f>
        <v>0</v>
      </c>
      <c r="CT178" s="14">
        <f>ROUND(IF(BY178=0,0,HLOOKUP(BY$14,Villagers!$B$1:$V$33,BY178+3,FALSE)),)</f>
        <v>0</v>
      </c>
      <c r="CU178" s="14">
        <f>ROUND(IF(BZ178=0,0,HLOOKUP(BZ$14,Villagers!$B$1:$V$33,BZ178+3,FALSE)),)</f>
        <v>0</v>
      </c>
      <c r="CV178" s="14">
        <f>ROUND(IF(CA178=0,0,HLOOKUP(CA$14,Villagers!$B$1:$V$33,CA178+3,FALSE)),)</f>
        <v>0</v>
      </c>
      <c r="CW178" s="14">
        <f>ROUND(IF(CB178=0,0,HLOOKUP(CB$14,Villagers!$B$1:$V$33,CB178+3,FALSE)),)</f>
        <v>0</v>
      </c>
      <c r="CX178" s="14">
        <f>ROUND(IF(CC178=0,0,HLOOKUP(CC$14,Villagers!$B$1:$V$33,CC178+3,FALSE)),)</f>
        <v>0</v>
      </c>
      <c r="CY178" s="14">
        <f>ROUND(IF(CD178=0,0,HLOOKUP(CD$14,Villagers!$B$1:$V$33,CD178+3,FALSE)),)</f>
        <v>0</v>
      </c>
      <c r="CZ178" s="14">
        <f>ROUND(IF(CE178=0,0,HLOOKUP(CE$14,Villagers!$B$1:$V$33,CE178+3,FALSE)),)</f>
        <v>5</v>
      </c>
      <c r="DA178" s="14">
        <f>ROUND(IF(CF178=0,0,HLOOKUP(CF$14,Villagers!$B$1:$V$33,CF178+3,FALSE)),)</f>
        <v>10</v>
      </c>
      <c r="DB178" s="14">
        <f>ROUND(IF(CG178=0,0,HLOOKUP(CG$14,Villagers!$B$1:$V$33,CG178+3,FALSE)),)</f>
        <v>10</v>
      </c>
      <c r="DC178" s="14">
        <f>ROUND(IF(CH178=0,0,HLOOKUP(CH$14,Villagers!$B$1:$V$33,CH178+3,FALSE)),)</f>
        <v>0</v>
      </c>
      <c r="DD178" s="14">
        <f>ROUND(IF(CI178=0,0,HLOOKUP(CI$14,Villagers!$B$1:$V$33,CI178+3,FALSE)),)</f>
        <v>0</v>
      </c>
      <c r="DE178" s="14">
        <f>ROUND(IF(CJ178=0,0,HLOOKUP(CJ$14,Villagers!$B$1:$V$33,CJ178+3,FALSE)),)</f>
        <v>2</v>
      </c>
      <c r="DF178" s="370">
        <f>ROUND(IF(CK178=0,0,HLOOKUP(CK$14,Villagers!$B$1:$V$33,CK178+3,FALSE)),)</f>
        <v>0</v>
      </c>
      <c r="DG178" s="370">
        <f>ROUND(IF(CL178=0,0,HLOOKUP(CL$14,Villagers!$B$1:$V$33,CL178+3,FALSE)),)</f>
        <v>0</v>
      </c>
      <c r="DH178" s="34">
        <f>ROUND(IF(CM178=0,0,HLOOKUP(CM$14,Villagers!$B$1:$V$33,CM178+3,FALSE)),)</f>
        <v>0</v>
      </c>
      <c r="DI178" s="109">
        <f t="shared" si="373"/>
        <v>0</v>
      </c>
      <c r="DJ178" s="50">
        <f t="shared" si="374"/>
        <v>0</v>
      </c>
      <c r="DK178" s="50">
        <f t="shared" si="375"/>
        <v>0</v>
      </c>
      <c r="DL178" s="50">
        <f t="shared" si="376"/>
        <v>0</v>
      </c>
      <c r="DM178" s="50">
        <f t="shared" si="377"/>
        <v>0</v>
      </c>
      <c r="DN178" s="50">
        <f t="shared" si="378"/>
        <v>0</v>
      </c>
      <c r="DO178" s="50">
        <f t="shared" si="379"/>
        <v>0</v>
      </c>
      <c r="DP178" s="50">
        <f t="shared" si="380"/>
        <v>0</v>
      </c>
      <c r="DQ178" s="50">
        <f t="shared" si="357"/>
        <v>0</v>
      </c>
      <c r="DR178" s="50">
        <f t="shared" si="358"/>
        <v>0</v>
      </c>
      <c r="DS178" s="96">
        <f>Miscelaneous!$D$4*Miscelaneous!$D$2^($CI178-1)</f>
        <v>1000</v>
      </c>
      <c r="DT178" s="333">
        <f t="shared" si="337"/>
        <v>1</v>
      </c>
      <c r="DU178" s="81">
        <v>1</v>
      </c>
      <c r="DV178" s="79">
        <f t="shared" si="359"/>
        <v>0</v>
      </c>
      <c r="DW178" s="79">
        <f t="shared" si="360"/>
        <v>0</v>
      </c>
      <c r="DX178" s="79">
        <f t="shared" si="361"/>
        <v>0</v>
      </c>
      <c r="DY178" s="79">
        <v>1</v>
      </c>
      <c r="DZ178" s="79">
        <f t="shared" si="362"/>
        <v>0</v>
      </c>
      <c r="EA178" s="79">
        <f t="shared" si="363"/>
        <v>0</v>
      </c>
      <c r="EB178" s="79">
        <f t="shared" si="364"/>
        <v>0</v>
      </c>
      <c r="EC178" s="79">
        <f t="shared" si="365"/>
        <v>0</v>
      </c>
      <c r="ED178" s="79">
        <v>1</v>
      </c>
      <c r="EE178" s="79">
        <v>1</v>
      </c>
      <c r="EF178" s="79">
        <f t="shared" si="366"/>
        <v>0</v>
      </c>
      <c r="EG178" s="79">
        <v>1</v>
      </c>
      <c r="EH178" s="79">
        <v>1</v>
      </c>
      <c r="EI178" s="79">
        <v>1</v>
      </c>
      <c r="EJ178" s="79">
        <v>1</v>
      </c>
      <c r="EK178" s="79">
        <v>1</v>
      </c>
      <c r="EL178" s="79">
        <v>1</v>
      </c>
      <c r="EM178" s="143">
        <f t="shared" si="367"/>
        <v>0</v>
      </c>
      <c r="EN178" s="143">
        <f t="shared" si="368"/>
        <v>0</v>
      </c>
      <c r="EO178" s="82">
        <f t="shared" si="369"/>
        <v>0</v>
      </c>
    </row>
    <row r="179" spans="1:145" x14ac:dyDescent="0.25">
      <c r="A179">
        <v>165</v>
      </c>
      <c r="B179" s="172" t="e">
        <f t="shared" si="338"/>
        <v>#N/A</v>
      </c>
      <c r="C179" s="121" t="e">
        <f t="shared" ref="C179:E179" si="437">AJ179-SUM(AB179:AB183)</f>
        <v>#N/A</v>
      </c>
      <c r="D179" s="122" t="e">
        <f t="shared" si="437"/>
        <v>#N/A</v>
      </c>
      <c r="E179" s="122" t="e">
        <f t="shared" si="437"/>
        <v>#N/A</v>
      </c>
      <c r="F179" s="176" t="e">
        <f t="shared" si="320"/>
        <v>#N/A</v>
      </c>
      <c r="G179" s="121">
        <f t="shared" si="340"/>
        <v>208</v>
      </c>
      <c r="H179" s="176" t="e">
        <f t="shared" si="341"/>
        <v>#N/A</v>
      </c>
      <c r="I179" s="48">
        <v>1</v>
      </c>
      <c r="J179" s="39"/>
      <c r="K179" s="350">
        <v>1</v>
      </c>
      <c r="L179" s="34" t="e">
        <f t="shared" si="321"/>
        <v>#N/A</v>
      </c>
      <c r="M179" s="38" t="e">
        <f>(HLOOKUP(J179,'Construction Times'!$B$3:$W$34,L179+2,FALSE)*HLOOKUP("hq modifier",'Construction Times'!$W$3:$W$34,BS179+2,FALSE))*(1-$H$9)</f>
        <v>#N/A</v>
      </c>
      <c r="N179" s="426" t="e">
        <f t="shared" si="342"/>
        <v>#N/A</v>
      </c>
      <c r="O179" s="427"/>
      <c r="P179" s="430" t="e">
        <f t="shared" si="343"/>
        <v>#N/A</v>
      </c>
      <c r="Q179" s="431"/>
      <c r="R179" s="103">
        <f t="shared" si="371"/>
        <v>0</v>
      </c>
      <c r="S179" s="104">
        <f t="shared" si="371"/>
        <v>0</v>
      </c>
      <c r="T179" s="104">
        <f t="shared" si="372"/>
        <v>0</v>
      </c>
      <c r="U179" s="104">
        <f t="shared" si="372"/>
        <v>0</v>
      </c>
      <c r="V179" s="104">
        <f t="shared" si="372"/>
        <v>9.9999999999999995E-8</v>
      </c>
      <c r="W179" s="104">
        <f t="shared" si="372"/>
        <v>0</v>
      </c>
      <c r="X179" s="104">
        <f t="shared" si="429"/>
        <v>0</v>
      </c>
      <c r="Y179" s="104">
        <f t="shared" si="429"/>
        <v>9.9999999999999995E-8</v>
      </c>
      <c r="Z179" s="104">
        <f t="shared" si="429"/>
        <v>9.9999999999999995E-8</v>
      </c>
      <c r="AA179" s="105">
        <f t="shared" si="429"/>
        <v>9.9999999999999995E-8</v>
      </c>
      <c r="AB179" s="101" t="e">
        <f>$DT179*HLOOKUP($J179,'Construction Costs (timber)'!$B$1:$V$32,'Construction Planner'!$L179+2,FALSE)</f>
        <v>#N/A</v>
      </c>
      <c r="AC179" s="14" t="e">
        <f>$DT179*HLOOKUP($J179,'Construction Costs (clay)'!$B$1:$V$32,'Construction Planner'!$L179+2,FALSE)</f>
        <v>#N/A</v>
      </c>
      <c r="AD179" s="14" t="e">
        <f>$DT179*HLOOKUP($J179,'Construction Costs (iron)'!$B$1:$V$32,'Construction Planner'!$L179+2,FALSE)</f>
        <v>#N/A</v>
      </c>
      <c r="AE179" s="34" t="e">
        <f t="shared" si="384"/>
        <v>#N/A</v>
      </c>
      <c r="AF179" s="33" t="e">
        <f t="shared" si="322"/>
        <v>#N/A</v>
      </c>
      <c r="AG179" s="14" t="e">
        <f t="shared" si="323"/>
        <v>#N/A</v>
      </c>
      <c r="AH179" s="14" t="e">
        <f t="shared" si="324"/>
        <v>#N/A</v>
      </c>
      <c r="AI179" s="34" t="e">
        <f t="shared" si="385"/>
        <v>#N/A</v>
      </c>
      <c r="AJ179" s="49" t="e">
        <f t="shared" si="345"/>
        <v>#N/A</v>
      </c>
      <c r="AK179" s="49" t="e">
        <f t="shared" si="346"/>
        <v>#N/A</v>
      </c>
      <c r="AL179" s="49" t="e">
        <f t="shared" si="347"/>
        <v>#N/A</v>
      </c>
      <c r="AM179" s="25">
        <f t="shared" si="325"/>
        <v>30</v>
      </c>
      <c r="AN179" s="25">
        <f t="shared" si="326"/>
        <v>30</v>
      </c>
      <c r="AO179" s="25">
        <f t="shared" si="327"/>
        <v>30</v>
      </c>
      <c r="AP179" s="52" t="e">
        <f t="shared" si="348"/>
        <v>#N/A</v>
      </c>
      <c r="AQ179" s="53" t="e">
        <f t="shared" si="348"/>
        <v>#N/A</v>
      </c>
      <c r="AR179" s="54" t="e">
        <f t="shared" si="348"/>
        <v>#N/A</v>
      </c>
      <c r="AS179" s="316">
        <f t="shared" si="418"/>
        <v>0</v>
      </c>
      <c r="AT179" s="106">
        <f>_xlfn.IFNA($M179/VLOOKUP($BT179,'Unit information'!$A$2:$K$29,2,FALSE)*R179,0)*(1+$E$9)</f>
        <v>0</v>
      </c>
      <c r="AU179" s="107">
        <f>_xlfn.IFNA($M179/VLOOKUP($BT179,'Unit information'!$A$2:$K$29,3,FALSE)*S179,0)*(1+$E$9)</f>
        <v>0</v>
      </c>
      <c r="AV179" s="107">
        <f>_xlfn.IFNA($M179/VLOOKUP($BT179,'Unit information'!$A$2:$K$29,4,FALSE)*T179,0)*(1+$E$9)</f>
        <v>0</v>
      </c>
      <c r="AW179" s="107">
        <f>_xlfn.IFNA($M179/VLOOKUP($BT179,'Unit information'!$A$2:$K$29,5,FALSE)*U179,0)*(1+$E$9)</f>
        <v>0</v>
      </c>
      <c r="AX179" s="107">
        <f>_xlfn.IFNA($M179/VLOOKUP($BU179,'Unit information'!$A$2:$K$29,6,FALSE)*V179,0)*(1+$E$9)</f>
        <v>0</v>
      </c>
      <c r="AY179" s="107">
        <f>_xlfn.IFNA($M179/VLOOKUP($BU179,'Unit information'!$A$2:$K$29,7,FALSE)*W179,0)*(1+$E$9)</f>
        <v>0</v>
      </c>
      <c r="AZ179" s="107">
        <f>_xlfn.IFNA($M179/VLOOKUP($BU179,'Unit information'!$A$2:$K$29,8,FALSE)*X179,0)*(1+$E$9)</f>
        <v>0</v>
      </c>
      <c r="BA179" s="107">
        <f>_xlfn.IFNA($M179/VLOOKUP($BU179,'Unit information'!$A$2:$K$29,9,FALSE)*Y179,0)*(1+$E$9)</f>
        <v>0</v>
      </c>
      <c r="BB179" s="107">
        <f>_xlfn.IFNA($M179/VLOOKUP($BV179,'Unit information'!$A$2:$K$29,10,FALSE)*Z179,0)*(1+$E$9)</f>
        <v>0</v>
      </c>
      <c r="BC179" s="108">
        <f>_xlfn.IFNA($M179/VLOOKUP($BV179,'Unit information'!$A$2:$K$29,11,FALSE)*AA179,0)*(1+$E$9)</f>
        <v>0</v>
      </c>
      <c r="BD179" s="106">
        <f t="shared" si="328"/>
        <v>0</v>
      </c>
      <c r="BE179" s="107">
        <f t="shared" si="329"/>
        <v>0</v>
      </c>
      <c r="BF179" s="108">
        <f t="shared" si="330"/>
        <v>0</v>
      </c>
      <c r="BG179" s="25" t="e">
        <f t="shared" si="331"/>
        <v>#N/A</v>
      </c>
      <c r="BH179" s="25" t="e">
        <f t="shared" si="332"/>
        <v>#N/A</v>
      </c>
      <c r="BI179" s="25" t="e">
        <f t="shared" si="333"/>
        <v>#N/A</v>
      </c>
      <c r="BJ179" s="27" t="e">
        <f t="shared" si="334"/>
        <v>#N/A</v>
      </c>
      <c r="BK179" s="18" t="e">
        <f t="shared" si="335"/>
        <v>#N/A</v>
      </c>
      <c r="BL179" s="18" t="e">
        <f t="shared" si="336"/>
        <v>#N/A</v>
      </c>
      <c r="BM179" s="28" t="e">
        <f t="shared" si="387"/>
        <v>#N/A</v>
      </c>
      <c r="BN179" s="33">
        <f>HLOOKUP("maximum population",Miscelaneous!$C$1:$C$33,CH179+3,FALSE)</f>
        <v>240</v>
      </c>
      <c r="BO179" s="14">
        <f t="shared" si="349"/>
        <v>32</v>
      </c>
      <c r="BP179" s="14">
        <f t="shared" si="350"/>
        <v>0</v>
      </c>
      <c r="BQ179" s="14">
        <f t="shared" si="351"/>
        <v>208</v>
      </c>
      <c r="BR179" s="34" t="e">
        <f>HLOOKUP(J179,Villagers!$B$1:$V$33,L179+3,FALSE)-HLOOKUP(J179,Villagers!$B$1:$V$33,L179+2,FALSE)</f>
        <v>#N/A</v>
      </c>
      <c r="BS179" s="49">
        <f t="shared" si="352"/>
        <v>1</v>
      </c>
      <c r="BT179" s="50">
        <f t="shared" si="353"/>
        <v>0</v>
      </c>
      <c r="BU179" s="50">
        <f t="shared" si="354"/>
        <v>0</v>
      </c>
      <c r="BV179" s="50">
        <f t="shared" si="355"/>
        <v>0</v>
      </c>
      <c r="BW179" s="50">
        <f t="shared" si="434"/>
        <v>0</v>
      </c>
      <c r="BX179" s="50">
        <f t="shared" si="434"/>
        <v>0</v>
      </c>
      <c r="BY179" s="50">
        <f t="shared" si="434"/>
        <v>0</v>
      </c>
      <c r="BZ179" s="50">
        <f t="shared" si="401"/>
        <v>0</v>
      </c>
      <c r="CA179" s="50">
        <f t="shared" si="402"/>
        <v>0</v>
      </c>
      <c r="CB179" s="50">
        <f t="shared" si="403"/>
        <v>1</v>
      </c>
      <c r="CC179" s="50">
        <f t="shared" si="404"/>
        <v>0</v>
      </c>
      <c r="CD179" s="50">
        <f t="shared" si="405"/>
        <v>0</v>
      </c>
      <c r="CE179" s="50">
        <f t="shared" si="406"/>
        <v>1</v>
      </c>
      <c r="CF179" s="50">
        <f t="shared" si="407"/>
        <v>1</v>
      </c>
      <c r="CG179" s="50">
        <f t="shared" si="408"/>
        <v>1</v>
      </c>
      <c r="CH179" s="50">
        <f t="shared" si="409"/>
        <v>1</v>
      </c>
      <c r="CI179" s="50">
        <f t="shared" si="410"/>
        <v>1</v>
      </c>
      <c r="CJ179" s="50">
        <f t="shared" si="411"/>
        <v>1</v>
      </c>
      <c r="CK179" s="50">
        <f t="shared" si="411"/>
        <v>0</v>
      </c>
      <c r="CL179" s="50">
        <f t="shared" si="411"/>
        <v>0</v>
      </c>
      <c r="CM179" s="51">
        <f t="shared" si="432"/>
        <v>0</v>
      </c>
      <c r="CN179" s="33">
        <f>ROUND(IF(BS179=0,0,HLOOKUP(BS$14,Villagers!$B$1:$V$33,BS179+3,FALSE)),)</f>
        <v>5</v>
      </c>
      <c r="CO179" s="14">
        <f>ROUND(IF(BT179=0,0,HLOOKUP(BT$14,Villagers!$B$1:$V$33,BT179+3,FALSE)),)</f>
        <v>0</v>
      </c>
      <c r="CP179" s="14">
        <f>ROUND(IF(BU179=0,0,HLOOKUP(BU$14,Villagers!$B$1:$V$33,BU179+3,FALSE)),)</f>
        <v>0</v>
      </c>
      <c r="CQ179" s="14">
        <f>ROUND(IF(BV179=0,0,HLOOKUP(BV$14,Villagers!$B$1:$V$33,BV179+3,FALSE)),)</f>
        <v>0</v>
      </c>
      <c r="CR179" s="14">
        <f>ROUND(IF(BW179=0,0,HLOOKUP(BW$14,Villagers!$B$1:$V$33,BW179+3,FALSE)),)</f>
        <v>0</v>
      </c>
      <c r="CS179" s="14">
        <f>ROUND(IF(BX179=0,0,HLOOKUP(BX$14,Villagers!$B$1:$V$33,BX179+3,FALSE)),)</f>
        <v>0</v>
      </c>
      <c r="CT179" s="14">
        <f>ROUND(IF(BY179=0,0,HLOOKUP(BY$14,Villagers!$B$1:$V$33,BY179+3,FALSE)),)</f>
        <v>0</v>
      </c>
      <c r="CU179" s="14">
        <f>ROUND(IF(BZ179=0,0,HLOOKUP(BZ$14,Villagers!$B$1:$V$33,BZ179+3,FALSE)),)</f>
        <v>0</v>
      </c>
      <c r="CV179" s="14">
        <f>ROUND(IF(CA179=0,0,HLOOKUP(CA$14,Villagers!$B$1:$V$33,CA179+3,FALSE)),)</f>
        <v>0</v>
      </c>
      <c r="CW179" s="14">
        <f>ROUND(IF(CB179=0,0,HLOOKUP(CB$14,Villagers!$B$1:$V$33,CB179+3,FALSE)),)</f>
        <v>0</v>
      </c>
      <c r="CX179" s="14">
        <f>ROUND(IF(CC179=0,0,HLOOKUP(CC$14,Villagers!$B$1:$V$33,CC179+3,FALSE)),)</f>
        <v>0</v>
      </c>
      <c r="CY179" s="14">
        <f>ROUND(IF(CD179=0,0,HLOOKUP(CD$14,Villagers!$B$1:$V$33,CD179+3,FALSE)),)</f>
        <v>0</v>
      </c>
      <c r="CZ179" s="14">
        <f>ROUND(IF(CE179=0,0,HLOOKUP(CE$14,Villagers!$B$1:$V$33,CE179+3,FALSE)),)</f>
        <v>5</v>
      </c>
      <c r="DA179" s="14">
        <f>ROUND(IF(CF179=0,0,HLOOKUP(CF$14,Villagers!$B$1:$V$33,CF179+3,FALSE)),)</f>
        <v>10</v>
      </c>
      <c r="DB179" s="14">
        <f>ROUND(IF(CG179=0,0,HLOOKUP(CG$14,Villagers!$B$1:$V$33,CG179+3,FALSE)),)</f>
        <v>10</v>
      </c>
      <c r="DC179" s="14">
        <f>ROUND(IF(CH179=0,0,HLOOKUP(CH$14,Villagers!$B$1:$V$33,CH179+3,FALSE)),)</f>
        <v>0</v>
      </c>
      <c r="DD179" s="14">
        <f>ROUND(IF(CI179=0,0,HLOOKUP(CI$14,Villagers!$B$1:$V$33,CI179+3,FALSE)),)</f>
        <v>0</v>
      </c>
      <c r="DE179" s="14">
        <f>ROUND(IF(CJ179=0,0,HLOOKUP(CJ$14,Villagers!$B$1:$V$33,CJ179+3,FALSE)),)</f>
        <v>2</v>
      </c>
      <c r="DF179" s="370">
        <f>ROUND(IF(CK179=0,0,HLOOKUP(CK$14,Villagers!$B$1:$V$33,CK179+3,FALSE)),)</f>
        <v>0</v>
      </c>
      <c r="DG179" s="370">
        <f>ROUND(IF(CL179=0,0,HLOOKUP(CL$14,Villagers!$B$1:$V$33,CL179+3,FALSE)),)</f>
        <v>0</v>
      </c>
      <c r="DH179" s="34">
        <f>ROUND(IF(CM179=0,0,HLOOKUP(CM$14,Villagers!$B$1:$V$33,CM179+3,FALSE)),)</f>
        <v>0</v>
      </c>
      <c r="DI179" s="109">
        <f t="shared" si="373"/>
        <v>0</v>
      </c>
      <c r="DJ179" s="50">
        <f t="shared" si="374"/>
        <v>0</v>
      </c>
      <c r="DK179" s="50">
        <f t="shared" si="375"/>
        <v>0</v>
      </c>
      <c r="DL179" s="50">
        <f t="shared" si="376"/>
        <v>0</v>
      </c>
      <c r="DM179" s="50">
        <f t="shared" si="377"/>
        <v>0</v>
      </c>
      <c r="DN179" s="50">
        <f t="shared" si="378"/>
        <v>0</v>
      </c>
      <c r="DO179" s="50">
        <f t="shared" si="379"/>
        <v>0</v>
      </c>
      <c r="DP179" s="50">
        <f t="shared" si="380"/>
        <v>0</v>
      </c>
      <c r="DQ179" s="50">
        <f t="shared" si="357"/>
        <v>0</v>
      </c>
      <c r="DR179" s="50">
        <f t="shared" si="358"/>
        <v>0</v>
      </c>
      <c r="DS179" s="96">
        <f>Miscelaneous!$D$4*Miscelaneous!$D$2^($CI179-1)</f>
        <v>1000</v>
      </c>
      <c r="DT179" s="333">
        <f t="shared" si="337"/>
        <v>1</v>
      </c>
      <c r="DU179" s="81">
        <v>1</v>
      </c>
      <c r="DV179" s="79">
        <f t="shared" si="359"/>
        <v>0</v>
      </c>
      <c r="DW179" s="79">
        <f t="shared" si="360"/>
        <v>0</v>
      </c>
      <c r="DX179" s="79">
        <f t="shared" si="361"/>
        <v>0</v>
      </c>
      <c r="DY179" s="79">
        <v>1</v>
      </c>
      <c r="DZ179" s="79">
        <f t="shared" si="362"/>
        <v>0</v>
      </c>
      <c r="EA179" s="79">
        <f t="shared" si="363"/>
        <v>0</v>
      </c>
      <c r="EB179" s="79">
        <f t="shared" si="364"/>
        <v>0</v>
      </c>
      <c r="EC179" s="79">
        <f t="shared" si="365"/>
        <v>0</v>
      </c>
      <c r="ED179" s="79">
        <v>1</v>
      </c>
      <c r="EE179" s="79">
        <v>1</v>
      </c>
      <c r="EF179" s="79">
        <f t="shared" si="366"/>
        <v>0</v>
      </c>
      <c r="EG179" s="79">
        <v>1</v>
      </c>
      <c r="EH179" s="79">
        <v>1</v>
      </c>
      <c r="EI179" s="79">
        <v>1</v>
      </c>
      <c r="EJ179" s="79">
        <v>1</v>
      </c>
      <c r="EK179" s="79">
        <v>1</v>
      </c>
      <c r="EL179" s="79">
        <v>1</v>
      </c>
      <c r="EM179" s="143">
        <f t="shared" si="367"/>
        <v>0</v>
      </c>
      <c r="EN179" s="143">
        <f t="shared" si="368"/>
        <v>0</v>
      </c>
      <c r="EO179" s="82">
        <f t="shared" si="369"/>
        <v>0</v>
      </c>
    </row>
    <row r="180" spans="1:145" x14ac:dyDescent="0.25">
      <c r="A180">
        <v>166</v>
      </c>
      <c r="B180" s="172" t="e">
        <f t="shared" si="338"/>
        <v>#N/A</v>
      </c>
      <c r="C180" s="121" t="e">
        <f t="shared" ref="C180:E180" si="438">AJ180-SUM(AB180:AB184)</f>
        <v>#N/A</v>
      </c>
      <c r="D180" s="122" t="e">
        <f t="shared" si="438"/>
        <v>#N/A</v>
      </c>
      <c r="E180" s="122" t="e">
        <f t="shared" si="438"/>
        <v>#N/A</v>
      </c>
      <c r="F180" s="176" t="e">
        <f t="shared" si="320"/>
        <v>#N/A</v>
      </c>
      <c r="G180" s="121">
        <f t="shared" si="340"/>
        <v>208</v>
      </c>
      <c r="H180" s="176" t="e">
        <f t="shared" si="341"/>
        <v>#N/A</v>
      </c>
      <c r="I180" s="48">
        <v>1</v>
      </c>
      <c r="J180" s="39"/>
      <c r="K180" s="350">
        <v>1</v>
      </c>
      <c r="L180" s="34" t="e">
        <f t="shared" si="321"/>
        <v>#N/A</v>
      </c>
      <c r="M180" s="38" t="e">
        <f>(HLOOKUP(J180,'Construction Times'!$B$3:$W$34,L180+2,FALSE)*HLOOKUP("hq modifier",'Construction Times'!$W$3:$W$34,BS180+2,FALSE))*(1-$H$9)</f>
        <v>#N/A</v>
      </c>
      <c r="N180" s="426" t="e">
        <f t="shared" si="342"/>
        <v>#N/A</v>
      </c>
      <c r="O180" s="427"/>
      <c r="P180" s="430" t="e">
        <f t="shared" si="343"/>
        <v>#N/A</v>
      </c>
      <c r="Q180" s="431"/>
      <c r="R180" s="103">
        <f t="shared" si="371"/>
        <v>0</v>
      </c>
      <c r="S180" s="104">
        <f t="shared" si="371"/>
        <v>0</v>
      </c>
      <c r="T180" s="104">
        <f t="shared" si="372"/>
        <v>0</v>
      </c>
      <c r="U180" s="104">
        <f t="shared" si="372"/>
        <v>0</v>
      </c>
      <c r="V180" s="104">
        <f t="shared" si="372"/>
        <v>9.9999999999999995E-8</v>
      </c>
      <c r="W180" s="104">
        <f t="shared" si="372"/>
        <v>0</v>
      </c>
      <c r="X180" s="104">
        <f t="shared" si="429"/>
        <v>0</v>
      </c>
      <c r="Y180" s="104">
        <f t="shared" si="429"/>
        <v>9.9999999999999995E-8</v>
      </c>
      <c r="Z180" s="104">
        <f t="shared" si="429"/>
        <v>9.9999999999999995E-8</v>
      </c>
      <c r="AA180" s="105">
        <f t="shared" si="429"/>
        <v>9.9999999999999995E-8</v>
      </c>
      <c r="AB180" s="101" t="e">
        <f>$DT180*HLOOKUP($J180,'Construction Costs (timber)'!$B$1:$V$32,'Construction Planner'!$L180+2,FALSE)</f>
        <v>#N/A</v>
      </c>
      <c r="AC180" s="14" t="e">
        <f>$DT180*HLOOKUP($J180,'Construction Costs (clay)'!$B$1:$V$32,'Construction Planner'!$L180+2,FALSE)</f>
        <v>#N/A</v>
      </c>
      <c r="AD180" s="14" t="e">
        <f>$DT180*HLOOKUP($J180,'Construction Costs (iron)'!$B$1:$V$32,'Construction Planner'!$L180+2,FALSE)</f>
        <v>#N/A</v>
      </c>
      <c r="AE180" s="34" t="e">
        <f t="shared" si="384"/>
        <v>#N/A</v>
      </c>
      <c r="AF180" s="33" t="e">
        <f t="shared" si="322"/>
        <v>#N/A</v>
      </c>
      <c r="AG180" s="14" t="e">
        <f t="shared" si="323"/>
        <v>#N/A</v>
      </c>
      <c r="AH180" s="14" t="e">
        <f t="shared" si="324"/>
        <v>#N/A</v>
      </c>
      <c r="AI180" s="34" t="e">
        <f t="shared" si="385"/>
        <v>#N/A</v>
      </c>
      <c r="AJ180" s="49" t="e">
        <f t="shared" si="345"/>
        <v>#N/A</v>
      </c>
      <c r="AK180" s="49" t="e">
        <f t="shared" si="346"/>
        <v>#N/A</v>
      </c>
      <c r="AL180" s="49" t="e">
        <f t="shared" si="347"/>
        <v>#N/A</v>
      </c>
      <c r="AM180" s="25">
        <f t="shared" si="325"/>
        <v>30</v>
      </c>
      <c r="AN180" s="25">
        <f t="shared" si="326"/>
        <v>30</v>
      </c>
      <c r="AO180" s="25">
        <f t="shared" si="327"/>
        <v>30</v>
      </c>
      <c r="AP180" s="52" t="e">
        <f t="shared" si="348"/>
        <v>#N/A</v>
      </c>
      <c r="AQ180" s="53" t="e">
        <f t="shared" si="348"/>
        <v>#N/A</v>
      </c>
      <c r="AR180" s="54" t="e">
        <f t="shared" si="348"/>
        <v>#N/A</v>
      </c>
      <c r="AS180" s="316">
        <f t="shared" ref="AS180:AS195" si="439">AS179</f>
        <v>0</v>
      </c>
      <c r="AT180" s="106">
        <f>_xlfn.IFNA($M180/VLOOKUP($BT180,'Unit information'!$A$2:$K$29,2,FALSE)*R180,0)*(1+$E$9)</f>
        <v>0</v>
      </c>
      <c r="AU180" s="107">
        <f>_xlfn.IFNA($M180/VLOOKUP($BT180,'Unit information'!$A$2:$K$29,3,FALSE)*S180,0)*(1+$E$9)</f>
        <v>0</v>
      </c>
      <c r="AV180" s="107">
        <f>_xlfn.IFNA($M180/VLOOKUP($BT180,'Unit information'!$A$2:$K$29,4,FALSE)*T180,0)*(1+$E$9)</f>
        <v>0</v>
      </c>
      <c r="AW180" s="107">
        <f>_xlfn.IFNA($M180/VLOOKUP($BT180,'Unit information'!$A$2:$K$29,5,FALSE)*U180,0)*(1+$E$9)</f>
        <v>0</v>
      </c>
      <c r="AX180" s="107">
        <f>_xlfn.IFNA($M180/VLOOKUP($BU180,'Unit information'!$A$2:$K$29,6,FALSE)*V180,0)*(1+$E$9)</f>
        <v>0</v>
      </c>
      <c r="AY180" s="107">
        <f>_xlfn.IFNA($M180/VLOOKUP($BU180,'Unit information'!$A$2:$K$29,7,FALSE)*W180,0)*(1+$E$9)</f>
        <v>0</v>
      </c>
      <c r="AZ180" s="107">
        <f>_xlfn.IFNA($M180/VLOOKUP($BU180,'Unit information'!$A$2:$K$29,8,FALSE)*X180,0)*(1+$E$9)</f>
        <v>0</v>
      </c>
      <c r="BA180" s="107">
        <f>_xlfn.IFNA($M180/VLOOKUP($BU180,'Unit information'!$A$2:$K$29,9,FALSE)*Y180,0)*(1+$E$9)</f>
        <v>0</v>
      </c>
      <c r="BB180" s="107">
        <f>_xlfn.IFNA($M180/VLOOKUP($BV180,'Unit information'!$A$2:$K$29,10,FALSE)*Z180,0)*(1+$E$9)</f>
        <v>0</v>
      </c>
      <c r="BC180" s="108">
        <f>_xlfn.IFNA($M180/VLOOKUP($BV180,'Unit information'!$A$2:$K$29,11,FALSE)*AA180,0)*(1+$E$9)</f>
        <v>0</v>
      </c>
      <c r="BD180" s="106">
        <f t="shared" si="328"/>
        <v>0</v>
      </c>
      <c r="BE180" s="107">
        <f t="shared" si="329"/>
        <v>0</v>
      </c>
      <c r="BF180" s="108">
        <f t="shared" si="330"/>
        <v>0</v>
      </c>
      <c r="BG180" s="25" t="e">
        <f t="shared" si="331"/>
        <v>#N/A</v>
      </c>
      <c r="BH180" s="25" t="e">
        <f t="shared" si="332"/>
        <v>#N/A</v>
      </c>
      <c r="BI180" s="25" t="e">
        <f t="shared" si="333"/>
        <v>#N/A</v>
      </c>
      <c r="BJ180" s="27" t="e">
        <f t="shared" si="334"/>
        <v>#N/A</v>
      </c>
      <c r="BK180" s="18" t="e">
        <f t="shared" si="335"/>
        <v>#N/A</v>
      </c>
      <c r="BL180" s="18" t="e">
        <f t="shared" si="336"/>
        <v>#N/A</v>
      </c>
      <c r="BM180" s="28" t="e">
        <f t="shared" si="387"/>
        <v>#N/A</v>
      </c>
      <c r="BN180" s="33">
        <f>HLOOKUP("maximum population",Miscelaneous!$C$1:$C$33,CH180+3,FALSE)</f>
        <v>240</v>
      </c>
      <c r="BO180" s="14">
        <f t="shared" si="349"/>
        <v>32</v>
      </c>
      <c r="BP180" s="14">
        <f t="shared" si="350"/>
        <v>0</v>
      </c>
      <c r="BQ180" s="14">
        <f t="shared" si="351"/>
        <v>208</v>
      </c>
      <c r="BR180" s="34" t="e">
        <f>HLOOKUP(J180,Villagers!$B$1:$V$33,L180+3,FALSE)-HLOOKUP(J180,Villagers!$B$1:$V$33,L180+2,FALSE)</f>
        <v>#N/A</v>
      </c>
      <c r="BS180" s="49">
        <f t="shared" si="352"/>
        <v>1</v>
      </c>
      <c r="BT180" s="50">
        <f t="shared" si="353"/>
        <v>0</v>
      </c>
      <c r="BU180" s="50">
        <f t="shared" si="354"/>
        <v>0</v>
      </c>
      <c r="BV180" s="50">
        <f t="shared" si="355"/>
        <v>0</v>
      </c>
      <c r="BW180" s="50">
        <f t="shared" si="434"/>
        <v>0</v>
      </c>
      <c r="BX180" s="50">
        <f t="shared" si="434"/>
        <v>0</v>
      </c>
      <c r="BY180" s="50">
        <f t="shared" si="434"/>
        <v>0</v>
      </c>
      <c r="BZ180" s="50">
        <f t="shared" si="401"/>
        <v>0</v>
      </c>
      <c r="CA180" s="50">
        <f t="shared" si="402"/>
        <v>0</v>
      </c>
      <c r="CB180" s="50">
        <f t="shared" si="403"/>
        <v>1</v>
      </c>
      <c r="CC180" s="50">
        <f t="shared" si="404"/>
        <v>0</v>
      </c>
      <c r="CD180" s="50">
        <f t="shared" si="405"/>
        <v>0</v>
      </c>
      <c r="CE180" s="50">
        <f t="shared" si="406"/>
        <v>1</v>
      </c>
      <c r="CF180" s="50">
        <f t="shared" si="407"/>
        <v>1</v>
      </c>
      <c r="CG180" s="50">
        <f t="shared" si="408"/>
        <v>1</v>
      </c>
      <c r="CH180" s="50">
        <f t="shared" si="409"/>
        <v>1</v>
      </c>
      <c r="CI180" s="50">
        <f t="shared" si="410"/>
        <v>1</v>
      </c>
      <c r="CJ180" s="50">
        <f t="shared" si="411"/>
        <v>1</v>
      </c>
      <c r="CK180" s="50">
        <f t="shared" si="411"/>
        <v>0</v>
      </c>
      <c r="CL180" s="50">
        <f t="shared" si="411"/>
        <v>0</v>
      </c>
      <c r="CM180" s="51">
        <f t="shared" si="432"/>
        <v>0</v>
      </c>
      <c r="CN180" s="33">
        <f>ROUND(IF(BS180=0,0,HLOOKUP(BS$14,Villagers!$B$1:$V$33,BS180+3,FALSE)),)</f>
        <v>5</v>
      </c>
      <c r="CO180" s="14">
        <f>ROUND(IF(BT180=0,0,HLOOKUP(BT$14,Villagers!$B$1:$V$33,BT180+3,FALSE)),)</f>
        <v>0</v>
      </c>
      <c r="CP180" s="14">
        <f>ROUND(IF(BU180=0,0,HLOOKUP(BU$14,Villagers!$B$1:$V$33,BU180+3,FALSE)),)</f>
        <v>0</v>
      </c>
      <c r="CQ180" s="14">
        <f>ROUND(IF(BV180=0,0,HLOOKUP(BV$14,Villagers!$B$1:$V$33,BV180+3,FALSE)),)</f>
        <v>0</v>
      </c>
      <c r="CR180" s="14">
        <f>ROUND(IF(BW180=0,0,HLOOKUP(BW$14,Villagers!$B$1:$V$33,BW180+3,FALSE)),)</f>
        <v>0</v>
      </c>
      <c r="CS180" s="14">
        <f>ROUND(IF(BX180=0,0,HLOOKUP(BX$14,Villagers!$B$1:$V$33,BX180+3,FALSE)),)</f>
        <v>0</v>
      </c>
      <c r="CT180" s="14">
        <f>ROUND(IF(BY180=0,0,HLOOKUP(BY$14,Villagers!$B$1:$V$33,BY180+3,FALSE)),)</f>
        <v>0</v>
      </c>
      <c r="CU180" s="14">
        <f>ROUND(IF(BZ180=0,0,HLOOKUP(BZ$14,Villagers!$B$1:$V$33,BZ180+3,FALSE)),)</f>
        <v>0</v>
      </c>
      <c r="CV180" s="14">
        <f>ROUND(IF(CA180=0,0,HLOOKUP(CA$14,Villagers!$B$1:$V$33,CA180+3,FALSE)),)</f>
        <v>0</v>
      </c>
      <c r="CW180" s="14">
        <f>ROUND(IF(CB180=0,0,HLOOKUP(CB$14,Villagers!$B$1:$V$33,CB180+3,FALSE)),)</f>
        <v>0</v>
      </c>
      <c r="CX180" s="14">
        <f>ROUND(IF(CC180=0,0,HLOOKUP(CC$14,Villagers!$B$1:$V$33,CC180+3,FALSE)),)</f>
        <v>0</v>
      </c>
      <c r="CY180" s="14">
        <f>ROUND(IF(CD180=0,0,HLOOKUP(CD$14,Villagers!$B$1:$V$33,CD180+3,FALSE)),)</f>
        <v>0</v>
      </c>
      <c r="CZ180" s="14">
        <f>ROUND(IF(CE180=0,0,HLOOKUP(CE$14,Villagers!$B$1:$V$33,CE180+3,FALSE)),)</f>
        <v>5</v>
      </c>
      <c r="DA180" s="14">
        <f>ROUND(IF(CF180=0,0,HLOOKUP(CF$14,Villagers!$B$1:$V$33,CF180+3,FALSE)),)</f>
        <v>10</v>
      </c>
      <c r="DB180" s="14">
        <f>ROUND(IF(CG180=0,0,HLOOKUP(CG$14,Villagers!$B$1:$V$33,CG180+3,FALSE)),)</f>
        <v>10</v>
      </c>
      <c r="DC180" s="14">
        <f>ROUND(IF(CH180=0,0,HLOOKUP(CH$14,Villagers!$B$1:$V$33,CH180+3,FALSE)),)</f>
        <v>0</v>
      </c>
      <c r="DD180" s="14">
        <f>ROUND(IF(CI180=0,0,HLOOKUP(CI$14,Villagers!$B$1:$V$33,CI180+3,FALSE)),)</f>
        <v>0</v>
      </c>
      <c r="DE180" s="14">
        <f>ROUND(IF(CJ180=0,0,HLOOKUP(CJ$14,Villagers!$B$1:$V$33,CJ180+3,FALSE)),)</f>
        <v>2</v>
      </c>
      <c r="DF180" s="370">
        <f>ROUND(IF(CK180=0,0,HLOOKUP(CK$14,Villagers!$B$1:$V$33,CK180+3,FALSE)),)</f>
        <v>0</v>
      </c>
      <c r="DG180" s="370">
        <f>ROUND(IF(CL180=0,0,HLOOKUP(CL$14,Villagers!$B$1:$V$33,CL180+3,FALSE)),)</f>
        <v>0</v>
      </c>
      <c r="DH180" s="34">
        <f>ROUND(IF(CM180=0,0,HLOOKUP(CM$14,Villagers!$B$1:$V$33,CM180+3,FALSE)),)</f>
        <v>0</v>
      </c>
      <c r="DI180" s="109">
        <f t="shared" si="373"/>
        <v>0</v>
      </c>
      <c r="DJ180" s="50">
        <f t="shared" si="374"/>
        <v>0</v>
      </c>
      <c r="DK180" s="50">
        <f t="shared" si="375"/>
        <v>0</v>
      </c>
      <c r="DL180" s="50">
        <f t="shared" si="376"/>
        <v>0</v>
      </c>
      <c r="DM180" s="50">
        <f t="shared" si="377"/>
        <v>0</v>
      </c>
      <c r="DN180" s="50">
        <f t="shared" si="378"/>
        <v>0</v>
      </c>
      <c r="DO180" s="50">
        <f t="shared" si="379"/>
        <v>0</v>
      </c>
      <c r="DP180" s="50">
        <f t="shared" si="380"/>
        <v>0</v>
      </c>
      <c r="DQ180" s="50">
        <f t="shared" si="357"/>
        <v>0</v>
      </c>
      <c r="DR180" s="50">
        <f t="shared" si="358"/>
        <v>0</v>
      </c>
      <c r="DS180" s="96">
        <f>Miscelaneous!$D$4*Miscelaneous!$D$2^($CI180-1)</f>
        <v>1000</v>
      </c>
      <c r="DT180" s="333">
        <f t="shared" si="337"/>
        <v>1</v>
      </c>
      <c r="DU180" s="81">
        <v>1</v>
      </c>
      <c r="DV180" s="79">
        <f t="shared" si="359"/>
        <v>0</v>
      </c>
      <c r="DW180" s="79">
        <f t="shared" si="360"/>
        <v>0</v>
      </c>
      <c r="DX180" s="79">
        <f t="shared" si="361"/>
        <v>0</v>
      </c>
      <c r="DY180" s="79">
        <v>1</v>
      </c>
      <c r="DZ180" s="79">
        <f t="shared" si="362"/>
        <v>0</v>
      </c>
      <c r="EA180" s="79">
        <f t="shared" si="363"/>
        <v>0</v>
      </c>
      <c r="EB180" s="79">
        <f t="shared" si="364"/>
        <v>0</v>
      </c>
      <c r="EC180" s="79">
        <f t="shared" si="365"/>
        <v>0</v>
      </c>
      <c r="ED180" s="79">
        <v>1</v>
      </c>
      <c r="EE180" s="79">
        <v>1</v>
      </c>
      <c r="EF180" s="79">
        <f t="shared" si="366"/>
        <v>0</v>
      </c>
      <c r="EG180" s="79">
        <v>1</v>
      </c>
      <c r="EH180" s="79">
        <v>1</v>
      </c>
      <c r="EI180" s="79">
        <v>1</v>
      </c>
      <c r="EJ180" s="79">
        <v>1</v>
      </c>
      <c r="EK180" s="79">
        <v>1</v>
      </c>
      <c r="EL180" s="79">
        <v>1</v>
      </c>
      <c r="EM180" s="143">
        <f t="shared" si="367"/>
        <v>0</v>
      </c>
      <c r="EN180" s="143">
        <f t="shared" si="368"/>
        <v>0</v>
      </c>
      <c r="EO180" s="82">
        <f t="shared" si="369"/>
        <v>0</v>
      </c>
    </row>
    <row r="181" spans="1:145" x14ac:dyDescent="0.25">
      <c r="A181">
        <v>167</v>
      </c>
      <c r="B181" s="172" t="e">
        <f t="shared" si="338"/>
        <v>#N/A</v>
      </c>
      <c r="C181" s="121" t="e">
        <f t="shared" ref="C181:E181" si="440">AJ181-SUM(AB181:AB185)</f>
        <v>#N/A</v>
      </c>
      <c r="D181" s="122" t="e">
        <f t="shared" si="440"/>
        <v>#N/A</v>
      </c>
      <c r="E181" s="122" t="e">
        <f t="shared" si="440"/>
        <v>#N/A</v>
      </c>
      <c r="F181" s="176" t="e">
        <f t="shared" si="320"/>
        <v>#N/A</v>
      </c>
      <c r="G181" s="121">
        <f t="shared" si="340"/>
        <v>208</v>
      </c>
      <c r="H181" s="176" t="e">
        <f t="shared" si="341"/>
        <v>#N/A</v>
      </c>
      <c r="I181" s="48">
        <v>1</v>
      </c>
      <c r="J181" s="39"/>
      <c r="K181" s="350">
        <v>1</v>
      </c>
      <c r="L181" s="34" t="e">
        <f t="shared" si="321"/>
        <v>#N/A</v>
      </c>
      <c r="M181" s="38" t="e">
        <f>(HLOOKUP(J181,'Construction Times'!$B$3:$W$34,L181+2,FALSE)*HLOOKUP("hq modifier",'Construction Times'!$W$3:$W$34,BS181+2,FALSE))*(1-$H$9)</f>
        <v>#N/A</v>
      </c>
      <c r="N181" s="426" t="e">
        <f t="shared" si="342"/>
        <v>#N/A</v>
      </c>
      <c r="O181" s="427"/>
      <c r="P181" s="430" t="e">
        <f t="shared" si="343"/>
        <v>#N/A</v>
      </c>
      <c r="Q181" s="431"/>
      <c r="R181" s="103">
        <f t="shared" si="371"/>
        <v>0</v>
      </c>
      <c r="S181" s="104">
        <f t="shared" si="371"/>
        <v>0</v>
      </c>
      <c r="T181" s="104">
        <f t="shared" si="372"/>
        <v>0</v>
      </c>
      <c r="U181" s="104">
        <f t="shared" si="372"/>
        <v>0</v>
      </c>
      <c r="V181" s="104">
        <f t="shared" si="372"/>
        <v>9.9999999999999995E-8</v>
      </c>
      <c r="W181" s="104">
        <f t="shared" si="372"/>
        <v>0</v>
      </c>
      <c r="X181" s="104">
        <f t="shared" si="429"/>
        <v>0</v>
      </c>
      <c r="Y181" s="104">
        <f t="shared" si="429"/>
        <v>9.9999999999999995E-8</v>
      </c>
      <c r="Z181" s="104">
        <f t="shared" si="429"/>
        <v>9.9999999999999995E-8</v>
      </c>
      <c r="AA181" s="105">
        <f t="shared" si="429"/>
        <v>9.9999999999999995E-8</v>
      </c>
      <c r="AB181" s="101" t="e">
        <f>$DT181*HLOOKUP($J181,'Construction Costs (timber)'!$B$1:$V$32,'Construction Planner'!$L181+2,FALSE)</f>
        <v>#N/A</v>
      </c>
      <c r="AC181" s="14" t="e">
        <f>$DT181*HLOOKUP($J181,'Construction Costs (clay)'!$B$1:$V$32,'Construction Planner'!$L181+2,FALSE)</f>
        <v>#N/A</v>
      </c>
      <c r="AD181" s="14" t="e">
        <f>$DT181*HLOOKUP($J181,'Construction Costs (iron)'!$B$1:$V$32,'Construction Planner'!$L181+2,FALSE)</f>
        <v>#N/A</v>
      </c>
      <c r="AE181" s="34" t="e">
        <f t="shared" si="384"/>
        <v>#N/A</v>
      </c>
      <c r="AF181" s="33" t="e">
        <f t="shared" si="322"/>
        <v>#N/A</v>
      </c>
      <c r="AG181" s="14" t="e">
        <f t="shared" si="323"/>
        <v>#N/A</v>
      </c>
      <c r="AH181" s="14" t="e">
        <f t="shared" si="324"/>
        <v>#N/A</v>
      </c>
      <c r="AI181" s="34" t="e">
        <f t="shared" si="385"/>
        <v>#N/A</v>
      </c>
      <c r="AJ181" s="49" t="e">
        <f t="shared" si="345"/>
        <v>#N/A</v>
      </c>
      <c r="AK181" s="49" t="e">
        <f t="shared" si="346"/>
        <v>#N/A</v>
      </c>
      <c r="AL181" s="49" t="e">
        <f t="shared" si="347"/>
        <v>#N/A</v>
      </c>
      <c r="AM181" s="25">
        <f t="shared" si="325"/>
        <v>30</v>
      </c>
      <c r="AN181" s="25">
        <f t="shared" si="326"/>
        <v>30</v>
      </c>
      <c r="AO181" s="25">
        <f t="shared" si="327"/>
        <v>30</v>
      </c>
      <c r="AP181" s="52" t="e">
        <f t="shared" si="348"/>
        <v>#N/A</v>
      </c>
      <c r="AQ181" s="53" t="e">
        <f t="shared" si="348"/>
        <v>#N/A</v>
      </c>
      <c r="AR181" s="54" t="e">
        <f t="shared" si="348"/>
        <v>#N/A</v>
      </c>
      <c r="AS181" s="316">
        <f t="shared" si="439"/>
        <v>0</v>
      </c>
      <c r="AT181" s="106">
        <f>_xlfn.IFNA($M181/VLOOKUP($BT181,'Unit information'!$A$2:$K$29,2,FALSE)*R181,0)*(1+$E$9)</f>
        <v>0</v>
      </c>
      <c r="AU181" s="107">
        <f>_xlfn.IFNA($M181/VLOOKUP($BT181,'Unit information'!$A$2:$K$29,3,FALSE)*S181,0)*(1+$E$9)</f>
        <v>0</v>
      </c>
      <c r="AV181" s="107">
        <f>_xlfn.IFNA($M181/VLOOKUP($BT181,'Unit information'!$A$2:$K$29,4,FALSE)*T181,0)*(1+$E$9)</f>
        <v>0</v>
      </c>
      <c r="AW181" s="107">
        <f>_xlfn.IFNA($M181/VLOOKUP($BT181,'Unit information'!$A$2:$K$29,5,FALSE)*U181,0)*(1+$E$9)</f>
        <v>0</v>
      </c>
      <c r="AX181" s="107">
        <f>_xlfn.IFNA($M181/VLOOKUP($BU181,'Unit information'!$A$2:$K$29,6,FALSE)*V181,0)*(1+$E$9)</f>
        <v>0</v>
      </c>
      <c r="AY181" s="107">
        <f>_xlfn.IFNA($M181/VLOOKUP($BU181,'Unit information'!$A$2:$K$29,7,FALSE)*W181,0)*(1+$E$9)</f>
        <v>0</v>
      </c>
      <c r="AZ181" s="107">
        <f>_xlfn.IFNA($M181/VLOOKUP($BU181,'Unit information'!$A$2:$K$29,8,FALSE)*X181,0)*(1+$E$9)</f>
        <v>0</v>
      </c>
      <c r="BA181" s="107">
        <f>_xlfn.IFNA($M181/VLOOKUP($BU181,'Unit information'!$A$2:$K$29,9,FALSE)*Y181,0)*(1+$E$9)</f>
        <v>0</v>
      </c>
      <c r="BB181" s="107">
        <f>_xlfn.IFNA($M181/VLOOKUP($BV181,'Unit information'!$A$2:$K$29,10,FALSE)*Z181,0)*(1+$E$9)</f>
        <v>0</v>
      </c>
      <c r="BC181" s="108">
        <f>_xlfn.IFNA($M181/VLOOKUP($BV181,'Unit information'!$A$2:$K$29,11,FALSE)*AA181,0)*(1+$E$9)</f>
        <v>0</v>
      </c>
      <c r="BD181" s="106">
        <f t="shared" si="328"/>
        <v>0</v>
      </c>
      <c r="BE181" s="107">
        <f t="shared" si="329"/>
        <v>0</v>
      </c>
      <c r="BF181" s="108">
        <f t="shared" si="330"/>
        <v>0</v>
      </c>
      <c r="BG181" s="25" t="e">
        <f t="shared" si="331"/>
        <v>#N/A</v>
      </c>
      <c r="BH181" s="25" t="e">
        <f t="shared" si="332"/>
        <v>#N/A</v>
      </c>
      <c r="BI181" s="25" t="e">
        <f t="shared" si="333"/>
        <v>#N/A</v>
      </c>
      <c r="BJ181" s="27" t="e">
        <f t="shared" si="334"/>
        <v>#N/A</v>
      </c>
      <c r="BK181" s="18" t="e">
        <f t="shared" si="335"/>
        <v>#N/A</v>
      </c>
      <c r="BL181" s="18" t="e">
        <f t="shared" si="336"/>
        <v>#N/A</v>
      </c>
      <c r="BM181" s="28" t="e">
        <f t="shared" si="387"/>
        <v>#N/A</v>
      </c>
      <c r="BN181" s="33">
        <f>HLOOKUP("maximum population",Miscelaneous!$C$1:$C$33,CH181+3,FALSE)</f>
        <v>240</v>
      </c>
      <c r="BO181" s="14">
        <f t="shared" si="349"/>
        <v>32</v>
      </c>
      <c r="BP181" s="14">
        <f t="shared" si="350"/>
        <v>0</v>
      </c>
      <c r="BQ181" s="14">
        <f t="shared" si="351"/>
        <v>208</v>
      </c>
      <c r="BR181" s="34" t="e">
        <f>HLOOKUP(J181,Villagers!$B$1:$V$33,L181+3,FALSE)-HLOOKUP(J181,Villagers!$B$1:$V$33,L181+2,FALSE)</f>
        <v>#N/A</v>
      </c>
      <c r="BS181" s="49">
        <f t="shared" si="352"/>
        <v>1</v>
      </c>
      <c r="BT181" s="50">
        <f t="shared" si="353"/>
        <v>0</v>
      </c>
      <c r="BU181" s="50">
        <f t="shared" si="354"/>
        <v>0</v>
      </c>
      <c r="BV181" s="50">
        <f t="shared" si="355"/>
        <v>0</v>
      </c>
      <c r="BW181" s="50">
        <f t="shared" si="434"/>
        <v>0</v>
      </c>
      <c r="BX181" s="50">
        <f t="shared" si="434"/>
        <v>0</v>
      </c>
      <c r="BY181" s="50">
        <f t="shared" si="434"/>
        <v>0</v>
      </c>
      <c r="BZ181" s="50">
        <f t="shared" si="401"/>
        <v>0</v>
      </c>
      <c r="CA181" s="50">
        <f t="shared" si="402"/>
        <v>0</v>
      </c>
      <c r="CB181" s="50">
        <f t="shared" si="403"/>
        <v>1</v>
      </c>
      <c r="CC181" s="50">
        <f t="shared" si="404"/>
        <v>0</v>
      </c>
      <c r="CD181" s="50">
        <f t="shared" si="405"/>
        <v>0</v>
      </c>
      <c r="CE181" s="50">
        <f t="shared" si="406"/>
        <v>1</v>
      </c>
      <c r="CF181" s="50">
        <f t="shared" si="407"/>
        <v>1</v>
      </c>
      <c r="CG181" s="50">
        <f t="shared" si="408"/>
        <v>1</v>
      </c>
      <c r="CH181" s="50">
        <f t="shared" si="409"/>
        <v>1</v>
      </c>
      <c r="CI181" s="50">
        <f t="shared" si="410"/>
        <v>1</v>
      </c>
      <c r="CJ181" s="50">
        <f t="shared" si="411"/>
        <v>1</v>
      </c>
      <c r="CK181" s="50">
        <f t="shared" si="411"/>
        <v>0</v>
      </c>
      <c r="CL181" s="50">
        <f t="shared" si="411"/>
        <v>0</v>
      </c>
      <c r="CM181" s="51">
        <f t="shared" si="432"/>
        <v>0</v>
      </c>
      <c r="CN181" s="33">
        <f>ROUND(IF(BS181=0,0,HLOOKUP(BS$14,Villagers!$B$1:$V$33,BS181+3,FALSE)),)</f>
        <v>5</v>
      </c>
      <c r="CO181" s="14">
        <f>ROUND(IF(BT181=0,0,HLOOKUP(BT$14,Villagers!$B$1:$V$33,BT181+3,FALSE)),)</f>
        <v>0</v>
      </c>
      <c r="CP181" s="14">
        <f>ROUND(IF(BU181=0,0,HLOOKUP(BU$14,Villagers!$B$1:$V$33,BU181+3,FALSE)),)</f>
        <v>0</v>
      </c>
      <c r="CQ181" s="14">
        <f>ROUND(IF(BV181=0,0,HLOOKUP(BV$14,Villagers!$B$1:$V$33,BV181+3,FALSE)),)</f>
        <v>0</v>
      </c>
      <c r="CR181" s="14">
        <f>ROUND(IF(BW181=0,0,HLOOKUP(BW$14,Villagers!$B$1:$V$33,BW181+3,FALSE)),)</f>
        <v>0</v>
      </c>
      <c r="CS181" s="14">
        <f>ROUND(IF(BX181=0,0,HLOOKUP(BX$14,Villagers!$B$1:$V$33,BX181+3,FALSE)),)</f>
        <v>0</v>
      </c>
      <c r="CT181" s="14">
        <f>ROUND(IF(BY181=0,0,HLOOKUP(BY$14,Villagers!$B$1:$V$33,BY181+3,FALSE)),)</f>
        <v>0</v>
      </c>
      <c r="CU181" s="14">
        <f>ROUND(IF(BZ181=0,0,HLOOKUP(BZ$14,Villagers!$B$1:$V$33,BZ181+3,FALSE)),)</f>
        <v>0</v>
      </c>
      <c r="CV181" s="14">
        <f>ROUND(IF(CA181=0,0,HLOOKUP(CA$14,Villagers!$B$1:$V$33,CA181+3,FALSE)),)</f>
        <v>0</v>
      </c>
      <c r="CW181" s="14">
        <f>ROUND(IF(CB181=0,0,HLOOKUP(CB$14,Villagers!$B$1:$V$33,CB181+3,FALSE)),)</f>
        <v>0</v>
      </c>
      <c r="CX181" s="14">
        <f>ROUND(IF(CC181=0,0,HLOOKUP(CC$14,Villagers!$B$1:$V$33,CC181+3,FALSE)),)</f>
        <v>0</v>
      </c>
      <c r="CY181" s="14">
        <f>ROUND(IF(CD181=0,0,HLOOKUP(CD$14,Villagers!$B$1:$V$33,CD181+3,FALSE)),)</f>
        <v>0</v>
      </c>
      <c r="CZ181" s="14">
        <f>ROUND(IF(CE181=0,0,HLOOKUP(CE$14,Villagers!$B$1:$V$33,CE181+3,FALSE)),)</f>
        <v>5</v>
      </c>
      <c r="DA181" s="14">
        <f>ROUND(IF(CF181=0,0,HLOOKUP(CF$14,Villagers!$B$1:$V$33,CF181+3,FALSE)),)</f>
        <v>10</v>
      </c>
      <c r="DB181" s="14">
        <f>ROUND(IF(CG181=0,0,HLOOKUP(CG$14,Villagers!$B$1:$V$33,CG181+3,FALSE)),)</f>
        <v>10</v>
      </c>
      <c r="DC181" s="14">
        <f>ROUND(IF(CH181=0,0,HLOOKUP(CH$14,Villagers!$B$1:$V$33,CH181+3,FALSE)),)</f>
        <v>0</v>
      </c>
      <c r="DD181" s="14">
        <f>ROUND(IF(CI181=0,0,HLOOKUP(CI$14,Villagers!$B$1:$V$33,CI181+3,FALSE)),)</f>
        <v>0</v>
      </c>
      <c r="DE181" s="14">
        <f>ROUND(IF(CJ181=0,0,HLOOKUP(CJ$14,Villagers!$B$1:$V$33,CJ181+3,FALSE)),)</f>
        <v>2</v>
      </c>
      <c r="DF181" s="370">
        <f>ROUND(IF(CK181=0,0,HLOOKUP(CK$14,Villagers!$B$1:$V$33,CK181+3,FALSE)),)</f>
        <v>0</v>
      </c>
      <c r="DG181" s="370">
        <f>ROUND(IF(CL181=0,0,HLOOKUP(CL$14,Villagers!$B$1:$V$33,CL181+3,FALSE)),)</f>
        <v>0</v>
      </c>
      <c r="DH181" s="34">
        <f>ROUND(IF(CM181=0,0,HLOOKUP(CM$14,Villagers!$B$1:$V$33,CM181+3,FALSE)),)</f>
        <v>0</v>
      </c>
      <c r="DI181" s="109">
        <f t="shared" si="373"/>
        <v>0</v>
      </c>
      <c r="DJ181" s="50">
        <f t="shared" si="374"/>
        <v>0</v>
      </c>
      <c r="DK181" s="50">
        <f t="shared" si="375"/>
        <v>0</v>
      </c>
      <c r="DL181" s="50">
        <f t="shared" si="376"/>
        <v>0</v>
      </c>
      <c r="DM181" s="50">
        <f t="shared" si="377"/>
        <v>0</v>
      </c>
      <c r="DN181" s="50">
        <f t="shared" si="378"/>
        <v>0</v>
      </c>
      <c r="DO181" s="50">
        <f t="shared" si="379"/>
        <v>0</v>
      </c>
      <c r="DP181" s="50">
        <f t="shared" si="380"/>
        <v>0</v>
      </c>
      <c r="DQ181" s="50">
        <f t="shared" si="357"/>
        <v>0</v>
      </c>
      <c r="DR181" s="50">
        <f t="shared" si="358"/>
        <v>0</v>
      </c>
      <c r="DS181" s="96">
        <f>Miscelaneous!$D$4*Miscelaneous!$D$2^($CI181-1)</f>
        <v>1000</v>
      </c>
      <c r="DT181" s="333">
        <f t="shared" si="337"/>
        <v>1</v>
      </c>
      <c r="DU181" s="81">
        <v>1</v>
      </c>
      <c r="DV181" s="79">
        <f t="shared" si="359"/>
        <v>0</v>
      </c>
      <c r="DW181" s="79">
        <f t="shared" si="360"/>
        <v>0</v>
      </c>
      <c r="DX181" s="79">
        <f t="shared" si="361"/>
        <v>0</v>
      </c>
      <c r="DY181" s="79">
        <v>1</v>
      </c>
      <c r="DZ181" s="79">
        <f t="shared" si="362"/>
        <v>0</v>
      </c>
      <c r="EA181" s="79">
        <f t="shared" si="363"/>
        <v>0</v>
      </c>
      <c r="EB181" s="79">
        <f t="shared" si="364"/>
        <v>0</v>
      </c>
      <c r="EC181" s="79">
        <f t="shared" si="365"/>
        <v>0</v>
      </c>
      <c r="ED181" s="79">
        <v>1</v>
      </c>
      <c r="EE181" s="79">
        <v>1</v>
      </c>
      <c r="EF181" s="79">
        <f t="shared" si="366"/>
        <v>0</v>
      </c>
      <c r="EG181" s="79">
        <v>1</v>
      </c>
      <c r="EH181" s="79">
        <v>1</v>
      </c>
      <c r="EI181" s="79">
        <v>1</v>
      </c>
      <c r="EJ181" s="79">
        <v>1</v>
      </c>
      <c r="EK181" s="79">
        <v>1</v>
      </c>
      <c r="EL181" s="79">
        <v>1</v>
      </c>
      <c r="EM181" s="143">
        <f t="shared" si="367"/>
        <v>0</v>
      </c>
      <c r="EN181" s="143">
        <f t="shared" si="368"/>
        <v>0</v>
      </c>
      <c r="EO181" s="82">
        <f t="shared" si="369"/>
        <v>0</v>
      </c>
    </row>
    <row r="182" spans="1:145" x14ac:dyDescent="0.25">
      <c r="A182">
        <v>168</v>
      </c>
      <c r="B182" s="172" t="e">
        <f t="shared" si="338"/>
        <v>#N/A</v>
      </c>
      <c r="C182" s="121" t="e">
        <f t="shared" ref="C182:E182" si="441">AJ182-SUM(AB182:AB186)</f>
        <v>#N/A</v>
      </c>
      <c r="D182" s="122" t="e">
        <f t="shared" si="441"/>
        <v>#N/A</v>
      </c>
      <c r="E182" s="122" t="e">
        <f t="shared" si="441"/>
        <v>#N/A</v>
      </c>
      <c r="F182" s="176" t="e">
        <f t="shared" si="320"/>
        <v>#N/A</v>
      </c>
      <c r="G182" s="121">
        <f t="shared" si="340"/>
        <v>208</v>
      </c>
      <c r="H182" s="176" t="e">
        <f t="shared" si="341"/>
        <v>#N/A</v>
      </c>
      <c r="I182" s="48">
        <v>1</v>
      </c>
      <c r="J182" s="39"/>
      <c r="K182" s="350">
        <v>1</v>
      </c>
      <c r="L182" s="34" t="e">
        <f t="shared" si="321"/>
        <v>#N/A</v>
      </c>
      <c r="M182" s="38" t="e">
        <f>(HLOOKUP(J182,'Construction Times'!$B$3:$W$34,L182+2,FALSE)*HLOOKUP("hq modifier",'Construction Times'!$W$3:$W$34,BS182+2,FALSE))*(1-$H$9)</f>
        <v>#N/A</v>
      </c>
      <c r="N182" s="426" t="e">
        <f t="shared" si="342"/>
        <v>#N/A</v>
      </c>
      <c r="O182" s="427"/>
      <c r="P182" s="430" t="e">
        <f t="shared" si="343"/>
        <v>#N/A</v>
      </c>
      <c r="Q182" s="431"/>
      <c r="R182" s="103">
        <f t="shared" si="371"/>
        <v>0</v>
      </c>
      <c r="S182" s="104">
        <f t="shared" si="371"/>
        <v>0</v>
      </c>
      <c r="T182" s="104">
        <f t="shared" si="372"/>
        <v>0</v>
      </c>
      <c r="U182" s="104">
        <f t="shared" si="372"/>
        <v>0</v>
      </c>
      <c r="V182" s="104">
        <f t="shared" si="372"/>
        <v>9.9999999999999995E-8</v>
      </c>
      <c r="W182" s="104">
        <f t="shared" si="372"/>
        <v>0</v>
      </c>
      <c r="X182" s="104">
        <f t="shared" si="429"/>
        <v>0</v>
      </c>
      <c r="Y182" s="104">
        <f t="shared" si="429"/>
        <v>9.9999999999999995E-8</v>
      </c>
      <c r="Z182" s="104">
        <f t="shared" si="429"/>
        <v>9.9999999999999995E-8</v>
      </c>
      <c r="AA182" s="105">
        <f t="shared" si="429"/>
        <v>9.9999999999999995E-8</v>
      </c>
      <c r="AB182" s="101" t="e">
        <f>$DT182*HLOOKUP($J182,'Construction Costs (timber)'!$B$1:$V$32,'Construction Planner'!$L182+2,FALSE)</f>
        <v>#N/A</v>
      </c>
      <c r="AC182" s="14" t="e">
        <f>$DT182*HLOOKUP($J182,'Construction Costs (clay)'!$B$1:$V$32,'Construction Planner'!$L182+2,FALSE)</f>
        <v>#N/A</v>
      </c>
      <c r="AD182" s="14" t="e">
        <f>$DT182*HLOOKUP($J182,'Construction Costs (iron)'!$B$1:$V$32,'Construction Planner'!$L182+2,FALSE)</f>
        <v>#N/A</v>
      </c>
      <c r="AE182" s="34" t="e">
        <f t="shared" si="384"/>
        <v>#N/A</v>
      </c>
      <c r="AF182" s="33" t="e">
        <f t="shared" si="322"/>
        <v>#N/A</v>
      </c>
      <c r="AG182" s="14" t="e">
        <f t="shared" si="323"/>
        <v>#N/A</v>
      </c>
      <c r="AH182" s="14" t="e">
        <f t="shared" si="324"/>
        <v>#N/A</v>
      </c>
      <c r="AI182" s="34" t="e">
        <f t="shared" si="385"/>
        <v>#N/A</v>
      </c>
      <c r="AJ182" s="49" t="e">
        <f t="shared" si="345"/>
        <v>#N/A</v>
      </c>
      <c r="AK182" s="49" t="e">
        <f t="shared" si="346"/>
        <v>#N/A</v>
      </c>
      <c r="AL182" s="49" t="e">
        <f t="shared" si="347"/>
        <v>#N/A</v>
      </c>
      <c r="AM182" s="25">
        <f t="shared" si="325"/>
        <v>30</v>
      </c>
      <c r="AN182" s="25">
        <f t="shared" si="326"/>
        <v>30</v>
      </c>
      <c r="AO182" s="25">
        <f t="shared" si="327"/>
        <v>30</v>
      </c>
      <c r="AP182" s="52" t="e">
        <f t="shared" si="348"/>
        <v>#N/A</v>
      </c>
      <c r="AQ182" s="53" t="e">
        <f t="shared" si="348"/>
        <v>#N/A</v>
      </c>
      <c r="AR182" s="54" t="e">
        <f t="shared" si="348"/>
        <v>#N/A</v>
      </c>
      <c r="AS182" s="316">
        <f t="shared" si="439"/>
        <v>0</v>
      </c>
      <c r="AT182" s="106">
        <f>_xlfn.IFNA($M182/VLOOKUP($BT182,'Unit information'!$A$2:$K$29,2,FALSE)*R182,0)*(1+$E$9)</f>
        <v>0</v>
      </c>
      <c r="AU182" s="107">
        <f>_xlfn.IFNA($M182/VLOOKUP($BT182,'Unit information'!$A$2:$K$29,3,FALSE)*S182,0)*(1+$E$9)</f>
        <v>0</v>
      </c>
      <c r="AV182" s="107">
        <f>_xlfn.IFNA($M182/VLOOKUP($BT182,'Unit information'!$A$2:$K$29,4,FALSE)*T182,0)*(1+$E$9)</f>
        <v>0</v>
      </c>
      <c r="AW182" s="107">
        <f>_xlfn.IFNA($M182/VLOOKUP($BT182,'Unit information'!$A$2:$K$29,5,FALSE)*U182,0)*(1+$E$9)</f>
        <v>0</v>
      </c>
      <c r="AX182" s="107">
        <f>_xlfn.IFNA($M182/VLOOKUP($BU182,'Unit information'!$A$2:$K$29,6,FALSE)*V182,0)*(1+$E$9)</f>
        <v>0</v>
      </c>
      <c r="AY182" s="107">
        <f>_xlfn.IFNA($M182/VLOOKUP($BU182,'Unit information'!$A$2:$K$29,7,FALSE)*W182,0)*(1+$E$9)</f>
        <v>0</v>
      </c>
      <c r="AZ182" s="107">
        <f>_xlfn.IFNA($M182/VLOOKUP($BU182,'Unit information'!$A$2:$K$29,8,FALSE)*X182,0)*(1+$E$9)</f>
        <v>0</v>
      </c>
      <c r="BA182" s="107">
        <f>_xlfn.IFNA($M182/VLOOKUP($BU182,'Unit information'!$A$2:$K$29,9,FALSE)*Y182,0)*(1+$E$9)</f>
        <v>0</v>
      </c>
      <c r="BB182" s="107">
        <f>_xlfn.IFNA($M182/VLOOKUP($BV182,'Unit information'!$A$2:$K$29,10,FALSE)*Z182,0)*(1+$E$9)</f>
        <v>0</v>
      </c>
      <c r="BC182" s="108">
        <f>_xlfn.IFNA($M182/VLOOKUP($BV182,'Unit information'!$A$2:$K$29,11,FALSE)*AA182,0)*(1+$E$9)</f>
        <v>0</v>
      </c>
      <c r="BD182" s="106">
        <f t="shared" si="328"/>
        <v>0</v>
      </c>
      <c r="BE182" s="107">
        <f t="shared" si="329"/>
        <v>0</v>
      </c>
      <c r="BF182" s="108">
        <f t="shared" si="330"/>
        <v>0</v>
      </c>
      <c r="BG182" s="25" t="e">
        <f t="shared" si="331"/>
        <v>#N/A</v>
      </c>
      <c r="BH182" s="25" t="e">
        <f t="shared" si="332"/>
        <v>#N/A</v>
      </c>
      <c r="BI182" s="25" t="e">
        <f t="shared" si="333"/>
        <v>#N/A</v>
      </c>
      <c r="BJ182" s="27" t="e">
        <f t="shared" si="334"/>
        <v>#N/A</v>
      </c>
      <c r="BK182" s="18" t="e">
        <f t="shared" si="335"/>
        <v>#N/A</v>
      </c>
      <c r="BL182" s="18" t="e">
        <f t="shared" si="336"/>
        <v>#N/A</v>
      </c>
      <c r="BM182" s="28" t="e">
        <f t="shared" si="387"/>
        <v>#N/A</v>
      </c>
      <c r="BN182" s="33">
        <f>HLOOKUP("maximum population",Miscelaneous!$C$1:$C$33,CH182+3,FALSE)</f>
        <v>240</v>
      </c>
      <c r="BO182" s="14">
        <f t="shared" si="349"/>
        <v>32</v>
      </c>
      <c r="BP182" s="14">
        <f t="shared" si="350"/>
        <v>0</v>
      </c>
      <c r="BQ182" s="14">
        <f t="shared" si="351"/>
        <v>208</v>
      </c>
      <c r="BR182" s="34" t="e">
        <f>HLOOKUP(J182,Villagers!$B$1:$V$33,L182+3,FALSE)-HLOOKUP(J182,Villagers!$B$1:$V$33,L182+2,FALSE)</f>
        <v>#N/A</v>
      </c>
      <c r="BS182" s="49">
        <f t="shared" si="352"/>
        <v>1</v>
      </c>
      <c r="BT182" s="50">
        <f t="shared" si="353"/>
        <v>0</v>
      </c>
      <c r="BU182" s="50">
        <f t="shared" si="354"/>
        <v>0</v>
      </c>
      <c r="BV182" s="50">
        <f t="shared" si="355"/>
        <v>0</v>
      </c>
      <c r="BW182" s="50">
        <f t="shared" si="434"/>
        <v>0</v>
      </c>
      <c r="BX182" s="50">
        <f t="shared" si="434"/>
        <v>0</v>
      </c>
      <c r="BY182" s="50">
        <f t="shared" si="434"/>
        <v>0</v>
      </c>
      <c r="BZ182" s="50">
        <f t="shared" si="401"/>
        <v>0</v>
      </c>
      <c r="CA182" s="50">
        <f t="shared" si="402"/>
        <v>0</v>
      </c>
      <c r="CB182" s="50">
        <f t="shared" si="403"/>
        <v>1</v>
      </c>
      <c r="CC182" s="50">
        <f t="shared" si="404"/>
        <v>0</v>
      </c>
      <c r="CD182" s="50">
        <f t="shared" si="405"/>
        <v>0</v>
      </c>
      <c r="CE182" s="50">
        <f t="shared" si="406"/>
        <v>1</v>
      </c>
      <c r="CF182" s="50">
        <f t="shared" si="407"/>
        <v>1</v>
      </c>
      <c r="CG182" s="50">
        <f t="shared" si="408"/>
        <v>1</v>
      </c>
      <c r="CH182" s="50">
        <f t="shared" si="409"/>
        <v>1</v>
      </c>
      <c r="CI182" s="50">
        <f t="shared" si="410"/>
        <v>1</v>
      </c>
      <c r="CJ182" s="50">
        <f t="shared" si="411"/>
        <v>1</v>
      </c>
      <c r="CK182" s="50">
        <f t="shared" si="411"/>
        <v>0</v>
      </c>
      <c r="CL182" s="50">
        <f t="shared" si="411"/>
        <v>0</v>
      </c>
      <c r="CM182" s="51">
        <f t="shared" si="432"/>
        <v>0</v>
      </c>
      <c r="CN182" s="33">
        <f>ROUND(IF(BS182=0,0,HLOOKUP(BS$14,Villagers!$B$1:$V$33,BS182+3,FALSE)),)</f>
        <v>5</v>
      </c>
      <c r="CO182" s="14">
        <f>ROUND(IF(BT182=0,0,HLOOKUP(BT$14,Villagers!$B$1:$V$33,BT182+3,FALSE)),)</f>
        <v>0</v>
      </c>
      <c r="CP182" s="14">
        <f>ROUND(IF(BU182=0,0,HLOOKUP(BU$14,Villagers!$B$1:$V$33,BU182+3,FALSE)),)</f>
        <v>0</v>
      </c>
      <c r="CQ182" s="14">
        <f>ROUND(IF(BV182=0,0,HLOOKUP(BV$14,Villagers!$B$1:$V$33,BV182+3,FALSE)),)</f>
        <v>0</v>
      </c>
      <c r="CR182" s="14">
        <f>ROUND(IF(BW182=0,0,HLOOKUP(BW$14,Villagers!$B$1:$V$33,BW182+3,FALSE)),)</f>
        <v>0</v>
      </c>
      <c r="CS182" s="14">
        <f>ROUND(IF(BX182=0,0,HLOOKUP(BX$14,Villagers!$B$1:$V$33,BX182+3,FALSE)),)</f>
        <v>0</v>
      </c>
      <c r="CT182" s="14">
        <f>ROUND(IF(BY182=0,0,HLOOKUP(BY$14,Villagers!$B$1:$V$33,BY182+3,FALSE)),)</f>
        <v>0</v>
      </c>
      <c r="CU182" s="14">
        <f>ROUND(IF(BZ182=0,0,HLOOKUP(BZ$14,Villagers!$B$1:$V$33,BZ182+3,FALSE)),)</f>
        <v>0</v>
      </c>
      <c r="CV182" s="14">
        <f>ROUND(IF(CA182=0,0,HLOOKUP(CA$14,Villagers!$B$1:$V$33,CA182+3,FALSE)),)</f>
        <v>0</v>
      </c>
      <c r="CW182" s="14">
        <f>ROUND(IF(CB182=0,0,HLOOKUP(CB$14,Villagers!$B$1:$V$33,CB182+3,FALSE)),)</f>
        <v>0</v>
      </c>
      <c r="CX182" s="14">
        <f>ROUND(IF(CC182=0,0,HLOOKUP(CC$14,Villagers!$B$1:$V$33,CC182+3,FALSE)),)</f>
        <v>0</v>
      </c>
      <c r="CY182" s="14">
        <f>ROUND(IF(CD182=0,0,HLOOKUP(CD$14,Villagers!$B$1:$V$33,CD182+3,FALSE)),)</f>
        <v>0</v>
      </c>
      <c r="CZ182" s="14">
        <f>ROUND(IF(CE182=0,0,HLOOKUP(CE$14,Villagers!$B$1:$V$33,CE182+3,FALSE)),)</f>
        <v>5</v>
      </c>
      <c r="DA182" s="14">
        <f>ROUND(IF(CF182=0,0,HLOOKUP(CF$14,Villagers!$B$1:$V$33,CF182+3,FALSE)),)</f>
        <v>10</v>
      </c>
      <c r="DB182" s="14">
        <f>ROUND(IF(CG182=0,0,HLOOKUP(CG$14,Villagers!$B$1:$V$33,CG182+3,FALSE)),)</f>
        <v>10</v>
      </c>
      <c r="DC182" s="14">
        <f>ROUND(IF(CH182=0,0,HLOOKUP(CH$14,Villagers!$B$1:$V$33,CH182+3,FALSE)),)</f>
        <v>0</v>
      </c>
      <c r="DD182" s="14">
        <f>ROUND(IF(CI182=0,0,HLOOKUP(CI$14,Villagers!$B$1:$V$33,CI182+3,FALSE)),)</f>
        <v>0</v>
      </c>
      <c r="DE182" s="14">
        <f>ROUND(IF(CJ182=0,0,HLOOKUP(CJ$14,Villagers!$B$1:$V$33,CJ182+3,FALSE)),)</f>
        <v>2</v>
      </c>
      <c r="DF182" s="370">
        <f>ROUND(IF(CK182=0,0,HLOOKUP(CK$14,Villagers!$B$1:$V$33,CK182+3,FALSE)),)</f>
        <v>0</v>
      </c>
      <c r="DG182" s="370">
        <f>ROUND(IF(CL182=0,0,HLOOKUP(CL$14,Villagers!$B$1:$V$33,CL182+3,FALSE)),)</f>
        <v>0</v>
      </c>
      <c r="DH182" s="34">
        <f>ROUND(IF(CM182=0,0,HLOOKUP(CM$14,Villagers!$B$1:$V$33,CM182+3,FALSE)),)</f>
        <v>0</v>
      </c>
      <c r="DI182" s="109">
        <f t="shared" si="373"/>
        <v>0</v>
      </c>
      <c r="DJ182" s="50">
        <f t="shared" si="374"/>
        <v>0</v>
      </c>
      <c r="DK182" s="50">
        <f t="shared" si="375"/>
        <v>0</v>
      </c>
      <c r="DL182" s="50">
        <f t="shared" si="376"/>
        <v>0</v>
      </c>
      <c r="DM182" s="50">
        <f t="shared" si="377"/>
        <v>0</v>
      </c>
      <c r="DN182" s="50">
        <f t="shared" si="378"/>
        <v>0</v>
      </c>
      <c r="DO182" s="50">
        <f t="shared" si="379"/>
        <v>0</v>
      </c>
      <c r="DP182" s="50">
        <f t="shared" si="380"/>
        <v>0</v>
      </c>
      <c r="DQ182" s="50">
        <f t="shared" si="357"/>
        <v>0</v>
      </c>
      <c r="DR182" s="50">
        <f t="shared" si="358"/>
        <v>0</v>
      </c>
      <c r="DS182" s="96">
        <f>Miscelaneous!$D$4*Miscelaneous!$D$2^($CI182-1)</f>
        <v>1000</v>
      </c>
      <c r="DT182" s="333">
        <f t="shared" si="337"/>
        <v>1</v>
      </c>
      <c r="DU182" s="81">
        <v>1</v>
      </c>
      <c r="DV182" s="79">
        <f t="shared" si="359"/>
        <v>0</v>
      </c>
      <c r="DW182" s="79">
        <f t="shared" si="360"/>
        <v>0</v>
      </c>
      <c r="DX182" s="79">
        <f t="shared" si="361"/>
        <v>0</v>
      </c>
      <c r="DY182" s="79">
        <v>1</v>
      </c>
      <c r="DZ182" s="79">
        <f t="shared" si="362"/>
        <v>0</v>
      </c>
      <c r="EA182" s="79">
        <f t="shared" si="363"/>
        <v>0</v>
      </c>
      <c r="EB182" s="79">
        <f t="shared" si="364"/>
        <v>0</v>
      </c>
      <c r="EC182" s="79">
        <f t="shared" si="365"/>
        <v>0</v>
      </c>
      <c r="ED182" s="79">
        <v>1</v>
      </c>
      <c r="EE182" s="79">
        <v>1</v>
      </c>
      <c r="EF182" s="79">
        <f t="shared" si="366"/>
        <v>0</v>
      </c>
      <c r="EG182" s="79">
        <v>1</v>
      </c>
      <c r="EH182" s="79">
        <v>1</v>
      </c>
      <c r="EI182" s="79">
        <v>1</v>
      </c>
      <c r="EJ182" s="79">
        <v>1</v>
      </c>
      <c r="EK182" s="79">
        <v>1</v>
      </c>
      <c r="EL182" s="79">
        <v>1</v>
      </c>
      <c r="EM182" s="143">
        <f t="shared" si="367"/>
        <v>0</v>
      </c>
      <c r="EN182" s="143">
        <f t="shared" si="368"/>
        <v>0</v>
      </c>
      <c r="EO182" s="82">
        <f t="shared" si="369"/>
        <v>0</v>
      </c>
    </row>
    <row r="183" spans="1:145" x14ac:dyDescent="0.25">
      <c r="A183">
        <v>169</v>
      </c>
      <c r="B183" s="172" t="e">
        <f t="shared" si="338"/>
        <v>#N/A</v>
      </c>
      <c r="C183" s="121" t="e">
        <f t="shared" ref="C183:E183" si="442">AJ183-SUM(AB183:AB187)</f>
        <v>#N/A</v>
      </c>
      <c r="D183" s="122" t="e">
        <f t="shared" si="442"/>
        <v>#N/A</v>
      </c>
      <c r="E183" s="122" t="e">
        <f t="shared" si="442"/>
        <v>#N/A</v>
      </c>
      <c r="F183" s="176" t="e">
        <f t="shared" si="320"/>
        <v>#N/A</v>
      </c>
      <c r="G183" s="121">
        <f t="shared" si="340"/>
        <v>208</v>
      </c>
      <c r="H183" s="176" t="e">
        <f t="shared" si="341"/>
        <v>#N/A</v>
      </c>
      <c r="I183" s="48">
        <v>1</v>
      </c>
      <c r="J183" s="39"/>
      <c r="K183" s="350">
        <v>1</v>
      </c>
      <c r="L183" s="34" t="e">
        <f t="shared" si="321"/>
        <v>#N/A</v>
      </c>
      <c r="M183" s="38" t="e">
        <f>(HLOOKUP(J183,'Construction Times'!$B$3:$W$34,L183+2,FALSE)*HLOOKUP("hq modifier",'Construction Times'!$W$3:$W$34,BS183+2,FALSE))*(1-$H$9)</f>
        <v>#N/A</v>
      </c>
      <c r="N183" s="426" t="e">
        <f t="shared" si="342"/>
        <v>#N/A</v>
      </c>
      <c r="O183" s="427"/>
      <c r="P183" s="430" t="e">
        <f t="shared" si="343"/>
        <v>#N/A</v>
      </c>
      <c r="Q183" s="431"/>
      <c r="R183" s="103">
        <f t="shared" si="371"/>
        <v>0</v>
      </c>
      <c r="S183" s="104">
        <f t="shared" si="371"/>
        <v>0</v>
      </c>
      <c r="T183" s="104">
        <f t="shared" si="372"/>
        <v>0</v>
      </c>
      <c r="U183" s="104">
        <f t="shared" si="372"/>
        <v>0</v>
      </c>
      <c r="V183" s="104">
        <f t="shared" si="372"/>
        <v>9.9999999999999995E-8</v>
      </c>
      <c r="W183" s="104">
        <f t="shared" si="372"/>
        <v>0</v>
      </c>
      <c r="X183" s="104">
        <f t="shared" si="429"/>
        <v>0</v>
      </c>
      <c r="Y183" s="104">
        <f t="shared" si="429"/>
        <v>9.9999999999999995E-8</v>
      </c>
      <c r="Z183" s="104">
        <f t="shared" si="429"/>
        <v>9.9999999999999995E-8</v>
      </c>
      <c r="AA183" s="105">
        <f t="shared" si="429"/>
        <v>9.9999999999999995E-8</v>
      </c>
      <c r="AB183" s="101" t="e">
        <f>$DT183*HLOOKUP($J183,'Construction Costs (timber)'!$B$1:$V$32,'Construction Planner'!$L183+2,FALSE)</f>
        <v>#N/A</v>
      </c>
      <c r="AC183" s="14" t="e">
        <f>$DT183*HLOOKUP($J183,'Construction Costs (clay)'!$B$1:$V$32,'Construction Planner'!$L183+2,FALSE)</f>
        <v>#N/A</v>
      </c>
      <c r="AD183" s="14" t="e">
        <f>$DT183*HLOOKUP($J183,'Construction Costs (iron)'!$B$1:$V$32,'Construction Planner'!$L183+2,FALSE)</f>
        <v>#N/A</v>
      </c>
      <c r="AE183" s="34" t="e">
        <f t="shared" si="384"/>
        <v>#N/A</v>
      </c>
      <c r="AF183" s="33" t="e">
        <f t="shared" si="322"/>
        <v>#N/A</v>
      </c>
      <c r="AG183" s="14" t="e">
        <f t="shared" si="323"/>
        <v>#N/A</v>
      </c>
      <c r="AH183" s="14" t="e">
        <f t="shared" si="324"/>
        <v>#N/A</v>
      </c>
      <c r="AI183" s="34" t="e">
        <f t="shared" si="385"/>
        <v>#N/A</v>
      </c>
      <c r="AJ183" s="49" t="e">
        <f t="shared" si="345"/>
        <v>#N/A</v>
      </c>
      <c r="AK183" s="49" t="e">
        <f t="shared" si="346"/>
        <v>#N/A</v>
      </c>
      <c r="AL183" s="49" t="e">
        <f t="shared" si="347"/>
        <v>#N/A</v>
      </c>
      <c r="AM183" s="25">
        <f t="shared" si="325"/>
        <v>30</v>
      </c>
      <c r="AN183" s="25">
        <f t="shared" si="326"/>
        <v>30</v>
      </c>
      <c r="AO183" s="25">
        <f t="shared" si="327"/>
        <v>30</v>
      </c>
      <c r="AP183" s="52" t="e">
        <f t="shared" si="348"/>
        <v>#N/A</v>
      </c>
      <c r="AQ183" s="53" t="e">
        <f t="shared" si="348"/>
        <v>#N/A</v>
      </c>
      <c r="AR183" s="54" t="e">
        <f t="shared" si="348"/>
        <v>#N/A</v>
      </c>
      <c r="AS183" s="316">
        <f t="shared" si="439"/>
        <v>0</v>
      </c>
      <c r="AT183" s="106">
        <f>_xlfn.IFNA($M183/VLOOKUP($BT183,'Unit information'!$A$2:$K$29,2,FALSE)*R183,0)*(1+$E$9)</f>
        <v>0</v>
      </c>
      <c r="AU183" s="107">
        <f>_xlfn.IFNA($M183/VLOOKUP($BT183,'Unit information'!$A$2:$K$29,3,FALSE)*S183,0)*(1+$E$9)</f>
        <v>0</v>
      </c>
      <c r="AV183" s="107">
        <f>_xlfn.IFNA($M183/VLOOKUP($BT183,'Unit information'!$A$2:$K$29,4,FALSE)*T183,0)*(1+$E$9)</f>
        <v>0</v>
      </c>
      <c r="AW183" s="107">
        <f>_xlfn.IFNA($M183/VLOOKUP($BT183,'Unit information'!$A$2:$K$29,5,FALSE)*U183,0)*(1+$E$9)</f>
        <v>0</v>
      </c>
      <c r="AX183" s="107">
        <f>_xlfn.IFNA($M183/VLOOKUP($BU183,'Unit information'!$A$2:$K$29,6,FALSE)*V183,0)*(1+$E$9)</f>
        <v>0</v>
      </c>
      <c r="AY183" s="107">
        <f>_xlfn.IFNA($M183/VLOOKUP($BU183,'Unit information'!$A$2:$K$29,7,FALSE)*W183,0)*(1+$E$9)</f>
        <v>0</v>
      </c>
      <c r="AZ183" s="107">
        <f>_xlfn.IFNA($M183/VLOOKUP($BU183,'Unit information'!$A$2:$K$29,8,FALSE)*X183,0)*(1+$E$9)</f>
        <v>0</v>
      </c>
      <c r="BA183" s="107">
        <f>_xlfn.IFNA($M183/VLOOKUP($BU183,'Unit information'!$A$2:$K$29,9,FALSE)*Y183,0)*(1+$E$9)</f>
        <v>0</v>
      </c>
      <c r="BB183" s="107">
        <f>_xlfn.IFNA($M183/VLOOKUP($BV183,'Unit information'!$A$2:$K$29,10,FALSE)*Z183,0)*(1+$E$9)</f>
        <v>0</v>
      </c>
      <c r="BC183" s="108">
        <f>_xlfn.IFNA($M183/VLOOKUP($BV183,'Unit information'!$A$2:$K$29,11,FALSE)*AA183,0)*(1+$E$9)</f>
        <v>0</v>
      </c>
      <c r="BD183" s="106">
        <f t="shared" si="328"/>
        <v>0</v>
      </c>
      <c r="BE183" s="107">
        <f t="shared" si="329"/>
        <v>0</v>
      </c>
      <c r="BF183" s="108">
        <f t="shared" si="330"/>
        <v>0</v>
      </c>
      <c r="BG183" s="25" t="e">
        <f t="shared" si="331"/>
        <v>#N/A</v>
      </c>
      <c r="BH183" s="25" t="e">
        <f t="shared" si="332"/>
        <v>#N/A</v>
      </c>
      <c r="BI183" s="25" t="e">
        <f t="shared" si="333"/>
        <v>#N/A</v>
      </c>
      <c r="BJ183" s="27" t="e">
        <f t="shared" si="334"/>
        <v>#N/A</v>
      </c>
      <c r="BK183" s="18" t="e">
        <f t="shared" si="335"/>
        <v>#N/A</v>
      </c>
      <c r="BL183" s="18" t="e">
        <f t="shared" si="336"/>
        <v>#N/A</v>
      </c>
      <c r="BM183" s="28" t="e">
        <f t="shared" si="387"/>
        <v>#N/A</v>
      </c>
      <c r="BN183" s="33">
        <f>HLOOKUP("maximum population",Miscelaneous!$C$1:$C$33,CH183+3,FALSE)</f>
        <v>240</v>
      </c>
      <c r="BO183" s="14">
        <f t="shared" si="349"/>
        <v>32</v>
      </c>
      <c r="BP183" s="14">
        <f t="shared" si="350"/>
        <v>0</v>
      </c>
      <c r="BQ183" s="14">
        <f t="shared" si="351"/>
        <v>208</v>
      </c>
      <c r="BR183" s="34" t="e">
        <f>HLOOKUP(J183,Villagers!$B$1:$V$33,L183+3,FALSE)-HLOOKUP(J183,Villagers!$B$1:$V$33,L183+2,FALSE)</f>
        <v>#N/A</v>
      </c>
      <c r="BS183" s="49">
        <f t="shared" si="352"/>
        <v>1</v>
      </c>
      <c r="BT183" s="50">
        <f t="shared" si="353"/>
        <v>0</v>
      </c>
      <c r="BU183" s="50">
        <f t="shared" si="354"/>
        <v>0</v>
      </c>
      <c r="BV183" s="50">
        <f t="shared" si="355"/>
        <v>0</v>
      </c>
      <c r="BW183" s="50">
        <f>IF($J182=BW$14,$L182,BW182)</f>
        <v>0</v>
      </c>
      <c r="BX183" s="50">
        <f t="shared" ref="BX183:BY191" si="443">IF($J182=BX$14,$L182,BX182)</f>
        <v>0</v>
      </c>
      <c r="BY183" s="50">
        <f t="shared" si="443"/>
        <v>0</v>
      </c>
      <c r="BZ183" s="50">
        <f t="shared" si="401"/>
        <v>0</v>
      </c>
      <c r="CA183" s="50">
        <f t="shared" si="402"/>
        <v>0</v>
      </c>
      <c r="CB183" s="50">
        <f t="shared" si="403"/>
        <v>1</v>
      </c>
      <c r="CC183" s="50">
        <f t="shared" si="404"/>
        <v>0</v>
      </c>
      <c r="CD183" s="50">
        <f t="shared" si="405"/>
        <v>0</v>
      </c>
      <c r="CE183" s="50">
        <f t="shared" si="406"/>
        <v>1</v>
      </c>
      <c r="CF183" s="50">
        <f t="shared" si="407"/>
        <v>1</v>
      </c>
      <c r="CG183" s="50">
        <f t="shared" si="408"/>
        <v>1</v>
      </c>
      <c r="CH183" s="50">
        <f t="shared" si="409"/>
        <v>1</v>
      </c>
      <c r="CI183" s="50">
        <f t="shared" si="410"/>
        <v>1</v>
      </c>
      <c r="CJ183" s="50">
        <f t="shared" si="411"/>
        <v>1</v>
      </c>
      <c r="CK183" s="50">
        <f t="shared" si="411"/>
        <v>0</v>
      </c>
      <c r="CL183" s="50">
        <f t="shared" si="411"/>
        <v>0</v>
      </c>
      <c r="CM183" s="51">
        <f t="shared" si="432"/>
        <v>0</v>
      </c>
      <c r="CN183" s="33">
        <f>ROUND(IF(BS183=0,0,HLOOKUP(BS$14,Villagers!$B$1:$V$33,BS183+3,FALSE)),)</f>
        <v>5</v>
      </c>
      <c r="CO183" s="14">
        <f>ROUND(IF(BT183=0,0,HLOOKUP(BT$14,Villagers!$B$1:$V$33,BT183+3,FALSE)),)</f>
        <v>0</v>
      </c>
      <c r="CP183" s="14">
        <f>ROUND(IF(BU183=0,0,HLOOKUP(BU$14,Villagers!$B$1:$V$33,BU183+3,FALSE)),)</f>
        <v>0</v>
      </c>
      <c r="CQ183" s="14">
        <f>ROUND(IF(BV183=0,0,HLOOKUP(BV$14,Villagers!$B$1:$V$33,BV183+3,FALSE)),)</f>
        <v>0</v>
      </c>
      <c r="CR183" s="14">
        <f>ROUND(IF(BW183=0,0,HLOOKUP(BW$14,Villagers!$B$1:$V$33,BW183+3,FALSE)),)</f>
        <v>0</v>
      </c>
      <c r="CS183" s="14">
        <f>ROUND(IF(BX183=0,0,HLOOKUP(BX$14,Villagers!$B$1:$V$33,BX183+3,FALSE)),)</f>
        <v>0</v>
      </c>
      <c r="CT183" s="14">
        <f>ROUND(IF(BY183=0,0,HLOOKUP(BY$14,Villagers!$B$1:$V$33,BY183+3,FALSE)),)</f>
        <v>0</v>
      </c>
      <c r="CU183" s="14">
        <f>ROUND(IF(BZ183=0,0,HLOOKUP(BZ$14,Villagers!$B$1:$V$33,BZ183+3,FALSE)),)</f>
        <v>0</v>
      </c>
      <c r="CV183" s="14">
        <f>ROUND(IF(CA183=0,0,HLOOKUP(CA$14,Villagers!$B$1:$V$33,CA183+3,FALSE)),)</f>
        <v>0</v>
      </c>
      <c r="CW183" s="14">
        <f>ROUND(IF(CB183=0,0,HLOOKUP(CB$14,Villagers!$B$1:$V$33,CB183+3,FALSE)),)</f>
        <v>0</v>
      </c>
      <c r="CX183" s="14">
        <f>ROUND(IF(CC183=0,0,HLOOKUP(CC$14,Villagers!$B$1:$V$33,CC183+3,FALSE)),)</f>
        <v>0</v>
      </c>
      <c r="CY183" s="14">
        <f>ROUND(IF(CD183=0,0,HLOOKUP(CD$14,Villagers!$B$1:$V$33,CD183+3,FALSE)),)</f>
        <v>0</v>
      </c>
      <c r="CZ183" s="14">
        <f>ROUND(IF(CE183=0,0,HLOOKUP(CE$14,Villagers!$B$1:$V$33,CE183+3,FALSE)),)</f>
        <v>5</v>
      </c>
      <c r="DA183" s="14">
        <f>ROUND(IF(CF183=0,0,HLOOKUP(CF$14,Villagers!$B$1:$V$33,CF183+3,FALSE)),)</f>
        <v>10</v>
      </c>
      <c r="DB183" s="14">
        <f>ROUND(IF(CG183=0,0,HLOOKUP(CG$14,Villagers!$B$1:$V$33,CG183+3,FALSE)),)</f>
        <v>10</v>
      </c>
      <c r="DC183" s="14">
        <f>ROUND(IF(CH183=0,0,HLOOKUP(CH$14,Villagers!$B$1:$V$33,CH183+3,FALSE)),)</f>
        <v>0</v>
      </c>
      <c r="DD183" s="14">
        <f>ROUND(IF(CI183=0,0,HLOOKUP(CI$14,Villagers!$B$1:$V$33,CI183+3,FALSE)),)</f>
        <v>0</v>
      </c>
      <c r="DE183" s="14">
        <f>ROUND(IF(CJ183=0,0,HLOOKUP(CJ$14,Villagers!$B$1:$V$33,CJ183+3,FALSE)),)</f>
        <v>2</v>
      </c>
      <c r="DF183" s="370">
        <f>ROUND(IF(CK183=0,0,HLOOKUP(CK$14,Villagers!$B$1:$V$33,CK183+3,FALSE)),)</f>
        <v>0</v>
      </c>
      <c r="DG183" s="370">
        <f>ROUND(IF(CL183=0,0,HLOOKUP(CL$14,Villagers!$B$1:$V$33,CL183+3,FALSE)),)</f>
        <v>0</v>
      </c>
      <c r="DH183" s="34">
        <f>ROUND(IF(CM183=0,0,HLOOKUP(CM$14,Villagers!$B$1:$V$33,CM183+3,FALSE)),)</f>
        <v>0</v>
      </c>
      <c r="DI183" s="109">
        <f t="shared" si="373"/>
        <v>0</v>
      </c>
      <c r="DJ183" s="50">
        <f t="shared" si="374"/>
        <v>0</v>
      </c>
      <c r="DK183" s="50">
        <f t="shared" si="375"/>
        <v>0</v>
      </c>
      <c r="DL183" s="50">
        <f t="shared" si="376"/>
        <v>0</v>
      </c>
      <c r="DM183" s="50">
        <f t="shared" si="377"/>
        <v>0</v>
      </c>
      <c r="DN183" s="50">
        <f t="shared" si="378"/>
        <v>0</v>
      </c>
      <c r="DO183" s="50">
        <f t="shared" si="379"/>
        <v>0</v>
      </c>
      <c r="DP183" s="50">
        <f t="shared" si="380"/>
        <v>0</v>
      </c>
      <c r="DQ183" s="50">
        <f t="shared" si="357"/>
        <v>0</v>
      </c>
      <c r="DR183" s="50">
        <f t="shared" si="358"/>
        <v>0</v>
      </c>
      <c r="DS183" s="96">
        <f>Miscelaneous!$D$4*Miscelaneous!$D$2^($CI183-1)</f>
        <v>1000</v>
      </c>
      <c r="DT183" s="333">
        <f t="shared" si="337"/>
        <v>1</v>
      </c>
      <c r="DU183" s="81">
        <v>1</v>
      </c>
      <c r="DV183" s="79">
        <f t="shared" si="359"/>
        <v>0</v>
      </c>
      <c r="DW183" s="79">
        <f t="shared" si="360"/>
        <v>0</v>
      </c>
      <c r="DX183" s="79">
        <f t="shared" si="361"/>
        <v>0</v>
      </c>
      <c r="DY183" s="79">
        <v>1</v>
      </c>
      <c r="DZ183" s="79">
        <f t="shared" si="362"/>
        <v>0</v>
      </c>
      <c r="EA183" s="79">
        <f t="shared" si="363"/>
        <v>0</v>
      </c>
      <c r="EB183" s="79">
        <f t="shared" si="364"/>
        <v>0</v>
      </c>
      <c r="EC183" s="79">
        <f t="shared" si="365"/>
        <v>0</v>
      </c>
      <c r="ED183" s="79">
        <v>1</v>
      </c>
      <c r="EE183" s="79">
        <v>1</v>
      </c>
      <c r="EF183" s="79">
        <f t="shared" si="366"/>
        <v>0</v>
      </c>
      <c r="EG183" s="79">
        <v>1</v>
      </c>
      <c r="EH183" s="79">
        <v>1</v>
      </c>
      <c r="EI183" s="79">
        <v>1</v>
      </c>
      <c r="EJ183" s="79">
        <v>1</v>
      </c>
      <c r="EK183" s="79">
        <v>1</v>
      </c>
      <c r="EL183" s="79">
        <v>1</v>
      </c>
      <c r="EM183" s="143">
        <f t="shared" si="367"/>
        <v>0</v>
      </c>
      <c r="EN183" s="143">
        <f t="shared" si="368"/>
        <v>0</v>
      </c>
      <c r="EO183" s="82">
        <f t="shared" si="369"/>
        <v>0</v>
      </c>
    </row>
    <row r="184" spans="1:145" x14ac:dyDescent="0.25">
      <c r="A184">
        <v>170</v>
      </c>
      <c r="B184" s="172" t="e">
        <f t="shared" si="338"/>
        <v>#N/A</v>
      </c>
      <c r="C184" s="121" t="e">
        <f t="shared" ref="C184:E184" si="444">AJ184-SUM(AB184:AB188)</f>
        <v>#N/A</v>
      </c>
      <c r="D184" s="122" t="e">
        <f t="shared" si="444"/>
        <v>#N/A</v>
      </c>
      <c r="E184" s="122" t="e">
        <f t="shared" si="444"/>
        <v>#N/A</v>
      </c>
      <c r="F184" s="176" t="e">
        <f t="shared" si="320"/>
        <v>#N/A</v>
      </c>
      <c r="G184" s="121">
        <f t="shared" si="340"/>
        <v>208</v>
      </c>
      <c r="H184" s="176" t="e">
        <f t="shared" si="341"/>
        <v>#N/A</v>
      </c>
      <c r="I184" s="48">
        <v>1</v>
      </c>
      <c r="J184" s="39"/>
      <c r="K184" s="350">
        <v>1</v>
      </c>
      <c r="L184" s="34" t="e">
        <f t="shared" si="321"/>
        <v>#N/A</v>
      </c>
      <c r="M184" s="38" t="e">
        <f>(HLOOKUP(J184,'Construction Times'!$B$3:$W$34,L184+2,FALSE)*HLOOKUP("hq modifier",'Construction Times'!$W$3:$W$34,BS184+2,FALSE))*(1-$H$9)</f>
        <v>#N/A</v>
      </c>
      <c r="N184" s="426" t="e">
        <f t="shared" si="342"/>
        <v>#N/A</v>
      </c>
      <c r="O184" s="427"/>
      <c r="P184" s="430" t="e">
        <f t="shared" si="343"/>
        <v>#N/A</v>
      </c>
      <c r="Q184" s="431"/>
      <c r="R184" s="103">
        <f t="shared" si="371"/>
        <v>0</v>
      </c>
      <c r="S184" s="104">
        <f t="shared" si="371"/>
        <v>0</v>
      </c>
      <c r="T184" s="104">
        <f t="shared" si="372"/>
        <v>0</v>
      </c>
      <c r="U184" s="104">
        <f t="shared" si="372"/>
        <v>0</v>
      </c>
      <c r="V184" s="104">
        <f t="shared" si="372"/>
        <v>9.9999999999999995E-8</v>
      </c>
      <c r="W184" s="104">
        <f t="shared" si="372"/>
        <v>0</v>
      </c>
      <c r="X184" s="104">
        <f t="shared" si="429"/>
        <v>0</v>
      </c>
      <c r="Y184" s="104">
        <f t="shared" si="429"/>
        <v>9.9999999999999995E-8</v>
      </c>
      <c r="Z184" s="104">
        <f t="shared" si="429"/>
        <v>9.9999999999999995E-8</v>
      </c>
      <c r="AA184" s="105">
        <f t="shared" si="429"/>
        <v>9.9999999999999995E-8</v>
      </c>
      <c r="AB184" s="101" t="e">
        <f>$DT184*HLOOKUP($J184,'Construction Costs (timber)'!$B$1:$V$32,'Construction Planner'!$L184+2,FALSE)</f>
        <v>#N/A</v>
      </c>
      <c r="AC184" s="14" t="e">
        <f>$DT184*HLOOKUP($J184,'Construction Costs (clay)'!$B$1:$V$32,'Construction Planner'!$L184+2,FALSE)</f>
        <v>#N/A</v>
      </c>
      <c r="AD184" s="14" t="e">
        <f>$DT184*HLOOKUP($J184,'Construction Costs (iron)'!$B$1:$V$32,'Construction Planner'!$L184+2,FALSE)</f>
        <v>#N/A</v>
      </c>
      <c r="AE184" s="34" t="e">
        <f t="shared" si="384"/>
        <v>#N/A</v>
      </c>
      <c r="AF184" s="33" t="e">
        <f t="shared" si="322"/>
        <v>#N/A</v>
      </c>
      <c r="AG184" s="14" t="e">
        <f t="shared" si="323"/>
        <v>#N/A</v>
      </c>
      <c r="AH184" s="14" t="e">
        <f t="shared" si="324"/>
        <v>#N/A</v>
      </c>
      <c r="AI184" s="34" t="e">
        <f t="shared" si="385"/>
        <v>#N/A</v>
      </c>
      <c r="AJ184" s="49" t="e">
        <f t="shared" si="345"/>
        <v>#N/A</v>
      </c>
      <c r="AK184" s="49" t="e">
        <f t="shared" si="346"/>
        <v>#N/A</v>
      </c>
      <c r="AL184" s="49" t="e">
        <f t="shared" si="347"/>
        <v>#N/A</v>
      </c>
      <c r="AM184" s="25">
        <f t="shared" si="325"/>
        <v>30</v>
      </c>
      <c r="AN184" s="25">
        <f t="shared" si="326"/>
        <v>30</v>
      </c>
      <c r="AO184" s="25">
        <f t="shared" si="327"/>
        <v>30</v>
      </c>
      <c r="AP184" s="52" t="e">
        <f t="shared" si="348"/>
        <v>#N/A</v>
      </c>
      <c r="AQ184" s="53" t="e">
        <f t="shared" si="348"/>
        <v>#N/A</v>
      </c>
      <c r="AR184" s="54" t="e">
        <f t="shared" si="348"/>
        <v>#N/A</v>
      </c>
      <c r="AS184" s="316">
        <f t="shared" si="439"/>
        <v>0</v>
      </c>
      <c r="AT184" s="106">
        <f>_xlfn.IFNA($M184/VLOOKUP($BT184,'Unit information'!$A$2:$K$29,2,FALSE)*R184,0)*(1+$E$9)</f>
        <v>0</v>
      </c>
      <c r="AU184" s="107">
        <f>_xlfn.IFNA($M184/VLOOKUP($BT184,'Unit information'!$A$2:$K$29,3,FALSE)*S184,0)*(1+$E$9)</f>
        <v>0</v>
      </c>
      <c r="AV184" s="107">
        <f>_xlfn.IFNA($M184/VLOOKUP($BT184,'Unit information'!$A$2:$K$29,4,FALSE)*T184,0)*(1+$E$9)</f>
        <v>0</v>
      </c>
      <c r="AW184" s="107">
        <f>_xlfn.IFNA($M184/VLOOKUP($BT184,'Unit information'!$A$2:$K$29,5,FALSE)*U184,0)*(1+$E$9)</f>
        <v>0</v>
      </c>
      <c r="AX184" s="107">
        <f>_xlfn.IFNA($M184/VLOOKUP($BU184,'Unit information'!$A$2:$K$29,6,FALSE)*V184,0)*(1+$E$9)</f>
        <v>0</v>
      </c>
      <c r="AY184" s="107">
        <f>_xlfn.IFNA($M184/VLOOKUP($BU184,'Unit information'!$A$2:$K$29,7,FALSE)*W184,0)*(1+$E$9)</f>
        <v>0</v>
      </c>
      <c r="AZ184" s="107">
        <f>_xlfn.IFNA($M184/VLOOKUP($BU184,'Unit information'!$A$2:$K$29,8,FALSE)*X184,0)*(1+$E$9)</f>
        <v>0</v>
      </c>
      <c r="BA184" s="107">
        <f>_xlfn.IFNA($M184/VLOOKUP($BU184,'Unit information'!$A$2:$K$29,9,FALSE)*Y184,0)*(1+$E$9)</f>
        <v>0</v>
      </c>
      <c r="BB184" s="107">
        <f>_xlfn.IFNA($M184/VLOOKUP($BV184,'Unit information'!$A$2:$K$29,10,FALSE)*Z184,0)*(1+$E$9)</f>
        <v>0</v>
      </c>
      <c r="BC184" s="108">
        <f>_xlfn.IFNA($M184/VLOOKUP($BV184,'Unit information'!$A$2:$K$29,11,FALSE)*AA184,0)*(1+$E$9)</f>
        <v>0</v>
      </c>
      <c r="BD184" s="106">
        <f t="shared" si="328"/>
        <v>0</v>
      </c>
      <c r="BE184" s="107">
        <f t="shared" si="329"/>
        <v>0</v>
      </c>
      <c r="BF184" s="108">
        <f t="shared" si="330"/>
        <v>0</v>
      </c>
      <c r="BG184" s="25" t="e">
        <f t="shared" si="331"/>
        <v>#N/A</v>
      </c>
      <c r="BH184" s="25" t="e">
        <f t="shared" si="332"/>
        <v>#N/A</v>
      </c>
      <c r="BI184" s="25" t="e">
        <f t="shared" si="333"/>
        <v>#N/A</v>
      </c>
      <c r="BJ184" s="27" t="e">
        <f t="shared" si="334"/>
        <v>#N/A</v>
      </c>
      <c r="BK184" s="18" t="e">
        <f t="shared" si="335"/>
        <v>#N/A</v>
      </c>
      <c r="BL184" s="18" t="e">
        <f t="shared" si="336"/>
        <v>#N/A</v>
      </c>
      <c r="BM184" s="28" t="e">
        <f t="shared" si="387"/>
        <v>#N/A</v>
      </c>
      <c r="BN184" s="33">
        <f>HLOOKUP("maximum population",Miscelaneous!$C$1:$C$33,CH184+3,FALSE)</f>
        <v>240</v>
      </c>
      <c r="BO184" s="14">
        <f t="shared" si="349"/>
        <v>32</v>
      </c>
      <c r="BP184" s="14">
        <f t="shared" si="350"/>
        <v>0</v>
      </c>
      <c r="BQ184" s="14">
        <f t="shared" si="351"/>
        <v>208</v>
      </c>
      <c r="BR184" s="34" t="e">
        <f>HLOOKUP(J184,Villagers!$B$1:$V$33,L184+3,FALSE)-HLOOKUP(J184,Villagers!$B$1:$V$33,L184+2,FALSE)</f>
        <v>#N/A</v>
      </c>
      <c r="BS184" s="49">
        <f t="shared" si="352"/>
        <v>1</v>
      </c>
      <c r="BT184" s="50">
        <f t="shared" si="353"/>
        <v>0</v>
      </c>
      <c r="BU184" s="50">
        <f t="shared" si="354"/>
        <v>0</v>
      </c>
      <c r="BV184" s="50">
        <f t="shared" si="355"/>
        <v>0</v>
      </c>
      <c r="BW184" s="50">
        <f t="shared" ref="BW184:BW191" si="445">IF($J183=BW$14,$L183,BW183)</f>
        <v>0</v>
      </c>
      <c r="BX184" s="50">
        <f t="shared" si="443"/>
        <v>0</v>
      </c>
      <c r="BY184" s="50">
        <f t="shared" si="443"/>
        <v>0</v>
      </c>
      <c r="BZ184" s="50">
        <f t="shared" si="401"/>
        <v>0</v>
      </c>
      <c r="CA184" s="50">
        <f t="shared" si="402"/>
        <v>0</v>
      </c>
      <c r="CB184" s="50">
        <f t="shared" si="403"/>
        <v>1</v>
      </c>
      <c r="CC184" s="50">
        <f t="shared" si="404"/>
        <v>0</v>
      </c>
      <c r="CD184" s="50">
        <f t="shared" si="405"/>
        <v>0</v>
      </c>
      <c r="CE184" s="50">
        <f t="shared" si="406"/>
        <v>1</v>
      </c>
      <c r="CF184" s="50">
        <f t="shared" si="407"/>
        <v>1</v>
      </c>
      <c r="CG184" s="50">
        <f t="shared" si="408"/>
        <v>1</v>
      </c>
      <c r="CH184" s="50">
        <f t="shared" si="409"/>
        <v>1</v>
      </c>
      <c r="CI184" s="50">
        <f t="shared" si="410"/>
        <v>1</v>
      </c>
      <c r="CJ184" s="50">
        <f t="shared" si="411"/>
        <v>1</v>
      </c>
      <c r="CK184" s="50">
        <f t="shared" si="411"/>
        <v>0</v>
      </c>
      <c r="CL184" s="50">
        <f t="shared" si="411"/>
        <v>0</v>
      </c>
      <c r="CM184" s="51">
        <f t="shared" si="432"/>
        <v>0</v>
      </c>
      <c r="CN184" s="33">
        <f>ROUND(IF(BS184=0,0,HLOOKUP(BS$14,Villagers!$B$1:$V$33,BS184+3,FALSE)),)</f>
        <v>5</v>
      </c>
      <c r="CO184" s="14">
        <f>ROUND(IF(BT184=0,0,HLOOKUP(BT$14,Villagers!$B$1:$V$33,BT184+3,FALSE)),)</f>
        <v>0</v>
      </c>
      <c r="CP184" s="14">
        <f>ROUND(IF(BU184=0,0,HLOOKUP(BU$14,Villagers!$B$1:$V$33,BU184+3,FALSE)),)</f>
        <v>0</v>
      </c>
      <c r="CQ184" s="14">
        <f>ROUND(IF(BV184=0,0,HLOOKUP(BV$14,Villagers!$B$1:$V$33,BV184+3,FALSE)),)</f>
        <v>0</v>
      </c>
      <c r="CR184" s="14">
        <f>ROUND(IF(BW184=0,0,HLOOKUP(BW$14,Villagers!$B$1:$V$33,BW184+3,FALSE)),)</f>
        <v>0</v>
      </c>
      <c r="CS184" s="14">
        <f>ROUND(IF(BX184=0,0,HLOOKUP(BX$14,Villagers!$B$1:$V$33,BX184+3,FALSE)),)</f>
        <v>0</v>
      </c>
      <c r="CT184" s="14">
        <f>ROUND(IF(BY184=0,0,HLOOKUP(BY$14,Villagers!$B$1:$V$33,BY184+3,FALSE)),)</f>
        <v>0</v>
      </c>
      <c r="CU184" s="14">
        <f>ROUND(IF(BZ184=0,0,HLOOKUP(BZ$14,Villagers!$B$1:$V$33,BZ184+3,FALSE)),)</f>
        <v>0</v>
      </c>
      <c r="CV184" s="14">
        <f>ROUND(IF(CA184=0,0,HLOOKUP(CA$14,Villagers!$B$1:$V$33,CA184+3,FALSE)),)</f>
        <v>0</v>
      </c>
      <c r="CW184" s="14">
        <f>ROUND(IF(CB184=0,0,HLOOKUP(CB$14,Villagers!$B$1:$V$33,CB184+3,FALSE)),)</f>
        <v>0</v>
      </c>
      <c r="CX184" s="14">
        <f>ROUND(IF(CC184=0,0,HLOOKUP(CC$14,Villagers!$B$1:$V$33,CC184+3,FALSE)),)</f>
        <v>0</v>
      </c>
      <c r="CY184" s="14">
        <f>ROUND(IF(CD184=0,0,HLOOKUP(CD$14,Villagers!$B$1:$V$33,CD184+3,FALSE)),)</f>
        <v>0</v>
      </c>
      <c r="CZ184" s="14">
        <f>ROUND(IF(CE184=0,0,HLOOKUP(CE$14,Villagers!$B$1:$V$33,CE184+3,FALSE)),)</f>
        <v>5</v>
      </c>
      <c r="DA184" s="14">
        <f>ROUND(IF(CF184=0,0,HLOOKUP(CF$14,Villagers!$B$1:$V$33,CF184+3,FALSE)),)</f>
        <v>10</v>
      </c>
      <c r="DB184" s="14">
        <f>ROUND(IF(CG184=0,0,HLOOKUP(CG$14,Villagers!$B$1:$V$33,CG184+3,FALSE)),)</f>
        <v>10</v>
      </c>
      <c r="DC184" s="14">
        <f>ROUND(IF(CH184=0,0,HLOOKUP(CH$14,Villagers!$B$1:$V$33,CH184+3,FALSE)),)</f>
        <v>0</v>
      </c>
      <c r="DD184" s="14">
        <f>ROUND(IF(CI184=0,0,HLOOKUP(CI$14,Villagers!$B$1:$V$33,CI184+3,FALSE)),)</f>
        <v>0</v>
      </c>
      <c r="DE184" s="14">
        <f>ROUND(IF(CJ184=0,0,HLOOKUP(CJ$14,Villagers!$B$1:$V$33,CJ184+3,FALSE)),)</f>
        <v>2</v>
      </c>
      <c r="DF184" s="370">
        <f>ROUND(IF(CK184=0,0,HLOOKUP(CK$14,Villagers!$B$1:$V$33,CK184+3,FALSE)),)</f>
        <v>0</v>
      </c>
      <c r="DG184" s="370">
        <f>ROUND(IF(CL184=0,0,HLOOKUP(CL$14,Villagers!$B$1:$V$33,CL184+3,FALSE)),)</f>
        <v>0</v>
      </c>
      <c r="DH184" s="34">
        <f>ROUND(IF(CM184=0,0,HLOOKUP(CM$14,Villagers!$B$1:$V$33,CM184+3,FALSE)),)</f>
        <v>0</v>
      </c>
      <c r="DI184" s="109">
        <f t="shared" si="373"/>
        <v>0</v>
      </c>
      <c r="DJ184" s="50">
        <f t="shared" si="374"/>
        <v>0</v>
      </c>
      <c r="DK184" s="50">
        <f t="shared" si="375"/>
        <v>0</v>
      </c>
      <c r="DL184" s="50">
        <f t="shared" si="376"/>
        <v>0</v>
      </c>
      <c r="DM184" s="50">
        <f t="shared" si="377"/>
        <v>0</v>
      </c>
      <c r="DN184" s="50">
        <f t="shared" si="378"/>
        <v>0</v>
      </c>
      <c r="DO184" s="50">
        <f t="shared" si="379"/>
        <v>0</v>
      </c>
      <c r="DP184" s="50">
        <f t="shared" si="380"/>
        <v>0</v>
      </c>
      <c r="DQ184" s="50">
        <f t="shared" si="357"/>
        <v>0</v>
      </c>
      <c r="DR184" s="50">
        <f t="shared" si="358"/>
        <v>0</v>
      </c>
      <c r="DS184" s="96">
        <f>Miscelaneous!$D$4*Miscelaneous!$D$2^($CI184-1)</f>
        <v>1000</v>
      </c>
      <c r="DT184" s="333">
        <f t="shared" si="337"/>
        <v>1</v>
      </c>
      <c r="DU184" s="81">
        <v>1</v>
      </c>
      <c r="DV184" s="79">
        <f t="shared" si="359"/>
        <v>0</v>
      </c>
      <c r="DW184" s="79">
        <f t="shared" si="360"/>
        <v>0</v>
      </c>
      <c r="DX184" s="79">
        <f t="shared" si="361"/>
        <v>0</v>
      </c>
      <c r="DY184" s="79">
        <v>1</v>
      </c>
      <c r="DZ184" s="79">
        <f t="shared" si="362"/>
        <v>0</v>
      </c>
      <c r="EA184" s="79">
        <f t="shared" si="363"/>
        <v>0</v>
      </c>
      <c r="EB184" s="79">
        <f t="shared" si="364"/>
        <v>0</v>
      </c>
      <c r="EC184" s="79">
        <f t="shared" si="365"/>
        <v>0</v>
      </c>
      <c r="ED184" s="79">
        <v>1</v>
      </c>
      <c r="EE184" s="79">
        <v>1</v>
      </c>
      <c r="EF184" s="79">
        <f t="shared" si="366"/>
        <v>0</v>
      </c>
      <c r="EG184" s="79">
        <v>1</v>
      </c>
      <c r="EH184" s="79">
        <v>1</v>
      </c>
      <c r="EI184" s="79">
        <v>1</v>
      </c>
      <c r="EJ184" s="79">
        <v>1</v>
      </c>
      <c r="EK184" s="79">
        <v>1</v>
      </c>
      <c r="EL184" s="79">
        <v>1</v>
      </c>
      <c r="EM184" s="143">
        <f t="shared" si="367"/>
        <v>0</v>
      </c>
      <c r="EN184" s="143">
        <f t="shared" si="368"/>
        <v>0</v>
      </c>
      <c r="EO184" s="82">
        <f t="shared" si="369"/>
        <v>0</v>
      </c>
    </row>
    <row r="185" spans="1:145" x14ac:dyDescent="0.25">
      <c r="A185">
        <v>171</v>
      </c>
      <c r="B185" s="172" t="e">
        <f t="shared" si="338"/>
        <v>#N/A</v>
      </c>
      <c r="C185" s="121" t="e">
        <f t="shared" ref="C185:E185" si="446">AJ185-SUM(AB185:AB189)</f>
        <v>#N/A</v>
      </c>
      <c r="D185" s="122" t="e">
        <f t="shared" si="446"/>
        <v>#N/A</v>
      </c>
      <c r="E185" s="122" t="e">
        <f t="shared" si="446"/>
        <v>#N/A</v>
      </c>
      <c r="F185" s="176" t="e">
        <f t="shared" si="320"/>
        <v>#N/A</v>
      </c>
      <c r="G185" s="121">
        <f t="shared" si="340"/>
        <v>208</v>
      </c>
      <c r="H185" s="176" t="e">
        <f t="shared" si="341"/>
        <v>#N/A</v>
      </c>
      <c r="I185" s="48">
        <v>1</v>
      </c>
      <c r="J185" s="39"/>
      <c r="K185" s="350">
        <v>1</v>
      </c>
      <c r="L185" s="34" t="e">
        <f t="shared" si="321"/>
        <v>#N/A</v>
      </c>
      <c r="M185" s="38" t="e">
        <f>(HLOOKUP(J185,'Construction Times'!$B$3:$W$34,L185+2,FALSE)*HLOOKUP("hq modifier",'Construction Times'!$W$3:$W$34,BS185+2,FALSE))*(1-$H$9)</f>
        <v>#N/A</v>
      </c>
      <c r="N185" s="426" t="e">
        <f t="shared" si="342"/>
        <v>#N/A</v>
      </c>
      <c r="O185" s="427"/>
      <c r="P185" s="430" t="e">
        <f t="shared" si="343"/>
        <v>#N/A</v>
      </c>
      <c r="Q185" s="431"/>
      <c r="R185" s="103">
        <f t="shared" si="371"/>
        <v>0</v>
      </c>
      <c r="S185" s="104">
        <f t="shared" si="371"/>
        <v>0</v>
      </c>
      <c r="T185" s="104">
        <f t="shared" si="372"/>
        <v>0</v>
      </c>
      <c r="U185" s="104">
        <f t="shared" si="372"/>
        <v>0</v>
      </c>
      <c r="V185" s="104">
        <f t="shared" si="372"/>
        <v>9.9999999999999995E-8</v>
      </c>
      <c r="W185" s="104">
        <f t="shared" si="372"/>
        <v>0</v>
      </c>
      <c r="X185" s="104">
        <f t="shared" si="429"/>
        <v>0</v>
      </c>
      <c r="Y185" s="104">
        <f t="shared" si="429"/>
        <v>9.9999999999999995E-8</v>
      </c>
      <c r="Z185" s="104">
        <f t="shared" si="429"/>
        <v>9.9999999999999995E-8</v>
      </c>
      <c r="AA185" s="105">
        <f t="shared" si="429"/>
        <v>9.9999999999999995E-8</v>
      </c>
      <c r="AB185" s="101" t="e">
        <f>$DT185*HLOOKUP($J185,'Construction Costs (timber)'!$B$1:$V$32,'Construction Planner'!$L185+2,FALSE)</f>
        <v>#N/A</v>
      </c>
      <c r="AC185" s="14" t="e">
        <f>$DT185*HLOOKUP($J185,'Construction Costs (clay)'!$B$1:$V$32,'Construction Planner'!$L185+2,FALSE)</f>
        <v>#N/A</v>
      </c>
      <c r="AD185" s="14" t="e">
        <f>$DT185*HLOOKUP($J185,'Construction Costs (iron)'!$B$1:$V$32,'Construction Planner'!$L185+2,FALSE)</f>
        <v>#N/A</v>
      </c>
      <c r="AE185" s="34" t="e">
        <f t="shared" si="384"/>
        <v>#N/A</v>
      </c>
      <c r="AF185" s="33" t="e">
        <f t="shared" si="322"/>
        <v>#N/A</v>
      </c>
      <c r="AG185" s="14" t="e">
        <f t="shared" si="323"/>
        <v>#N/A</v>
      </c>
      <c r="AH185" s="14" t="e">
        <f t="shared" si="324"/>
        <v>#N/A</v>
      </c>
      <c r="AI185" s="34" t="e">
        <f t="shared" si="385"/>
        <v>#N/A</v>
      </c>
      <c r="AJ185" s="49" t="e">
        <f t="shared" si="345"/>
        <v>#N/A</v>
      </c>
      <c r="AK185" s="49" t="e">
        <f t="shared" si="346"/>
        <v>#N/A</v>
      </c>
      <c r="AL185" s="49" t="e">
        <f t="shared" si="347"/>
        <v>#N/A</v>
      </c>
      <c r="AM185" s="25">
        <f t="shared" si="325"/>
        <v>30</v>
      </c>
      <c r="AN185" s="25">
        <f t="shared" si="326"/>
        <v>30</v>
      </c>
      <c r="AO185" s="25">
        <f t="shared" si="327"/>
        <v>30</v>
      </c>
      <c r="AP185" s="52" t="e">
        <f t="shared" si="348"/>
        <v>#N/A</v>
      </c>
      <c r="AQ185" s="53" t="e">
        <f t="shared" si="348"/>
        <v>#N/A</v>
      </c>
      <c r="AR185" s="54" t="e">
        <f t="shared" si="348"/>
        <v>#N/A</v>
      </c>
      <c r="AS185" s="316">
        <f t="shared" si="439"/>
        <v>0</v>
      </c>
      <c r="AT185" s="106">
        <f>_xlfn.IFNA($M185/VLOOKUP($BT185,'Unit information'!$A$2:$K$29,2,FALSE)*R185,0)*(1+$E$9)</f>
        <v>0</v>
      </c>
      <c r="AU185" s="107">
        <f>_xlfn.IFNA($M185/VLOOKUP($BT185,'Unit information'!$A$2:$K$29,3,FALSE)*S185,0)*(1+$E$9)</f>
        <v>0</v>
      </c>
      <c r="AV185" s="107">
        <f>_xlfn.IFNA($M185/VLOOKUP($BT185,'Unit information'!$A$2:$K$29,4,FALSE)*T185,0)*(1+$E$9)</f>
        <v>0</v>
      </c>
      <c r="AW185" s="107">
        <f>_xlfn.IFNA($M185/VLOOKUP($BT185,'Unit information'!$A$2:$K$29,5,FALSE)*U185,0)*(1+$E$9)</f>
        <v>0</v>
      </c>
      <c r="AX185" s="107">
        <f>_xlfn.IFNA($M185/VLOOKUP($BU185,'Unit information'!$A$2:$K$29,6,FALSE)*V185,0)*(1+$E$9)</f>
        <v>0</v>
      </c>
      <c r="AY185" s="107">
        <f>_xlfn.IFNA($M185/VLOOKUP($BU185,'Unit information'!$A$2:$K$29,7,FALSE)*W185,0)*(1+$E$9)</f>
        <v>0</v>
      </c>
      <c r="AZ185" s="107">
        <f>_xlfn.IFNA($M185/VLOOKUP($BU185,'Unit information'!$A$2:$K$29,8,FALSE)*X185,0)*(1+$E$9)</f>
        <v>0</v>
      </c>
      <c r="BA185" s="107">
        <f>_xlfn.IFNA($M185/VLOOKUP($BU185,'Unit information'!$A$2:$K$29,9,FALSE)*Y185,0)*(1+$E$9)</f>
        <v>0</v>
      </c>
      <c r="BB185" s="107">
        <f>_xlfn.IFNA($M185/VLOOKUP($BV185,'Unit information'!$A$2:$K$29,10,FALSE)*Z185,0)*(1+$E$9)</f>
        <v>0</v>
      </c>
      <c r="BC185" s="108">
        <f>_xlfn.IFNA($M185/VLOOKUP($BV185,'Unit information'!$A$2:$K$29,11,FALSE)*AA185,0)*(1+$E$9)</f>
        <v>0</v>
      </c>
      <c r="BD185" s="106">
        <f t="shared" si="328"/>
        <v>0</v>
      </c>
      <c r="BE185" s="107">
        <f t="shared" si="329"/>
        <v>0</v>
      </c>
      <c r="BF185" s="108">
        <f t="shared" si="330"/>
        <v>0</v>
      </c>
      <c r="BG185" s="25" t="e">
        <f t="shared" si="331"/>
        <v>#N/A</v>
      </c>
      <c r="BH185" s="25" t="e">
        <f t="shared" si="332"/>
        <v>#N/A</v>
      </c>
      <c r="BI185" s="25" t="e">
        <f t="shared" si="333"/>
        <v>#N/A</v>
      </c>
      <c r="BJ185" s="27" t="e">
        <f t="shared" si="334"/>
        <v>#N/A</v>
      </c>
      <c r="BK185" s="18" t="e">
        <f t="shared" si="335"/>
        <v>#N/A</v>
      </c>
      <c r="BL185" s="18" t="e">
        <f t="shared" si="336"/>
        <v>#N/A</v>
      </c>
      <c r="BM185" s="28" t="e">
        <f t="shared" si="387"/>
        <v>#N/A</v>
      </c>
      <c r="BN185" s="33">
        <f>HLOOKUP("maximum population",Miscelaneous!$C$1:$C$33,CH185+3,FALSE)</f>
        <v>240</v>
      </c>
      <c r="BO185" s="14">
        <f t="shared" si="349"/>
        <v>32</v>
      </c>
      <c r="BP185" s="14">
        <f t="shared" si="350"/>
        <v>0</v>
      </c>
      <c r="BQ185" s="14">
        <f t="shared" si="351"/>
        <v>208</v>
      </c>
      <c r="BR185" s="34" t="e">
        <f>HLOOKUP(J185,Villagers!$B$1:$V$33,L185+3,FALSE)-HLOOKUP(J185,Villagers!$B$1:$V$33,L185+2,FALSE)</f>
        <v>#N/A</v>
      </c>
      <c r="BS185" s="49">
        <f t="shared" si="352"/>
        <v>1</v>
      </c>
      <c r="BT185" s="50">
        <f t="shared" si="353"/>
        <v>0</v>
      </c>
      <c r="BU185" s="50">
        <f t="shared" si="354"/>
        <v>0</v>
      </c>
      <c r="BV185" s="50">
        <f t="shared" si="355"/>
        <v>0</v>
      </c>
      <c r="BW185" s="50">
        <f t="shared" si="445"/>
        <v>0</v>
      </c>
      <c r="BX185" s="50">
        <f t="shared" si="443"/>
        <v>0</v>
      </c>
      <c r="BY185" s="50">
        <f t="shared" si="443"/>
        <v>0</v>
      </c>
      <c r="BZ185" s="50">
        <f t="shared" si="401"/>
        <v>0</v>
      </c>
      <c r="CA185" s="50">
        <f t="shared" si="402"/>
        <v>0</v>
      </c>
      <c r="CB185" s="50">
        <f t="shared" si="403"/>
        <v>1</v>
      </c>
      <c r="CC185" s="50">
        <f t="shared" si="404"/>
        <v>0</v>
      </c>
      <c r="CD185" s="50">
        <f t="shared" si="405"/>
        <v>0</v>
      </c>
      <c r="CE185" s="50">
        <f t="shared" si="406"/>
        <v>1</v>
      </c>
      <c r="CF185" s="50">
        <f t="shared" si="407"/>
        <v>1</v>
      </c>
      <c r="CG185" s="50">
        <f t="shared" si="408"/>
        <v>1</v>
      </c>
      <c r="CH185" s="50">
        <f t="shared" si="409"/>
        <v>1</v>
      </c>
      <c r="CI185" s="50">
        <f t="shared" si="410"/>
        <v>1</v>
      </c>
      <c r="CJ185" s="50">
        <f t="shared" si="411"/>
        <v>1</v>
      </c>
      <c r="CK185" s="50">
        <f t="shared" si="411"/>
        <v>0</v>
      </c>
      <c r="CL185" s="50">
        <f t="shared" si="411"/>
        <v>0</v>
      </c>
      <c r="CM185" s="51">
        <f t="shared" si="432"/>
        <v>0</v>
      </c>
      <c r="CN185" s="33">
        <f>ROUND(IF(BS185=0,0,HLOOKUP(BS$14,Villagers!$B$1:$V$33,BS185+3,FALSE)),)</f>
        <v>5</v>
      </c>
      <c r="CO185" s="14">
        <f>ROUND(IF(BT185=0,0,HLOOKUP(BT$14,Villagers!$B$1:$V$33,BT185+3,FALSE)),)</f>
        <v>0</v>
      </c>
      <c r="CP185" s="14">
        <f>ROUND(IF(BU185=0,0,HLOOKUP(BU$14,Villagers!$B$1:$V$33,BU185+3,FALSE)),)</f>
        <v>0</v>
      </c>
      <c r="CQ185" s="14">
        <f>ROUND(IF(BV185=0,0,HLOOKUP(BV$14,Villagers!$B$1:$V$33,BV185+3,FALSE)),)</f>
        <v>0</v>
      </c>
      <c r="CR185" s="14">
        <f>ROUND(IF(BW185=0,0,HLOOKUP(BW$14,Villagers!$B$1:$V$33,BW185+3,FALSE)),)</f>
        <v>0</v>
      </c>
      <c r="CS185" s="14">
        <f>ROUND(IF(BX185=0,0,HLOOKUP(BX$14,Villagers!$B$1:$V$33,BX185+3,FALSE)),)</f>
        <v>0</v>
      </c>
      <c r="CT185" s="14">
        <f>ROUND(IF(BY185=0,0,HLOOKUP(BY$14,Villagers!$B$1:$V$33,BY185+3,FALSE)),)</f>
        <v>0</v>
      </c>
      <c r="CU185" s="14">
        <f>ROUND(IF(BZ185=0,0,HLOOKUP(BZ$14,Villagers!$B$1:$V$33,BZ185+3,FALSE)),)</f>
        <v>0</v>
      </c>
      <c r="CV185" s="14">
        <f>ROUND(IF(CA185=0,0,HLOOKUP(CA$14,Villagers!$B$1:$V$33,CA185+3,FALSE)),)</f>
        <v>0</v>
      </c>
      <c r="CW185" s="14">
        <f>ROUND(IF(CB185=0,0,HLOOKUP(CB$14,Villagers!$B$1:$V$33,CB185+3,FALSE)),)</f>
        <v>0</v>
      </c>
      <c r="CX185" s="14">
        <f>ROUND(IF(CC185=0,0,HLOOKUP(CC$14,Villagers!$B$1:$V$33,CC185+3,FALSE)),)</f>
        <v>0</v>
      </c>
      <c r="CY185" s="14">
        <f>ROUND(IF(CD185=0,0,HLOOKUP(CD$14,Villagers!$B$1:$V$33,CD185+3,FALSE)),)</f>
        <v>0</v>
      </c>
      <c r="CZ185" s="14">
        <f>ROUND(IF(CE185=0,0,HLOOKUP(CE$14,Villagers!$B$1:$V$33,CE185+3,FALSE)),)</f>
        <v>5</v>
      </c>
      <c r="DA185" s="14">
        <f>ROUND(IF(CF185=0,0,HLOOKUP(CF$14,Villagers!$B$1:$V$33,CF185+3,FALSE)),)</f>
        <v>10</v>
      </c>
      <c r="DB185" s="14">
        <f>ROUND(IF(CG185=0,0,HLOOKUP(CG$14,Villagers!$B$1:$V$33,CG185+3,FALSE)),)</f>
        <v>10</v>
      </c>
      <c r="DC185" s="14">
        <f>ROUND(IF(CH185=0,0,HLOOKUP(CH$14,Villagers!$B$1:$V$33,CH185+3,FALSE)),)</f>
        <v>0</v>
      </c>
      <c r="DD185" s="14">
        <f>ROUND(IF(CI185=0,0,HLOOKUP(CI$14,Villagers!$B$1:$V$33,CI185+3,FALSE)),)</f>
        <v>0</v>
      </c>
      <c r="DE185" s="14">
        <f>ROUND(IF(CJ185=0,0,HLOOKUP(CJ$14,Villagers!$B$1:$V$33,CJ185+3,FALSE)),)</f>
        <v>2</v>
      </c>
      <c r="DF185" s="370">
        <f>ROUND(IF(CK185=0,0,HLOOKUP(CK$14,Villagers!$B$1:$V$33,CK185+3,FALSE)),)</f>
        <v>0</v>
      </c>
      <c r="DG185" s="370">
        <f>ROUND(IF(CL185=0,0,HLOOKUP(CL$14,Villagers!$B$1:$V$33,CL185+3,FALSE)),)</f>
        <v>0</v>
      </c>
      <c r="DH185" s="34">
        <f>ROUND(IF(CM185=0,0,HLOOKUP(CM$14,Villagers!$B$1:$V$33,CM185+3,FALSE)),)</f>
        <v>0</v>
      </c>
      <c r="DI185" s="109">
        <f t="shared" si="373"/>
        <v>0</v>
      </c>
      <c r="DJ185" s="50">
        <f t="shared" si="374"/>
        <v>0</v>
      </c>
      <c r="DK185" s="50">
        <f t="shared" si="375"/>
        <v>0</v>
      </c>
      <c r="DL185" s="50">
        <f t="shared" si="376"/>
        <v>0</v>
      </c>
      <c r="DM185" s="50">
        <f t="shared" si="377"/>
        <v>0</v>
      </c>
      <c r="DN185" s="50">
        <f t="shared" si="378"/>
        <v>0</v>
      </c>
      <c r="DO185" s="50">
        <f t="shared" si="379"/>
        <v>0</v>
      </c>
      <c r="DP185" s="50">
        <f t="shared" si="380"/>
        <v>0</v>
      </c>
      <c r="DQ185" s="50">
        <f t="shared" si="357"/>
        <v>0</v>
      </c>
      <c r="DR185" s="50">
        <f t="shared" si="358"/>
        <v>0</v>
      </c>
      <c r="DS185" s="96">
        <f>Miscelaneous!$D$4*Miscelaneous!$D$2^($CI185-1)</f>
        <v>1000</v>
      </c>
      <c r="DT185" s="333">
        <f t="shared" si="337"/>
        <v>1</v>
      </c>
      <c r="DU185" s="81">
        <v>1</v>
      </c>
      <c r="DV185" s="79">
        <f t="shared" si="359"/>
        <v>0</v>
      </c>
      <c r="DW185" s="79">
        <f t="shared" si="360"/>
        <v>0</v>
      </c>
      <c r="DX185" s="79">
        <f t="shared" si="361"/>
        <v>0</v>
      </c>
      <c r="DY185" s="79">
        <v>1</v>
      </c>
      <c r="DZ185" s="79">
        <f t="shared" si="362"/>
        <v>0</v>
      </c>
      <c r="EA185" s="79">
        <f t="shared" si="363"/>
        <v>0</v>
      </c>
      <c r="EB185" s="79">
        <f t="shared" si="364"/>
        <v>0</v>
      </c>
      <c r="EC185" s="79">
        <f t="shared" si="365"/>
        <v>0</v>
      </c>
      <c r="ED185" s="79">
        <v>1</v>
      </c>
      <c r="EE185" s="79">
        <v>1</v>
      </c>
      <c r="EF185" s="79">
        <f t="shared" si="366"/>
        <v>0</v>
      </c>
      <c r="EG185" s="79">
        <v>1</v>
      </c>
      <c r="EH185" s="79">
        <v>1</v>
      </c>
      <c r="EI185" s="79">
        <v>1</v>
      </c>
      <c r="EJ185" s="79">
        <v>1</v>
      </c>
      <c r="EK185" s="79">
        <v>1</v>
      </c>
      <c r="EL185" s="79">
        <v>1</v>
      </c>
      <c r="EM185" s="143">
        <f t="shared" si="367"/>
        <v>0</v>
      </c>
      <c r="EN185" s="143">
        <f t="shared" si="368"/>
        <v>0</v>
      </c>
      <c r="EO185" s="82">
        <f t="shared" si="369"/>
        <v>0</v>
      </c>
    </row>
    <row r="186" spans="1:145" x14ac:dyDescent="0.25">
      <c r="A186">
        <v>172</v>
      </c>
      <c r="B186" s="172" t="e">
        <f t="shared" si="338"/>
        <v>#N/A</v>
      </c>
      <c r="C186" s="121" t="e">
        <f t="shared" ref="C186:E186" si="447">AJ186-SUM(AB186:AB190)</f>
        <v>#N/A</v>
      </c>
      <c r="D186" s="122" t="e">
        <f t="shared" si="447"/>
        <v>#N/A</v>
      </c>
      <c r="E186" s="122" t="e">
        <f t="shared" si="447"/>
        <v>#N/A</v>
      </c>
      <c r="F186" s="176" t="e">
        <f t="shared" si="320"/>
        <v>#N/A</v>
      </c>
      <c r="G186" s="121">
        <f t="shared" si="340"/>
        <v>208</v>
      </c>
      <c r="H186" s="176" t="e">
        <f t="shared" si="341"/>
        <v>#N/A</v>
      </c>
      <c r="I186" s="48">
        <v>1</v>
      </c>
      <c r="J186" s="39"/>
      <c r="K186" s="350">
        <v>1</v>
      </c>
      <c r="L186" s="34" t="e">
        <f t="shared" si="321"/>
        <v>#N/A</v>
      </c>
      <c r="M186" s="38" t="e">
        <f>(HLOOKUP(J186,'Construction Times'!$B$3:$W$34,L186+2,FALSE)*HLOOKUP("hq modifier",'Construction Times'!$W$3:$W$34,BS186+2,FALSE))*(1-$H$9)</f>
        <v>#N/A</v>
      </c>
      <c r="N186" s="426" t="e">
        <f t="shared" si="342"/>
        <v>#N/A</v>
      </c>
      <c r="O186" s="427"/>
      <c r="P186" s="430" t="e">
        <f t="shared" si="343"/>
        <v>#N/A</v>
      </c>
      <c r="Q186" s="431"/>
      <c r="R186" s="103">
        <f t="shared" si="371"/>
        <v>0</v>
      </c>
      <c r="S186" s="104">
        <f t="shared" si="371"/>
        <v>0</v>
      </c>
      <c r="T186" s="104">
        <f t="shared" si="372"/>
        <v>0</v>
      </c>
      <c r="U186" s="104">
        <f t="shared" si="372"/>
        <v>0</v>
      </c>
      <c r="V186" s="104">
        <f t="shared" si="372"/>
        <v>9.9999999999999995E-8</v>
      </c>
      <c r="W186" s="104">
        <f t="shared" si="372"/>
        <v>0</v>
      </c>
      <c r="X186" s="104">
        <f t="shared" si="429"/>
        <v>0</v>
      </c>
      <c r="Y186" s="104">
        <f t="shared" si="429"/>
        <v>9.9999999999999995E-8</v>
      </c>
      <c r="Z186" s="104">
        <f t="shared" si="429"/>
        <v>9.9999999999999995E-8</v>
      </c>
      <c r="AA186" s="105">
        <f t="shared" si="429"/>
        <v>9.9999999999999995E-8</v>
      </c>
      <c r="AB186" s="101" t="e">
        <f>$DT186*HLOOKUP($J186,'Construction Costs (timber)'!$B$1:$V$32,'Construction Planner'!$L186+2,FALSE)</f>
        <v>#N/A</v>
      </c>
      <c r="AC186" s="14" t="e">
        <f>$DT186*HLOOKUP($J186,'Construction Costs (clay)'!$B$1:$V$32,'Construction Planner'!$L186+2,FALSE)</f>
        <v>#N/A</v>
      </c>
      <c r="AD186" s="14" t="e">
        <f>$DT186*HLOOKUP($J186,'Construction Costs (iron)'!$B$1:$V$32,'Construction Planner'!$L186+2,FALSE)</f>
        <v>#N/A</v>
      </c>
      <c r="AE186" s="34" t="e">
        <f t="shared" si="384"/>
        <v>#N/A</v>
      </c>
      <c r="AF186" s="33" t="e">
        <f t="shared" si="322"/>
        <v>#N/A</v>
      </c>
      <c r="AG186" s="14" t="e">
        <f t="shared" si="323"/>
        <v>#N/A</v>
      </c>
      <c r="AH186" s="14" t="e">
        <f t="shared" si="324"/>
        <v>#N/A</v>
      </c>
      <c r="AI186" s="34" t="e">
        <f t="shared" si="385"/>
        <v>#N/A</v>
      </c>
      <c r="AJ186" s="49" t="e">
        <f t="shared" si="345"/>
        <v>#N/A</v>
      </c>
      <c r="AK186" s="49" t="e">
        <f t="shared" si="346"/>
        <v>#N/A</v>
      </c>
      <c r="AL186" s="49" t="e">
        <f t="shared" si="347"/>
        <v>#N/A</v>
      </c>
      <c r="AM186" s="25">
        <f t="shared" si="325"/>
        <v>30</v>
      </c>
      <c r="AN186" s="25">
        <f t="shared" si="326"/>
        <v>30</v>
      </c>
      <c r="AO186" s="25">
        <f t="shared" si="327"/>
        <v>30</v>
      </c>
      <c r="AP186" s="52" t="e">
        <f t="shared" si="348"/>
        <v>#N/A</v>
      </c>
      <c r="AQ186" s="53" t="e">
        <f t="shared" si="348"/>
        <v>#N/A</v>
      </c>
      <c r="AR186" s="54" t="e">
        <f t="shared" si="348"/>
        <v>#N/A</v>
      </c>
      <c r="AS186" s="316">
        <f t="shared" si="439"/>
        <v>0</v>
      </c>
      <c r="AT186" s="106">
        <f>_xlfn.IFNA($M186/VLOOKUP($BT186,'Unit information'!$A$2:$K$29,2,FALSE)*R186,0)*(1+$E$9)</f>
        <v>0</v>
      </c>
      <c r="AU186" s="107">
        <f>_xlfn.IFNA($M186/VLOOKUP($BT186,'Unit information'!$A$2:$K$29,3,FALSE)*S186,0)*(1+$E$9)</f>
        <v>0</v>
      </c>
      <c r="AV186" s="107">
        <f>_xlfn.IFNA($M186/VLOOKUP($BT186,'Unit information'!$A$2:$K$29,4,FALSE)*T186,0)*(1+$E$9)</f>
        <v>0</v>
      </c>
      <c r="AW186" s="107">
        <f>_xlfn.IFNA($M186/VLOOKUP($BT186,'Unit information'!$A$2:$K$29,5,FALSE)*U186,0)*(1+$E$9)</f>
        <v>0</v>
      </c>
      <c r="AX186" s="107">
        <f>_xlfn.IFNA($M186/VLOOKUP($BU186,'Unit information'!$A$2:$K$29,6,FALSE)*V186,0)*(1+$E$9)</f>
        <v>0</v>
      </c>
      <c r="AY186" s="107">
        <f>_xlfn.IFNA($M186/VLOOKUP($BU186,'Unit information'!$A$2:$K$29,7,FALSE)*W186,0)*(1+$E$9)</f>
        <v>0</v>
      </c>
      <c r="AZ186" s="107">
        <f>_xlfn.IFNA($M186/VLOOKUP($BU186,'Unit information'!$A$2:$K$29,8,FALSE)*X186,0)*(1+$E$9)</f>
        <v>0</v>
      </c>
      <c r="BA186" s="107">
        <f>_xlfn.IFNA($M186/VLOOKUP($BU186,'Unit information'!$A$2:$K$29,9,FALSE)*Y186,0)*(1+$E$9)</f>
        <v>0</v>
      </c>
      <c r="BB186" s="107">
        <f>_xlfn.IFNA($M186/VLOOKUP($BV186,'Unit information'!$A$2:$K$29,10,FALSE)*Z186,0)*(1+$E$9)</f>
        <v>0</v>
      </c>
      <c r="BC186" s="108">
        <f>_xlfn.IFNA($M186/VLOOKUP($BV186,'Unit information'!$A$2:$K$29,11,FALSE)*AA186,0)*(1+$E$9)</f>
        <v>0</v>
      </c>
      <c r="BD186" s="106">
        <f t="shared" si="328"/>
        <v>0</v>
      </c>
      <c r="BE186" s="107">
        <f t="shared" si="329"/>
        <v>0</v>
      </c>
      <c r="BF186" s="108">
        <f t="shared" si="330"/>
        <v>0</v>
      </c>
      <c r="BG186" s="25" t="e">
        <f t="shared" si="331"/>
        <v>#N/A</v>
      </c>
      <c r="BH186" s="25" t="e">
        <f t="shared" si="332"/>
        <v>#N/A</v>
      </c>
      <c r="BI186" s="25" t="e">
        <f t="shared" si="333"/>
        <v>#N/A</v>
      </c>
      <c r="BJ186" s="27" t="e">
        <f t="shared" si="334"/>
        <v>#N/A</v>
      </c>
      <c r="BK186" s="18" t="e">
        <f t="shared" si="335"/>
        <v>#N/A</v>
      </c>
      <c r="BL186" s="18" t="e">
        <f t="shared" si="336"/>
        <v>#N/A</v>
      </c>
      <c r="BM186" s="28" t="e">
        <f t="shared" si="387"/>
        <v>#N/A</v>
      </c>
      <c r="BN186" s="33">
        <f>HLOOKUP("maximum population",Miscelaneous!$C$1:$C$33,CH186+3,FALSE)</f>
        <v>240</v>
      </c>
      <c r="BO186" s="14">
        <f t="shared" si="349"/>
        <v>32</v>
      </c>
      <c r="BP186" s="14">
        <f t="shared" si="350"/>
        <v>0</v>
      </c>
      <c r="BQ186" s="14">
        <f t="shared" si="351"/>
        <v>208</v>
      </c>
      <c r="BR186" s="34" t="e">
        <f>HLOOKUP(J186,Villagers!$B$1:$V$33,L186+3,FALSE)-HLOOKUP(J186,Villagers!$B$1:$V$33,L186+2,FALSE)</f>
        <v>#N/A</v>
      </c>
      <c r="BS186" s="49">
        <f t="shared" si="352"/>
        <v>1</v>
      </c>
      <c r="BT186" s="50">
        <f t="shared" si="353"/>
        <v>0</v>
      </c>
      <c r="BU186" s="50">
        <f t="shared" si="354"/>
        <v>0</v>
      </c>
      <c r="BV186" s="50">
        <f t="shared" si="355"/>
        <v>0</v>
      </c>
      <c r="BW186" s="50">
        <f t="shared" si="445"/>
        <v>0</v>
      </c>
      <c r="BX186" s="50">
        <f t="shared" si="443"/>
        <v>0</v>
      </c>
      <c r="BY186" s="50">
        <f t="shared" si="443"/>
        <v>0</v>
      </c>
      <c r="BZ186" s="50">
        <f t="shared" si="401"/>
        <v>0</v>
      </c>
      <c r="CA186" s="50">
        <f t="shared" si="402"/>
        <v>0</v>
      </c>
      <c r="CB186" s="50">
        <f t="shared" si="403"/>
        <v>1</v>
      </c>
      <c r="CC186" s="50">
        <f t="shared" si="404"/>
        <v>0</v>
      </c>
      <c r="CD186" s="50">
        <f t="shared" si="405"/>
        <v>0</v>
      </c>
      <c r="CE186" s="50">
        <f t="shared" si="406"/>
        <v>1</v>
      </c>
      <c r="CF186" s="50">
        <f t="shared" si="407"/>
        <v>1</v>
      </c>
      <c r="CG186" s="50">
        <f t="shared" si="408"/>
        <v>1</v>
      </c>
      <c r="CH186" s="50">
        <f t="shared" si="409"/>
        <v>1</v>
      </c>
      <c r="CI186" s="50">
        <f t="shared" si="410"/>
        <v>1</v>
      </c>
      <c r="CJ186" s="50">
        <f t="shared" si="411"/>
        <v>1</v>
      </c>
      <c r="CK186" s="50">
        <f t="shared" si="411"/>
        <v>0</v>
      </c>
      <c r="CL186" s="50">
        <f t="shared" si="411"/>
        <v>0</v>
      </c>
      <c r="CM186" s="51">
        <f t="shared" si="432"/>
        <v>0</v>
      </c>
      <c r="CN186" s="33">
        <f>ROUND(IF(BS186=0,0,HLOOKUP(BS$14,Villagers!$B$1:$V$33,BS186+3,FALSE)),)</f>
        <v>5</v>
      </c>
      <c r="CO186" s="14">
        <f>ROUND(IF(BT186=0,0,HLOOKUP(BT$14,Villagers!$B$1:$V$33,BT186+3,FALSE)),)</f>
        <v>0</v>
      </c>
      <c r="CP186" s="14">
        <f>ROUND(IF(BU186=0,0,HLOOKUP(BU$14,Villagers!$B$1:$V$33,BU186+3,FALSE)),)</f>
        <v>0</v>
      </c>
      <c r="CQ186" s="14">
        <f>ROUND(IF(BV186=0,0,HLOOKUP(BV$14,Villagers!$B$1:$V$33,BV186+3,FALSE)),)</f>
        <v>0</v>
      </c>
      <c r="CR186" s="14">
        <f>ROUND(IF(BW186=0,0,HLOOKUP(BW$14,Villagers!$B$1:$V$33,BW186+3,FALSE)),)</f>
        <v>0</v>
      </c>
      <c r="CS186" s="14">
        <f>ROUND(IF(BX186=0,0,HLOOKUP(BX$14,Villagers!$B$1:$V$33,BX186+3,FALSE)),)</f>
        <v>0</v>
      </c>
      <c r="CT186" s="14">
        <f>ROUND(IF(BY186=0,0,HLOOKUP(BY$14,Villagers!$B$1:$V$33,BY186+3,FALSE)),)</f>
        <v>0</v>
      </c>
      <c r="CU186" s="14">
        <f>ROUND(IF(BZ186=0,0,HLOOKUP(BZ$14,Villagers!$B$1:$V$33,BZ186+3,FALSE)),)</f>
        <v>0</v>
      </c>
      <c r="CV186" s="14">
        <f>ROUND(IF(CA186=0,0,HLOOKUP(CA$14,Villagers!$B$1:$V$33,CA186+3,FALSE)),)</f>
        <v>0</v>
      </c>
      <c r="CW186" s="14">
        <f>ROUND(IF(CB186=0,0,HLOOKUP(CB$14,Villagers!$B$1:$V$33,CB186+3,FALSE)),)</f>
        <v>0</v>
      </c>
      <c r="CX186" s="14">
        <f>ROUND(IF(CC186=0,0,HLOOKUP(CC$14,Villagers!$B$1:$V$33,CC186+3,FALSE)),)</f>
        <v>0</v>
      </c>
      <c r="CY186" s="14">
        <f>ROUND(IF(CD186=0,0,HLOOKUP(CD$14,Villagers!$B$1:$V$33,CD186+3,FALSE)),)</f>
        <v>0</v>
      </c>
      <c r="CZ186" s="14">
        <f>ROUND(IF(CE186=0,0,HLOOKUP(CE$14,Villagers!$B$1:$V$33,CE186+3,FALSE)),)</f>
        <v>5</v>
      </c>
      <c r="DA186" s="14">
        <f>ROUND(IF(CF186=0,0,HLOOKUP(CF$14,Villagers!$B$1:$V$33,CF186+3,FALSE)),)</f>
        <v>10</v>
      </c>
      <c r="DB186" s="14">
        <f>ROUND(IF(CG186=0,0,HLOOKUP(CG$14,Villagers!$B$1:$V$33,CG186+3,FALSE)),)</f>
        <v>10</v>
      </c>
      <c r="DC186" s="14">
        <f>ROUND(IF(CH186=0,0,HLOOKUP(CH$14,Villagers!$B$1:$V$33,CH186+3,FALSE)),)</f>
        <v>0</v>
      </c>
      <c r="DD186" s="14">
        <f>ROUND(IF(CI186=0,0,HLOOKUP(CI$14,Villagers!$B$1:$V$33,CI186+3,FALSE)),)</f>
        <v>0</v>
      </c>
      <c r="DE186" s="14">
        <f>ROUND(IF(CJ186=0,0,HLOOKUP(CJ$14,Villagers!$B$1:$V$33,CJ186+3,FALSE)),)</f>
        <v>2</v>
      </c>
      <c r="DF186" s="370">
        <f>ROUND(IF(CK186=0,0,HLOOKUP(CK$14,Villagers!$B$1:$V$33,CK186+3,FALSE)),)</f>
        <v>0</v>
      </c>
      <c r="DG186" s="370">
        <f>ROUND(IF(CL186=0,0,HLOOKUP(CL$14,Villagers!$B$1:$V$33,CL186+3,FALSE)),)</f>
        <v>0</v>
      </c>
      <c r="DH186" s="34">
        <f>ROUND(IF(CM186=0,0,HLOOKUP(CM$14,Villagers!$B$1:$V$33,CM186+3,FALSE)),)</f>
        <v>0</v>
      </c>
      <c r="DI186" s="109">
        <f t="shared" si="373"/>
        <v>0</v>
      </c>
      <c r="DJ186" s="50">
        <f t="shared" si="374"/>
        <v>0</v>
      </c>
      <c r="DK186" s="50">
        <f t="shared" si="375"/>
        <v>0</v>
      </c>
      <c r="DL186" s="50">
        <f t="shared" si="376"/>
        <v>0</v>
      </c>
      <c r="DM186" s="50">
        <f t="shared" si="377"/>
        <v>0</v>
      </c>
      <c r="DN186" s="50">
        <f t="shared" si="378"/>
        <v>0</v>
      </c>
      <c r="DO186" s="50">
        <f t="shared" si="379"/>
        <v>0</v>
      </c>
      <c r="DP186" s="50">
        <f t="shared" si="380"/>
        <v>0</v>
      </c>
      <c r="DQ186" s="50">
        <f t="shared" si="357"/>
        <v>0</v>
      </c>
      <c r="DR186" s="50">
        <f t="shared" si="358"/>
        <v>0</v>
      </c>
      <c r="DS186" s="96">
        <f>Miscelaneous!$D$4*Miscelaneous!$D$2^($CI186-1)</f>
        <v>1000</v>
      </c>
      <c r="DT186" s="333">
        <f t="shared" si="337"/>
        <v>1</v>
      </c>
      <c r="DU186" s="81">
        <v>1</v>
      </c>
      <c r="DV186" s="79">
        <f t="shared" si="359"/>
        <v>0</v>
      </c>
      <c r="DW186" s="79">
        <f t="shared" si="360"/>
        <v>0</v>
      </c>
      <c r="DX186" s="79">
        <f t="shared" si="361"/>
        <v>0</v>
      </c>
      <c r="DY186" s="79">
        <v>1</v>
      </c>
      <c r="DZ186" s="79">
        <f t="shared" si="362"/>
        <v>0</v>
      </c>
      <c r="EA186" s="79">
        <f t="shared" si="363"/>
        <v>0</v>
      </c>
      <c r="EB186" s="79">
        <f t="shared" si="364"/>
        <v>0</v>
      </c>
      <c r="EC186" s="79">
        <f t="shared" si="365"/>
        <v>0</v>
      </c>
      <c r="ED186" s="79">
        <v>1</v>
      </c>
      <c r="EE186" s="79">
        <v>1</v>
      </c>
      <c r="EF186" s="79">
        <f t="shared" si="366"/>
        <v>0</v>
      </c>
      <c r="EG186" s="79">
        <v>1</v>
      </c>
      <c r="EH186" s="79">
        <v>1</v>
      </c>
      <c r="EI186" s="79">
        <v>1</v>
      </c>
      <c r="EJ186" s="79">
        <v>1</v>
      </c>
      <c r="EK186" s="79">
        <v>1</v>
      </c>
      <c r="EL186" s="79">
        <v>1</v>
      </c>
      <c r="EM186" s="143">
        <f t="shared" si="367"/>
        <v>0</v>
      </c>
      <c r="EN186" s="143">
        <f t="shared" si="368"/>
        <v>0</v>
      </c>
      <c r="EO186" s="82">
        <f t="shared" si="369"/>
        <v>0</v>
      </c>
    </row>
    <row r="187" spans="1:145" x14ac:dyDescent="0.25">
      <c r="A187">
        <v>173</v>
      </c>
      <c r="B187" s="172" t="e">
        <f t="shared" si="338"/>
        <v>#N/A</v>
      </c>
      <c r="C187" s="121" t="e">
        <f t="shared" ref="C187:E187" si="448">AJ187-SUM(AB187:AB191)</f>
        <v>#N/A</v>
      </c>
      <c r="D187" s="122" t="e">
        <f t="shared" si="448"/>
        <v>#N/A</v>
      </c>
      <c r="E187" s="122" t="e">
        <f t="shared" si="448"/>
        <v>#N/A</v>
      </c>
      <c r="F187" s="176" t="e">
        <f t="shared" si="320"/>
        <v>#N/A</v>
      </c>
      <c r="G187" s="121">
        <f t="shared" si="340"/>
        <v>208</v>
      </c>
      <c r="H187" s="176" t="e">
        <f t="shared" si="341"/>
        <v>#N/A</v>
      </c>
      <c r="I187" s="48">
        <v>1</v>
      </c>
      <c r="J187" s="39"/>
      <c r="K187" s="350">
        <v>1</v>
      </c>
      <c r="L187" s="34" t="e">
        <f t="shared" si="321"/>
        <v>#N/A</v>
      </c>
      <c r="M187" s="38" t="e">
        <f>(HLOOKUP(J187,'Construction Times'!$B$3:$W$34,L187+2,FALSE)*HLOOKUP("hq modifier",'Construction Times'!$W$3:$W$34,BS187+2,FALSE))*(1-$H$9)</f>
        <v>#N/A</v>
      </c>
      <c r="N187" s="426" t="e">
        <f t="shared" si="342"/>
        <v>#N/A</v>
      </c>
      <c r="O187" s="427"/>
      <c r="P187" s="430" t="e">
        <f t="shared" si="343"/>
        <v>#N/A</v>
      </c>
      <c r="Q187" s="431"/>
      <c r="R187" s="103">
        <f t="shared" si="371"/>
        <v>0</v>
      </c>
      <c r="S187" s="104">
        <f t="shared" si="371"/>
        <v>0</v>
      </c>
      <c r="T187" s="104">
        <f t="shared" si="372"/>
        <v>0</v>
      </c>
      <c r="U187" s="104">
        <f t="shared" si="372"/>
        <v>0</v>
      </c>
      <c r="V187" s="104">
        <f t="shared" si="372"/>
        <v>9.9999999999999995E-8</v>
      </c>
      <c r="W187" s="104">
        <f t="shared" si="372"/>
        <v>0</v>
      </c>
      <c r="X187" s="104">
        <f t="shared" si="429"/>
        <v>0</v>
      </c>
      <c r="Y187" s="104">
        <f t="shared" si="429"/>
        <v>9.9999999999999995E-8</v>
      </c>
      <c r="Z187" s="104">
        <f t="shared" si="429"/>
        <v>9.9999999999999995E-8</v>
      </c>
      <c r="AA187" s="105">
        <f t="shared" si="429"/>
        <v>9.9999999999999995E-8</v>
      </c>
      <c r="AB187" s="101" t="e">
        <f>$DT187*HLOOKUP($J187,'Construction Costs (timber)'!$B$1:$V$32,'Construction Planner'!$L187+2,FALSE)</f>
        <v>#N/A</v>
      </c>
      <c r="AC187" s="14" t="e">
        <f>$DT187*HLOOKUP($J187,'Construction Costs (clay)'!$B$1:$V$32,'Construction Planner'!$L187+2,FALSE)</f>
        <v>#N/A</v>
      </c>
      <c r="AD187" s="14" t="e">
        <f>$DT187*HLOOKUP($J187,'Construction Costs (iron)'!$B$1:$V$32,'Construction Planner'!$L187+2,FALSE)</f>
        <v>#N/A</v>
      </c>
      <c r="AE187" s="34" t="e">
        <f t="shared" si="384"/>
        <v>#N/A</v>
      </c>
      <c r="AF187" s="33" t="e">
        <f t="shared" si="322"/>
        <v>#N/A</v>
      </c>
      <c r="AG187" s="14" t="e">
        <f t="shared" si="323"/>
        <v>#N/A</v>
      </c>
      <c r="AH187" s="14" t="e">
        <f t="shared" si="324"/>
        <v>#N/A</v>
      </c>
      <c r="AI187" s="34" t="e">
        <f t="shared" si="385"/>
        <v>#N/A</v>
      </c>
      <c r="AJ187" s="49" t="e">
        <f t="shared" si="345"/>
        <v>#N/A</v>
      </c>
      <c r="AK187" s="49" t="e">
        <f t="shared" si="346"/>
        <v>#N/A</v>
      </c>
      <c r="AL187" s="49" t="e">
        <f t="shared" si="347"/>
        <v>#N/A</v>
      </c>
      <c r="AM187" s="25">
        <f t="shared" si="325"/>
        <v>30</v>
      </c>
      <c r="AN187" s="25">
        <f t="shared" si="326"/>
        <v>30</v>
      </c>
      <c r="AO187" s="25">
        <f t="shared" si="327"/>
        <v>30</v>
      </c>
      <c r="AP187" s="52" t="e">
        <f t="shared" si="348"/>
        <v>#N/A</v>
      </c>
      <c r="AQ187" s="53" t="e">
        <f t="shared" si="348"/>
        <v>#N/A</v>
      </c>
      <c r="AR187" s="54" t="e">
        <f t="shared" si="348"/>
        <v>#N/A</v>
      </c>
      <c r="AS187" s="316">
        <f t="shared" si="439"/>
        <v>0</v>
      </c>
      <c r="AT187" s="106">
        <f>_xlfn.IFNA($M187/VLOOKUP($BT187,'Unit information'!$A$2:$K$29,2,FALSE)*R187,0)*(1+$E$9)</f>
        <v>0</v>
      </c>
      <c r="AU187" s="107">
        <f>_xlfn.IFNA($M187/VLOOKUP($BT187,'Unit information'!$A$2:$K$29,3,FALSE)*S187,0)*(1+$E$9)</f>
        <v>0</v>
      </c>
      <c r="AV187" s="107">
        <f>_xlfn.IFNA($M187/VLOOKUP($BT187,'Unit information'!$A$2:$K$29,4,FALSE)*T187,0)*(1+$E$9)</f>
        <v>0</v>
      </c>
      <c r="AW187" s="107">
        <f>_xlfn.IFNA($M187/VLOOKUP($BT187,'Unit information'!$A$2:$K$29,5,FALSE)*U187,0)*(1+$E$9)</f>
        <v>0</v>
      </c>
      <c r="AX187" s="107">
        <f>_xlfn.IFNA($M187/VLOOKUP($BU187,'Unit information'!$A$2:$K$29,6,FALSE)*V187,0)*(1+$E$9)</f>
        <v>0</v>
      </c>
      <c r="AY187" s="107">
        <f>_xlfn.IFNA($M187/VLOOKUP($BU187,'Unit information'!$A$2:$K$29,7,FALSE)*W187,0)*(1+$E$9)</f>
        <v>0</v>
      </c>
      <c r="AZ187" s="107">
        <f>_xlfn.IFNA($M187/VLOOKUP($BU187,'Unit information'!$A$2:$K$29,8,FALSE)*X187,0)*(1+$E$9)</f>
        <v>0</v>
      </c>
      <c r="BA187" s="107">
        <f>_xlfn.IFNA($M187/VLOOKUP($BU187,'Unit information'!$A$2:$K$29,9,FALSE)*Y187,0)*(1+$E$9)</f>
        <v>0</v>
      </c>
      <c r="BB187" s="107">
        <f>_xlfn.IFNA($M187/VLOOKUP($BV187,'Unit information'!$A$2:$K$29,10,FALSE)*Z187,0)*(1+$E$9)</f>
        <v>0</v>
      </c>
      <c r="BC187" s="108">
        <f>_xlfn.IFNA($M187/VLOOKUP($BV187,'Unit information'!$A$2:$K$29,11,FALSE)*AA187,0)*(1+$E$9)</f>
        <v>0</v>
      </c>
      <c r="BD187" s="106">
        <f t="shared" si="328"/>
        <v>0</v>
      </c>
      <c r="BE187" s="107">
        <f t="shared" si="329"/>
        <v>0</v>
      </c>
      <c r="BF187" s="108">
        <f t="shared" si="330"/>
        <v>0</v>
      </c>
      <c r="BG187" s="25" t="e">
        <f t="shared" si="331"/>
        <v>#N/A</v>
      </c>
      <c r="BH187" s="25" t="e">
        <f t="shared" si="332"/>
        <v>#N/A</v>
      </c>
      <c r="BI187" s="25" t="e">
        <f t="shared" si="333"/>
        <v>#N/A</v>
      </c>
      <c r="BJ187" s="27" t="e">
        <f t="shared" si="334"/>
        <v>#N/A</v>
      </c>
      <c r="BK187" s="18" t="e">
        <f t="shared" si="335"/>
        <v>#N/A</v>
      </c>
      <c r="BL187" s="18" t="e">
        <f t="shared" si="336"/>
        <v>#N/A</v>
      </c>
      <c r="BM187" s="28" t="e">
        <f t="shared" si="387"/>
        <v>#N/A</v>
      </c>
      <c r="BN187" s="33">
        <f>HLOOKUP("maximum population",Miscelaneous!$C$1:$C$33,CH187+3,FALSE)</f>
        <v>240</v>
      </c>
      <c r="BO187" s="14">
        <f t="shared" si="349"/>
        <v>32</v>
      </c>
      <c r="BP187" s="14">
        <f t="shared" si="350"/>
        <v>0</v>
      </c>
      <c r="BQ187" s="14">
        <f t="shared" si="351"/>
        <v>208</v>
      </c>
      <c r="BR187" s="34" t="e">
        <f>HLOOKUP(J187,Villagers!$B$1:$V$33,L187+3,FALSE)-HLOOKUP(J187,Villagers!$B$1:$V$33,L187+2,FALSE)</f>
        <v>#N/A</v>
      </c>
      <c r="BS187" s="49">
        <f t="shared" si="352"/>
        <v>1</v>
      </c>
      <c r="BT187" s="50">
        <f t="shared" si="353"/>
        <v>0</v>
      </c>
      <c r="BU187" s="50">
        <f t="shared" si="354"/>
        <v>0</v>
      </c>
      <c r="BV187" s="50">
        <f t="shared" si="355"/>
        <v>0</v>
      </c>
      <c r="BW187" s="50">
        <f t="shared" si="445"/>
        <v>0</v>
      </c>
      <c r="BX187" s="50">
        <f t="shared" si="443"/>
        <v>0</v>
      </c>
      <c r="BY187" s="50">
        <f t="shared" si="443"/>
        <v>0</v>
      </c>
      <c r="BZ187" s="50">
        <f t="shared" si="401"/>
        <v>0</v>
      </c>
      <c r="CA187" s="50">
        <f t="shared" si="402"/>
        <v>0</v>
      </c>
      <c r="CB187" s="50">
        <f t="shared" si="403"/>
        <v>1</v>
      </c>
      <c r="CC187" s="50">
        <f t="shared" si="404"/>
        <v>0</v>
      </c>
      <c r="CD187" s="50">
        <f t="shared" si="405"/>
        <v>0</v>
      </c>
      <c r="CE187" s="50">
        <f t="shared" si="406"/>
        <v>1</v>
      </c>
      <c r="CF187" s="50">
        <f t="shared" si="407"/>
        <v>1</v>
      </c>
      <c r="CG187" s="50">
        <f t="shared" si="408"/>
        <v>1</v>
      </c>
      <c r="CH187" s="50">
        <f t="shared" si="409"/>
        <v>1</v>
      </c>
      <c r="CI187" s="50">
        <f t="shared" si="410"/>
        <v>1</v>
      </c>
      <c r="CJ187" s="50">
        <f t="shared" si="411"/>
        <v>1</v>
      </c>
      <c r="CK187" s="50">
        <f t="shared" si="411"/>
        <v>0</v>
      </c>
      <c r="CL187" s="50">
        <f t="shared" si="411"/>
        <v>0</v>
      </c>
      <c r="CM187" s="51">
        <f t="shared" si="432"/>
        <v>0</v>
      </c>
      <c r="CN187" s="33">
        <f>ROUND(IF(BS187=0,0,HLOOKUP(BS$14,Villagers!$B$1:$V$33,BS187+3,FALSE)),)</f>
        <v>5</v>
      </c>
      <c r="CO187" s="14">
        <f>ROUND(IF(BT187=0,0,HLOOKUP(BT$14,Villagers!$B$1:$V$33,BT187+3,FALSE)),)</f>
        <v>0</v>
      </c>
      <c r="CP187" s="14">
        <f>ROUND(IF(BU187=0,0,HLOOKUP(BU$14,Villagers!$B$1:$V$33,BU187+3,FALSE)),)</f>
        <v>0</v>
      </c>
      <c r="CQ187" s="14">
        <f>ROUND(IF(BV187=0,0,HLOOKUP(BV$14,Villagers!$B$1:$V$33,BV187+3,FALSE)),)</f>
        <v>0</v>
      </c>
      <c r="CR187" s="14">
        <f>ROUND(IF(BW187=0,0,HLOOKUP(BW$14,Villagers!$B$1:$V$33,BW187+3,FALSE)),)</f>
        <v>0</v>
      </c>
      <c r="CS187" s="14">
        <f>ROUND(IF(BX187=0,0,HLOOKUP(BX$14,Villagers!$B$1:$V$33,BX187+3,FALSE)),)</f>
        <v>0</v>
      </c>
      <c r="CT187" s="14">
        <f>ROUND(IF(BY187=0,0,HLOOKUP(BY$14,Villagers!$B$1:$V$33,BY187+3,FALSE)),)</f>
        <v>0</v>
      </c>
      <c r="CU187" s="14">
        <f>ROUND(IF(BZ187=0,0,HLOOKUP(BZ$14,Villagers!$B$1:$V$33,BZ187+3,FALSE)),)</f>
        <v>0</v>
      </c>
      <c r="CV187" s="14">
        <f>ROUND(IF(CA187=0,0,HLOOKUP(CA$14,Villagers!$B$1:$V$33,CA187+3,FALSE)),)</f>
        <v>0</v>
      </c>
      <c r="CW187" s="14">
        <f>ROUND(IF(CB187=0,0,HLOOKUP(CB$14,Villagers!$B$1:$V$33,CB187+3,FALSE)),)</f>
        <v>0</v>
      </c>
      <c r="CX187" s="14">
        <f>ROUND(IF(CC187=0,0,HLOOKUP(CC$14,Villagers!$B$1:$V$33,CC187+3,FALSE)),)</f>
        <v>0</v>
      </c>
      <c r="CY187" s="14">
        <f>ROUND(IF(CD187=0,0,HLOOKUP(CD$14,Villagers!$B$1:$V$33,CD187+3,FALSE)),)</f>
        <v>0</v>
      </c>
      <c r="CZ187" s="14">
        <f>ROUND(IF(CE187=0,0,HLOOKUP(CE$14,Villagers!$B$1:$V$33,CE187+3,FALSE)),)</f>
        <v>5</v>
      </c>
      <c r="DA187" s="14">
        <f>ROUND(IF(CF187=0,0,HLOOKUP(CF$14,Villagers!$B$1:$V$33,CF187+3,FALSE)),)</f>
        <v>10</v>
      </c>
      <c r="DB187" s="14">
        <f>ROUND(IF(CG187=0,0,HLOOKUP(CG$14,Villagers!$B$1:$V$33,CG187+3,FALSE)),)</f>
        <v>10</v>
      </c>
      <c r="DC187" s="14">
        <f>ROUND(IF(CH187=0,0,HLOOKUP(CH$14,Villagers!$B$1:$V$33,CH187+3,FALSE)),)</f>
        <v>0</v>
      </c>
      <c r="DD187" s="14">
        <f>ROUND(IF(CI187=0,0,HLOOKUP(CI$14,Villagers!$B$1:$V$33,CI187+3,FALSE)),)</f>
        <v>0</v>
      </c>
      <c r="DE187" s="14">
        <f>ROUND(IF(CJ187=0,0,HLOOKUP(CJ$14,Villagers!$B$1:$V$33,CJ187+3,FALSE)),)</f>
        <v>2</v>
      </c>
      <c r="DF187" s="370">
        <f>ROUND(IF(CK187=0,0,HLOOKUP(CK$14,Villagers!$B$1:$V$33,CK187+3,FALSE)),)</f>
        <v>0</v>
      </c>
      <c r="DG187" s="370">
        <f>ROUND(IF(CL187=0,0,HLOOKUP(CL$14,Villagers!$B$1:$V$33,CL187+3,FALSE)),)</f>
        <v>0</v>
      </c>
      <c r="DH187" s="34">
        <f>ROUND(IF(CM187=0,0,HLOOKUP(CM$14,Villagers!$B$1:$V$33,CM187+3,FALSE)),)</f>
        <v>0</v>
      </c>
      <c r="DI187" s="109">
        <f t="shared" si="373"/>
        <v>0</v>
      </c>
      <c r="DJ187" s="50">
        <f t="shared" si="374"/>
        <v>0</v>
      </c>
      <c r="DK187" s="50">
        <f t="shared" si="375"/>
        <v>0</v>
      </c>
      <c r="DL187" s="50">
        <f t="shared" si="376"/>
        <v>0</v>
      </c>
      <c r="DM187" s="50">
        <f t="shared" si="377"/>
        <v>0</v>
      </c>
      <c r="DN187" s="50">
        <f t="shared" si="378"/>
        <v>0</v>
      </c>
      <c r="DO187" s="50">
        <f t="shared" si="379"/>
        <v>0</v>
      </c>
      <c r="DP187" s="50">
        <f t="shared" si="380"/>
        <v>0</v>
      </c>
      <c r="DQ187" s="50">
        <f t="shared" si="357"/>
        <v>0</v>
      </c>
      <c r="DR187" s="50">
        <f t="shared" si="358"/>
        <v>0</v>
      </c>
      <c r="DS187" s="96">
        <f>Miscelaneous!$D$4*Miscelaneous!$D$2^($CI187-1)</f>
        <v>1000</v>
      </c>
      <c r="DT187" s="333">
        <f t="shared" si="337"/>
        <v>1</v>
      </c>
      <c r="DU187" s="81">
        <v>1</v>
      </c>
      <c r="DV187" s="79">
        <f t="shared" si="359"/>
        <v>0</v>
      </c>
      <c r="DW187" s="79">
        <f t="shared" si="360"/>
        <v>0</v>
      </c>
      <c r="DX187" s="79">
        <f t="shared" si="361"/>
        <v>0</v>
      </c>
      <c r="DY187" s="79">
        <v>1</v>
      </c>
      <c r="DZ187" s="79">
        <f t="shared" si="362"/>
        <v>0</v>
      </c>
      <c r="EA187" s="79">
        <f t="shared" si="363"/>
        <v>0</v>
      </c>
      <c r="EB187" s="79">
        <f t="shared" si="364"/>
        <v>0</v>
      </c>
      <c r="EC187" s="79">
        <f t="shared" si="365"/>
        <v>0</v>
      </c>
      <c r="ED187" s="79">
        <v>1</v>
      </c>
      <c r="EE187" s="79">
        <v>1</v>
      </c>
      <c r="EF187" s="79">
        <f t="shared" si="366"/>
        <v>0</v>
      </c>
      <c r="EG187" s="79">
        <v>1</v>
      </c>
      <c r="EH187" s="79">
        <v>1</v>
      </c>
      <c r="EI187" s="79">
        <v>1</v>
      </c>
      <c r="EJ187" s="79">
        <v>1</v>
      </c>
      <c r="EK187" s="79">
        <v>1</v>
      </c>
      <c r="EL187" s="79">
        <v>1</v>
      </c>
      <c r="EM187" s="143">
        <f t="shared" si="367"/>
        <v>0</v>
      </c>
      <c r="EN187" s="143">
        <f t="shared" si="368"/>
        <v>0</v>
      </c>
      <c r="EO187" s="82">
        <f t="shared" si="369"/>
        <v>0</v>
      </c>
    </row>
    <row r="188" spans="1:145" x14ac:dyDescent="0.25">
      <c r="A188">
        <v>174</v>
      </c>
      <c r="B188" s="172" t="e">
        <f t="shared" si="338"/>
        <v>#N/A</v>
      </c>
      <c r="C188" s="121" t="e">
        <f t="shared" ref="C188:E188" si="449">AJ188-SUM(AB188:AB192)</f>
        <v>#N/A</v>
      </c>
      <c r="D188" s="122" t="e">
        <f t="shared" si="449"/>
        <v>#N/A</v>
      </c>
      <c r="E188" s="122" t="e">
        <f t="shared" si="449"/>
        <v>#N/A</v>
      </c>
      <c r="F188" s="176" t="e">
        <f t="shared" si="320"/>
        <v>#N/A</v>
      </c>
      <c r="G188" s="121">
        <f t="shared" si="340"/>
        <v>208</v>
      </c>
      <c r="H188" s="176" t="e">
        <f t="shared" si="341"/>
        <v>#N/A</v>
      </c>
      <c r="I188" s="48">
        <v>1</v>
      </c>
      <c r="J188" s="39"/>
      <c r="K188" s="350">
        <v>1</v>
      </c>
      <c r="L188" s="34" t="e">
        <f t="shared" si="321"/>
        <v>#N/A</v>
      </c>
      <c r="M188" s="38" t="e">
        <f>(HLOOKUP(J188,'Construction Times'!$B$3:$W$34,L188+2,FALSE)*HLOOKUP("hq modifier",'Construction Times'!$W$3:$W$34,BS188+2,FALSE))*(1-$H$9)</f>
        <v>#N/A</v>
      </c>
      <c r="N188" s="426" t="e">
        <f t="shared" si="342"/>
        <v>#N/A</v>
      </c>
      <c r="O188" s="427"/>
      <c r="P188" s="430" t="e">
        <f t="shared" si="343"/>
        <v>#N/A</v>
      </c>
      <c r="Q188" s="431"/>
      <c r="R188" s="103">
        <f t="shared" si="371"/>
        <v>0</v>
      </c>
      <c r="S188" s="104">
        <f t="shared" si="371"/>
        <v>0</v>
      </c>
      <c r="T188" s="104">
        <f t="shared" si="372"/>
        <v>0</v>
      </c>
      <c r="U188" s="104">
        <f t="shared" si="372"/>
        <v>0</v>
      </c>
      <c r="V188" s="104">
        <f t="shared" si="372"/>
        <v>9.9999999999999995E-8</v>
      </c>
      <c r="W188" s="104">
        <f t="shared" si="372"/>
        <v>0</v>
      </c>
      <c r="X188" s="104">
        <f t="shared" si="429"/>
        <v>0</v>
      </c>
      <c r="Y188" s="104">
        <f t="shared" si="429"/>
        <v>9.9999999999999995E-8</v>
      </c>
      <c r="Z188" s="104">
        <f t="shared" si="429"/>
        <v>9.9999999999999995E-8</v>
      </c>
      <c r="AA188" s="105">
        <f t="shared" si="429"/>
        <v>9.9999999999999995E-8</v>
      </c>
      <c r="AB188" s="101" t="e">
        <f>$DT188*HLOOKUP($J188,'Construction Costs (timber)'!$B$1:$V$32,'Construction Planner'!$L188+2,FALSE)</f>
        <v>#N/A</v>
      </c>
      <c r="AC188" s="14" t="e">
        <f>$DT188*HLOOKUP($J188,'Construction Costs (clay)'!$B$1:$V$32,'Construction Planner'!$L188+2,FALSE)</f>
        <v>#N/A</v>
      </c>
      <c r="AD188" s="14" t="e">
        <f>$DT188*HLOOKUP($J188,'Construction Costs (iron)'!$B$1:$V$32,'Construction Planner'!$L188+2,FALSE)</f>
        <v>#N/A</v>
      </c>
      <c r="AE188" s="34" t="e">
        <f t="shared" si="384"/>
        <v>#N/A</v>
      </c>
      <c r="AF188" s="33" t="e">
        <f t="shared" si="322"/>
        <v>#N/A</v>
      </c>
      <c r="AG188" s="14" t="e">
        <f t="shared" si="323"/>
        <v>#N/A</v>
      </c>
      <c r="AH188" s="14" t="e">
        <f t="shared" si="324"/>
        <v>#N/A</v>
      </c>
      <c r="AI188" s="34" t="e">
        <f t="shared" si="385"/>
        <v>#N/A</v>
      </c>
      <c r="AJ188" s="49" t="e">
        <f t="shared" si="345"/>
        <v>#N/A</v>
      </c>
      <c r="AK188" s="49" t="e">
        <f t="shared" si="346"/>
        <v>#N/A</v>
      </c>
      <c r="AL188" s="49" t="e">
        <f t="shared" si="347"/>
        <v>#N/A</v>
      </c>
      <c r="AM188" s="25">
        <f t="shared" si="325"/>
        <v>30</v>
      </c>
      <c r="AN188" s="25">
        <f t="shared" si="326"/>
        <v>30</v>
      </c>
      <c r="AO188" s="25">
        <f t="shared" si="327"/>
        <v>30</v>
      </c>
      <c r="AP188" s="52" t="e">
        <f t="shared" si="348"/>
        <v>#N/A</v>
      </c>
      <c r="AQ188" s="53" t="e">
        <f t="shared" si="348"/>
        <v>#N/A</v>
      </c>
      <c r="AR188" s="54" t="e">
        <f t="shared" si="348"/>
        <v>#N/A</v>
      </c>
      <c r="AS188" s="316">
        <f t="shared" si="439"/>
        <v>0</v>
      </c>
      <c r="AT188" s="106">
        <f>_xlfn.IFNA($M188/VLOOKUP($BT188,'Unit information'!$A$2:$K$29,2,FALSE)*R188,0)*(1+$E$9)</f>
        <v>0</v>
      </c>
      <c r="AU188" s="107">
        <f>_xlfn.IFNA($M188/VLOOKUP($BT188,'Unit information'!$A$2:$K$29,3,FALSE)*S188,0)*(1+$E$9)</f>
        <v>0</v>
      </c>
      <c r="AV188" s="107">
        <f>_xlfn.IFNA($M188/VLOOKUP($BT188,'Unit information'!$A$2:$K$29,4,FALSE)*T188,0)*(1+$E$9)</f>
        <v>0</v>
      </c>
      <c r="AW188" s="107">
        <f>_xlfn.IFNA($M188/VLOOKUP($BT188,'Unit information'!$A$2:$K$29,5,FALSE)*U188,0)*(1+$E$9)</f>
        <v>0</v>
      </c>
      <c r="AX188" s="107">
        <f>_xlfn.IFNA($M188/VLOOKUP($BU188,'Unit information'!$A$2:$K$29,6,FALSE)*V188,0)*(1+$E$9)</f>
        <v>0</v>
      </c>
      <c r="AY188" s="107">
        <f>_xlfn.IFNA($M188/VLOOKUP($BU188,'Unit information'!$A$2:$K$29,7,FALSE)*W188,0)*(1+$E$9)</f>
        <v>0</v>
      </c>
      <c r="AZ188" s="107">
        <f>_xlfn.IFNA($M188/VLOOKUP($BU188,'Unit information'!$A$2:$K$29,8,FALSE)*X188,0)*(1+$E$9)</f>
        <v>0</v>
      </c>
      <c r="BA188" s="107">
        <f>_xlfn.IFNA($M188/VLOOKUP($BU188,'Unit information'!$A$2:$K$29,9,FALSE)*Y188,0)*(1+$E$9)</f>
        <v>0</v>
      </c>
      <c r="BB188" s="107">
        <f>_xlfn.IFNA($M188/VLOOKUP($BV188,'Unit information'!$A$2:$K$29,10,FALSE)*Z188,0)*(1+$E$9)</f>
        <v>0</v>
      </c>
      <c r="BC188" s="108">
        <f>_xlfn.IFNA($M188/VLOOKUP($BV188,'Unit information'!$A$2:$K$29,11,FALSE)*AA188,0)*(1+$E$9)</f>
        <v>0</v>
      </c>
      <c r="BD188" s="106">
        <f t="shared" si="328"/>
        <v>0</v>
      </c>
      <c r="BE188" s="107">
        <f t="shared" si="329"/>
        <v>0</v>
      </c>
      <c r="BF188" s="108">
        <f t="shared" si="330"/>
        <v>0</v>
      </c>
      <c r="BG188" s="25" t="e">
        <f t="shared" si="331"/>
        <v>#N/A</v>
      </c>
      <c r="BH188" s="25" t="e">
        <f t="shared" si="332"/>
        <v>#N/A</v>
      </c>
      <c r="BI188" s="25" t="e">
        <f t="shared" si="333"/>
        <v>#N/A</v>
      </c>
      <c r="BJ188" s="27" t="e">
        <f t="shared" si="334"/>
        <v>#N/A</v>
      </c>
      <c r="BK188" s="18" t="e">
        <f t="shared" si="335"/>
        <v>#N/A</v>
      </c>
      <c r="BL188" s="18" t="e">
        <f t="shared" si="336"/>
        <v>#N/A</v>
      </c>
      <c r="BM188" s="28" t="e">
        <f t="shared" si="387"/>
        <v>#N/A</v>
      </c>
      <c r="BN188" s="33">
        <f>HLOOKUP("maximum population",Miscelaneous!$C$1:$C$33,CH188+3,FALSE)</f>
        <v>240</v>
      </c>
      <c r="BO188" s="14">
        <f t="shared" si="349"/>
        <v>32</v>
      </c>
      <c r="BP188" s="14">
        <f t="shared" si="350"/>
        <v>0</v>
      </c>
      <c r="BQ188" s="14">
        <f t="shared" si="351"/>
        <v>208</v>
      </c>
      <c r="BR188" s="34" t="e">
        <f>HLOOKUP(J188,Villagers!$B$1:$V$33,L188+3,FALSE)-HLOOKUP(J188,Villagers!$B$1:$V$33,L188+2,FALSE)</f>
        <v>#N/A</v>
      </c>
      <c r="BS188" s="49">
        <f t="shared" si="352"/>
        <v>1</v>
      </c>
      <c r="BT188" s="50">
        <f t="shared" si="353"/>
        <v>0</v>
      </c>
      <c r="BU188" s="50">
        <f t="shared" si="354"/>
        <v>0</v>
      </c>
      <c r="BV188" s="50">
        <f t="shared" si="355"/>
        <v>0</v>
      </c>
      <c r="BW188" s="50">
        <f t="shared" si="445"/>
        <v>0</v>
      </c>
      <c r="BX188" s="50">
        <f t="shared" si="443"/>
        <v>0</v>
      </c>
      <c r="BY188" s="50">
        <f t="shared" si="443"/>
        <v>0</v>
      </c>
      <c r="BZ188" s="50">
        <f t="shared" si="401"/>
        <v>0</v>
      </c>
      <c r="CA188" s="50">
        <f t="shared" si="402"/>
        <v>0</v>
      </c>
      <c r="CB188" s="50">
        <f t="shared" si="403"/>
        <v>1</v>
      </c>
      <c r="CC188" s="50">
        <f t="shared" si="404"/>
        <v>0</v>
      </c>
      <c r="CD188" s="50">
        <f t="shared" si="405"/>
        <v>0</v>
      </c>
      <c r="CE188" s="50">
        <f t="shared" si="406"/>
        <v>1</v>
      </c>
      <c r="CF188" s="50">
        <f t="shared" si="407"/>
        <v>1</v>
      </c>
      <c r="CG188" s="50">
        <f t="shared" si="408"/>
        <v>1</v>
      </c>
      <c r="CH188" s="50">
        <f t="shared" si="409"/>
        <v>1</v>
      </c>
      <c r="CI188" s="50">
        <f t="shared" si="410"/>
        <v>1</v>
      </c>
      <c r="CJ188" s="50">
        <f t="shared" si="411"/>
        <v>1</v>
      </c>
      <c r="CK188" s="50">
        <f t="shared" si="411"/>
        <v>0</v>
      </c>
      <c r="CL188" s="50">
        <f t="shared" si="411"/>
        <v>0</v>
      </c>
      <c r="CM188" s="51">
        <f t="shared" si="432"/>
        <v>0</v>
      </c>
      <c r="CN188" s="33">
        <f>ROUND(IF(BS188=0,0,HLOOKUP(BS$14,Villagers!$B$1:$V$33,BS188+3,FALSE)),)</f>
        <v>5</v>
      </c>
      <c r="CO188" s="14">
        <f>ROUND(IF(BT188=0,0,HLOOKUP(BT$14,Villagers!$B$1:$V$33,BT188+3,FALSE)),)</f>
        <v>0</v>
      </c>
      <c r="CP188" s="14">
        <f>ROUND(IF(BU188=0,0,HLOOKUP(BU$14,Villagers!$B$1:$V$33,BU188+3,FALSE)),)</f>
        <v>0</v>
      </c>
      <c r="CQ188" s="14">
        <f>ROUND(IF(BV188=0,0,HLOOKUP(BV$14,Villagers!$B$1:$V$33,BV188+3,FALSE)),)</f>
        <v>0</v>
      </c>
      <c r="CR188" s="14">
        <f>ROUND(IF(BW188=0,0,HLOOKUP(BW$14,Villagers!$B$1:$V$33,BW188+3,FALSE)),)</f>
        <v>0</v>
      </c>
      <c r="CS188" s="14">
        <f>ROUND(IF(BX188=0,0,HLOOKUP(BX$14,Villagers!$B$1:$V$33,BX188+3,FALSE)),)</f>
        <v>0</v>
      </c>
      <c r="CT188" s="14">
        <f>ROUND(IF(BY188=0,0,HLOOKUP(BY$14,Villagers!$B$1:$V$33,BY188+3,FALSE)),)</f>
        <v>0</v>
      </c>
      <c r="CU188" s="14">
        <f>ROUND(IF(BZ188=0,0,HLOOKUP(BZ$14,Villagers!$B$1:$V$33,BZ188+3,FALSE)),)</f>
        <v>0</v>
      </c>
      <c r="CV188" s="14">
        <f>ROUND(IF(CA188=0,0,HLOOKUP(CA$14,Villagers!$B$1:$V$33,CA188+3,FALSE)),)</f>
        <v>0</v>
      </c>
      <c r="CW188" s="14">
        <f>ROUND(IF(CB188=0,0,HLOOKUP(CB$14,Villagers!$B$1:$V$33,CB188+3,FALSE)),)</f>
        <v>0</v>
      </c>
      <c r="CX188" s="14">
        <f>ROUND(IF(CC188=0,0,HLOOKUP(CC$14,Villagers!$B$1:$V$33,CC188+3,FALSE)),)</f>
        <v>0</v>
      </c>
      <c r="CY188" s="14">
        <f>ROUND(IF(CD188=0,0,HLOOKUP(CD$14,Villagers!$B$1:$V$33,CD188+3,FALSE)),)</f>
        <v>0</v>
      </c>
      <c r="CZ188" s="14">
        <f>ROUND(IF(CE188=0,0,HLOOKUP(CE$14,Villagers!$B$1:$V$33,CE188+3,FALSE)),)</f>
        <v>5</v>
      </c>
      <c r="DA188" s="14">
        <f>ROUND(IF(CF188=0,0,HLOOKUP(CF$14,Villagers!$B$1:$V$33,CF188+3,FALSE)),)</f>
        <v>10</v>
      </c>
      <c r="DB188" s="14">
        <f>ROUND(IF(CG188=0,0,HLOOKUP(CG$14,Villagers!$B$1:$V$33,CG188+3,FALSE)),)</f>
        <v>10</v>
      </c>
      <c r="DC188" s="14">
        <f>ROUND(IF(CH188=0,0,HLOOKUP(CH$14,Villagers!$B$1:$V$33,CH188+3,FALSE)),)</f>
        <v>0</v>
      </c>
      <c r="DD188" s="14">
        <f>ROUND(IF(CI188=0,0,HLOOKUP(CI$14,Villagers!$B$1:$V$33,CI188+3,FALSE)),)</f>
        <v>0</v>
      </c>
      <c r="DE188" s="14">
        <f>ROUND(IF(CJ188=0,0,HLOOKUP(CJ$14,Villagers!$B$1:$V$33,CJ188+3,FALSE)),)</f>
        <v>2</v>
      </c>
      <c r="DF188" s="370">
        <f>ROUND(IF(CK188=0,0,HLOOKUP(CK$14,Villagers!$B$1:$V$33,CK188+3,FALSE)),)</f>
        <v>0</v>
      </c>
      <c r="DG188" s="370">
        <f>ROUND(IF(CL188=0,0,HLOOKUP(CL$14,Villagers!$B$1:$V$33,CL188+3,FALSE)),)</f>
        <v>0</v>
      </c>
      <c r="DH188" s="34">
        <f>ROUND(IF(CM188=0,0,HLOOKUP(CM$14,Villagers!$B$1:$V$33,CM188+3,FALSE)),)</f>
        <v>0</v>
      </c>
      <c r="DI188" s="109">
        <f t="shared" si="373"/>
        <v>0</v>
      </c>
      <c r="DJ188" s="50">
        <f t="shared" si="374"/>
        <v>0</v>
      </c>
      <c r="DK188" s="50">
        <f t="shared" si="375"/>
        <v>0</v>
      </c>
      <c r="DL188" s="50">
        <f t="shared" si="376"/>
        <v>0</v>
      </c>
      <c r="DM188" s="50">
        <f t="shared" si="377"/>
        <v>0</v>
      </c>
      <c r="DN188" s="50">
        <f t="shared" si="378"/>
        <v>0</v>
      </c>
      <c r="DO188" s="50">
        <f t="shared" si="379"/>
        <v>0</v>
      </c>
      <c r="DP188" s="50">
        <f t="shared" si="380"/>
        <v>0</v>
      </c>
      <c r="DQ188" s="50">
        <f t="shared" si="357"/>
        <v>0</v>
      </c>
      <c r="DR188" s="50">
        <f t="shared" si="358"/>
        <v>0</v>
      </c>
      <c r="DS188" s="96">
        <f>Miscelaneous!$D$4*Miscelaneous!$D$2^($CI188-1)</f>
        <v>1000</v>
      </c>
      <c r="DT188" s="333">
        <f t="shared" si="337"/>
        <v>1</v>
      </c>
      <c r="DU188" s="81">
        <v>1</v>
      </c>
      <c r="DV188" s="79">
        <f t="shared" si="359"/>
        <v>0</v>
      </c>
      <c r="DW188" s="79">
        <f t="shared" si="360"/>
        <v>0</v>
      </c>
      <c r="DX188" s="79">
        <f t="shared" si="361"/>
        <v>0</v>
      </c>
      <c r="DY188" s="79">
        <v>1</v>
      </c>
      <c r="DZ188" s="79">
        <f t="shared" si="362"/>
        <v>0</v>
      </c>
      <c r="EA188" s="79">
        <f t="shared" si="363"/>
        <v>0</v>
      </c>
      <c r="EB188" s="79">
        <f t="shared" si="364"/>
        <v>0</v>
      </c>
      <c r="EC188" s="79">
        <f t="shared" si="365"/>
        <v>0</v>
      </c>
      <c r="ED188" s="79">
        <v>1</v>
      </c>
      <c r="EE188" s="79">
        <v>1</v>
      </c>
      <c r="EF188" s="79">
        <f t="shared" si="366"/>
        <v>0</v>
      </c>
      <c r="EG188" s="79">
        <v>1</v>
      </c>
      <c r="EH188" s="79">
        <v>1</v>
      </c>
      <c r="EI188" s="79">
        <v>1</v>
      </c>
      <c r="EJ188" s="79">
        <v>1</v>
      </c>
      <c r="EK188" s="79">
        <v>1</v>
      </c>
      <c r="EL188" s="79">
        <v>1</v>
      </c>
      <c r="EM188" s="143">
        <f t="shared" si="367"/>
        <v>0</v>
      </c>
      <c r="EN188" s="143">
        <f t="shared" si="368"/>
        <v>0</v>
      </c>
      <c r="EO188" s="82">
        <f t="shared" si="369"/>
        <v>0</v>
      </c>
    </row>
    <row r="189" spans="1:145" x14ac:dyDescent="0.25">
      <c r="A189">
        <v>175</v>
      </c>
      <c r="B189" s="172" t="e">
        <f t="shared" si="338"/>
        <v>#N/A</v>
      </c>
      <c r="C189" s="121" t="e">
        <f t="shared" ref="C189:E189" si="450">AJ189-SUM(AB189:AB193)</f>
        <v>#N/A</v>
      </c>
      <c r="D189" s="122" t="e">
        <f t="shared" si="450"/>
        <v>#N/A</v>
      </c>
      <c r="E189" s="122" t="e">
        <f t="shared" si="450"/>
        <v>#N/A</v>
      </c>
      <c r="F189" s="176" t="e">
        <f t="shared" si="320"/>
        <v>#N/A</v>
      </c>
      <c r="G189" s="121">
        <f t="shared" si="340"/>
        <v>208</v>
      </c>
      <c r="H189" s="176" t="e">
        <f t="shared" si="341"/>
        <v>#N/A</v>
      </c>
      <c r="I189" s="48">
        <v>1</v>
      </c>
      <c r="J189" s="39"/>
      <c r="K189" s="350">
        <v>1</v>
      </c>
      <c r="L189" s="34" t="e">
        <f t="shared" si="321"/>
        <v>#N/A</v>
      </c>
      <c r="M189" s="38" t="e">
        <f>(HLOOKUP(J189,'Construction Times'!$B$3:$W$34,L189+2,FALSE)*HLOOKUP("hq modifier",'Construction Times'!$W$3:$W$34,BS189+2,FALSE))*(1-$H$9)</f>
        <v>#N/A</v>
      </c>
      <c r="N189" s="426" t="e">
        <f t="shared" si="342"/>
        <v>#N/A</v>
      </c>
      <c r="O189" s="427"/>
      <c r="P189" s="430" t="e">
        <f t="shared" si="343"/>
        <v>#N/A</v>
      </c>
      <c r="Q189" s="431"/>
      <c r="R189" s="103">
        <f t="shared" si="371"/>
        <v>0</v>
      </c>
      <c r="S189" s="104">
        <f t="shared" si="371"/>
        <v>0</v>
      </c>
      <c r="T189" s="104">
        <f t="shared" si="372"/>
        <v>0</v>
      </c>
      <c r="U189" s="104">
        <f t="shared" si="372"/>
        <v>0</v>
      </c>
      <c r="V189" s="104">
        <f t="shared" si="372"/>
        <v>9.9999999999999995E-8</v>
      </c>
      <c r="W189" s="104">
        <f t="shared" si="372"/>
        <v>0</v>
      </c>
      <c r="X189" s="104">
        <f t="shared" si="429"/>
        <v>0</v>
      </c>
      <c r="Y189" s="104">
        <f t="shared" si="429"/>
        <v>9.9999999999999995E-8</v>
      </c>
      <c r="Z189" s="104">
        <f t="shared" si="429"/>
        <v>9.9999999999999995E-8</v>
      </c>
      <c r="AA189" s="105">
        <f t="shared" si="429"/>
        <v>9.9999999999999995E-8</v>
      </c>
      <c r="AB189" s="101" t="e">
        <f>$DT189*HLOOKUP($J189,'Construction Costs (timber)'!$B$1:$V$32,'Construction Planner'!$L189+2,FALSE)</f>
        <v>#N/A</v>
      </c>
      <c r="AC189" s="14" t="e">
        <f>$DT189*HLOOKUP($J189,'Construction Costs (clay)'!$B$1:$V$32,'Construction Planner'!$L189+2,FALSE)</f>
        <v>#N/A</v>
      </c>
      <c r="AD189" s="14" t="e">
        <f>$DT189*HLOOKUP($J189,'Construction Costs (iron)'!$B$1:$V$32,'Construction Planner'!$L189+2,FALSE)</f>
        <v>#N/A</v>
      </c>
      <c r="AE189" s="34" t="e">
        <f t="shared" si="384"/>
        <v>#N/A</v>
      </c>
      <c r="AF189" s="33" t="e">
        <f t="shared" si="322"/>
        <v>#N/A</v>
      </c>
      <c r="AG189" s="14" t="e">
        <f t="shared" si="323"/>
        <v>#N/A</v>
      </c>
      <c r="AH189" s="14" t="e">
        <f t="shared" si="324"/>
        <v>#N/A</v>
      </c>
      <c r="AI189" s="34" t="e">
        <f t="shared" si="385"/>
        <v>#N/A</v>
      </c>
      <c r="AJ189" s="49" t="e">
        <f t="shared" si="345"/>
        <v>#N/A</v>
      </c>
      <c r="AK189" s="49" t="e">
        <f t="shared" si="346"/>
        <v>#N/A</v>
      </c>
      <c r="AL189" s="49" t="e">
        <f t="shared" si="347"/>
        <v>#N/A</v>
      </c>
      <c r="AM189" s="25">
        <f t="shared" si="325"/>
        <v>30</v>
      </c>
      <c r="AN189" s="25">
        <f t="shared" si="326"/>
        <v>30</v>
      </c>
      <c r="AO189" s="25">
        <f t="shared" si="327"/>
        <v>30</v>
      </c>
      <c r="AP189" s="52" t="e">
        <f t="shared" si="348"/>
        <v>#N/A</v>
      </c>
      <c r="AQ189" s="53" t="e">
        <f t="shared" si="348"/>
        <v>#N/A</v>
      </c>
      <c r="AR189" s="54" t="e">
        <f t="shared" si="348"/>
        <v>#N/A</v>
      </c>
      <c r="AS189" s="316">
        <f t="shared" si="439"/>
        <v>0</v>
      </c>
      <c r="AT189" s="106">
        <f>_xlfn.IFNA($M189/VLOOKUP($BT189,'Unit information'!$A$2:$K$29,2,FALSE)*R189,0)*(1+$E$9)</f>
        <v>0</v>
      </c>
      <c r="AU189" s="107">
        <f>_xlfn.IFNA($M189/VLOOKUP($BT189,'Unit information'!$A$2:$K$29,3,FALSE)*S189,0)*(1+$E$9)</f>
        <v>0</v>
      </c>
      <c r="AV189" s="107">
        <f>_xlfn.IFNA($M189/VLOOKUP($BT189,'Unit information'!$A$2:$K$29,4,FALSE)*T189,0)*(1+$E$9)</f>
        <v>0</v>
      </c>
      <c r="AW189" s="107">
        <f>_xlfn.IFNA($M189/VLOOKUP($BT189,'Unit information'!$A$2:$K$29,5,FALSE)*U189,0)*(1+$E$9)</f>
        <v>0</v>
      </c>
      <c r="AX189" s="107">
        <f>_xlfn.IFNA($M189/VLOOKUP($BU189,'Unit information'!$A$2:$K$29,6,FALSE)*V189,0)*(1+$E$9)</f>
        <v>0</v>
      </c>
      <c r="AY189" s="107">
        <f>_xlfn.IFNA($M189/VLOOKUP($BU189,'Unit information'!$A$2:$K$29,7,FALSE)*W189,0)*(1+$E$9)</f>
        <v>0</v>
      </c>
      <c r="AZ189" s="107">
        <f>_xlfn.IFNA($M189/VLOOKUP($BU189,'Unit information'!$A$2:$K$29,8,FALSE)*X189,0)*(1+$E$9)</f>
        <v>0</v>
      </c>
      <c r="BA189" s="107">
        <f>_xlfn.IFNA($M189/VLOOKUP($BU189,'Unit information'!$A$2:$K$29,9,FALSE)*Y189,0)*(1+$E$9)</f>
        <v>0</v>
      </c>
      <c r="BB189" s="107">
        <f>_xlfn.IFNA($M189/VLOOKUP($BV189,'Unit information'!$A$2:$K$29,10,FALSE)*Z189,0)*(1+$E$9)</f>
        <v>0</v>
      </c>
      <c r="BC189" s="108">
        <f>_xlfn.IFNA($M189/VLOOKUP($BV189,'Unit information'!$A$2:$K$29,11,FALSE)*AA189,0)*(1+$E$9)</f>
        <v>0</v>
      </c>
      <c r="BD189" s="106">
        <f t="shared" si="328"/>
        <v>0</v>
      </c>
      <c r="BE189" s="107">
        <f t="shared" si="329"/>
        <v>0</v>
      </c>
      <c r="BF189" s="108">
        <f t="shared" si="330"/>
        <v>0</v>
      </c>
      <c r="BG189" s="25" t="e">
        <f t="shared" si="331"/>
        <v>#N/A</v>
      </c>
      <c r="BH189" s="25" t="e">
        <f t="shared" si="332"/>
        <v>#N/A</v>
      </c>
      <c r="BI189" s="25" t="e">
        <f t="shared" si="333"/>
        <v>#N/A</v>
      </c>
      <c r="BJ189" s="27" t="e">
        <f t="shared" si="334"/>
        <v>#N/A</v>
      </c>
      <c r="BK189" s="18" t="e">
        <f t="shared" si="335"/>
        <v>#N/A</v>
      </c>
      <c r="BL189" s="18" t="e">
        <f t="shared" si="336"/>
        <v>#N/A</v>
      </c>
      <c r="BM189" s="28" t="e">
        <f t="shared" si="387"/>
        <v>#N/A</v>
      </c>
      <c r="BN189" s="33">
        <f>HLOOKUP("maximum population",Miscelaneous!$C$1:$C$33,CH189+3,FALSE)</f>
        <v>240</v>
      </c>
      <c r="BO189" s="14">
        <f t="shared" si="349"/>
        <v>32</v>
      </c>
      <c r="BP189" s="14">
        <f t="shared" si="350"/>
        <v>0</v>
      </c>
      <c r="BQ189" s="14">
        <f t="shared" si="351"/>
        <v>208</v>
      </c>
      <c r="BR189" s="34" t="e">
        <f>HLOOKUP(J189,Villagers!$B$1:$V$33,L189+3,FALSE)-HLOOKUP(J189,Villagers!$B$1:$V$33,L189+2,FALSE)</f>
        <v>#N/A</v>
      </c>
      <c r="BS189" s="49">
        <f t="shared" si="352"/>
        <v>1</v>
      </c>
      <c r="BT189" s="50">
        <f t="shared" si="353"/>
        <v>0</v>
      </c>
      <c r="BU189" s="50">
        <f t="shared" si="354"/>
        <v>0</v>
      </c>
      <c r="BV189" s="50">
        <f t="shared" si="355"/>
        <v>0</v>
      </c>
      <c r="BW189" s="50">
        <f t="shared" si="445"/>
        <v>0</v>
      </c>
      <c r="BX189" s="50">
        <f t="shared" si="443"/>
        <v>0</v>
      </c>
      <c r="BY189" s="50">
        <f t="shared" si="443"/>
        <v>0</v>
      </c>
      <c r="BZ189" s="50">
        <f t="shared" si="401"/>
        <v>0</v>
      </c>
      <c r="CA189" s="50">
        <f t="shared" si="402"/>
        <v>0</v>
      </c>
      <c r="CB189" s="50">
        <f t="shared" si="403"/>
        <v>1</v>
      </c>
      <c r="CC189" s="50">
        <f t="shared" si="404"/>
        <v>0</v>
      </c>
      <c r="CD189" s="50">
        <f t="shared" si="405"/>
        <v>0</v>
      </c>
      <c r="CE189" s="50">
        <f t="shared" si="406"/>
        <v>1</v>
      </c>
      <c r="CF189" s="50">
        <f t="shared" si="407"/>
        <v>1</v>
      </c>
      <c r="CG189" s="50">
        <f t="shared" si="408"/>
        <v>1</v>
      </c>
      <c r="CH189" s="50">
        <f t="shared" si="409"/>
        <v>1</v>
      </c>
      <c r="CI189" s="50">
        <f t="shared" si="410"/>
        <v>1</v>
      </c>
      <c r="CJ189" s="50">
        <f t="shared" si="411"/>
        <v>1</v>
      </c>
      <c r="CK189" s="50">
        <f t="shared" si="411"/>
        <v>0</v>
      </c>
      <c r="CL189" s="50">
        <f t="shared" si="411"/>
        <v>0</v>
      </c>
      <c r="CM189" s="51">
        <f t="shared" si="432"/>
        <v>0</v>
      </c>
      <c r="CN189" s="33">
        <f>ROUND(IF(BS189=0,0,HLOOKUP(BS$14,Villagers!$B$1:$V$33,BS189+3,FALSE)),)</f>
        <v>5</v>
      </c>
      <c r="CO189" s="14">
        <f>ROUND(IF(BT189=0,0,HLOOKUP(BT$14,Villagers!$B$1:$V$33,BT189+3,FALSE)),)</f>
        <v>0</v>
      </c>
      <c r="CP189" s="14">
        <f>ROUND(IF(BU189=0,0,HLOOKUP(BU$14,Villagers!$B$1:$V$33,BU189+3,FALSE)),)</f>
        <v>0</v>
      </c>
      <c r="CQ189" s="14">
        <f>ROUND(IF(BV189=0,0,HLOOKUP(BV$14,Villagers!$B$1:$V$33,BV189+3,FALSE)),)</f>
        <v>0</v>
      </c>
      <c r="CR189" s="14">
        <f>ROUND(IF(BW189=0,0,HLOOKUP(BW$14,Villagers!$B$1:$V$33,BW189+3,FALSE)),)</f>
        <v>0</v>
      </c>
      <c r="CS189" s="14">
        <f>ROUND(IF(BX189=0,0,HLOOKUP(BX$14,Villagers!$B$1:$V$33,BX189+3,FALSE)),)</f>
        <v>0</v>
      </c>
      <c r="CT189" s="14">
        <f>ROUND(IF(BY189=0,0,HLOOKUP(BY$14,Villagers!$B$1:$V$33,BY189+3,FALSE)),)</f>
        <v>0</v>
      </c>
      <c r="CU189" s="14">
        <f>ROUND(IF(BZ189=0,0,HLOOKUP(BZ$14,Villagers!$B$1:$V$33,BZ189+3,FALSE)),)</f>
        <v>0</v>
      </c>
      <c r="CV189" s="14">
        <f>ROUND(IF(CA189=0,0,HLOOKUP(CA$14,Villagers!$B$1:$V$33,CA189+3,FALSE)),)</f>
        <v>0</v>
      </c>
      <c r="CW189" s="14">
        <f>ROUND(IF(CB189=0,0,HLOOKUP(CB$14,Villagers!$B$1:$V$33,CB189+3,FALSE)),)</f>
        <v>0</v>
      </c>
      <c r="CX189" s="14">
        <f>ROUND(IF(CC189=0,0,HLOOKUP(CC$14,Villagers!$B$1:$V$33,CC189+3,FALSE)),)</f>
        <v>0</v>
      </c>
      <c r="CY189" s="14">
        <f>ROUND(IF(CD189=0,0,HLOOKUP(CD$14,Villagers!$B$1:$V$33,CD189+3,FALSE)),)</f>
        <v>0</v>
      </c>
      <c r="CZ189" s="14">
        <f>ROUND(IF(CE189=0,0,HLOOKUP(CE$14,Villagers!$B$1:$V$33,CE189+3,FALSE)),)</f>
        <v>5</v>
      </c>
      <c r="DA189" s="14">
        <f>ROUND(IF(CF189=0,0,HLOOKUP(CF$14,Villagers!$B$1:$V$33,CF189+3,FALSE)),)</f>
        <v>10</v>
      </c>
      <c r="DB189" s="14">
        <f>ROUND(IF(CG189=0,0,HLOOKUP(CG$14,Villagers!$B$1:$V$33,CG189+3,FALSE)),)</f>
        <v>10</v>
      </c>
      <c r="DC189" s="14">
        <f>ROUND(IF(CH189=0,0,HLOOKUP(CH$14,Villagers!$B$1:$V$33,CH189+3,FALSE)),)</f>
        <v>0</v>
      </c>
      <c r="DD189" s="14">
        <f>ROUND(IF(CI189=0,0,HLOOKUP(CI$14,Villagers!$B$1:$V$33,CI189+3,FALSE)),)</f>
        <v>0</v>
      </c>
      <c r="DE189" s="14">
        <f>ROUND(IF(CJ189=0,0,HLOOKUP(CJ$14,Villagers!$B$1:$V$33,CJ189+3,FALSE)),)</f>
        <v>2</v>
      </c>
      <c r="DF189" s="370">
        <f>ROUND(IF(CK189=0,0,HLOOKUP(CK$14,Villagers!$B$1:$V$33,CK189+3,FALSE)),)</f>
        <v>0</v>
      </c>
      <c r="DG189" s="370">
        <f>ROUND(IF(CL189=0,0,HLOOKUP(CL$14,Villagers!$B$1:$V$33,CL189+3,FALSE)),)</f>
        <v>0</v>
      </c>
      <c r="DH189" s="34">
        <f>ROUND(IF(CM189=0,0,HLOOKUP(CM$14,Villagers!$B$1:$V$33,CM189+3,FALSE)),)</f>
        <v>0</v>
      </c>
      <c r="DI189" s="109">
        <f t="shared" si="373"/>
        <v>0</v>
      </c>
      <c r="DJ189" s="50">
        <f t="shared" si="374"/>
        <v>0</v>
      </c>
      <c r="DK189" s="50">
        <f t="shared" si="375"/>
        <v>0</v>
      </c>
      <c r="DL189" s="50">
        <f t="shared" si="376"/>
        <v>0</v>
      </c>
      <c r="DM189" s="50">
        <f t="shared" si="377"/>
        <v>0</v>
      </c>
      <c r="DN189" s="50">
        <f t="shared" si="378"/>
        <v>0</v>
      </c>
      <c r="DO189" s="50">
        <f t="shared" si="379"/>
        <v>0</v>
      </c>
      <c r="DP189" s="50">
        <f t="shared" si="380"/>
        <v>0</v>
      </c>
      <c r="DQ189" s="50">
        <f t="shared" si="357"/>
        <v>0</v>
      </c>
      <c r="DR189" s="50">
        <f t="shared" si="358"/>
        <v>0</v>
      </c>
      <c r="DS189" s="96">
        <f>Miscelaneous!$D$4*Miscelaneous!$D$2^($CI189-1)</f>
        <v>1000</v>
      </c>
      <c r="DT189" s="333">
        <f t="shared" si="337"/>
        <v>1</v>
      </c>
      <c r="DU189" s="81">
        <v>1</v>
      </c>
      <c r="DV189" s="79">
        <f t="shared" si="359"/>
        <v>0</v>
      </c>
      <c r="DW189" s="79">
        <f t="shared" si="360"/>
        <v>0</v>
      </c>
      <c r="DX189" s="79">
        <f t="shared" si="361"/>
        <v>0</v>
      </c>
      <c r="DY189" s="79">
        <v>1</v>
      </c>
      <c r="DZ189" s="79">
        <f t="shared" si="362"/>
        <v>0</v>
      </c>
      <c r="EA189" s="79">
        <f t="shared" si="363"/>
        <v>0</v>
      </c>
      <c r="EB189" s="79">
        <f t="shared" si="364"/>
        <v>0</v>
      </c>
      <c r="EC189" s="79">
        <f t="shared" si="365"/>
        <v>0</v>
      </c>
      <c r="ED189" s="79">
        <v>1</v>
      </c>
      <c r="EE189" s="79">
        <v>1</v>
      </c>
      <c r="EF189" s="79">
        <f t="shared" si="366"/>
        <v>0</v>
      </c>
      <c r="EG189" s="79">
        <v>1</v>
      </c>
      <c r="EH189" s="79">
        <v>1</v>
      </c>
      <c r="EI189" s="79">
        <v>1</v>
      </c>
      <c r="EJ189" s="79">
        <v>1</v>
      </c>
      <c r="EK189" s="79">
        <v>1</v>
      </c>
      <c r="EL189" s="79">
        <v>1</v>
      </c>
      <c r="EM189" s="143">
        <f t="shared" si="367"/>
        <v>0</v>
      </c>
      <c r="EN189" s="143">
        <f t="shared" si="368"/>
        <v>0</v>
      </c>
      <c r="EO189" s="82">
        <f t="shared" si="369"/>
        <v>0</v>
      </c>
    </row>
    <row r="190" spans="1:145" x14ac:dyDescent="0.25">
      <c r="A190">
        <v>176</v>
      </c>
      <c r="B190" s="172" t="e">
        <f t="shared" si="338"/>
        <v>#N/A</v>
      </c>
      <c r="C190" s="121" t="e">
        <f t="shared" ref="C190:E190" si="451">AJ190-SUM(AB190:AB194)</f>
        <v>#N/A</v>
      </c>
      <c r="D190" s="122" t="e">
        <f t="shared" si="451"/>
        <v>#N/A</v>
      </c>
      <c r="E190" s="122" t="e">
        <f t="shared" si="451"/>
        <v>#N/A</v>
      </c>
      <c r="F190" s="176" t="e">
        <f t="shared" si="320"/>
        <v>#N/A</v>
      </c>
      <c r="G190" s="121">
        <f t="shared" si="340"/>
        <v>208</v>
      </c>
      <c r="H190" s="176" t="e">
        <f t="shared" si="341"/>
        <v>#N/A</v>
      </c>
      <c r="I190" s="48">
        <v>1</v>
      </c>
      <c r="J190" s="39"/>
      <c r="K190" s="350">
        <v>1</v>
      </c>
      <c r="L190" s="34" t="e">
        <f t="shared" si="321"/>
        <v>#N/A</v>
      </c>
      <c r="M190" s="38" t="e">
        <f>(HLOOKUP(J190,'Construction Times'!$B$3:$W$34,L190+2,FALSE)*HLOOKUP("hq modifier",'Construction Times'!$W$3:$W$34,BS190+2,FALSE))*(1-$H$9)</f>
        <v>#N/A</v>
      </c>
      <c r="N190" s="426" t="e">
        <f t="shared" si="342"/>
        <v>#N/A</v>
      </c>
      <c r="O190" s="427"/>
      <c r="P190" s="430" t="e">
        <f t="shared" si="343"/>
        <v>#N/A</v>
      </c>
      <c r="Q190" s="431"/>
      <c r="R190" s="103">
        <f t="shared" si="371"/>
        <v>0</v>
      </c>
      <c r="S190" s="104">
        <f t="shared" si="371"/>
        <v>0</v>
      </c>
      <c r="T190" s="104">
        <f t="shared" si="372"/>
        <v>0</v>
      </c>
      <c r="U190" s="104">
        <f t="shared" si="372"/>
        <v>0</v>
      </c>
      <c r="V190" s="104">
        <f t="shared" si="372"/>
        <v>9.9999999999999995E-8</v>
      </c>
      <c r="W190" s="104">
        <f t="shared" si="372"/>
        <v>0</v>
      </c>
      <c r="X190" s="104">
        <f t="shared" si="429"/>
        <v>0</v>
      </c>
      <c r="Y190" s="104">
        <f t="shared" si="429"/>
        <v>9.9999999999999995E-8</v>
      </c>
      <c r="Z190" s="104">
        <f t="shared" si="429"/>
        <v>9.9999999999999995E-8</v>
      </c>
      <c r="AA190" s="105">
        <f t="shared" si="429"/>
        <v>9.9999999999999995E-8</v>
      </c>
      <c r="AB190" s="101" t="e">
        <f>$DT190*HLOOKUP($J190,'Construction Costs (timber)'!$B$1:$V$32,'Construction Planner'!$L190+2,FALSE)</f>
        <v>#N/A</v>
      </c>
      <c r="AC190" s="14" t="e">
        <f>$DT190*HLOOKUP($J190,'Construction Costs (clay)'!$B$1:$V$32,'Construction Planner'!$L190+2,FALSE)</f>
        <v>#N/A</v>
      </c>
      <c r="AD190" s="14" t="e">
        <f>$DT190*HLOOKUP($J190,'Construction Costs (iron)'!$B$1:$V$32,'Construction Planner'!$L190+2,FALSE)</f>
        <v>#N/A</v>
      </c>
      <c r="AE190" s="34" t="e">
        <f t="shared" si="384"/>
        <v>#N/A</v>
      </c>
      <c r="AF190" s="33" t="e">
        <f t="shared" si="322"/>
        <v>#N/A</v>
      </c>
      <c r="AG190" s="14" t="e">
        <f t="shared" si="323"/>
        <v>#N/A</v>
      </c>
      <c r="AH190" s="14" t="e">
        <f t="shared" si="324"/>
        <v>#N/A</v>
      </c>
      <c r="AI190" s="34" t="e">
        <f t="shared" si="385"/>
        <v>#N/A</v>
      </c>
      <c r="AJ190" s="49" t="e">
        <f t="shared" si="345"/>
        <v>#N/A</v>
      </c>
      <c r="AK190" s="49" t="e">
        <f t="shared" si="346"/>
        <v>#N/A</v>
      </c>
      <c r="AL190" s="49" t="e">
        <f t="shared" si="347"/>
        <v>#N/A</v>
      </c>
      <c r="AM190" s="25">
        <f t="shared" si="325"/>
        <v>30</v>
      </c>
      <c r="AN190" s="25">
        <f t="shared" si="326"/>
        <v>30</v>
      </c>
      <c r="AO190" s="25">
        <f t="shared" si="327"/>
        <v>30</v>
      </c>
      <c r="AP190" s="52" t="e">
        <f t="shared" si="348"/>
        <v>#N/A</v>
      </c>
      <c r="AQ190" s="53" t="e">
        <f t="shared" si="348"/>
        <v>#N/A</v>
      </c>
      <c r="AR190" s="54" t="e">
        <f t="shared" si="348"/>
        <v>#N/A</v>
      </c>
      <c r="AS190" s="316">
        <f t="shared" si="439"/>
        <v>0</v>
      </c>
      <c r="AT190" s="106">
        <f>_xlfn.IFNA($M190/VLOOKUP($BT190,'Unit information'!$A$2:$K$29,2,FALSE)*R190,0)*(1+$E$9)</f>
        <v>0</v>
      </c>
      <c r="AU190" s="107">
        <f>_xlfn.IFNA($M190/VLOOKUP($BT190,'Unit information'!$A$2:$K$29,3,FALSE)*S190,0)*(1+$E$9)</f>
        <v>0</v>
      </c>
      <c r="AV190" s="107">
        <f>_xlfn.IFNA($M190/VLOOKUP($BT190,'Unit information'!$A$2:$K$29,4,FALSE)*T190,0)*(1+$E$9)</f>
        <v>0</v>
      </c>
      <c r="AW190" s="107">
        <f>_xlfn.IFNA($M190/VLOOKUP($BT190,'Unit information'!$A$2:$K$29,5,FALSE)*U190,0)*(1+$E$9)</f>
        <v>0</v>
      </c>
      <c r="AX190" s="107">
        <f>_xlfn.IFNA($M190/VLOOKUP($BU190,'Unit information'!$A$2:$K$29,6,FALSE)*V190,0)*(1+$E$9)</f>
        <v>0</v>
      </c>
      <c r="AY190" s="107">
        <f>_xlfn.IFNA($M190/VLOOKUP($BU190,'Unit information'!$A$2:$K$29,7,FALSE)*W190,0)*(1+$E$9)</f>
        <v>0</v>
      </c>
      <c r="AZ190" s="107">
        <f>_xlfn.IFNA($M190/VLOOKUP($BU190,'Unit information'!$A$2:$K$29,8,FALSE)*X190,0)*(1+$E$9)</f>
        <v>0</v>
      </c>
      <c r="BA190" s="107">
        <f>_xlfn.IFNA($M190/VLOOKUP($BU190,'Unit information'!$A$2:$K$29,9,FALSE)*Y190,0)*(1+$E$9)</f>
        <v>0</v>
      </c>
      <c r="BB190" s="107">
        <f>_xlfn.IFNA($M190/VLOOKUP($BV190,'Unit information'!$A$2:$K$29,10,FALSE)*Z190,0)*(1+$E$9)</f>
        <v>0</v>
      </c>
      <c r="BC190" s="108">
        <f>_xlfn.IFNA($M190/VLOOKUP($BV190,'Unit information'!$A$2:$K$29,11,FALSE)*AA190,0)*(1+$E$9)</f>
        <v>0</v>
      </c>
      <c r="BD190" s="106">
        <f t="shared" si="328"/>
        <v>0</v>
      </c>
      <c r="BE190" s="107">
        <f t="shared" si="329"/>
        <v>0</v>
      </c>
      <c r="BF190" s="108">
        <f t="shared" si="330"/>
        <v>0</v>
      </c>
      <c r="BG190" s="25" t="e">
        <f t="shared" si="331"/>
        <v>#N/A</v>
      </c>
      <c r="BH190" s="25" t="e">
        <f t="shared" si="332"/>
        <v>#N/A</v>
      </c>
      <c r="BI190" s="25" t="e">
        <f t="shared" si="333"/>
        <v>#N/A</v>
      </c>
      <c r="BJ190" s="27" t="e">
        <f t="shared" si="334"/>
        <v>#N/A</v>
      </c>
      <c r="BK190" s="18" t="e">
        <f t="shared" si="335"/>
        <v>#N/A</v>
      </c>
      <c r="BL190" s="18" t="e">
        <f t="shared" si="336"/>
        <v>#N/A</v>
      </c>
      <c r="BM190" s="28" t="e">
        <f t="shared" si="387"/>
        <v>#N/A</v>
      </c>
      <c r="BN190" s="33">
        <f>HLOOKUP("maximum population",Miscelaneous!$C$1:$C$33,CH190+3,FALSE)</f>
        <v>240</v>
      </c>
      <c r="BO190" s="14">
        <f t="shared" si="349"/>
        <v>32</v>
      </c>
      <c r="BP190" s="14">
        <f t="shared" si="350"/>
        <v>0</v>
      </c>
      <c r="BQ190" s="14">
        <f t="shared" si="351"/>
        <v>208</v>
      </c>
      <c r="BR190" s="34" t="e">
        <f>HLOOKUP(J190,Villagers!$B$1:$V$33,L190+3,FALSE)-HLOOKUP(J190,Villagers!$B$1:$V$33,L190+2,FALSE)</f>
        <v>#N/A</v>
      </c>
      <c r="BS190" s="49">
        <f t="shared" si="352"/>
        <v>1</v>
      </c>
      <c r="BT190" s="50">
        <f t="shared" si="353"/>
        <v>0</v>
      </c>
      <c r="BU190" s="50">
        <f t="shared" si="354"/>
        <v>0</v>
      </c>
      <c r="BV190" s="50">
        <f t="shared" si="355"/>
        <v>0</v>
      </c>
      <c r="BW190" s="50">
        <f t="shared" si="445"/>
        <v>0</v>
      </c>
      <c r="BX190" s="50">
        <f t="shared" si="443"/>
        <v>0</v>
      </c>
      <c r="BY190" s="50">
        <f t="shared" si="443"/>
        <v>0</v>
      </c>
      <c r="BZ190" s="50">
        <f t="shared" si="401"/>
        <v>0</v>
      </c>
      <c r="CA190" s="50">
        <f t="shared" si="402"/>
        <v>0</v>
      </c>
      <c r="CB190" s="50">
        <f t="shared" si="403"/>
        <v>1</v>
      </c>
      <c r="CC190" s="50">
        <f t="shared" si="404"/>
        <v>0</v>
      </c>
      <c r="CD190" s="50">
        <f t="shared" si="405"/>
        <v>0</v>
      </c>
      <c r="CE190" s="50">
        <f t="shared" si="406"/>
        <v>1</v>
      </c>
      <c r="CF190" s="50">
        <f t="shared" si="407"/>
        <v>1</v>
      </c>
      <c r="CG190" s="50">
        <f t="shared" si="408"/>
        <v>1</v>
      </c>
      <c r="CH190" s="50">
        <f t="shared" si="409"/>
        <v>1</v>
      </c>
      <c r="CI190" s="50">
        <f t="shared" si="410"/>
        <v>1</v>
      </c>
      <c r="CJ190" s="50">
        <f t="shared" si="411"/>
        <v>1</v>
      </c>
      <c r="CK190" s="50">
        <f t="shared" si="411"/>
        <v>0</v>
      </c>
      <c r="CL190" s="50">
        <f t="shared" si="411"/>
        <v>0</v>
      </c>
      <c r="CM190" s="51">
        <f t="shared" si="432"/>
        <v>0</v>
      </c>
      <c r="CN190" s="33">
        <f>ROUND(IF(BS190=0,0,HLOOKUP(BS$14,Villagers!$B$1:$V$33,BS190+3,FALSE)),)</f>
        <v>5</v>
      </c>
      <c r="CO190" s="14">
        <f>ROUND(IF(BT190=0,0,HLOOKUP(BT$14,Villagers!$B$1:$V$33,BT190+3,FALSE)),)</f>
        <v>0</v>
      </c>
      <c r="CP190" s="14">
        <f>ROUND(IF(BU190=0,0,HLOOKUP(BU$14,Villagers!$B$1:$V$33,BU190+3,FALSE)),)</f>
        <v>0</v>
      </c>
      <c r="CQ190" s="14">
        <f>ROUND(IF(BV190=0,0,HLOOKUP(BV$14,Villagers!$B$1:$V$33,BV190+3,FALSE)),)</f>
        <v>0</v>
      </c>
      <c r="CR190" s="14">
        <f>ROUND(IF(BW190=0,0,HLOOKUP(BW$14,Villagers!$B$1:$V$33,BW190+3,FALSE)),)</f>
        <v>0</v>
      </c>
      <c r="CS190" s="14">
        <f>ROUND(IF(BX190=0,0,HLOOKUP(BX$14,Villagers!$B$1:$V$33,BX190+3,FALSE)),)</f>
        <v>0</v>
      </c>
      <c r="CT190" s="14">
        <f>ROUND(IF(BY190=0,0,HLOOKUP(BY$14,Villagers!$B$1:$V$33,BY190+3,FALSE)),)</f>
        <v>0</v>
      </c>
      <c r="CU190" s="14">
        <f>ROUND(IF(BZ190=0,0,HLOOKUP(BZ$14,Villagers!$B$1:$V$33,BZ190+3,FALSE)),)</f>
        <v>0</v>
      </c>
      <c r="CV190" s="14">
        <f>ROUND(IF(CA190=0,0,HLOOKUP(CA$14,Villagers!$B$1:$V$33,CA190+3,FALSE)),)</f>
        <v>0</v>
      </c>
      <c r="CW190" s="14">
        <f>ROUND(IF(CB190=0,0,HLOOKUP(CB$14,Villagers!$B$1:$V$33,CB190+3,FALSE)),)</f>
        <v>0</v>
      </c>
      <c r="CX190" s="14">
        <f>ROUND(IF(CC190=0,0,HLOOKUP(CC$14,Villagers!$B$1:$V$33,CC190+3,FALSE)),)</f>
        <v>0</v>
      </c>
      <c r="CY190" s="14">
        <f>ROUND(IF(CD190=0,0,HLOOKUP(CD$14,Villagers!$B$1:$V$33,CD190+3,FALSE)),)</f>
        <v>0</v>
      </c>
      <c r="CZ190" s="14">
        <f>ROUND(IF(CE190=0,0,HLOOKUP(CE$14,Villagers!$B$1:$V$33,CE190+3,FALSE)),)</f>
        <v>5</v>
      </c>
      <c r="DA190" s="14">
        <f>ROUND(IF(CF190=0,0,HLOOKUP(CF$14,Villagers!$B$1:$V$33,CF190+3,FALSE)),)</f>
        <v>10</v>
      </c>
      <c r="DB190" s="14">
        <f>ROUND(IF(CG190=0,0,HLOOKUP(CG$14,Villagers!$B$1:$V$33,CG190+3,FALSE)),)</f>
        <v>10</v>
      </c>
      <c r="DC190" s="14">
        <f>ROUND(IF(CH190=0,0,HLOOKUP(CH$14,Villagers!$B$1:$V$33,CH190+3,FALSE)),)</f>
        <v>0</v>
      </c>
      <c r="DD190" s="14">
        <f>ROUND(IF(CI190=0,0,HLOOKUP(CI$14,Villagers!$B$1:$V$33,CI190+3,FALSE)),)</f>
        <v>0</v>
      </c>
      <c r="DE190" s="14">
        <f>ROUND(IF(CJ190=0,0,HLOOKUP(CJ$14,Villagers!$B$1:$V$33,CJ190+3,FALSE)),)</f>
        <v>2</v>
      </c>
      <c r="DF190" s="370">
        <f>ROUND(IF(CK190=0,0,HLOOKUP(CK$14,Villagers!$B$1:$V$33,CK190+3,FALSE)),)</f>
        <v>0</v>
      </c>
      <c r="DG190" s="370">
        <f>ROUND(IF(CL190=0,0,HLOOKUP(CL$14,Villagers!$B$1:$V$33,CL190+3,FALSE)),)</f>
        <v>0</v>
      </c>
      <c r="DH190" s="34">
        <f>ROUND(IF(CM190=0,0,HLOOKUP(CM$14,Villagers!$B$1:$V$33,CM190+3,FALSE)),)</f>
        <v>0</v>
      </c>
      <c r="DI190" s="109">
        <f t="shared" si="373"/>
        <v>0</v>
      </c>
      <c r="DJ190" s="50">
        <f t="shared" si="374"/>
        <v>0</v>
      </c>
      <c r="DK190" s="50">
        <f t="shared" si="375"/>
        <v>0</v>
      </c>
      <c r="DL190" s="50">
        <f t="shared" si="376"/>
        <v>0</v>
      </c>
      <c r="DM190" s="50">
        <f t="shared" si="377"/>
        <v>0</v>
      </c>
      <c r="DN190" s="50">
        <f t="shared" si="378"/>
        <v>0</v>
      </c>
      <c r="DO190" s="50">
        <f t="shared" si="379"/>
        <v>0</v>
      </c>
      <c r="DP190" s="50">
        <f t="shared" si="380"/>
        <v>0</v>
      </c>
      <c r="DQ190" s="50">
        <f t="shared" si="357"/>
        <v>0</v>
      </c>
      <c r="DR190" s="50">
        <f t="shared" si="358"/>
        <v>0</v>
      </c>
      <c r="DS190" s="96">
        <f>Miscelaneous!$D$4*Miscelaneous!$D$2^($CI190-1)</f>
        <v>1000</v>
      </c>
      <c r="DT190" s="333">
        <f t="shared" si="337"/>
        <v>1</v>
      </c>
      <c r="DU190" s="81">
        <v>1</v>
      </c>
      <c r="DV190" s="79">
        <f t="shared" si="359"/>
        <v>0</v>
      </c>
      <c r="DW190" s="79">
        <f t="shared" si="360"/>
        <v>0</v>
      </c>
      <c r="DX190" s="79">
        <f t="shared" si="361"/>
        <v>0</v>
      </c>
      <c r="DY190" s="79">
        <v>1</v>
      </c>
      <c r="DZ190" s="79">
        <f t="shared" si="362"/>
        <v>0</v>
      </c>
      <c r="EA190" s="79">
        <f t="shared" si="363"/>
        <v>0</v>
      </c>
      <c r="EB190" s="79">
        <f t="shared" si="364"/>
        <v>0</v>
      </c>
      <c r="EC190" s="79">
        <f t="shared" si="365"/>
        <v>0</v>
      </c>
      <c r="ED190" s="79">
        <v>1</v>
      </c>
      <c r="EE190" s="79">
        <v>1</v>
      </c>
      <c r="EF190" s="79">
        <f t="shared" si="366"/>
        <v>0</v>
      </c>
      <c r="EG190" s="79">
        <v>1</v>
      </c>
      <c r="EH190" s="79">
        <v>1</v>
      </c>
      <c r="EI190" s="79">
        <v>1</v>
      </c>
      <c r="EJ190" s="79">
        <v>1</v>
      </c>
      <c r="EK190" s="79">
        <v>1</v>
      </c>
      <c r="EL190" s="79">
        <v>1</v>
      </c>
      <c r="EM190" s="143">
        <f t="shared" si="367"/>
        <v>0</v>
      </c>
      <c r="EN190" s="143">
        <f t="shared" si="368"/>
        <v>0</v>
      </c>
      <c r="EO190" s="82">
        <f t="shared" si="369"/>
        <v>0</v>
      </c>
    </row>
    <row r="191" spans="1:145" x14ac:dyDescent="0.25">
      <c r="A191">
        <v>177</v>
      </c>
      <c r="B191" s="172" t="e">
        <f t="shared" si="338"/>
        <v>#N/A</v>
      </c>
      <c r="C191" s="121" t="e">
        <f t="shared" ref="C191:E191" si="452">AJ191-SUM(AB191:AB195)</f>
        <v>#N/A</v>
      </c>
      <c r="D191" s="122" t="e">
        <f t="shared" si="452"/>
        <v>#N/A</v>
      </c>
      <c r="E191" s="122" t="e">
        <f t="shared" si="452"/>
        <v>#N/A</v>
      </c>
      <c r="F191" s="176" t="e">
        <f t="shared" si="320"/>
        <v>#N/A</v>
      </c>
      <c r="G191" s="121">
        <f t="shared" si="340"/>
        <v>208</v>
      </c>
      <c r="H191" s="176" t="e">
        <f t="shared" si="341"/>
        <v>#N/A</v>
      </c>
      <c r="I191" s="48">
        <v>1</v>
      </c>
      <c r="J191" s="39"/>
      <c r="K191" s="350">
        <v>1</v>
      </c>
      <c r="L191" s="34" t="e">
        <f t="shared" si="321"/>
        <v>#N/A</v>
      </c>
      <c r="M191" s="38" t="e">
        <f>(HLOOKUP(J191,'Construction Times'!$B$3:$W$34,L191+2,FALSE)*HLOOKUP("hq modifier",'Construction Times'!$W$3:$W$34,BS191+2,FALSE))*(1-$H$9)</f>
        <v>#N/A</v>
      </c>
      <c r="N191" s="426" t="e">
        <f t="shared" si="342"/>
        <v>#N/A</v>
      </c>
      <c r="O191" s="427"/>
      <c r="P191" s="430" t="e">
        <f t="shared" si="343"/>
        <v>#N/A</v>
      </c>
      <c r="Q191" s="431"/>
      <c r="R191" s="103">
        <f t="shared" si="371"/>
        <v>0</v>
      </c>
      <c r="S191" s="104">
        <f t="shared" si="371"/>
        <v>0</v>
      </c>
      <c r="T191" s="104">
        <f t="shared" si="372"/>
        <v>0</v>
      </c>
      <c r="U191" s="104">
        <f t="shared" si="372"/>
        <v>0</v>
      </c>
      <c r="V191" s="104">
        <f t="shared" si="372"/>
        <v>9.9999999999999995E-8</v>
      </c>
      <c r="W191" s="104">
        <f t="shared" si="372"/>
        <v>0</v>
      </c>
      <c r="X191" s="104">
        <f t="shared" si="429"/>
        <v>0</v>
      </c>
      <c r="Y191" s="104">
        <f t="shared" si="429"/>
        <v>9.9999999999999995E-8</v>
      </c>
      <c r="Z191" s="104">
        <f t="shared" si="429"/>
        <v>9.9999999999999995E-8</v>
      </c>
      <c r="AA191" s="105">
        <f t="shared" si="429"/>
        <v>9.9999999999999995E-8</v>
      </c>
      <c r="AB191" s="101" t="e">
        <f>$DT191*HLOOKUP($J191,'Construction Costs (timber)'!$B$1:$V$32,'Construction Planner'!$L191+2,FALSE)</f>
        <v>#N/A</v>
      </c>
      <c r="AC191" s="14" t="e">
        <f>$DT191*HLOOKUP($J191,'Construction Costs (clay)'!$B$1:$V$32,'Construction Planner'!$L191+2,FALSE)</f>
        <v>#N/A</v>
      </c>
      <c r="AD191" s="14" t="e">
        <f>$DT191*HLOOKUP($J191,'Construction Costs (iron)'!$B$1:$V$32,'Construction Planner'!$L191+2,FALSE)</f>
        <v>#N/A</v>
      </c>
      <c r="AE191" s="34" t="e">
        <f t="shared" si="384"/>
        <v>#N/A</v>
      </c>
      <c r="AF191" s="33" t="e">
        <f t="shared" si="322"/>
        <v>#N/A</v>
      </c>
      <c r="AG191" s="14" t="e">
        <f t="shared" si="323"/>
        <v>#N/A</v>
      </c>
      <c r="AH191" s="14" t="e">
        <f t="shared" si="324"/>
        <v>#N/A</v>
      </c>
      <c r="AI191" s="34" t="e">
        <f t="shared" si="385"/>
        <v>#N/A</v>
      </c>
      <c r="AJ191" s="49" t="e">
        <f t="shared" si="345"/>
        <v>#N/A</v>
      </c>
      <c r="AK191" s="49" t="e">
        <f t="shared" si="346"/>
        <v>#N/A</v>
      </c>
      <c r="AL191" s="49" t="e">
        <f t="shared" si="347"/>
        <v>#N/A</v>
      </c>
      <c r="AM191" s="25">
        <f t="shared" si="325"/>
        <v>30</v>
      </c>
      <c r="AN191" s="25">
        <f t="shared" si="326"/>
        <v>30</v>
      </c>
      <c r="AO191" s="25">
        <f t="shared" si="327"/>
        <v>30</v>
      </c>
      <c r="AP191" s="52" t="e">
        <f t="shared" si="348"/>
        <v>#N/A</v>
      </c>
      <c r="AQ191" s="53" t="e">
        <f t="shared" si="348"/>
        <v>#N/A</v>
      </c>
      <c r="AR191" s="54" t="e">
        <f t="shared" si="348"/>
        <v>#N/A</v>
      </c>
      <c r="AS191" s="316">
        <f t="shared" si="439"/>
        <v>0</v>
      </c>
      <c r="AT191" s="106">
        <f>_xlfn.IFNA($M191/VLOOKUP($BT191,'Unit information'!$A$2:$K$29,2,FALSE)*R191,0)*(1+$E$9)</f>
        <v>0</v>
      </c>
      <c r="AU191" s="107">
        <f>_xlfn.IFNA($M191/VLOOKUP($BT191,'Unit information'!$A$2:$K$29,3,FALSE)*S191,0)*(1+$E$9)</f>
        <v>0</v>
      </c>
      <c r="AV191" s="107">
        <f>_xlfn.IFNA($M191/VLOOKUP($BT191,'Unit information'!$A$2:$K$29,4,FALSE)*T191,0)*(1+$E$9)</f>
        <v>0</v>
      </c>
      <c r="AW191" s="107">
        <f>_xlfn.IFNA($M191/VLOOKUP($BT191,'Unit information'!$A$2:$K$29,5,FALSE)*U191,0)*(1+$E$9)</f>
        <v>0</v>
      </c>
      <c r="AX191" s="107">
        <f>_xlfn.IFNA($M191/VLOOKUP($BU191,'Unit information'!$A$2:$K$29,6,FALSE)*V191,0)*(1+$E$9)</f>
        <v>0</v>
      </c>
      <c r="AY191" s="107">
        <f>_xlfn.IFNA($M191/VLOOKUP($BU191,'Unit information'!$A$2:$K$29,7,FALSE)*W191,0)*(1+$E$9)</f>
        <v>0</v>
      </c>
      <c r="AZ191" s="107">
        <f>_xlfn.IFNA($M191/VLOOKUP($BU191,'Unit information'!$A$2:$K$29,8,FALSE)*X191,0)*(1+$E$9)</f>
        <v>0</v>
      </c>
      <c r="BA191" s="107">
        <f>_xlfn.IFNA($M191/VLOOKUP($BU191,'Unit information'!$A$2:$K$29,9,FALSE)*Y191,0)*(1+$E$9)</f>
        <v>0</v>
      </c>
      <c r="BB191" s="107">
        <f>_xlfn.IFNA($M191/VLOOKUP($BV191,'Unit information'!$A$2:$K$29,10,FALSE)*Z191,0)*(1+$E$9)</f>
        <v>0</v>
      </c>
      <c r="BC191" s="108">
        <f>_xlfn.IFNA($M191/VLOOKUP($BV191,'Unit information'!$A$2:$K$29,11,FALSE)*AA191,0)*(1+$E$9)</f>
        <v>0</v>
      </c>
      <c r="BD191" s="106">
        <f t="shared" si="328"/>
        <v>0</v>
      </c>
      <c r="BE191" s="107">
        <f t="shared" si="329"/>
        <v>0</v>
      </c>
      <c r="BF191" s="108">
        <f t="shared" si="330"/>
        <v>0</v>
      </c>
      <c r="BG191" s="25" t="e">
        <f t="shared" si="331"/>
        <v>#N/A</v>
      </c>
      <c r="BH191" s="25" t="e">
        <f t="shared" si="332"/>
        <v>#N/A</v>
      </c>
      <c r="BI191" s="25" t="e">
        <f t="shared" si="333"/>
        <v>#N/A</v>
      </c>
      <c r="BJ191" s="27" t="e">
        <f t="shared" si="334"/>
        <v>#N/A</v>
      </c>
      <c r="BK191" s="18" t="e">
        <f t="shared" si="335"/>
        <v>#N/A</v>
      </c>
      <c r="BL191" s="18" t="e">
        <f t="shared" si="336"/>
        <v>#N/A</v>
      </c>
      <c r="BM191" s="28" t="e">
        <f t="shared" si="387"/>
        <v>#N/A</v>
      </c>
      <c r="BN191" s="33">
        <f>HLOOKUP("maximum population",Miscelaneous!$C$1:$C$33,CH191+3,FALSE)</f>
        <v>240</v>
      </c>
      <c r="BO191" s="14">
        <f t="shared" si="349"/>
        <v>32</v>
      </c>
      <c r="BP191" s="14">
        <f t="shared" si="350"/>
        <v>0</v>
      </c>
      <c r="BQ191" s="14">
        <f t="shared" si="351"/>
        <v>208</v>
      </c>
      <c r="BR191" s="34" t="e">
        <f>HLOOKUP(J191,Villagers!$B$1:$V$33,L191+3,FALSE)-HLOOKUP(J191,Villagers!$B$1:$V$33,L191+2,FALSE)</f>
        <v>#N/A</v>
      </c>
      <c r="BS191" s="49">
        <f t="shared" si="352"/>
        <v>1</v>
      </c>
      <c r="BT191" s="50">
        <f t="shared" si="353"/>
        <v>0</v>
      </c>
      <c r="BU191" s="50">
        <f t="shared" si="354"/>
        <v>0</v>
      </c>
      <c r="BV191" s="50">
        <f t="shared" si="355"/>
        <v>0</v>
      </c>
      <c r="BW191" s="50">
        <f t="shared" si="445"/>
        <v>0</v>
      </c>
      <c r="BX191" s="50">
        <f t="shared" si="443"/>
        <v>0</v>
      </c>
      <c r="BY191" s="50">
        <f t="shared" si="443"/>
        <v>0</v>
      </c>
      <c r="BZ191" s="50">
        <f t="shared" si="401"/>
        <v>0</v>
      </c>
      <c r="CA191" s="50">
        <f t="shared" si="402"/>
        <v>0</v>
      </c>
      <c r="CB191" s="50">
        <f t="shared" si="403"/>
        <v>1</v>
      </c>
      <c r="CC191" s="50">
        <f t="shared" si="404"/>
        <v>0</v>
      </c>
      <c r="CD191" s="50">
        <f t="shared" si="405"/>
        <v>0</v>
      </c>
      <c r="CE191" s="50">
        <f t="shared" si="406"/>
        <v>1</v>
      </c>
      <c r="CF191" s="50">
        <f t="shared" si="407"/>
        <v>1</v>
      </c>
      <c r="CG191" s="50">
        <f t="shared" si="408"/>
        <v>1</v>
      </c>
      <c r="CH191" s="50">
        <f t="shared" si="409"/>
        <v>1</v>
      </c>
      <c r="CI191" s="50">
        <f t="shared" si="410"/>
        <v>1</v>
      </c>
      <c r="CJ191" s="50">
        <f t="shared" si="411"/>
        <v>1</v>
      </c>
      <c r="CK191" s="50">
        <f t="shared" si="411"/>
        <v>0</v>
      </c>
      <c r="CL191" s="50">
        <f t="shared" si="411"/>
        <v>0</v>
      </c>
      <c r="CM191" s="51">
        <f t="shared" si="432"/>
        <v>0</v>
      </c>
      <c r="CN191" s="33">
        <f>ROUND(IF(BS191=0,0,HLOOKUP(BS$14,Villagers!$B$1:$V$33,BS191+3,FALSE)),)</f>
        <v>5</v>
      </c>
      <c r="CO191" s="14">
        <f>ROUND(IF(BT191=0,0,HLOOKUP(BT$14,Villagers!$B$1:$V$33,BT191+3,FALSE)),)</f>
        <v>0</v>
      </c>
      <c r="CP191" s="14">
        <f>ROUND(IF(BU191=0,0,HLOOKUP(BU$14,Villagers!$B$1:$V$33,BU191+3,FALSE)),)</f>
        <v>0</v>
      </c>
      <c r="CQ191" s="14">
        <f>ROUND(IF(BV191=0,0,HLOOKUP(BV$14,Villagers!$B$1:$V$33,BV191+3,FALSE)),)</f>
        <v>0</v>
      </c>
      <c r="CR191" s="14">
        <f>ROUND(IF(BW191=0,0,HLOOKUP(BW$14,Villagers!$B$1:$V$33,BW191+3,FALSE)),)</f>
        <v>0</v>
      </c>
      <c r="CS191" s="14">
        <f>ROUND(IF(BX191=0,0,HLOOKUP(BX$14,Villagers!$B$1:$V$33,BX191+3,FALSE)),)</f>
        <v>0</v>
      </c>
      <c r="CT191" s="14">
        <f>ROUND(IF(BY191=0,0,HLOOKUP(BY$14,Villagers!$B$1:$V$33,BY191+3,FALSE)),)</f>
        <v>0</v>
      </c>
      <c r="CU191" s="14">
        <f>ROUND(IF(BZ191=0,0,HLOOKUP(BZ$14,Villagers!$B$1:$V$33,BZ191+3,FALSE)),)</f>
        <v>0</v>
      </c>
      <c r="CV191" s="14">
        <f>ROUND(IF(CA191=0,0,HLOOKUP(CA$14,Villagers!$B$1:$V$33,CA191+3,FALSE)),)</f>
        <v>0</v>
      </c>
      <c r="CW191" s="14">
        <f>ROUND(IF(CB191=0,0,HLOOKUP(CB$14,Villagers!$B$1:$V$33,CB191+3,FALSE)),)</f>
        <v>0</v>
      </c>
      <c r="CX191" s="14">
        <f>ROUND(IF(CC191=0,0,HLOOKUP(CC$14,Villagers!$B$1:$V$33,CC191+3,FALSE)),)</f>
        <v>0</v>
      </c>
      <c r="CY191" s="14">
        <f>ROUND(IF(CD191=0,0,HLOOKUP(CD$14,Villagers!$B$1:$V$33,CD191+3,FALSE)),)</f>
        <v>0</v>
      </c>
      <c r="CZ191" s="14">
        <f>ROUND(IF(CE191=0,0,HLOOKUP(CE$14,Villagers!$B$1:$V$33,CE191+3,FALSE)),)</f>
        <v>5</v>
      </c>
      <c r="DA191" s="14">
        <f>ROUND(IF(CF191=0,0,HLOOKUP(CF$14,Villagers!$B$1:$V$33,CF191+3,FALSE)),)</f>
        <v>10</v>
      </c>
      <c r="DB191" s="14">
        <f>ROUND(IF(CG191=0,0,HLOOKUP(CG$14,Villagers!$B$1:$V$33,CG191+3,FALSE)),)</f>
        <v>10</v>
      </c>
      <c r="DC191" s="14">
        <f>ROUND(IF(CH191=0,0,HLOOKUP(CH$14,Villagers!$B$1:$V$33,CH191+3,FALSE)),)</f>
        <v>0</v>
      </c>
      <c r="DD191" s="14">
        <f>ROUND(IF(CI191=0,0,HLOOKUP(CI$14,Villagers!$B$1:$V$33,CI191+3,FALSE)),)</f>
        <v>0</v>
      </c>
      <c r="DE191" s="14">
        <f>ROUND(IF(CJ191=0,0,HLOOKUP(CJ$14,Villagers!$B$1:$V$33,CJ191+3,FALSE)),)</f>
        <v>2</v>
      </c>
      <c r="DF191" s="370">
        <f>ROUND(IF(CK191=0,0,HLOOKUP(CK$14,Villagers!$B$1:$V$33,CK191+3,FALSE)),)</f>
        <v>0</v>
      </c>
      <c r="DG191" s="370">
        <f>ROUND(IF(CL191=0,0,HLOOKUP(CL$14,Villagers!$B$1:$V$33,CL191+3,FALSE)),)</f>
        <v>0</v>
      </c>
      <c r="DH191" s="34">
        <f>ROUND(IF(CM191=0,0,HLOOKUP(CM$14,Villagers!$B$1:$V$33,CM191+3,FALSE)),)</f>
        <v>0</v>
      </c>
      <c r="DI191" s="109">
        <f t="shared" si="373"/>
        <v>0</v>
      </c>
      <c r="DJ191" s="50">
        <f t="shared" si="374"/>
        <v>0</v>
      </c>
      <c r="DK191" s="50">
        <f t="shared" si="375"/>
        <v>0</v>
      </c>
      <c r="DL191" s="50">
        <f t="shared" si="376"/>
        <v>0</v>
      </c>
      <c r="DM191" s="50">
        <f t="shared" si="377"/>
        <v>0</v>
      </c>
      <c r="DN191" s="50">
        <f t="shared" si="378"/>
        <v>0</v>
      </c>
      <c r="DO191" s="50">
        <f t="shared" si="379"/>
        <v>0</v>
      </c>
      <c r="DP191" s="50">
        <f t="shared" si="380"/>
        <v>0</v>
      </c>
      <c r="DQ191" s="50">
        <f t="shared" si="357"/>
        <v>0</v>
      </c>
      <c r="DR191" s="50">
        <f t="shared" si="358"/>
        <v>0</v>
      </c>
      <c r="DS191" s="96">
        <f>Miscelaneous!$D$4*Miscelaneous!$D$2^($CI191-1)</f>
        <v>1000</v>
      </c>
      <c r="DT191" s="333">
        <f t="shared" si="337"/>
        <v>1</v>
      </c>
      <c r="DU191" s="81">
        <v>1</v>
      </c>
      <c r="DV191" s="79">
        <f t="shared" si="359"/>
        <v>0</v>
      </c>
      <c r="DW191" s="79">
        <f t="shared" si="360"/>
        <v>0</v>
      </c>
      <c r="DX191" s="79">
        <f t="shared" si="361"/>
        <v>0</v>
      </c>
      <c r="DY191" s="79">
        <v>1</v>
      </c>
      <c r="DZ191" s="79">
        <f t="shared" si="362"/>
        <v>0</v>
      </c>
      <c r="EA191" s="79">
        <f t="shared" si="363"/>
        <v>0</v>
      </c>
      <c r="EB191" s="79">
        <f t="shared" si="364"/>
        <v>0</v>
      </c>
      <c r="EC191" s="79">
        <f t="shared" si="365"/>
        <v>0</v>
      </c>
      <c r="ED191" s="79">
        <v>1</v>
      </c>
      <c r="EE191" s="79">
        <v>1</v>
      </c>
      <c r="EF191" s="79">
        <f t="shared" si="366"/>
        <v>0</v>
      </c>
      <c r="EG191" s="79">
        <v>1</v>
      </c>
      <c r="EH191" s="79">
        <v>1</v>
      </c>
      <c r="EI191" s="79">
        <v>1</v>
      </c>
      <c r="EJ191" s="79">
        <v>1</v>
      </c>
      <c r="EK191" s="79">
        <v>1</v>
      </c>
      <c r="EL191" s="79">
        <v>1</v>
      </c>
      <c r="EM191" s="143">
        <f t="shared" si="367"/>
        <v>0</v>
      </c>
      <c r="EN191" s="143">
        <f t="shared" si="368"/>
        <v>0</v>
      </c>
      <c r="EO191" s="82">
        <f t="shared" si="369"/>
        <v>0</v>
      </c>
    </row>
    <row r="192" spans="1:145" x14ac:dyDescent="0.25">
      <c r="A192">
        <v>178</v>
      </c>
      <c r="B192" s="172" t="e">
        <f t="shared" si="338"/>
        <v>#N/A</v>
      </c>
      <c r="C192" s="121" t="e">
        <f t="shared" ref="C192:E192" si="453">AJ192-SUM(AB192:AB196)</f>
        <v>#N/A</v>
      </c>
      <c r="D192" s="122" t="e">
        <f t="shared" si="453"/>
        <v>#N/A</v>
      </c>
      <c r="E192" s="122" t="e">
        <f t="shared" si="453"/>
        <v>#N/A</v>
      </c>
      <c r="F192" s="176" t="e">
        <f t="shared" si="320"/>
        <v>#N/A</v>
      </c>
      <c r="G192" s="121">
        <f t="shared" si="340"/>
        <v>208</v>
      </c>
      <c r="H192" s="176" t="e">
        <f t="shared" si="341"/>
        <v>#N/A</v>
      </c>
      <c r="I192" s="48">
        <v>1</v>
      </c>
      <c r="J192" s="39"/>
      <c r="K192" s="350">
        <v>1</v>
      </c>
      <c r="L192" s="34" t="e">
        <f t="shared" si="321"/>
        <v>#N/A</v>
      </c>
      <c r="M192" s="38" t="e">
        <f>(HLOOKUP(J192,'Construction Times'!$B$3:$W$34,L192+2,FALSE)*HLOOKUP("hq modifier",'Construction Times'!$W$3:$W$34,BS192+2,FALSE))*(1-$H$9)</f>
        <v>#N/A</v>
      </c>
      <c r="N192" s="426" t="e">
        <f t="shared" si="342"/>
        <v>#N/A</v>
      </c>
      <c r="O192" s="427"/>
      <c r="P192" s="430" t="e">
        <f t="shared" si="343"/>
        <v>#N/A</v>
      </c>
      <c r="Q192" s="431"/>
      <c r="R192" s="103">
        <f t="shared" si="371"/>
        <v>0</v>
      </c>
      <c r="S192" s="104">
        <f t="shared" si="371"/>
        <v>0</v>
      </c>
      <c r="T192" s="104">
        <f t="shared" si="372"/>
        <v>0</v>
      </c>
      <c r="U192" s="104">
        <f t="shared" si="372"/>
        <v>0</v>
      </c>
      <c r="V192" s="104">
        <f t="shared" si="372"/>
        <v>9.9999999999999995E-8</v>
      </c>
      <c r="W192" s="104">
        <f t="shared" si="372"/>
        <v>0</v>
      </c>
      <c r="X192" s="104">
        <f t="shared" si="429"/>
        <v>0</v>
      </c>
      <c r="Y192" s="104">
        <f t="shared" si="429"/>
        <v>9.9999999999999995E-8</v>
      </c>
      <c r="Z192" s="104">
        <f t="shared" si="429"/>
        <v>9.9999999999999995E-8</v>
      </c>
      <c r="AA192" s="105">
        <f t="shared" si="429"/>
        <v>9.9999999999999995E-8</v>
      </c>
      <c r="AB192" s="101" t="e">
        <f>$DT192*HLOOKUP($J192,'Construction Costs (timber)'!$B$1:$V$32,'Construction Planner'!$L192+2,FALSE)</f>
        <v>#N/A</v>
      </c>
      <c r="AC192" s="14" t="e">
        <f>$DT192*HLOOKUP($J192,'Construction Costs (clay)'!$B$1:$V$32,'Construction Planner'!$L192+2,FALSE)</f>
        <v>#N/A</v>
      </c>
      <c r="AD192" s="14" t="e">
        <f>$DT192*HLOOKUP($J192,'Construction Costs (iron)'!$B$1:$V$32,'Construction Planner'!$L192+2,FALSE)</f>
        <v>#N/A</v>
      </c>
      <c r="AE192" s="34" t="e">
        <f t="shared" si="384"/>
        <v>#N/A</v>
      </c>
      <c r="AF192" s="33" t="e">
        <f t="shared" si="322"/>
        <v>#N/A</v>
      </c>
      <c r="AG192" s="14" t="e">
        <f t="shared" si="323"/>
        <v>#N/A</v>
      </c>
      <c r="AH192" s="14" t="e">
        <f t="shared" si="324"/>
        <v>#N/A</v>
      </c>
      <c r="AI192" s="34" t="e">
        <f t="shared" si="385"/>
        <v>#N/A</v>
      </c>
      <c r="AJ192" s="49" t="e">
        <f t="shared" si="345"/>
        <v>#N/A</v>
      </c>
      <c r="AK192" s="49" t="e">
        <f t="shared" si="346"/>
        <v>#N/A</v>
      </c>
      <c r="AL192" s="49" t="e">
        <f t="shared" si="347"/>
        <v>#N/A</v>
      </c>
      <c r="AM192" s="25">
        <f t="shared" si="325"/>
        <v>30</v>
      </c>
      <c r="AN192" s="25">
        <f t="shared" si="326"/>
        <v>30</v>
      </c>
      <c r="AO192" s="25">
        <f t="shared" si="327"/>
        <v>30</v>
      </c>
      <c r="AP192" s="52" t="e">
        <f t="shared" si="348"/>
        <v>#N/A</v>
      </c>
      <c r="AQ192" s="53" t="e">
        <f t="shared" si="348"/>
        <v>#N/A</v>
      </c>
      <c r="AR192" s="54" t="e">
        <f t="shared" si="348"/>
        <v>#N/A</v>
      </c>
      <c r="AS192" s="316">
        <f t="shared" si="439"/>
        <v>0</v>
      </c>
      <c r="AT192" s="106">
        <f>_xlfn.IFNA($M192/VLOOKUP($BT192,'Unit information'!$A$2:$K$29,2,FALSE)*R192,0)*(1+$E$9)</f>
        <v>0</v>
      </c>
      <c r="AU192" s="107">
        <f>_xlfn.IFNA($M192/VLOOKUP($BT192,'Unit information'!$A$2:$K$29,3,FALSE)*S192,0)*(1+$E$9)</f>
        <v>0</v>
      </c>
      <c r="AV192" s="107">
        <f>_xlfn.IFNA($M192/VLOOKUP($BT192,'Unit information'!$A$2:$K$29,4,FALSE)*T192,0)*(1+$E$9)</f>
        <v>0</v>
      </c>
      <c r="AW192" s="107">
        <f>_xlfn.IFNA($M192/VLOOKUP($BT192,'Unit information'!$A$2:$K$29,5,FALSE)*U192,0)*(1+$E$9)</f>
        <v>0</v>
      </c>
      <c r="AX192" s="107">
        <f>_xlfn.IFNA($M192/VLOOKUP($BU192,'Unit information'!$A$2:$K$29,6,FALSE)*V192,0)*(1+$E$9)</f>
        <v>0</v>
      </c>
      <c r="AY192" s="107">
        <f>_xlfn.IFNA($M192/VLOOKUP($BU192,'Unit information'!$A$2:$K$29,7,FALSE)*W192,0)*(1+$E$9)</f>
        <v>0</v>
      </c>
      <c r="AZ192" s="107">
        <f>_xlfn.IFNA($M192/VLOOKUP($BU192,'Unit information'!$A$2:$K$29,8,FALSE)*X192,0)*(1+$E$9)</f>
        <v>0</v>
      </c>
      <c r="BA192" s="107">
        <f>_xlfn.IFNA($M192/VLOOKUP($BU192,'Unit information'!$A$2:$K$29,9,FALSE)*Y192,0)*(1+$E$9)</f>
        <v>0</v>
      </c>
      <c r="BB192" s="107">
        <f>_xlfn.IFNA($M192/VLOOKUP($BV192,'Unit information'!$A$2:$K$29,10,FALSE)*Z192,0)*(1+$E$9)</f>
        <v>0</v>
      </c>
      <c r="BC192" s="108">
        <f>_xlfn.IFNA($M192/VLOOKUP($BV192,'Unit information'!$A$2:$K$29,11,FALSE)*AA192,0)*(1+$E$9)</f>
        <v>0</v>
      </c>
      <c r="BD192" s="106">
        <f t="shared" si="328"/>
        <v>0</v>
      </c>
      <c r="BE192" s="107">
        <f t="shared" si="329"/>
        <v>0</v>
      </c>
      <c r="BF192" s="108">
        <f t="shared" si="330"/>
        <v>0</v>
      </c>
      <c r="BG192" s="25" t="e">
        <f t="shared" si="331"/>
        <v>#N/A</v>
      </c>
      <c r="BH192" s="25" t="e">
        <f t="shared" si="332"/>
        <v>#N/A</v>
      </c>
      <c r="BI192" s="25" t="e">
        <f t="shared" si="333"/>
        <v>#N/A</v>
      </c>
      <c r="BJ192" s="27" t="e">
        <f t="shared" si="334"/>
        <v>#N/A</v>
      </c>
      <c r="BK192" s="18" t="e">
        <f t="shared" si="335"/>
        <v>#N/A</v>
      </c>
      <c r="BL192" s="18" t="e">
        <f t="shared" si="336"/>
        <v>#N/A</v>
      </c>
      <c r="BM192" s="28" t="e">
        <f t="shared" si="387"/>
        <v>#N/A</v>
      </c>
      <c r="BN192" s="33">
        <f>HLOOKUP("maximum population",Miscelaneous!$C$1:$C$33,CH192+3,FALSE)</f>
        <v>240</v>
      </c>
      <c r="BO192" s="14">
        <f t="shared" si="349"/>
        <v>32</v>
      </c>
      <c r="BP192" s="14">
        <f t="shared" si="350"/>
        <v>0</v>
      </c>
      <c r="BQ192" s="14">
        <f t="shared" si="351"/>
        <v>208</v>
      </c>
      <c r="BR192" s="34" t="e">
        <f>HLOOKUP(J192,Villagers!$B$1:$V$33,L192+3,FALSE)-HLOOKUP(J192,Villagers!$B$1:$V$33,L192+2,FALSE)</f>
        <v>#N/A</v>
      </c>
      <c r="BS192" s="49">
        <f t="shared" si="352"/>
        <v>1</v>
      </c>
      <c r="BT192" s="50">
        <f t="shared" si="353"/>
        <v>0</v>
      </c>
      <c r="BU192" s="50">
        <f t="shared" si="354"/>
        <v>0</v>
      </c>
      <c r="BV192" s="50">
        <f t="shared" si="355"/>
        <v>0</v>
      </c>
      <c r="BW192" s="50">
        <f t="shared" ref="BW192:BY198" si="454">IF($J191=BW$14,$L191,BW191)</f>
        <v>0</v>
      </c>
      <c r="BX192" s="50">
        <f t="shared" si="454"/>
        <v>0</v>
      </c>
      <c r="BY192" s="50">
        <f t="shared" si="454"/>
        <v>0</v>
      </c>
      <c r="BZ192" s="50">
        <f t="shared" si="401"/>
        <v>0</v>
      </c>
      <c r="CA192" s="50">
        <f t="shared" si="402"/>
        <v>0</v>
      </c>
      <c r="CB192" s="50">
        <f t="shared" si="403"/>
        <v>1</v>
      </c>
      <c r="CC192" s="50">
        <f t="shared" si="404"/>
        <v>0</v>
      </c>
      <c r="CD192" s="50">
        <f t="shared" si="405"/>
        <v>0</v>
      </c>
      <c r="CE192" s="50">
        <f t="shared" si="406"/>
        <v>1</v>
      </c>
      <c r="CF192" s="50">
        <f t="shared" si="407"/>
        <v>1</v>
      </c>
      <c r="CG192" s="50">
        <f t="shared" si="408"/>
        <v>1</v>
      </c>
      <c r="CH192" s="50">
        <f t="shared" si="409"/>
        <v>1</v>
      </c>
      <c r="CI192" s="50">
        <f t="shared" si="410"/>
        <v>1</v>
      </c>
      <c r="CJ192" s="50">
        <f t="shared" si="411"/>
        <v>1</v>
      </c>
      <c r="CK192" s="50">
        <f t="shared" si="411"/>
        <v>0</v>
      </c>
      <c r="CL192" s="50">
        <f t="shared" si="411"/>
        <v>0</v>
      </c>
      <c r="CM192" s="51">
        <f t="shared" si="432"/>
        <v>0</v>
      </c>
      <c r="CN192" s="33">
        <f>ROUND(IF(BS192=0,0,HLOOKUP(BS$14,Villagers!$B$1:$V$33,BS192+3,FALSE)),)</f>
        <v>5</v>
      </c>
      <c r="CO192" s="14">
        <f>ROUND(IF(BT192=0,0,HLOOKUP(BT$14,Villagers!$B$1:$V$33,BT192+3,FALSE)),)</f>
        <v>0</v>
      </c>
      <c r="CP192" s="14">
        <f>ROUND(IF(BU192=0,0,HLOOKUP(BU$14,Villagers!$B$1:$V$33,BU192+3,FALSE)),)</f>
        <v>0</v>
      </c>
      <c r="CQ192" s="14">
        <f>ROUND(IF(BV192=0,0,HLOOKUP(BV$14,Villagers!$B$1:$V$33,BV192+3,FALSE)),)</f>
        <v>0</v>
      </c>
      <c r="CR192" s="14">
        <f>ROUND(IF(BW192=0,0,HLOOKUP(BW$14,Villagers!$B$1:$V$33,BW192+3,FALSE)),)</f>
        <v>0</v>
      </c>
      <c r="CS192" s="14">
        <f>ROUND(IF(BX192=0,0,HLOOKUP(BX$14,Villagers!$B$1:$V$33,BX192+3,FALSE)),)</f>
        <v>0</v>
      </c>
      <c r="CT192" s="14">
        <f>ROUND(IF(BY192=0,0,HLOOKUP(BY$14,Villagers!$B$1:$V$33,BY192+3,FALSE)),)</f>
        <v>0</v>
      </c>
      <c r="CU192" s="14">
        <f>ROUND(IF(BZ192=0,0,HLOOKUP(BZ$14,Villagers!$B$1:$V$33,BZ192+3,FALSE)),)</f>
        <v>0</v>
      </c>
      <c r="CV192" s="14">
        <f>ROUND(IF(CA192=0,0,HLOOKUP(CA$14,Villagers!$B$1:$V$33,CA192+3,FALSE)),)</f>
        <v>0</v>
      </c>
      <c r="CW192" s="14">
        <f>ROUND(IF(CB192=0,0,HLOOKUP(CB$14,Villagers!$B$1:$V$33,CB192+3,FALSE)),)</f>
        <v>0</v>
      </c>
      <c r="CX192" s="14">
        <f>ROUND(IF(CC192=0,0,HLOOKUP(CC$14,Villagers!$B$1:$V$33,CC192+3,FALSE)),)</f>
        <v>0</v>
      </c>
      <c r="CY192" s="14">
        <f>ROUND(IF(CD192=0,0,HLOOKUP(CD$14,Villagers!$B$1:$V$33,CD192+3,FALSE)),)</f>
        <v>0</v>
      </c>
      <c r="CZ192" s="14">
        <f>ROUND(IF(CE192=0,0,HLOOKUP(CE$14,Villagers!$B$1:$V$33,CE192+3,FALSE)),)</f>
        <v>5</v>
      </c>
      <c r="DA192" s="14">
        <f>ROUND(IF(CF192=0,0,HLOOKUP(CF$14,Villagers!$B$1:$V$33,CF192+3,FALSE)),)</f>
        <v>10</v>
      </c>
      <c r="DB192" s="14">
        <f>ROUND(IF(CG192=0,0,HLOOKUP(CG$14,Villagers!$B$1:$V$33,CG192+3,FALSE)),)</f>
        <v>10</v>
      </c>
      <c r="DC192" s="14">
        <f>ROUND(IF(CH192=0,0,HLOOKUP(CH$14,Villagers!$B$1:$V$33,CH192+3,FALSE)),)</f>
        <v>0</v>
      </c>
      <c r="DD192" s="14">
        <f>ROUND(IF(CI192=0,0,HLOOKUP(CI$14,Villagers!$B$1:$V$33,CI192+3,FALSE)),)</f>
        <v>0</v>
      </c>
      <c r="DE192" s="14">
        <f>ROUND(IF(CJ192=0,0,HLOOKUP(CJ$14,Villagers!$B$1:$V$33,CJ192+3,FALSE)),)</f>
        <v>2</v>
      </c>
      <c r="DF192" s="370">
        <f>ROUND(IF(CK192=0,0,HLOOKUP(CK$14,Villagers!$B$1:$V$33,CK192+3,FALSE)),)</f>
        <v>0</v>
      </c>
      <c r="DG192" s="370">
        <f>ROUND(IF(CL192=0,0,HLOOKUP(CL$14,Villagers!$B$1:$V$33,CL192+3,FALSE)),)</f>
        <v>0</v>
      </c>
      <c r="DH192" s="34">
        <f>ROUND(IF(CM192=0,0,HLOOKUP(CM$14,Villagers!$B$1:$V$33,CM192+3,FALSE)),)</f>
        <v>0</v>
      </c>
      <c r="DI192" s="109">
        <f t="shared" si="373"/>
        <v>0</v>
      </c>
      <c r="DJ192" s="50">
        <f t="shared" si="374"/>
        <v>0</v>
      </c>
      <c r="DK192" s="50">
        <f t="shared" si="375"/>
        <v>0</v>
      </c>
      <c r="DL192" s="50">
        <f t="shared" si="376"/>
        <v>0</v>
      </c>
      <c r="DM192" s="50">
        <f t="shared" si="377"/>
        <v>0</v>
      </c>
      <c r="DN192" s="50">
        <f t="shared" si="378"/>
        <v>0</v>
      </c>
      <c r="DO192" s="50">
        <f t="shared" si="379"/>
        <v>0</v>
      </c>
      <c r="DP192" s="50">
        <f t="shared" si="380"/>
        <v>0</v>
      </c>
      <c r="DQ192" s="50">
        <f t="shared" si="357"/>
        <v>0</v>
      </c>
      <c r="DR192" s="50">
        <f t="shared" si="358"/>
        <v>0</v>
      </c>
      <c r="DS192" s="96">
        <f>Miscelaneous!$D$4*Miscelaneous!$D$2^($CI192-1)</f>
        <v>1000</v>
      </c>
      <c r="DT192" s="333">
        <f t="shared" si="337"/>
        <v>1</v>
      </c>
      <c r="DU192" s="81">
        <v>1</v>
      </c>
      <c r="DV192" s="79">
        <f t="shared" si="359"/>
        <v>0</v>
      </c>
      <c r="DW192" s="79">
        <f t="shared" si="360"/>
        <v>0</v>
      </c>
      <c r="DX192" s="79">
        <f t="shared" si="361"/>
        <v>0</v>
      </c>
      <c r="DY192" s="79">
        <v>1</v>
      </c>
      <c r="DZ192" s="79">
        <f t="shared" si="362"/>
        <v>0</v>
      </c>
      <c r="EA192" s="79">
        <f t="shared" si="363"/>
        <v>0</v>
      </c>
      <c r="EB192" s="79">
        <f t="shared" si="364"/>
        <v>0</v>
      </c>
      <c r="EC192" s="79">
        <f t="shared" si="365"/>
        <v>0</v>
      </c>
      <c r="ED192" s="79">
        <v>1</v>
      </c>
      <c r="EE192" s="79">
        <v>1</v>
      </c>
      <c r="EF192" s="79">
        <f t="shared" si="366"/>
        <v>0</v>
      </c>
      <c r="EG192" s="79">
        <v>1</v>
      </c>
      <c r="EH192" s="79">
        <v>1</v>
      </c>
      <c r="EI192" s="79">
        <v>1</v>
      </c>
      <c r="EJ192" s="79">
        <v>1</v>
      </c>
      <c r="EK192" s="79">
        <v>1</v>
      </c>
      <c r="EL192" s="79">
        <v>1</v>
      </c>
      <c r="EM192" s="143">
        <f t="shared" si="367"/>
        <v>0</v>
      </c>
      <c r="EN192" s="143">
        <f t="shared" si="368"/>
        <v>0</v>
      </c>
      <c r="EO192" s="82">
        <f t="shared" si="369"/>
        <v>0</v>
      </c>
    </row>
    <row r="193" spans="1:145" x14ac:dyDescent="0.25">
      <c r="A193">
        <v>179</v>
      </c>
      <c r="B193" s="172" t="e">
        <f t="shared" si="338"/>
        <v>#N/A</v>
      </c>
      <c r="C193" s="121" t="e">
        <f t="shared" ref="C193:E193" si="455">AJ193-SUM(AB193:AB197)</f>
        <v>#N/A</v>
      </c>
      <c r="D193" s="122" t="e">
        <f t="shared" si="455"/>
        <v>#N/A</v>
      </c>
      <c r="E193" s="122" t="e">
        <f t="shared" si="455"/>
        <v>#N/A</v>
      </c>
      <c r="F193" s="176" t="e">
        <f t="shared" si="320"/>
        <v>#N/A</v>
      </c>
      <c r="G193" s="121">
        <f t="shared" si="340"/>
        <v>208</v>
      </c>
      <c r="H193" s="176" t="e">
        <f t="shared" si="341"/>
        <v>#N/A</v>
      </c>
      <c r="I193" s="48">
        <v>1</v>
      </c>
      <c r="J193" s="39"/>
      <c r="K193" s="350">
        <v>1</v>
      </c>
      <c r="L193" s="34" t="e">
        <f t="shared" si="321"/>
        <v>#N/A</v>
      </c>
      <c r="M193" s="38" t="e">
        <f>(HLOOKUP(J193,'Construction Times'!$B$3:$W$34,L193+2,FALSE)*HLOOKUP("hq modifier",'Construction Times'!$W$3:$W$34,BS193+2,FALSE))*(1-$H$9)</f>
        <v>#N/A</v>
      </c>
      <c r="N193" s="426" t="e">
        <f t="shared" si="342"/>
        <v>#N/A</v>
      </c>
      <c r="O193" s="427"/>
      <c r="P193" s="430" t="e">
        <f t="shared" si="343"/>
        <v>#N/A</v>
      </c>
      <c r="Q193" s="431"/>
      <c r="R193" s="103">
        <f t="shared" si="371"/>
        <v>0</v>
      </c>
      <c r="S193" s="104">
        <f t="shared" si="371"/>
        <v>0</v>
      </c>
      <c r="T193" s="104">
        <f t="shared" si="372"/>
        <v>0</v>
      </c>
      <c r="U193" s="104">
        <f t="shared" si="372"/>
        <v>0</v>
      </c>
      <c r="V193" s="104">
        <f t="shared" si="372"/>
        <v>9.9999999999999995E-8</v>
      </c>
      <c r="W193" s="104">
        <f t="shared" si="372"/>
        <v>0</v>
      </c>
      <c r="X193" s="104">
        <f t="shared" si="429"/>
        <v>0</v>
      </c>
      <c r="Y193" s="104">
        <f t="shared" si="429"/>
        <v>9.9999999999999995E-8</v>
      </c>
      <c r="Z193" s="104">
        <f t="shared" si="429"/>
        <v>9.9999999999999995E-8</v>
      </c>
      <c r="AA193" s="105">
        <f t="shared" si="429"/>
        <v>9.9999999999999995E-8</v>
      </c>
      <c r="AB193" s="101" t="e">
        <f>$DT193*HLOOKUP($J193,'Construction Costs (timber)'!$B$1:$V$32,'Construction Planner'!$L193+2,FALSE)</f>
        <v>#N/A</v>
      </c>
      <c r="AC193" s="14" t="e">
        <f>$DT193*HLOOKUP($J193,'Construction Costs (clay)'!$B$1:$V$32,'Construction Planner'!$L193+2,FALSE)</f>
        <v>#N/A</v>
      </c>
      <c r="AD193" s="14" t="e">
        <f>$DT193*HLOOKUP($J193,'Construction Costs (iron)'!$B$1:$V$32,'Construction Planner'!$L193+2,FALSE)</f>
        <v>#N/A</v>
      </c>
      <c r="AE193" s="34" t="e">
        <f t="shared" si="384"/>
        <v>#N/A</v>
      </c>
      <c r="AF193" s="33" t="e">
        <f t="shared" si="322"/>
        <v>#N/A</v>
      </c>
      <c r="AG193" s="14" t="e">
        <f t="shared" si="323"/>
        <v>#N/A</v>
      </c>
      <c r="AH193" s="14" t="e">
        <f t="shared" si="324"/>
        <v>#N/A</v>
      </c>
      <c r="AI193" s="34" t="e">
        <f t="shared" si="385"/>
        <v>#N/A</v>
      </c>
      <c r="AJ193" s="49" t="e">
        <f t="shared" si="345"/>
        <v>#N/A</v>
      </c>
      <c r="AK193" s="49" t="e">
        <f t="shared" si="346"/>
        <v>#N/A</v>
      </c>
      <c r="AL193" s="49" t="e">
        <f t="shared" si="347"/>
        <v>#N/A</v>
      </c>
      <c r="AM193" s="25">
        <f t="shared" si="325"/>
        <v>30</v>
      </c>
      <c r="AN193" s="25">
        <f t="shared" si="326"/>
        <v>30</v>
      </c>
      <c r="AO193" s="25">
        <f t="shared" si="327"/>
        <v>30</v>
      </c>
      <c r="AP193" s="52" t="e">
        <f t="shared" si="348"/>
        <v>#N/A</v>
      </c>
      <c r="AQ193" s="53" t="e">
        <f t="shared" si="348"/>
        <v>#N/A</v>
      </c>
      <c r="AR193" s="54" t="e">
        <f t="shared" si="348"/>
        <v>#N/A</v>
      </c>
      <c r="AS193" s="316">
        <f t="shared" si="439"/>
        <v>0</v>
      </c>
      <c r="AT193" s="106">
        <f>_xlfn.IFNA($M193/VLOOKUP($BT193,'Unit information'!$A$2:$K$29,2,FALSE)*R193,0)*(1+$E$9)</f>
        <v>0</v>
      </c>
      <c r="AU193" s="107">
        <f>_xlfn.IFNA($M193/VLOOKUP($BT193,'Unit information'!$A$2:$K$29,3,FALSE)*S193,0)*(1+$E$9)</f>
        <v>0</v>
      </c>
      <c r="AV193" s="107">
        <f>_xlfn.IFNA($M193/VLOOKUP($BT193,'Unit information'!$A$2:$K$29,4,FALSE)*T193,0)*(1+$E$9)</f>
        <v>0</v>
      </c>
      <c r="AW193" s="107">
        <f>_xlfn.IFNA($M193/VLOOKUP($BT193,'Unit information'!$A$2:$K$29,5,FALSE)*U193,0)*(1+$E$9)</f>
        <v>0</v>
      </c>
      <c r="AX193" s="107">
        <f>_xlfn.IFNA($M193/VLOOKUP($BU193,'Unit information'!$A$2:$K$29,6,FALSE)*V193,0)*(1+$E$9)</f>
        <v>0</v>
      </c>
      <c r="AY193" s="107">
        <f>_xlfn.IFNA($M193/VLOOKUP($BU193,'Unit information'!$A$2:$K$29,7,FALSE)*W193,0)*(1+$E$9)</f>
        <v>0</v>
      </c>
      <c r="AZ193" s="107">
        <f>_xlfn.IFNA($M193/VLOOKUP($BU193,'Unit information'!$A$2:$K$29,8,FALSE)*X193,0)*(1+$E$9)</f>
        <v>0</v>
      </c>
      <c r="BA193" s="107">
        <f>_xlfn.IFNA($M193/VLOOKUP($BU193,'Unit information'!$A$2:$K$29,9,FALSE)*Y193,0)*(1+$E$9)</f>
        <v>0</v>
      </c>
      <c r="BB193" s="107">
        <f>_xlfn.IFNA($M193/VLOOKUP($BV193,'Unit information'!$A$2:$K$29,10,FALSE)*Z193,0)*(1+$E$9)</f>
        <v>0</v>
      </c>
      <c r="BC193" s="108">
        <f>_xlfn.IFNA($M193/VLOOKUP($BV193,'Unit information'!$A$2:$K$29,11,FALSE)*AA193,0)*(1+$E$9)</f>
        <v>0</v>
      </c>
      <c r="BD193" s="106">
        <f t="shared" si="328"/>
        <v>0</v>
      </c>
      <c r="BE193" s="107">
        <f t="shared" si="329"/>
        <v>0</v>
      </c>
      <c r="BF193" s="108">
        <f t="shared" si="330"/>
        <v>0</v>
      </c>
      <c r="BG193" s="25" t="e">
        <f t="shared" si="331"/>
        <v>#N/A</v>
      </c>
      <c r="BH193" s="25" t="e">
        <f t="shared" si="332"/>
        <v>#N/A</v>
      </c>
      <c r="BI193" s="25" t="e">
        <f t="shared" si="333"/>
        <v>#N/A</v>
      </c>
      <c r="BJ193" s="27" t="e">
        <f t="shared" si="334"/>
        <v>#N/A</v>
      </c>
      <c r="BK193" s="18" t="e">
        <f t="shared" si="335"/>
        <v>#N/A</v>
      </c>
      <c r="BL193" s="18" t="e">
        <f t="shared" si="336"/>
        <v>#N/A</v>
      </c>
      <c r="BM193" s="28" t="e">
        <f t="shared" si="387"/>
        <v>#N/A</v>
      </c>
      <c r="BN193" s="33">
        <f>HLOOKUP("maximum population",Miscelaneous!$C$1:$C$33,CH193+3,FALSE)</f>
        <v>240</v>
      </c>
      <c r="BO193" s="14">
        <f t="shared" si="349"/>
        <v>32</v>
      </c>
      <c r="BP193" s="14">
        <f t="shared" si="350"/>
        <v>0</v>
      </c>
      <c r="BQ193" s="14">
        <f t="shared" si="351"/>
        <v>208</v>
      </c>
      <c r="BR193" s="34" t="e">
        <f>HLOOKUP(J193,Villagers!$B$1:$V$33,L193+3,FALSE)-HLOOKUP(J193,Villagers!$B$1:$V$33,L193+2,FALSE)</f>
        <v>#N/A</v>
      </c>
      <c r="BS193" s="49">
        <f t="shared" si="352"/>
        <v>1</v>
      </c>
      <c r="BT193" s="50">
        <f t="shared" si="353"/>
        <v>0</v>
      </c>
      <c r="BU193" s="50">
        <f t="shared" si="354"/>
        <v>0</v>
      </c>
      <c r="BV193" s="50">
        <f t="shared" si="355"/>
        <v>0</v>
      </c>
      <c r="BW193" s="50">
        <f t="shared" si="454"/>
        <v>0</v>
      </c>
      <c r="BX193" s="50">
        <f t="shared" si="454"/>
        <v>0</v>
      </c>
      <c r="BY193" s="50">
        <f t="shared" si="454"/>
        <v>0</v>
      </c>
      <c r="BZ193" s="50">
        <f t="shared" si="401"/>
        <v>0</v>
      </c>
      <c r="CA193" s="50">
        <f t="shared" si="402"/>
        <v>0</v>
      </c>
      <c r="CB193" s="50">
        <f t="shared" si="403"/>
        <v>1</v>
      </c>
      <c r="CC193" s="50">
        <f t="shared" si="404"/>
        <v>0</v>
      </c>
      <c r="CD193" s="50">
        <f t="shared" si="405"/>
        <v>0</v>
      </c>
      <c r="CE193" s="50">
        <f t="shared" si="406"/>
        <v>1</v>
      </c>
      <c r="CF193" s="50">
        <f t="shared" si="407"/>
        <v>1</v>
      </c>
      <c r="CG193" s="50">
        <f t="shared" si="408"/>
        <v>1</v>
      </c>
      <c r="CH193" s="50">
        <f t="shared" si="409"/>
        <v>1</v>
      </c>
      <c r="CI193" s="50">
        <f t="shared" si="410"/>
        <v>1</v>
      </c>
      <c r="CJ193" s="50">
        <f t="shared" si="411"/>
        <v>1</v>
      </c>
      <c r="CK193" s="50">
        <f t="shared" si="411"/>
        <v>0</v>
      </c>
      <c r="CL193" s="50">
        <f t="shared" si="411"/>
        <v>0</v>
      </c>
      <c r="CM193" s="51">
        <f t="shared" si="432"/>
        <v>0</v>
      </c>
      <c r="CN193" s="33">
        <f>ROUND(IF(BS193=0,0,HLOOKUP(BS$14,Villagers!$B$1:$V$33,BS193+3,FALSE)),)</f>
        <v>5</v>
      </c>
      <c r="CO193" s="14">
        <f>ROUND(IF(BT193=0,0,HLOOKUP(BT$14,Villagers!$B$1:$V$33,BT193+3,FALSE)),)</f>
        <v>0</v>
      </c>
      <c r="CP193" s="14">
        <f>ROUND(IF(BU193=0,0,HLOOKUP(BU$14,Villagers!$B$1:$V$33,BU193+3,FALSE)),)</f>
        <v>0</v>
      </c>
      <c r="CQ193" s="14">
        <f>ROUND(IF(BV193=0,0,HLOOKUP(BV$14,Villagers!$B$1:$V$33,BV193+3,FALSE)),)</f>
        <v>0</v>
      </c>
      <c r="CR193" s="14">
        <f>ROUND(IF(BW193=0,0,HLOOKUP(BW$14,Villagers!$B$1:$V$33,BW193+3,FALSE)),)</f>
        <v>0</v>
      </c>
      <c r="CS193" s="14">
        <f>ROUND(IF(BX193=0,0,HLOOKUP(BX$14,Villagers!$B$1:$V$33,BX193+3,FALSE)),)</f>
        <v>0</v>
      </c>
      <c r="CT193" s="14">
        <f>ROUND(IF(BY193=0,0,HLOOKUP(BY$14,Villagers!$B$1:$V$33,BY193+3,FALSE)),)</f>
        <v>0</v>
      </c>
      <c r="CU193" s="14">
        <f>ROUND(IF(BZ193=0,0,HLOOKUP(BZ$14,Villagers!$B$1:$V$33,BZ193+3,FALSE)),)</f>
        <v>0</v>
      </c>
      <c r="CV193" s="14">
        <f>ROUND(IF(CA193=0,0,HLOOKUP(CA$14,Villagers!$B$1:$V$33,CA193+3,FALSE)),)</f>
        <v>0</v>
      </c>
      <c r="CW193" s="14">
        <f>ROUND(IF(CB193=0,0,HLOOKUP(CB$14,Villagers!$B$1:$V$33,CB193+3,FALSE)),)</f>
        <v>0</v>
      </c>
      <c r="CX193" s="14">
        <f>ROUND(IF(CC193=0,0,HLOOKUP(CC$14,Villagers!$B$1:$V$33,CC193+3,FALSE)),)</f>
        <v>0</v>
      </c>
      <c r="CY193" s="14">
        <f>ROUND(IF(CD193=0,0,HLOOKUP(CD$14,Villagers!$B$1:$V$33,CD193+3,FALSE)),)</f>
        <v>0</v>
      </c>
      <c r="CZ193" s="14">
        <f>ROUND(IF(CE193=0,0,HLOOKUP(CE$14,Villagers!$B$1:$V$33,CE193+3,FALSE)),)</f>
        <v>5</v>
      </c>
      <c r="DA193" s="14">
        <f>ROUND(IF(CF193=0,0,HLOOKUP(CF$14,Villagers!$B$1:$V$33,CF193+3,FALSE)),)</f>
        <v>10</v>
      </c>
      <c r="DB193" s="14">
        <f>ROUND(IF(CG193=0,0,HLOOKUP(CG$14,Villagers!$B$1:$V$33,CG193+3,FALSE)),)</f>
        <v>10</v>
      </c>
      <c r="DC193" s="14">
        <f>ROUND(IF(CH193=0,0,HLOOKUP(CH$14,Villagers!$B$1:$V$33,CH193+3,FALSE)),)</f>
        <v>0</v>
      </c>
      <c r="DD193" s="14">
        <f>ROUND(IF(CI193=0,0,HLOOKUP(CI$14,Villagers!$B$1:$V$33,CI193+3,FALSE)),)</f>
        <v>0</v>
      </c>
      <c r="DE193" s="14">
        <f>ROUND(IF(CJ193=0,0,HLOOKUP(CJ$14,Villagers!$B$1:$V$33,CJ193+3,FALSE)),)</f>
        <v>2</v>
      </c>
      <c r="DF193" s="370">
        <f>ROUND(IF(CK193=0,0,HLOOKUP(CK$14,Villagers!$B$1:$V$33,CK193+3,FALSE)),)</f>
        <v>0</v>
      </c>
      <c r="DG193" s="370">
        <f>ROUND(IF(CL193=0,0,HLOOKUP(CL$14,Villagers!$B$1:$V$33,CL193+3,FALSE)),)</f>
        <v>0</v>
      </c>
      <c r="DH193" s="34">
        <f>ROUND(IF(CM193=0,0,HLOOKUP(CM$14,Villagers!$B$1:$V$33,CM193+3,FALSE)),)</f>
        <v>0</v>
      </c>
      <c r="DI193" s="109">
        <f t="shared" si="373"/>
        <v>0</v>
      </c>
      <c r="DJ193" s="50">
        <f t="shared" si="374"/>
        <v>0</v>
      </c>
      <c r="DK193" s="50">
        <f t="shared" si="375"/>
        <v>0</v>
      </c>
      <c r="DL193" s="50">
        <f t="shared" si="376"/>
        <v>0</v>
      </c>
      <c r="DM193" s="50">
        <f t="shared" si="377"/>
        <v>0</v>
      </c>
      <c r="DN193" s="50">
        <f t="shared" si="378"/>
        <v>0</v>
      </c>
      <c r="DO193" s="50">
        <f t="shared" si="379"/>
        <v>0</v>
      </c>
      <c r="DP193" s="50">
        <f t="shared" si="380"/>
        <v>0</v>
      </c>
      <c r="DQ193" s="50">
        <f t="shared" si="357"/>
        <v>0</v>
      </c>
      <c r="DR193" s="50">
        <f t="shared" si="358"/>
        <v>0</v>
      </c>
      <c r="DS193" s="96">
        <f>Miscelaneous!$D$4*Miscelaneous!$D$2^($CI193-1)</f>
        <v>1000</v>
      </c>
      <c r="DT193" s="333">
        <f t="shared" si="337"/>
        <v>1</v>
      </c>
      <c r="DU193" s="81">
        <v>1</v>
      </c>
      <c r="DV193" s="79">
        <f t="shared" si="359"/>
        <v>0</v>
      </c>
      <c r="DW193" s="79">
        <f t="shared" si="360"/>
        <v>0</v>
      </c>
      <c r="DX193" s="79">
        <f t="shared" si="361"/>
        <v>0</v>
      </c>
      <c r="DY193" s="79">
        <v>1</v>
      </c>
      <c r="DZ193" s="79">
        <f t="shared" si="362"/>
        <v>0</v>
      </c>
      <c r="EA193" s="79">
        <f t="shared" si="363"/>
        <v>0</v>
      </c>
      <c r="EB193" s="79">
        <f t="shared" si="364"/>
        <v>0</v>
      </c>
      <c r="EC193" s="79">
        <f t="shared" si="365"/>
        <v>0</v>
      </c>
      <c r="ED193" s="79">
        <v>1</v>
      </c>
      <c r="EE193" s="79">
        <v>1</v>
      </c>
      <c r="EF193" s="79">
        <f t="shared" si="366"/>
        <v>0</v>
      </c>
      <c r="EG193" s="79">
        <v>1</v>
      </c>
      <c r="EH193" s="79">
        <v>1</v>
      </c>
      <c r="EI193" s="79">
        <v>1</v>
      </c>
      <c r="EJ193" s="79">
        <v>1</v>
      </c>
      <c r="EK193" s="79">
        <v>1</v>
      </c>
      <c r="EL193" s="79">
        <v>1</v>
      </c>
      <c r="EM193" s="143">
        <f t="shared" si="367"/>
        <v>0</v>
      </c>
      <c r="EN193" s="143">
        <f t="shared" si="368"/>
        <v>0</v>
      </c>
      <c r="EO193" s="82">
        <f t="shared" si="369"/>
        <v>0</v>
      </c>
    </row>
    <row r="194" spans="1:145" x14ac:dyDescent="0.25">
      <c r="A194">
        <v>180</v>
      </c>
      <c r="B194" s="172" t="e">
        <f t="shared" si="338"/>
        <v>#N/A</v>
      </c>
      <c r="C194" s="121" t="e">
        <f t="shared" ref="C194:E194" si="456">AJ194-SUM(AB194:AB198)</f>
        <v>#N/A</v>
      </c>
      <c r="D194" s="122" t="e">
        <f t="shared" si="456"/>
        <v>#N/A</v>
      </c>
      <c r="E194" s="122" t="e">
        <f t="shared" si="456"/>
        <v>#N/A</v>
      </c>
      <c r="F194" s="176" t="e">
        <f t="shared" si="320"/>
        <v>#N/A</v>
      </c>
      <c r="G194" s="121">
        <f t="shared" si="340"/>
        <v>208</v>
      </c>
      <c r="H194" s="176" t="e">
        <f t="shared" si="341"/>
        <v>#N/A</v>
      </c>
      <c r="I194" s="48">
        <v>1</v>
      </c>
      <c r="J194" s="39"/>
      <c r="K194" s="350">
        <v>1</v>
      </c>
      <c r="L194" s="34" t="e">
        <f t="shared" si="321"/>
        <v>#N/A</v>
      </c>
      <c r="M194" s="38" t="e">
        <f>(HLOOKUP(J194,'Construction Times'!$B$3:$W$34,L194+2,FALSE)*HLOOKUP("hq modifier",'Construction Times'!$W$3:$W$34,BS194+2,FALSE))*(1-$H$9)</f>
        <v>#N/A</v>
      </c>
      <c r="N194" s="426" t="e">
        <f t="shared" si="342"/>
        <v>#N/A</v>
      </c>
      <c r="O194" s="427"/>
      <c r="P194" s="430" t="e">
        <f t="shared" si="343"/>
        <v>#N/A</v>
      </c>
      <c r="Q194" s="431"/>
      <c r="R194" s="103">
        <f t="shared" si="371"/>
        <v>0</v>
      </c>
      <c r="S194" s="104">
        <f t="shared" si="371"/>
        <v>0</v>
      </c>
      <c r="T194" s="104">
        <f t="shared" si="372"/>
        <v>0</v>
      </c>
      <c r="U194" s="104">
        <f t="shared" si="372"/>
        <v>0</v>
      </c>
      <c r="V194" s="104">
        <f t="shared" si="372"/>
        <v>9.9999999999999995E-8</v>
      </c>
      <c r="W194" s="104">
        <f t="shared" si="372"/>
        <v>0</v>
      </c>
      <c r="X194" s="104">
        <f t="shared" si="429"/>
        <v>0</v>
      </c>
      <c r="Y194" s="104">
        <f t="shared" si="429"/>
        <v>9.9999999999999995E-8</v>
      </c>
      <c r="Z194" s="104">
        <f t="shared" si="429"/>
        <v>9.9999999999999995E-8</v>
      </c>
      <c r="AA194" s="105">
        <f t="shared" si="429"/>
        <v>9.9999999999999995E-8</v>
      </c>
      <c r="AB194" s="101" t="e">
        <f>$DT194*HLOOKUP($J194,'Construction Costs (timber)'!$B$1:$V$32,'Construction Planner'!$L194+2,FALSE)</f>
        <v>#N/A</v>
      </c>
      <c r="AC194" s="14" t="e">
        <f>$DT194*HLOOKUP($J194,'Construction Costs (clay)'!$B$1:$V$32,'Construction Planner'!$L194+2,FALSE)</f>
        <v>#N/A</v>
      </c>
      <c r="AD194" s="14" t="e">
        <f>$DT194*HLOOKUP($J194,'Construction Costs (iron)'!$B$1:$V$32,'Construction Planner'!$L194+2,FALSE)</f>
        <v>#N/A</v>
      </c>
      <c r="AE194" s="34" t="e">
        <f t="shared" si="384"/>
        <v>#N/A</v>
      </c>
      <c r="AF194" s="33" t="e">
        <f t="shared" si="322"/>
        <v>#N/A</v>
      </c>
      <c r="AG194" s="14" t="e">
        <f t="shared" si="323"/>
        <v>#N/A</v>
      </c>
      <c r="AH194" s="14" t="e">
        <f t="shared" si="324"/>
        <v>#N/A</v>
      </c>
      <c r="AI194" s="34" t="e">
        <f t="shared" si="385"/>
        <v>#N/A</v>
      </c>
      <c r="AJ194" s="49" t="e">
        <f t="shared" si="345"/>
        <v>#N/A</v>
      </c>
      <c r="AK194" s="49" t="e">
        <f t="shared" si="346"/>
        <v>#N/A</v>
      </c>
      <c r="AL194" s="49" t="e">
        <f t="shared" si="347"/>
        <v>#N/A</v>
      </c>
      <c r="AM194" s="25">
        <f t="shared" si="325"/>
        <v>30</v>
      </c>
      <c r="AN194" s="25">
        <f t="shared" si="326"/>
        <v>30</v>
      </c>
      <c r="AO194" s="25">
        <f t="shared" si="327"/>
        <v>30</v>
      </c>
      <c r="AP194" s="52" t="e">
        <f t="shared" si="348"/>
        <v>#N/A</v>
      </c>
      <c r="AQ194" s="53" t="e">
        <f t="shared" si="348"/>
        <v>#N/A</v>
      </c>
      <c r="AR194" s="54" t="e">
        <f t="shared" si="348"/>
        <v>#N/A</v>
      </c>
      <c r="AS194" s="316">
        <f t="shared" si="439"/>
        <v>0</v>
      </c>
      <c r="AT194" s="106">
        <f>_xlfn.IFNA($M194/VLOOKUP($BT194,'Unit information'!$A$2:$K$29,2,FALSE)*R194,0)*(1+$E$9)</f>
        <v>0</v>
      </c>
      <c r="AU194" s="107">
        <f>_xlfn.IFNA($M194/VLOOKUP($BT194,'Unit information'!$A$2:$K$29,3,FALSE)*S194,0)*(1+$E$9)</f>
        <v>0</v>
      </c>
      <c r="AV194" s="107">
        <f>_xlfn.IFNA($M194/VLOOKUP($BT194,'Unit information'!$A$2:$K$29,4,FALSE)*T194,0)*(1+$E$9)</f>
        <v>0</v>
      </c>
      <c r="AW194" s="107">
        <f>_xlfn.IFNA($M194/VLOOKUP($BT194,'Unit information'!$A$2:$K$29,5,FALSE)*U194,0)*(1+$E$9)</f>
        <v>0</v>
      </c>
      <c r="AX194" s="107">
        <f>_xlfn.IFNA($M194/VLOOKUP($BU194,'Unit information'!$A$2:$K$29,6,FALSE)*V194,0)*(1+$E$9)</f>
        <v>0</v>
      </c>
      <c r="AY194" s="107">
        <f>_xlfn.IFNA($M194/VLOOKUP($BU194,'Unit information'!$A$2:$K$29,7,FALSE)*W194,0)*(1+$E$9)</f>
        <v>0</v>
      </c>
      <c r="AZ194" s="107">
        <f>_xlfn.IFNA($M194/VLOOKUP($BU194,'Unit information'!$A$2:$K$29,8,FALSE)*X194,0)*(1+$E$9)</f>
        <v>0</v>
      </c>
      <c r="BA194" s="107">
        <f>_xlfn.IFNA($M194/VLOOKUP($BU194,'Unit information'!$A$2:$K$29,9,FALSE)*Y194,0)*(1+$E$9)</f>
        <v>0</v>
      </c>
      <c r="BB194" s="107">
        <f>_xlfn.IFNA($M194/VLOOKUP($BV194,'Unit information'!$A$2:$K$29,10,FALSE)*Z194,0)*(1+$E$9)</f>
        <v>0</v>
      </c>
      <c r="BC194" s="108">
        <f>_xlfn.IFNA($M194/VLOOKUP($BV194,'Unit information'!$A$2:$K$29,11,FALSE)*AA194,0)*(1+$E$9)</f>
        <v>0</v>
      </c>
      <c r="BD194" s="106">
        <f t="shared" si="328"/>
        <v>0</v>
      </c>
      <c r="BE194" s="107">
        <f t="shared" si="329"/>
        <v>0</v>
      </c>
      <c r="BF194" s="108">
        <f t="shared" si="330"/>
        <v>0</v>
      </c>
      <c r="BG194" s="25" t="e">
        <f t="shared" si="331"/>
        <v>#N/A</v>
      </c>
      <c r="BH194" s="25" t="e">
        <f t="shared" si="332"/>
        <v>#N/A</v>
      </c>
      <c r="BI194" s="25" t="e">
        <f t="shared" si="333"/>
        <v>#N/A</v>
      </c>
      <c r="BJ194" s="27" t="e">
        <f t="shared" si="334"/>
        <v>#N/A</v>
      </c>
      <c r="BK194" s="18" t="e">
        <f t="shared" si="335"/>
        <v>#N/A</v>
      </c>
      <c r="BL194" s="18" t="e">
        <f t="shared" si="336"/>
        <v>#N/A</v>
      </c>
      <c r="BM194" s="28" t="e">
        <f t="shared" si="387"/>
        <v>#N/A</v>
      </c>
      <c r="BN194" s="33">
        <f>HLOOKUP("maximum population",Miscelaneous!$C$1:$C$33,CH194+3,FALSE)</f>
        <v>240</v>
      </c>
      <c r="BO194" s="14">
        <f t="shared" si="349"/>
        <v>32</v>
      </c>
      <c r="BP194" s="14">
        <f t="shared" si="350"/>
        <v>0</v>
      </c>
      <c r="BQ194" s="14">
        <f t="shared" si="351"/>
        <v>208</v>
      </c>
      <c r="BR194" s="34" t="e">
        <f>HLOOKUP(J194,Villagers!$B$1:$V$33,L194+3,FALSE)-HLOOKUP(J194,Villagers!$B$1:$V$33,L194+2,FALSE)</f>
        <v>#N/A</v>
      </c>
      <c r="BS194" s="49">
        <f t="shared" si="352"/>
        <v>1</v>
      </c>
      <c r="BT194" s="50">
        <f t="shared" si="353"/>
        <v>0</v>
      </c>
      <c r="BU194" s="50">
        <f t="shared" si="354"/>
        <v>0</v>
      </c>
      <c r="BV194" s="50">
        <f t="shared" si="355"/>
        <v>0</v>
      </c>
      <c r="BW194" s="50">
        <f t="shared" si="454"/>
        <v>0</v>
      </c>
      <c r="BX194" s="50">
        <f t="shared" si="454"/>
        <v>0</v>
      </c>
      <c r="BY194" s="50">
        <f t="shared" si="454"/>
        <v>0</v>
      </c>
      <c r="BZ194" s="50">
        <f t="shared" si="401"/>
        <v>0</v>
      </c>
      <c r="CA194" s="50">
        <f t="shared" si="402"/>
        <v>0</v>
      </c>
      <c r="CB194" s="50">
        <f t="shared" si="403"/>
        <v>1</v>
      </c>
      <c r="CC194" s="50">
        <f t="shared" si="404"/>
        <v>0</v>
      </c>
      <c r="CD194" s="50">
        <f t="shared" si="405"/>
        <v>0</v>
      </c>
      <c r="CE194" s="50">
        <f t="shared" si="406"/>
        <v>1</v>
      </c>
      <c r="CF194" s="50">
        <f t="shared" si="407"/>
        <v>1</v>
      </c>
      <c r="CG194" s="50">
        <f t="shared" si="408"/>
        <v>1</v>
      </c>
      <c r="CH194" s="50">
        <f t="shared" si="409"/>
        <v>1</v>
      </c>
      <c r="CI194" s="50">
        <f t="shared" si="410"/>
        <v>1</v>
      </c>
      <c r="CJ194" s="50">
        <f t="shared" si="411"/>
        <v>1</v>
      </c>
      <c r="CK194" s="50">
        <f t="shared" si="411"/>
        <v>0</v>
      </c>
      <c r="CL194" s="50">
        <f t="shared" si="411"/>
        <v>0</v>
      </c>
      <c r="CM194" s="51">
        <f t="shared" si="432"/>
        <v>0</v>
      </c>
      <c r="CN194" s="33">
        <f>ROUND(IF(BS194=0,0,HLOOKUP(BS$14,Villagers!$B$1:$V$33,BS194+3,FALSE)),)</f>
        <v>5</v>
      </c>
      <c r="CO194" s="14">
        <f>ROUND(IF(BT194=0,0,HLOOKUP(BT$14,Villagers!$B$1:$V$33,BT194+3,FALSE)),)</f>
        <v>0</v>
      </c>
      <c r="CP194" s="14">
        <f>ROUND(IF(BU194=0,0,HLOOKUP(BU$14,Villagers!$B$1:$V$33,BU194+3,FALSE)),)</f>
        <v>0</v>
      </c>
      <c r="CQ194" s="14">
        <f>ROUND(IF(BV194=0,0,HLOOKUP(BV$14,Villagers!$B$1:$V$33,BV194+3,FALSE)),)</f>
        <v>0</v>
      </c>
      <c r="CR194" s="14">
        <f>ROUND(IF(BW194=0,0,HLOOKUP(BW$14,Villagers!$B$1:$V$33,BW194+3,FALSE)),)</f>
        <v>0</v>
      </c>
      <c r="CS194" s="14">
        <f>ROUND(IF(BX194=0,0,HLOOKUP(BX$14,Villagers!$B$1:$V$33,BX194+3,FALSE)),)</f>
        <v>0</v>
      </c>
      <c r="CT194" s="14">
        <f>ROUND(IF(BY194=0,0,HLOOKUP(BY$14,Villagers!$B$1:$V$33,BY194+3,FALSE)),)</f>
        <v>0</v>
      </c>
      <c r="CU194" s="14">
        <f>ROUND(IF(BZ194=0,0,HLOOKUP(BZ$14,Villagers!$B$1:$V$33,BZ194+3,FALSE)),)</f>
        <v>0</v>
      </c>
      <c r="CV194" s="14">
        <f>ROUND(IF(CA194=0,0,HLOOKUP(CA$14,Villagers!$B$1:$V$33,CA194+3,FALSE)),)</f>
        <v>0</v>
      </c>
      <c r="CW194" s="14">
        <f>ROUND(IF(CB194=0,0,HLOOKUP(CB$14,Villagers!$B$1:$V$33,CB194+3,FALSE)),)</f>
        <v>0</v>
      </c>
      <c r="CX194" s="14">
        <f>ROUND(IF(CC194=0,0,HLOOKUP(CC$14,Villagers!$B$1:$V$33,CC194+3,FALSE)),)</f>
        <v>0</v>
      </c>
      <c r="CY194" s="14">
        <f>ROUND(IF(CD194=0,0,HLOOKUP(CD$14,Villagers!$B$1:$V$33,CD194+3,FALSE)),)</f>
        <v>0</v>
      </c>
      <c r="CZ194" s="14">
        <f>ROUND(IF(CE194=0,0,HLOOKUP(CE$14,Villagers!$B$1:$V$33,CE194+3,FALSE)),)</f>
        <v>5</v>
      </c>
      <c r="DA194" s="14">
        <f>ROUND(IF(CF194=0,0,HLOOKUP(CF$14,Villagers!$B$1:$V$33,CF194+3,FALSE)),)</f>
        <v>10</v>
      </c>
      <c r="DB194" s="14">
        <f>ROUND(IF(CG194=0,0,HLOOKUP(CG$14,Villagers!$B$1:$V$33,CG194+3,FALSE)),)</f>
        <v>10</v>
      </c>
      <c r="DC194" s="14">
        <f>ROUND(IF(CH194=0,0,HLOOKUP(CH$14,Villagers!$B$1:$V$33,CH194+3,FALSE)),)</f>
        <v>0</v>
      </c>
      <c r="DD194" s="14">
        <f>ROUND(IF(CI194=0,0,HLOOKUP(CI$14,Villagers!$B$1:$V$33,CI194+3,FALSE)),)</f>
        <v>0</v>
      </c>
      <c r="DE194" s="14">
        <f>ROUND(IF(CJ194=0,0,HLOOKUP(CJ$14,Villagers!$B$1:$V$33,CJ194+3,FALSE)),)</f>
        <v>2</v>
      </c>
      <c r="DF194" s="370">
        <f>ROUND(IF(CK194=0,0,HLOOKUP(CK$14,Villagers!$B$1:$V$33,CK194+3,FALSE)),)</f>
        <v>0</v>
      </c>
      <c r="DG194" s="370">
        <f>ROUND(IF(CL194=0,0,HLOOKUP(CL$14,Villagers!$B$1:$V$33,CL194+3,FALSE)),)</f>
        <v>0</v>
      </c>
      <c r="DH194" s="34">
        <f>ROUND(IF(CM194=0,0,HLOOKUP(CM$14,Villagers!$B$1:$V$33,CM194+3,FALSE)),)</f>
        <v>0</v>
      </c>
      <c r="DI194" s="109">
        <f t="shared" si="373"/>
        <v>0</v>
      </c>
      <c r="DJ194" s="50">
        <f t="shared" si="374"/>
        <v>0</v>
      </c>
      <c r="DK194" s="50">
        <f t="shared" si="375"/>
        <v>0</v>
      </c>
      <c r="DL194" s="50">
        <f t="shared" si="376"/>
        <v>0</v>
      </c>
      <c r="DM194" s="50">
        <f t="shared" si="377"/>
        <v>0</v>
      </c>
      <c r="DN194" s="50">
        <f t="shared" si="378"/>
        <v>0</v>
      </c>
      <c r="DO194" s="50">
        <f t="shared" si="379"/>
        <v>0</v>
      </c>
      <c r="DP194" s="50">
        <f t="shared" si="380"/>
        <v>0</v>
      </c>
      <c r="DQ194" s="50">
        <f t="shared" si="357"/>
        <v>0</v>
      </c>
      <c r="DR194" s="50">
        <f t="shared" si="358"/>
        <v>0</v>
      </c>
      <c r="DS194" s="96">
        <f>Miscelaneous!$D$4*Miscelaneous!$D$2^($CI194-1)</f>
        <v>1000</v>
      </c>
      <c r="DT194" s="333">
        <f t="shared" si="337"/>
        <v>1</v>
      </c>
      <c r="DU194" s="81">
        <v>1</v>
      </c>
      <c r="DV194" s="79">
        <f t="shared" si="359"/>
        <v>0</v>
      </c>
      <c r="DW194" s="79">
        <f t="shared" si="360"/>
        <v>0</v>
      </c>
      <c r="DX194" s="79">
        <f t="shared" si="361"/>
        <v>0</v>
      </c>
      <c r="DY194" s="79">
        <v>1</v>
      </c>
      <c r="DZ194" s="79">
        <f t="shared" si="362"/>
        <v>0</v>
      </c>
      <c r="EA194" s="79">
        <f t="shared" si="363"/>
        <v>0</v>
      </c>
      <c r="EB194" s="79">
        <f t="shared" si="364"/>
        <v>0</v>
      </c>
      <c r="EC194" s="79">
        <f t="shared" si="365"/>
        <v>0</v>
      </c>
      <c r="ED194" s="79">
        <v>1</v>
      </c>
      <c r="EE194" s="79">
        <v>1</v>
      </c>
      <c r="EF194" s="79">
        <f t="shared" si="366"/>
        <v>0</v>
      </c>
      <c r="EG194" s="79">
        <v>1</v>
      </c>
      <c r="EH194" s="79">
        <v>1</v>
      </c>
      <c r="EI194" s="79">
        <v>1</v>
      </c>
      <c r="EJ194" s="79">
        <v>1</v>
      </c>
      <c r="EK194" s="79">
        <v>1</v>
      </c>
      <c r="EL194" s="79">
        <v>1</v>
      </c>
      <c r="EM194" s="143">
        <f t="shared" si="367"/>
        <v>0</v>
      </c>
      <c r="EN194" s="143">
        <f t="shared" si="368"/>
        <v>0</v>
      </c>
      <c r="EO194" s="82">
        <f t="shared" si="369"/>
        <v>0</v>
      </c>
    </row>
    <row r="195" spans="1:145" x14ac:dyDescent="0.25">
      <c r="A195">
        <v>181</v>
      </c>
      <c r="B195" s="172" t="e">
        <f t="shared" si="338"/>
        <v>#N/A</v>
      </c>
      <c r="C195" s="121" t="e">
        <f t="shared" ref="C195:E195" si="457">AJ195-SUM(AB195:AB199)</f>
        <v>#N/A</v>
      </c>
      <c r="D195" s="122" t="e">
        <f t="shared" si="457"/>
        <v>#N/A</v>
      </c>
      <c r="E195" s="122" t="e">
        <f t="shared" si="457"/>
        <v>#N/A</v>
      </c>
      <c r="F195" s="176" t="e">
        <f t="shared" si="320"/>
        <v>#N/A</v>
      </c>
      <c r="G195" s="121">
        <f t="shared" si="340"/>
        <v>208</v>
      </c>
      <c r="H195" s="176" t="e">
        <f t="shared" si="341"/>
        <v>#N/A</v>
      </c>
      <c r="I195" s="48">
        <v>1</v>
      </c>
      <c r="J195" s="39"/>
      <c r="K195" s="350">
        <v>1</v>
      </c>
      <c r="L195" s="34" t="e">
        <f t="shared" si="321"/>
        <v>#N/A</v>
      </c>
      <c r="M195" s="38" t="e">
        <f>(HLOOKUP(J195,'Construction Times'!$B$3:$W$34,L195+2,FALSE)*HLOOKUP("hq modifier",'Construction Times'!$W$3:$W$34,BS195+2,FALSE))*(1-$H$9)</f>
        <v>#N/A</v>
      </c>
      <c r="N195" s="426" t="e">
        <f t="shared" si="342"/>
        <v>#N/A</v>
      </c>
      <c r="O195" s="427"/>
      <c r="P195" s="430" t="e">
        <f t="shared" si="343"/>
        <v>#N/A</v>
      </c>
      <c r="Q195" s="431"/>
      <c r="R195" s="103">
        <f t="shared" si="371"/>
        <v>0</v>
      </c>
      <c r="S195" s="104">
        <f t="shared" si="371"/>
        <v>0</v>
      </c>
      <c r="T195" s="104">
        <f t="shared" si="372"/>
        <v>0</v>
      </c>
      <c r="U195" s="104">
        <f t="shared" si="372"/>
        <v>0</v>
      </c>
      <c r="V195" s="104">
        <f t="shared" si="372"/>
        <v>9.9999999999999995E-8</v>
      </c>
      <c r="W195" s="104">
        <f t="shared" si="372"/>
        <v>0</v>
      </c>
      <c r="X195" s="104">
        <f t="shared" si="429"/>
        <v>0</v>
      </c>
      <c r="Y195" s="104">
        <f t="shared" si="429"/>
        <v>9.9999999999999995E-8</v>
      </c>
      <c r="Z195" s="104">
        <f t="shared" si="429"/>
        <v>9.9999999999999995E-8</v>
      </c>
      <c r="AA195" s="105">
        <f t="shared" si="429"/>
        <v>9.9999999999999995E-8</v>
      </c>
      <c r="AB195" s="101" t="e">
        <f>$DT195*HLOOKUP($J195,'Construction Costs (timber)'!$B$1:$V$32,'Construction Planner'!$L195+2,FALSE)</f>
        <v>#N/A</v>
      </c>
      <c r="AC195" s="14" t="e">
        <f>$DT195*HLOOKUP($J195,'Construction Costs (clay)'!$B$1:$V$32,'Construction Planner'!$L195+2,FALSE)</f>
        <v>#N/A</v>
      </c>
      <c r="AD195" s="14" t="e">
        <f>$DT195*HLOOKUP($J195,'Construction Costs (iron)'!$B$1:$V$32,'Construction Planner'!$L195+2,FALSE)</f>
        <v>#N/A</v>
      </c>
      <c r="AE195" s="34" t="e">
        <f t="shared" si="384"/>
        <v>#N/A</v>
      </c>
      <c r="AF195" s="33" t="e">
        <f t="shared" si="322"/>
        <v>#N/A</v>
      </c>
      <c r="AG195" s="14" t="e">
        <f t="shared" si="323"/>
        <v>#N/A</v>
      </c>
      <c r="AH195" s="14" t="e">
        <f t="shared" si="324"/>
        <v>#N/A</v>
      </c>
      <c r="AI195" s="34" t="e">
        <f t="shared" si="385"/>
        <v>#N/A</v>
      </c>
      <c r="AJ195" s="49" t="e">
        <f t="shared" si="345"/>
        <v>#N/A</v>
      </c>
      <c r="AK195" s="49" t="e">
        <f t="shared" si="346"/>
        <v>#N/A</v>
      </c>
      <c r="AL195" s="49" t="e">
        <f t="shared" si="347"/>
        <v>#N/A</v>
      </c>
      <c r="AM195" s="25">
        <f t="shared" si="325"/>
        <v>30</v>
      </c>
      <c r="AN195" s="25">
        <f t="shared" si="326"/>
        <v>30</v>
      </c>
      <c r="AO195" s="25">
        <f t="shared" si="327"/>
        <v>30</v>
      </c>
      <c r="AP195" s="52" t="e">
        <f t="shared" si="348"/>
        <v>#N/A</v>
      </c>
      <c r="AQ195" s="53" t="e">
        <f t="shared" si="348"/>
        <v>#N/A</v>
      </c>
      <c r="AR195" s="54" t="e">
        <f t="shared" si="348"/>
        <v>#N/A</v>
      </c>
      <c r="AS195" s="316">
        <f t="shared" si="439"/>
        <v>0</v>
      </c>
      <c r="AT195" s="106">
        <f>_xlfn.IFNA($M195/VLOOKUP($BT195,'Unit information'!$A$2:$K$29,2,FALSE)*R195,0)*(1+$E$9)</f>
        <v>0</v>
      </c>
      <c r="AU195" s="107">
        <f>_xlfn.IFNA($M195/VLOOKUP($BT195,'Unit information'!$A$2:$K$29,3,FALSE)*S195,0)*(1+$E$9)</f>
        <v>0</v>
      </c>
      <c r="AV195" s="107">
        <f>_xlfn.IFNA($M195/VLOOKUP($BT195,'Unit information'!$A$2:$K$29,4,FALSE)*T195,0)*(1+$E$9)</f>
        <v>0</v>
      </c>
      <c r="AW195" s="107">
        <f>_xlfn.IFNA($M195/VLOOKUP($BT195,'Unit information'!$A$2:$K$29,5,FALSE)*U195,0)*(1+$E$9)</f>
        <v>0</v>
      </c>
      <c r="AX195" s="107">
        <f>_xlfn.IFNA($M195/VLOOKUP($BU195,'Unit information'!$A$2:$K$29,6,FALSE)*V195,0)*(1+$E$9)</f>
        <v>0</v>
      </c>
      <c r="AY195" s="107">
        <f>_xlfn.IFNA($M195/VLOOKUP($BU195,'Unit information'!$A$2:$K$29,7,FALSE)*W195,0)*(1+$E$9)</f>
        <v>0</v>
      </c>
      <c r="AZ195" s="107">
        <f>_xlfn.IFNA($M195/VLOOKUP($BU195,'Unit information'!$A$2:$K$29,8,FALSE)*X195,0)*(1+$E$9)</f>
        <v>0</v>
      </c>
      <c r="BA195" s="107">
        <f>_xlfn.IFNA($M195/VLOOKUP($BU195,'Unit information'!$A$2:$K$29,9,FALSE)*Y195,0)*(1+$E$9)</f>
        <v>0</v>
      </c>
      <c r="BB195" s="107">
        <f>_xlfn.IFNA($M195/VLOOKUP($BV195,'Unit information'!$A$2:$K$29,10,FALSE)*Z195,0)*(1+$E$9)</f>
        <v>0</v>
      </c>
      <c r="BC195" s="108">
        <f>_xlfn.IFNA($M195/VLOOKUP($BV195,'Unit information'!$A$2:$K$29,11,FALSE)*AA195,0)*(1+$E$9)</f>
        <v>0</v>
      </c>
      <c r="BD195" s="106">
        <f t="shared" si="328"/>
        <v>0</v>
      </c>
      <c r="BE195" s="107">
        <f t="shared" si="329"/>
        <v>0</v>
      </c>
      <c r="BF195" s="108">
        <f t="shared" si="330"/>
        <v>0</v>
      </c>
      <c r="BG195" s="25" t="e">
        <f t="shared" si="331"/>
        <v>#N/A</v>
      </c>
      <c r="BH195" s="25" t="e">
        <f t="shared" si="332"/>
        <v>#N/A</v>
      </c>
      <c r="BI195" s="25" t="e">
        <f t="shared" si="333"/>
        <v>#N/A</v>
      </c>
      <c r="BJ195" s="27" t="e">
        <f t="shared" si="334"/>
        <v>#N/A</v>
      </c>
      <c r="BK195" s="18" t="e">
        <f t="shared" si="335"/>
        <v>#N/A</v>
      </c>
      <c r="BL195" s="18" t="e">
        <f t="shared" si="336"/>
        <v>#N/A</v>
      </c>
      <c r="BM195" s="28" t="e">
        <f t="shared" si="387"/>
        <v>#N/A</v>
      </c>
      <c r="BN195" s="33">
        <f>HLOOKUP("maximum population",Miscelaneous!$C$1:$C$33,CH195+3,FALSE)</f>
        <v>240</v>
      </c>
      <c r="BO195" s="14">
        <f t="shared" si="349"/>
        <v>32</v>
      </c>
      <c r="BP195" s="14">
        <f t="shared" si="350"/>
        <v>0</v>
      </c>
      <c r="BQ195" s="14">
        <f t="shared" si="351"/>
        <v>208</v>
      </c>
      <c r="BR195" s="34" t="e">
        <f>HLOOKUP(J195,Villagers!$B$1:$V$33,L195+3,FALSE)-HLOOKUP(J195,Villagers!$B$1:$V$33,L195+2,FALSE)</f>
        <v>#N/A</v>
      </c>
      <c r="BS195" s="49">
        <f t="shared" si="352"/>
        <v>1</v>
      </c>
      <c r="BT195" s="50">
        <f t="shared" si="353"/>
        <v>0</v>
      </c>
      <c r="BU195" s="50">
        <f t="shared" si="354"/>
        <v>0</v>
      </c>
      <c r="BV195" s="50">
        <f t="shared" si="355"/>
        <v>0</v>
      </c>
      <c r="BW195" s="50">
        <f t="shared" si="454"/>
        <v>0</v>
      </c>
      <c r="BX195" s="50">
        <f t="shared" si="454"/>
        <v>0</v>
      </c>
      <c r="BY195" s="50">
        <f t="shared" si="454"/>
        <v>0</v>
      </c>
      <c r="BZ195" s="50">
        <f t="shared" si="401"/>
        <v>0</v>
      </c>
      <c r="CA195" s="50">
        <f t="shared" si="402"/>
        <v>0</v>
      </c>
      <c r="CB195" s="50">
        <f t="shared" si="403"/>
        <v>1</v>
      </c>
      <c r="CC195" s="50">
        <f t="shared" si="404"/>
        <v>0</v>
      </c>
      <c r="CD195" s="50">
        <f t="shared" si="405"/>
        <v>0</v>
      </c>
      <c r="CE195" s="50">
        <f t="shared" si="406"/>
        <v>1</v>
      </c>
      <c r="CF195" s="50">
        <f t="shared" si="407"/>
        <v>1</v>
      </c>
      <c r="CG195" s="50">
        <f t="shared" si="408"/>
        <v>1</v>
      </c>
      <c r="CH195" s="50">
        <f t="shared" si="409"/>
        <v>1</v>
      </c>
      <c r="CI195" s="50">
        <f t="shared" si="410"/>
        <v>1</v>
      </c>
      <c r="CJ195" s="50">
        <f t="shared" si="411"/>
        <v>1</v>
      </c>
      <c r="CK195" s="50">
        <f t="shared" si="411"/>
        <v>0</v>
      </c>
      <c r="CL195" s="50">
        <f t="shared" si="411"/>
        <v>0</v>
      </c>
      <c r="CM195" s="51">
        <f t="shared" si="432"/>
        <v>0</v>
      </c>
      <c r="CN195" s="33">
        <f>ROUND(IF(BS195=0,0,HLOOKUP(BS$14,Villagers!$B$1:$V$33,BS195+3,FALSE)),)</f>
        <v>5</v>
      </c>
      <c r="CO195" s="14">
        <f>ROUND(IF(BT195=0,0,HLOOKUP(BT$14,Villagers!$B$1:$V$33,BT195+3,FALSE)),)</f>
        <v>0</v>
      </c>
      <c r="CP195" s="14">
        <f>ROUND(IF(BU195=0,0,HLOOKUP(BU$14,Villagers!$B$1:$V$33,BU195+3,FALSE)),)</f>
        <v>0</v>
      </c>
      <c r="CQ195" s="14">
        <f>ROUND(IF(BV195=0,0,HLOOKUP(BV$14,Villagers!$B$1:$V$33,BV195+3,FALSE)),)</f>
        <v>0</v>
      </c>
      <c r="CR195" s="14">
        <f>ROUND(IF(BW195=0,0,HLOOKUP(BW$14,Villagers!$B$1:$V$33,BW195+3,FALSE)),)</f>
        <v>0</v>
      </c>
      <c r="CS195" s="14">
        <f>ROUND(IF(BX195=0,0,HLOOKUP(BX$14,Villagers!$B$1:$V$33,BX195+3,FALSE)),)</f>
        <v>0</v>
      </c>
      <c r="CT195" s="14">
        <f>ROUND(IF(BY195=0,0,HLOOKUP(BY$14,Villagers!$B$1:$V$33,BY195+3,FALSE)),)</f>
        <v>0</v>
      </c>
      <c r="CU195" s="14">
        <f>ROUND(IF(BZ195=0,0,HLOOKUP(BZ$14,Villagers!$B$1:$V$33,BZ195+3,FALSE)),)</f>
        <v>0</v>
      </c>
      <c r="CV195" s="14">
        <f>ROUND(IF(CA195=0,0,HLOOKUP(CA$14,Villagers!$B$1:$V$33,CA195+3,FALSE)),)</f>
        <v>0</v>
      </c>
      <c r="CW195" s="14">
        <f>ROUND(IF(CB195=0,0,HLOOKUP(CB$14,Villagers!$B$1:$V$33,CB195+3,FALSE)),)</f>
        <v>0</v>
      </c>
      <c r="CX195" s="14">
        <f>ROUND(IF(CC195=0,0,HLOOKUP(CC$14,Villagers!$B$1:$V$33,CC195+3,FALSE)),)</f>
        <v>0</v>
      </c>
      <c r="CY195" s="14">
        <f>ROUND(IF(CD195=0,0,HLOOKUP(CD$14,Villagers!$B$1:$V$33,CD195+3,FALSE)),)</f>
        <v>0</v>
      </c>
      <c r="CZ195" s="14">
        <f>ROUND(IF(CE195=0,0,HLOOKUP(CE$14,Villagers!$B$1:$V$33,CE195+3,FALSE)),)</f>
        <v>5</v>
      </c>
      <c r="DA195" s="14">
        <f>ROUND(IF(CF195=0,0,HLOOKUP(CF$14,Villagers!$B$1:$V$33,CF195+3,FALSE)),)</f>
        <v>10</v>
      </c>
      <c r="DB195" s="14">
        <f>ROUND(IF(CG195=0,0,HLOOKUP(CG$14,Villagers!$B$1:$V$33,CG195+3,FALSE)),)</f>
        <v>10</v>
      </c>
      <c r="DC195" s="14">
        <f>ROUND(IF(CH195=0,0,HLOOKUP(CH$14,Villagers!$B$1:$V$33,CH195+3,FALSE)),)</f>
        <v>0</v>
      </c>
      <c r="DD195" s="14">
        <f>ROUND(IF(CI195=0,0,HLOOKUP(CI$14,Villagers!$B$1:$V$33,CI195+3,FALSE)),)</f>
        <v>0</v>
      </c>
      <c r="DE195" s="14">
        <f>ROUND(IF(CJ195=0,0,HLOOKUP(CJ$14,Villagers!$B$1:$V$33,CJ195+3,FALSE)),)</f>
        <v>2</v>
      </c>
      <c r="DF195" s="370">
        <f>ROUND(IF(CK195=0,0,HLOOKUP(CK$14,Villagers!$B$1:$V$33,CK195+3,FALSE)),)</f>
        <v>0</v>
      </c>
      <c r="DG195" s="370">
        <f>ROUND(IF(CL195=0,0,HLOOKUP(CL$14,Villagers!$B$1:$V$33,CL195+3,FALSE)),)</f>
        <v>0</v>
      </c>
      <c r="DH195" s="34">
        <f>ROUND(IF(CM195=0,0,HLOOKUP(CM$14,Villagers!$B$1:$V$33,CM195+3,FALSE)),)</f>
        <v>0</v>
      </c>
      <c r="DI195" s="109">
        <f t="shared" si="373"/>
        <v>0</v>
      </c>
      <c r="DJ195" s="50">
        <f t="shared" si="374"/>
        <v>0</v>
      </c>
      <c r="DK195" s="50">
        <f t="shared" si="375"/>
        <v>0</v>
      </c>
      <c r="DL195" s="50">
        <f t="shared" si="376"/>
        <v>0</v>
      </c>
      <c r="DM195" s="50">
        <f t="shared" si="377"/>
        <v>0</v>
      </c>
      <c r="DN195" s="50">
        <f t="shared" si="378"/>
        <v>0</v>
      </c>
      <c r="DO195" s="50">
        <f t="shared" si="379"/>
        <v>0</v>
      </c>
      <c r="DP195" s="50">
        <f t="shared" si="380"/>
        <v>0</v>
      </c>
      <c r="DQ195" s="50">
        <f t="shared" si="357"/>
        <v>0</v>
      </c>
      <c r="DR195" s="50">
        <f t="shared" si="358"/>
        <v>0</v>
      </c>
      <c r="DS195" s="96">
        <f>Miscelaneous!$D$4*Miscelaneous!$D$2^($CI195-1)</f>
        <v>1000</v>
      </c>
      <c r="DT195" s="333">
        <f t="shared" si="337"/>
        <v>1</v>
      </c>
      <c r="DU195" s="81">
        <v>1</v>
      </c>
      <c r="DV195" s="79">
        <f t="shared" si="359"/>
        <v>0</v>
      </c>
      <c r="DW195" s="79">
        <f t="shared" si="360"/>
        <v>0</v>
      </c>
      <c r="DX195" s="79">
        <f t="shared" si="361"/>
        <v>0</v>
      </c>
      <c r="DY195" s="79">
        <v>1</v>
      </c>
      <c r="DZ195" s="79">
        <f t="shared" si="362"/>
        <v>0</v>
      </c>
      <c r="EA195" s="79">
        <f t="shared" si="363"/>
        <v>0</v>
      </c>
      <c r="EB195" s="79">
        <f t="shared" si="364"/>
        <v>0</v>
      </c>
      <c r="EC195" s="79">
        <f t="shared" si="365"/>
        <v>0</v>
      </c>
      <c r="ED195" s="79">
        <v>1</v>
      </c>
      <c r="EE195" s="79">
        <v>1</v>
      </c>
      <c r="EF195" s="79">
        <f t="shared" si="366"/>
        <v>0</v>
      </c>
      <c r="EG195" s="79">
        <v>1</v>
      </c>
      <c r="EH195" s="79">
        <v>1</v>
      </c>
      <c r="EI195" s="79">
        <v>1</v>
      </c>
      <c r="EJ195" s="79">
        <v>1</v>
      </c>
      <c r="EK195" s="79">
        <v>1</v>
      </c>
      <c r="EL195" s="79">
        <v>1</v>
      </c>
      <c r="EM195" s="143">
        <f t="shared" si="367"/>
        <v>0</v>
      </c>
      <c r="EN195" s="143">
        <f t="shared" si="368"/>
        <v>0</v>
      </c>
      <c r="EO195" s="82">
        <f t="shared" si="369"/>
        <v>0</v>
      </c>
    </row>
    <row r="196" spans="1:145" x14ac:dyDescent="0.25">
      <c r="A196">
        <v>182</v>
      </c>
      <c r="B196" s="172" t="e">
        <f t="shared" si="338"/>
        <v>#N/A</v>
      </c>
      <c r="C196" s="121" t="e">
        <f t="shared" ref="C196:E196" si="458">AJ196-SUM(AB196:AB200)</f>
        <v>#N/A</v>
      </c>
      <c r="D196" s="122" t="e">
        <f t="shared" si="458"/>
        <v>#N/A</v>
      </c>
      <c r="E196" s="122" t="e">
        <f t="shared" si="458"/>
        <v>#N/A</v>
      </c>
      <c r="F196" s="176" t="e">
        <f t="shared" si="320"/>
        <v>#N/A</v>
      </c>
      <c r="G196" s="121">
        <f t="shared" si="340"/>
        <v>208</v>
      </c>
      <c r="H196" s="176" t="e">
        <f t="shared" si="341"/>
        <v>#N/A</v>
      </c>
      <c r="I196" s="48">
        <v>1</v>
      </c>
      <c r="J196" s="39"/>
      <c r="K196" s="350">
        <v>1</v>
      </c>
      <c r="L196" s="34" t="e">
        <f t="shared" si="321"/>
        <v>#N/A</v>
      </c>
      <c r="M196" s="38" t="e">
        <f>(HLOOKUP(J196,'Construction Times'!$B$3:$W$34,L196+2,FALSE)*HLOOKUP("hq modifier",'Construction Times'!$W$3:$W$34,BS196+2,FALSE))*(1-$H$9)</f>
        <v>#N/A</v>
      </c>
      <c r="N196" s="426" t="e">
        <f t="shared" si="342"/>
        <v>#N/A</v>
      </c>
      <c r="O196" s="427"/>
      <c r="P196" s="430" t="e">
        <f t="shared" si="343"/>
        <v>#N/A</v>
      </c>
      <c r="Q196" s="431"/>
      <c r="R196" s="103">
        <f t="shared" si="371"/>
        <v>0</v>
      </c>
      <c r="S196" s="104">
        <f t="shared" si="371"/>
        <v>0</v>
      </c>
      <c r="T196" s="104">
        <f t="shared" si="372"/>
        <v>0</v>
      </c>
      <c r="U196" s="104">
        <f t="shared" si="372"/>
        <v>0</v>
      </c>
      <c r="V196" s="104">
        <f t="shared" si="372"/>
        <v>9.9999999999999995E-8</v>
      </c>
      <c r="W196" s="104">
        <f t="shared" si="372"/>
        <v>0</v>
      </c>
      <c r="X196" s="104">
        <f t="shared" si="429"/>
        <v>0</v>
      </c>
      <c r="Y196" s="104">
        <f t="shared" si="429"/>
        <v>9.9999999999999995E-8</v>
      </c>
      <c r="Z196" s="104">
        <f t="shared" si="429"/>
        <v>9.9999999999999995E-8</v>
      </c>
      <c r="AA196" s="105">
        <f t="shared" si="429"/>
        <v>9.9999999999999995E-8</v>
      </c>
      <c r="AB196" s="101" t="e">
        <f>$DT196*HLOOKUP($J196,'Construction Costs (timber)'!$B$1:$V$32,'Construction Planner'!$L196+2,FALSE)</f>
        <v>#N/A</v>
      </c>
      <c r="AC196" s="14" t="e">
        <f>$DT196*HLOOKUP($J196,'Construction Costs (clay)'!$B$1:$V$32,'Construction Planner'!$L196+2,FALSE)</f>
        <v>#N/A</v>
      </c>
      <c r="AD196" s="14" t="e">
        <f>$DT196*HLOOKUP($J196,'Construction Costs (iron)'!$B$1:$V$32,'Construction Planner'!$L196+2,FALSE)</f>
        <v>#N/A</v>
      </c>
      <c r="AE196" s="34" t="e">
        <f t="shared" si="384"/>
        <v>#N/A</v>
      </c>
      <c r="AF196" s="33" t="e">
        <f t="shared" si="322"/>
        <v>#N/A</v>
      </c>
      <c r="AG196" s="14" t="e">
        <f t="shared" si="323"/>
        <v>#N/A</v>
      </c>
      <c r="AH196" s="14" t="e">
        <f t="shared" si="324"/>
        <v>#N/A</v>
      </c>
      <c r="AI196" s="34" t="e">
        <f t="shared" si="385"/>
        <v>#N/A</v>
      </c>
      <c r="AJ196" s="49" t="e">
        <f t="shared" si="345"/>
        <v>#N/A</v>
      </c>
      <c r="AK196" s="49" t="e">
        <f t="shared" si="346"/>
        <v>#N/A</v>
      </c>
      <c r="AL196" s="49" t="e">
        <f t="shared" si="347"/>
        <v>#N/A</v>
      </c>
      <c r="AM196" s="25">
        <f t="shared" si="325"/>
        <v>30</v>
      </c>
      <c r="AN196" s="25">
        <f t="shared" si="326"/>
        <v>30</v>
      </c>
      <c r="AO196" s="25">
        <f t="shared" si="327"/>
        <v>30</v>
      </c>
      <c r="AP196" s="52" t="e">
        <f t="shared" si="348"/>
        <v>#N/A</v>
      </c>
      <c r="AQ196" s="53" t="e">
        <f t="shared" si="348"/>
        <v>#N/A</v>
      </c>
      <c r="AR196" s="54" t="e">
        <f t="shared" si="348"/>
        <v>#N/A</v>
      </c>
      <c r="AS196" s="316">
        <f t="shared" ref="AS196:AS211" si="459">AS195</f>
        <v>0</v>
      </c>
      <c r="AT196" s="106">
        <f>_xlfn.IFNA($M196/VLOOKUP($BT196,'Unit information'!$A$2:$K$29,2,FALSE)*R196,0)*(1+$E$9)</f>
        <v>0</v>
      </c>
      <c r="AU196" s="107">
        <f>_xlfn.IFNA($M196/VLOOKUP($BT196,'Unit information'!$A$2:$K$29,3,FALSE)*S196,0)*(1+$E$9)</f>
        <v>0</v>
      </c>
      <c r="AV196" s="107">
        <f>_xlfn.IFNA($M196/VLOOKUP($BT196,'Unit information'!$A$2:$K$29,4,FALSE)*T196,0)*(1+$E$9)</f>
        <v>0</v>
      </c>
      <c r="AW196" s="107">
        <f>_xlfn.IFNA($M196/VLOOKUP($BT196,'Unit information'!$A$2:$K$29,5,FALSE)*U196,0)*(1+$E$9)</f>
        <v>0</v>
      </c>
      <c r="AX196" s="107">
        <f>_xlfn.IFNA($M196/VLOOKUP($BU196,'Unit information'!$A$2:$K$29,6,FALSE)*V196,0)*(1+$E$9)</f>
        <v>0</v>
      </c>
      <c r="AY196" s="107">
        <f>_xlfn.IFNA($M196/VLOOKUP($BU196,'Unit information'!$A$2:$K$29,7,FALSE)*W196,0)*(1+$E$9)</f>
        <v>0</v>
      </c>
      <c r="AZ196" s="107">
        <f>_xlfn.IFNA($M196/VLOOKUP($BU196,'Unit information'!$A$2:$K$29,8,FALSE)*X196,0)*(1+$E$9)</f>
        <v>0</v>
      </c>
      <c r="BA196" s="107">
        <f>_xlfn.IFNA($M196/VLOOKUP($BU196,'Unit information'!$A$2:$K$29,9,FALSE)*Y196,0)*(1+$E$9)</f>
        <v>0</v>
      </c>
      <c r="BB196" s="107">
        <f>_xlfn.IFNA($M196/VLOOKUP($BV196,'Unit information'!$A$2:$K$29,10,FALSE)*Z196,0)*(1+$E$9)</f>
        <v>0</v>
      </c>
      <c r="BC196" s="108">
        <f>_xlfn.IFNA($M196/VLOOKUP($BV196,'Unit information'!$A$2:$K$29,11,FALSE)*AA196,0)*(1+$E$9)</f>
        <v>0</v>
      </c>
      <c r="BD196" s="106">
        <f t="shared" si="328"/>
        <v>0</v>
      </c>
      <c r="BE196" s="107">
        <f t="shared" si="329"/>
        <v>0</v>
      </c>
      <c r="BF196" s="108">
        <f t="shared" si="330"/>
        <v>0</v>
      </c>
      <c r="BG196" s="25" t="e">
        <f t="shared" si="331"/>
        <v>#N/A</v>
      </c>
      <c r="BH196" s="25" t="e">
        <f t="shared" si="332"/>
        <v>#N/A</v>
      </c>
      <c r="BI196" s="25" t="e">
        <f t="shared" si="333"/>
        <v>#N/A</v>
      </c>
      <c r="BJ196" s="27" t="e">
        <f t="shared" si="334"/>
        <v>#N/A</v>
      </c>
      <c r="BK196" s="18" t="e">
        <f t="shared" si="335"/>
        <v>#N/A</v>
      </c>
      <c r="BL196" s="18" t="e">
        <f t="shared" si="336"/>
        <v>#N/A</v>
      </c>
      <c r="BM196" s="28" t="e">
        <f t="shared" si="387"/>
        <v>#N/A</v>
      </c>
      <c r="BN196" s="33">
        <f>HLOOKUP("maximum population",Miscelaneous!$C$1:$C$33,CH196+3,FALSE)</f>
        <v>240</v>
      </c>
      <c r="BO196" s="14">
        <f t="shared" si="349"/>
        <v>32</v>
      </c>
      <c r="BP196" s="14">
        <f t="shared" si="350"/>
        <v>0</v>
      </c>
      <c r="BQ196" s="14">
        <f t="shared" si="351"/>
        <v>208</v>
      </c>
      <c r="BR196" s="34" t="e">
        <f>HLOOKUP(J196,Villagers!$B$1:$V$33,L196+3,FALSE)-HLOOKUP(J196,Villagers!$B$1:$V$33,L196+2,FALSE)</f>
        <v>#N/A</v>
      </c>
      <c r="BS196" s="49">
        <f t="shared" si="352"/>
        <v>1</v>
      </c>
      <c r="BT196" s="50">
        <f t="shared" si="353"/>
        <v>0</v>
      </c>
      <c r="BU196" s="50">
        <f t="shared" si="354"/>
        <v>0</v>
      </c>
      <c r="BV196" s="50">
        <f t="shared" si="355"/>
        <v>0</v>
      </c>
      <c r="BW196" s="50">
        <f t="shared" si="454"/>
        <v>0</v>
      </c>
      <c r="BX196" s="50">
        <f t="shared" si="454"/>
        <v>0</v>
      </c>
      <c r="BY196" s="50">
        <f t="shared" si="454"/>
        <v>0</v>
      </c>
      <c r="BZ196" s="50">
        <f t="shared" si="401"/>
        <v>0</v>
      </c>
      <c r="CA196" s="50">
        <f t="shared" si="402"/>
        <v>0</v>
      </c>
      <c r="CB196" s="50">
        <f t="shared" si="403"/>
        <v>1</v>
      </c>
      <c r="CC196" s="50">
        <f t="shared" si="404"/>
        <v>0</v>
      </c>
      <c r="CD196" s="50">
        <f t="shared" si="405"/>
        <v>0</v>
      </c>
      <c r="CE196" s="50">
        <f t="shared" si="406"/>
        <v>1</v>
      </c>
      <c r="CF196" s="50">
        <f t="shared" si="407"/>
        <v>1</v>
      </c>
      <c r="CG196" s="50">
        <f t="shared" si="408"/>
        <v>1</v>
      </c>
      <c r="CH196" s="50">
        <f t="shared" si="409"/>
        <v>1</v>
      </c>
      <c r="CI196" s="50">
        <f t="shared" si="410"/>
        <v>1</v>
      </c>
      <c r="CJ196" s="50">
        <f t="shared" si="411"/>
        <v>1</v>
      </c>
      <c r="CK196" s="50">
        <f t="shared" si="411"/>
        <v>0</v>
      </c>
      <c r="CL196" s="50">
        <f t="shared" si="411"/>
        <v>0</v>
      </c>
      <c r="CM196" s="51">
        <f t="shared" si="432"/>
        <v>0</v>
      </c>
      <c r="CN196" s="33">
        <f>ROUND(IF(BS196=0,0,HLOOKUP(BS$14,Villagers!$B$1:$V$33,BS196+3,FALSE)),)</f>
        <v>5</v>
      </c>
      <c r="CO196" s="14">
        <f>ROUND(IF(BT196=0,0,HLOOKUP(BT$14,Villagers!$B$1:$V$33,BT196+3,FALSE)),)</f>
        <v>0</v>
      </c>
      <c r="CP196" s="14">
        <f>ROUND(IF(BU196=0,0,HLOOKUP(BU$14,Villagers!$B$1:$V$33,BU196+3,FALSE)),)</f>
        <v>0</v>
      </c>
      <c r="CQ196" s="14">
        <f>ROUND(IF(BV196=0,0,HLOOKUP(BV$14,Villagers!$B$1:$V$33,BV196+3,FALSE)),)</f>
        <v>0</v>
      </c>
      <c r="CR196" s="14">
        <f>ROUND(IF(BW196=0,0,HLOOKUP(BW$14,Villagers!$B$1:$V$33,BW196+3,FALSE)),)</f>
        <v>0</v>
      </c>
      <c r="CS196" s="14">
        <f>ROUND(IF(BX196=0,0,HLOOKUP(BX$14,Villagers!$B$1:$V$33,BX196+3,FALSE)),)</f>
        <v>0</v>
      </c>
      <c r="CT196" s="14">
        <f>ROUND(IF(BY196=0,0,HLOOKUP(BY$14,Villagers!$B$1:$V$33,BY196+3,FALSE)),)</f>
        <v>0</v>
      </c>
      <c r="CU196" s="14">
        <f>ROUND(IF(BZ196=0,0,HLOOKUP(BZ$14,Villagers!$B$1:$V$33,BZ196+3,FALSE)),)</f>
        <v>0</v>
      </c>
      <c r="CV196" s="14">
        <f>ROUND(IF(CA196=0,0,HLOOKUP(CA$14,Villagers!$B$1:$V$33,CA196+3,FALSE)),)</f>
        <v>0</v>
      </c>
      <c r="CW196" s="14">
        <f>ROUND(IF(CB196=0,0,HLOOKUP(CB$14,Villagers!$B$1:$V$33,CB196+3,FALSE)),)</f>
        <v>0</v>
      </c>
      <c r="CX196" s="14">
        <f>ROUND(IF(CC196=0,0,HLOOKUP(CC$14,Villagers!$B$1:$V$33,CC196+3,FALSE)),)</f>
        <v>0</v>
      </c>
      <c r="CY196" s="14">
        <f>ROUND(IF(CD196=0,0,HLOOKUP(CD$14,Villagers!$B$1:$V$33,CD196+3,FALSE)),)</f>
        <v>0</v>
      </c>
      <c r="CZ196" s="14">
        <f>ROUND(IF(CE196=0,0,HLOOKUP(CE$14,Villagers!$B$1:$V$33,CE196+3,FALSE)),)</f>
        <v>5</v>
      </c>
      <c r="DA196" s="14">
        <f>ROUND(IF(CF196=0,0,HLOOKUP(CF$14,Villagers!$B$1:$V$33,CF196+3,FALSE)),)</f>
        <v>10</v>
      </c>
      <c r="DB196" s="14">
        <f>ROUND(IF(CG196=0,0,HLOOKUP(CG$14,Villagers!$B$1:$V$33,CG196+3,FALSE)),)</f>
        <v>10</v>
      </c>
      <c r="DC196" s="14">
        <f>ROUND(IF(CH196=0,0,HLOOKUP(CH$14,Villagers!$B$1:$V$33,CH196+3,FALSE)),)</f>
        <v>0</v>
      </c>
      <c r="DD196" s="14">
        <f>ROUND(IF(CI196=0,0,HLOOKUP(CI$14,Villagers!$B$1:$V$33,CI196+3,FALSE)),)</f>
        <v>0</v>
      </c>
      <c r="DE196" s="14">
        <f>ROUND(IF(CJ196=0,0,HLOOKUP(CJ$14,Villagers!$B$1:$V$33,CJ196+3,FALSE)),)</f>
        <v>2</v>
      </c>
      <c r="DF196" s="370">
        <f>ROUND(IF(CK196=0,0,HLOOKUP(CK$14,Villagers!$B$1:$V$33,CK196+3,FALSE)),)</f>
        <v>0</v>
      </c>
      <c r="DG196" s="370">
        <f>ROUND(IF(CL196=0,0,HLOOKUP(CL$14,Villagers!$B$1:$V$33,CL196+3,FALSE)),)</f>
        <v>0</v>
      </c>
      <c r="DH196" s="34">
        <f>ROUND(IF(CM196=0,0,HLOOKUP(CM$14,Villagers!$B$1:$V$33,CM196+3,FALSE)),)</f>
        <v>0</v>
      </c>
      <c r="DI196" s="109">
        <f t="shared" si="373"/>
        <v>0</v>
      </c>
      <c r="DJ196" s="50">
        <f t="shared" si="374"/>
        <v>0</v>
      </c>
      <c r="DK196" s="50">
        <f t="shared" si="375"/>
        <v>0</v>
      </c>
      <c r="DL196" s="50">
        <f t="shared" si="376"/>
        <v>0</v>
      </c>
      <c r="DM196" s="50">
        <f t="shared" si="377"/>
        <v>0</v>
      </c>
      <c r="DN196" s="50">
        <f t="shared" si="378"/>
        <v>0</v>
      </c>
      <c r="DO196" s="50">
        <f t="shared" si="379"/>
        <v>0</v>
      </c>
      <c r="DP196" s="50">
        <f t="shared" si="380"/>
        <v>0</v>
      </c>
      <c r="DQ196" s="50">
        <f t="shared" si="357"/>
        <v>0</v>
      </c>
      <c r="DR196" s="50">
        <f t="shared" si="358"/>
        <v>0</v>
      </c>
      <c r="DS196" s="96">
        <f>Miscelaneous!$D$4*Miscelaneous!$D$2^($CI196-1)</f>
        <v>1000</v>
      </c>
      <c r="DT196" s="333">
        <f t="shared" si="337"/>
        <v>1</v>
      </c>
      <c r="DU196" s="81">
        <v>1</v>
      </c>
      <c r="DV196" s="79">
        <f t="shared" si="359"/>
        <v>0</v>
      </c>
      <c r="DW196" s="79">
        <f t="shared" si="360"/>
        <v>0</v>
      </c>
      <c r="DX196" s="79">
        <f t="shared" si="361"/>
        <v>0</v>
      </c>
      <c r="DY196" s="79">
        <v>1</v>
      </c>
      <c r="DZ196" s="79">
        <f t="shared" si="362"/>
        <v>0</v>
      </c>
      <c r="EA196" s="79">
        <f t="shared" si="363"/>
        <v>0</v>
      </c>
      <c r="EB196" s="79">
        <f t="shared" si="364"/>
        <v>0</v>
      </c>
      <c r="EC196" s="79">
        <f t="shared" si="365"/>
        <v>0</v>
      </c>
      <c r="ED196" s="79">
        <v>1</v>
      </c>
      <c r="EE196" s="79">
        <v>1</v>
      </c>
      <c r="EF196" s="79">
        <f t="shared" si="366"/>
        <v>0</v>
      </c>
      <c r="EG196" s="79">
        <v>1</v>
      </c>
      <c r="EH196" s="79">
        <v>1</v>
      </c>
      <c r="EI196" s="79">
        <v>1</v>
      </c>
      <c r="EJ196" s="79">
        <v>1</v>
      </c>
      <c r="EK196" s="79">
        <v>1</v>
      </c>
      <c r="EL196" s="79">
        <v>1</v>
      </c>
      <c r="EM196" s="143">
        <f t="shared" si="367"/>
        <v>0</v>
      </c>
      <c r="EN196" s="143">
        <f t="shared" si="368"/>
        <v>0</v>
      </c>
      <c r="EO196" s="82">
        <f t="shared" si="369"/>
        <v>0</v>
      </c>
    </row>
    <row r="197" spans="1:145" x14ac:dyDescent="0.25">
      <c r="A197">
        <v>183</v>
      </c>
      <c r="B197" s="172" t="e">
        <f t="shared" si="338"/>
        <v>#N/A</v>
      </c>
      <c r="C197" s="121" t="e">
        <f t="shared" ref="C197:E197" si="460">AJ197-SUM(AB197:AB201)</f>
        <v>#N/A</v>
      </c>
      <c r="D197" s="122" t="e">
        <f t="shared" si="460"/>
        <v>#N/A</v>
      </c>
      <c r="E197" s="122" t="e">
        <f t="shared" si="460"/>
        <v>#N/A</v>
      </c>
      <c r="F197" s="176" t="e">
        <f t="shared" si="320"/>
        <v>#N/A</v>
      </c>
      <c r="G197" s="121">
        <f t="shared" si="340"/>
        <v>208</v>
      </c>
      <c r="H197" s="176" t="e">
        <f t="shared" si="341"/>
        <v>#N/A</v>
      </c>
      <c r="I197" s="48">
        <v>1</v>
      </c>
      <c r="J197" s="39"/>
      <c r="K197" s="350">
        <v>1</v>
      </c>
      <c r="L197" s="34" t="e">
        <f t="shared" si="321"/>
        <v>#N/A</v>
      </c>
      <c r="M197" s="38" t="e">
        <f>(HLOOKUP(J197,'Construction Times'!$B$3:$W$34,L197+2,FALSE)*HLOOKUP("hq modifier",'Construction Times'!$W$3:$W$34,BS197+2,FALSE))*(1-$H$9)</f>
        <v>#N/A</v>
      </c>
      <c r="N197" s="426" t="e">
        <f t="shared" si="342"/>
        <v>#N/A</v>
      </c>
      <c r="O197" s="427"/>
      <c r="P197" s="430" t="e">
        <f t="shared" si="343"/>
        <v>#N/A</v>
      </c>
      <c r="Q197" s="431"/>
      <c r="R197" s="103">
        <f t="shared" si="371"/>
        <v>0</v>
      </c>
      <c r="S197" s="104">
        <f t="shared" si="371"/>
        <v>0</v>
      </c>
      <c r="T197" s="104">
        <f t="shared" si="372"/>
        <v>0</v>
      </c>
      <c r="U197" s="104">
        <f t="shared" si="372"/>
        <v>0</v>
      </c>
      <c r="V197" s="104">
        <f t="shared" si="372"/>
        <v>9.9999999999999995E-8</v>
      </c>
      <c r="W197" s="104">
        <f t="shared" si="372"/>
        <v>0</v>
      </c>
      <c r="X197" s="104">
        <f t="shared" si="429"/>
        <v>0</v>
      </c>
      <c r="Y197" s="104">
        <f t="shared" si="429"/>
        <v>9.9999999999999995E-8</v>
      </c>
      <c r="Z197" s="104">
        <f t="shared" si="429"/>
        <v>9.9999999999999995E-8</v>
      </c>
      <c r="AA197" s="105">
        <f t="shared" si="429"/>
        <v>9.9999999999999995E-8</v>
      </c>
      <c r="AB197" s="101" t="e">
        <f>$DT197*HLOOKUP($J197,'Construction Costs (timber)'!$B$1:$V$32,'Construction Planner'!$L197+2,FALSE)</f>
        <v>#N/A</v>
      </c>
      <c r="AC197" s="14" t="e">
        <f>$DT197*HLOOKUP($J197,'Construction Costs (clay)'!$B$1:$V$32,'Construction Planner'!$L197+2,FALSE)</f>
        <v>#N/A</v>
      </c>
      <c r="AD197" s="14" t="e">
        <f>$DT197*HLOOKUP($J197,'Construction Costs (iron)'!$B$1:$V$32,'Construction Planner'!$L197+2,FALSE)</f>
        <v>#N/A</v>
      </c>
      <c r="AE197" s="34" t="e">
        <f t="shared" si="384"/>
        <v>#N/A</v>
      </c>
      <c r="AF197" s="33" t="e">
        <f t="shared" si="322"/>
        <v>#N/A</v>
      </c>
      <c r="AG197" s="14" t="e">
        <f t="shared" si="323"/>
        <v>#N/A</v>
      </c>
      <c r="AH197" s="14" t="e">
        <f t="shared" si="324"/>
        <v>#N/A</v>
      </c>
      <c r="AI197" s="34" t="e">
        <f t="shared" si="385"/>
        <v>#N/A</v>
      </c>
      <c r="AJ197" s="49" t="e">
        <f t="shared" si="345"/>
        <v>#N/A</v>
      </c>
      <c r="AK197" s="49" t="e">
        <f t="shared" si="346"/>
        <v>#N/A</v>
      </c>
      <c r="AL197" s="49" t="e">
        <f t="shared" si="347"/>
        <v>#N/A</v>
      </c>
      <c r="AM197" s="25">
        <f t="shared" si="325"/>
        <v>30</v>
      </c>
      <c r="AN197" s="25">
        <f t="shared" si="326"/>
        <v>30</v>
      </c>
      <c r="AO197" s="25">
        <f t="shared" si="327"/>
        <v>30</v>
      </c>
      <c r="AP197" s="52" t="e">
        <f t="shared" si="348"/>
        <v>#N/A</v>
      </c>
      <c r="AQ197" s="53" t="e">
        <f t="shared" si="348"/>
        <v>#N/A</v>
      </c>
      <c r="AR197" s="54" t="e">
        <f t="shared" si="348"/>
        <v>#N/A</v>
      </c>
      <c r="AS197" s="316">
        <f t="shared" si="459"/>
        <v>0</v>
      </c>
      <c r="AT197" s="106">
        <f>_xlfn.IFNA($M197/VLOOKUP($BT197,'Unit information'!$A$2:$K$29,2,FALSE)*R197,0)*(1+$E$9)</f>
        <v>0</v>
      </c>
      <c r="AU197" s="107">
        <f>_xlfn.IFNA($M197/VLOOKUP($BT197,'Unit information'!$A$2:$K$29,3,FALSE)*S197,0)*(1+$E$9)</f>
        <v>0</v>
      </c>
      <c r="AV197" s="107">
        <f>_xlfn.IFNA($M197/VLOOKUP($BT197,'Unit information'!$A$2:$K$29,4,FALSE)*T197,0)*(1+$E$9)</f>
        <v>0</v>
      </c>
      <c r="AW197" s="107">
        <f>_xlfn.IFNA($M197/VLOOKUP($BT197,'Unit information'!$A$2:$K$29,5,FALSE)*U197,0)*(1+$E$9)</f>
        <v>0</v>
      </c>
      <c r="AX197" s="107">
        <f>_xlfn.IFNA($M197/VLOOKUP($BU197,'Unit information'!$A$2:$K$29,6,FALSE)*V197,0)*(1+$E$9)</f>
        <v>0</v>
      </c>
      <c r="AY197" s="107">
        <f>_xlfn.IFNA($M197/VLOOKUP($BU197,'Unit information'!$A$2:$K$29,7,FALSE)*W197,0)*(1+$E$9)</f>
        <v>0</v>
      </c>
      <c r="AZ197" s="107">
        <f>_xlfn.IFNA($M197/VLOOKUP($BU197,'Unit information'!$A$2:$K$29,8,FALSE)*X197,0)*(1+$E$9)</f>
        <v>0</v>
      </c>
      <c r="BA197" s="107">
        <f>_xlfn.IFNA($M197/VLOOKUP($BU197,'Unit information'!$A$2:$K$29,9,FALSE)*Y197,0)*(1+$E$9)</f>
        <v>0</v>
      </c>
      <c r="BB197" s="107">
        <f>_xlfn.IFNA($M197/VLOOKUP($BV197,'Unit information'!$A$2:$K$29,10,FALSE)*Z197,0)*(1+$E$9)</f>
        <v>0</v>
      </c>
      <c r="BC197" s="108">
        <f>_xlfn.IFNA($M197/VLOOKUP($BV197,'Unit information'!$A$2:$K$29,11,FALSE)*AA197,0)*(1+$E$9)</f>
        <v>0</v>
      </c>
      <c r="BD197" s="106">
        <f t="shared" si="328"/>
        <v>0</v>
      </c>
      <c r="BE197" s="107">
        <f t="shared" si="329"/>
        <v>0</v>
      </c>
      <c r="BF197" s="108">
        <f t="shared" si="330"/>
        <v>0</v>
      </c>
      <c r="BG197" s="25" t="e">
        <f t="shared" si="331"/>
        <v>#N/A</v>
      </c>
      <c r="BH197" s="25" t="e">
        <f t="shared" si="332"/>
        <v>#N/A</v>
      </c>
      <c r="BI197" s="25" t="e">
        <f t="shared" si="333"/>
        <v>#N/A</v>
      </c>
      <c r="BJ197" s="27" t="e">
        <f t="shared" si="334"/>
        <v>#N/A</v>
      </c>
      <c r="BK197" s="18" t="e">
        <f t="shared" si="335"/>
        <v>#N/A</v>
      </c>
      <c r="BL197" s="18" t="e">
        <f t="shared" si="336"/>
        <v>#N/A</v>
      </c>
      <c r="BM197" s="28" t="e">
        <f t="shared" si="387"/>
        <v>#N/A</v>
      </c>
      <c r="BN197" s="33">
        <f>HLOOKUP("maximum population",Miscelaneous!$C$1:$C$33,CH197+3,FALSE)</f>
        <v>240</v>
      </c>
      <c r="BO197" s="14">
        <f t="shared" si="349"/>
        <v>32</v>
      </c>
      <c r="BP197" s="14">
        <f t="shared" si="350"/>
        <v>0</v>
      </c>
      <c r="BQ197" s="14">
        <f t="shared" si="351"/>
        <v>208</v>
      </c>
      <c r="BR197" s="34" t="e">
        <f>HLOOKUP(J197,Villagers!$B$1:$V$33,L197+3,FALSE)-HLOOKUP(J197,Villagers!$B$1:$V$33,L197+2,FALSE)</f>
        <v>#N/A</v>
      </c>
      <c r="BS197" s="49">
        <f t="shared" si="352"/>
        <v>1</v>
      </c>
      <c r="BT197" s="50">
        <f t="shared" si="353"/>
        <v>0</v>
      </c>
      <c r="BU197" s="50">
        <f t="shared" si="354"/>
        <v>0</v>
      </c>
      <c r="BV197" s="50">
        <f t="shared" si="355"/>
        <v>0</v>
      </c>
      <c r="BW197" s="50">
        <f t="shared" si="454"/>
        <v>0</v>
      </c>
      <c r="BX197" s="50">
        <f t="shared" si="454"/>
        <v>0</v>
      </c>
      <c r="BY197" s="50">
        <f t="shared" si="454"/>
        <v>0</v>
      </c>
      <c r="BZ197" s="50">
        <f t="shared" si="401"/>
        <v>0</v>
      </c>
      <c r="CA197" s="50">
        <f t="shared" si="402"/>
        <v>0</v>
      </c>
      <c r="CB197" s="50">
        <f t="shared" si="403"/>
        <v>1</v>
      </c>
      <c r="CC197" s="50">
        <f t="shared" si="404"/>
        <v>0</v>
      </c>
      <c r="CD197" s="50">
        <f t="shared" si="405"/>
        <v>0</v>
      </c>
      <c r="CE197" s="50">
        <f t="shared" si="406"/>
        <v>1</v>
      </c>
      <c r="CF197" s="50">
        <f t="shared" si="407"/>
        <v>1</v>
      </c>
      <c r="CG197" s="50">
        <f t="shared" si="408"/>
        <v>1</v>
      </c>
      <c r="CH197" s="50">
        <f t="shared" si="409"/>
        <v>1</v>
      </c>
      <c r="CI197" s="50">
        <f t="shared" si="410"/>
        <v>1</v>
      </c>
      <c r="CJ197" s="50">
        <f t="shared" si="411"/>
        <v>1</v>
      </c>
      <c r="CK197" s="50">
        <f t="shared" si="411"/>
        <v>0</v>
      </c>
      <c r="CL197" s="50">
        <f t="shared" si="411"/>
        <v>0</v>
      </c>
      <c r="CM197" s="51">
        <f t="shared" si="432"/>
        <v>0</v>
      </c>
      <c r="CN197" s="33">
        <f>ROUND(IF(BS197=0,0,HLOOKUP(BS$14,Villagers!$B$1:$V$33,BS197+3,FALSE)),)</f>
        <v>5</v>
      </c>
      <c r="CO197" s="14">
        <f>ROUND(IF(BT197=0,0,HLOOKUP(BT$14,Villagers!$B$1:$V$33,BT197+3,FALSE)),)</f>
        <v>0</v>
      </c>
      <c r="CP197" s="14">
        <f>ROUND(IF(BU197=0,0,HLOOKUP(BU$14,Villagers!$B$1:$V$33,BU197+3,FALSE)),)</f>
        <v>0</v>
      </c>
      <c r="CQ197" s="14">
        <f>ROUND(IF(BV197=0,0,HLOOKUP(BV$14,Villagers!$B$1:$V$33,BV197+3,FALSE)),)</f>
        <v>0</v>
      </c>
      <c r="CR197" s="14">
        <f>ROUND(IF(BW197=0,0,HLOOKUP(BW$14,Villagers!$B$1:$V$33,BW197+3,FALSE)),)</f>
        <v>0</v>
      </c>
      <c r="CS197" s="14">
        <f>ROUND(IF(BX197=0,0,HLOOKUP(BX$14,Villagers!$B$1:$V$33,BX197+3,FALSE)),)</f>
        <v>0</v>
      </c>
      <c r="CT197" s="14">
        <f>ROUND(IF(BY197=0,0,HLOOKUP(BY$14,Villagers!$B$1:$V$33,BY197+3,FALSE)),)</f>
        <v>0</v>
      </c>
      <c r="CU197" s="14">
        <f>ROUND(IF(BZ197=0,0,HLOOKUP(BZ$14,Villagers!$B$1:$V$33,BZ197+3,FALSE)),)</f>
        <v>0</v>
      </c>
      <c r="CV197" s="14">
        <f>ROUND(IF(CA197=0,0,HLOOKUP(CA$14,Villagers!$B$1:$V$33,CA197+3,FALSE)),)</f>
        <v>0</v>
      </c>
      <c r="CW197" s="14">
        <f>ROUND(IF(CB197=0,0,HLOOKUP(CB$14,Villagers!$B$1:$V$33,CB197+3,FALSE)),)</f>
        <v>0</v>
      </c>
      <c r="CX197" s="14">
        <f>ROUND(IF(CC197=0,0,HLOOKUP(CC$14,Villagers!$B$1:$V$33,CC197+3,FALSE)),)</f>
        <v>0</v>
      </c>
      <c r="CY197" s="14">
        <f>ROUND(IF(CD197=0,0,HLOOKUP(CD$14,Villagers!$B$1:$V$33,CD197+3,FALSE)),)</f>
        <v>0</v>
      </c>
      <c r="CZ197" s="14">
        <f>ROUND(IF(CE197=0,0,HLOOKUP(CE$14,Villagers!$B$1:$V$33,CE197+3,FALSE)),)</f>
        <v>5</v>
      </c>
      <c r="DA197" s="14">
        <f>ROUND(IF(CF197=0,0,HLOOKUP(CF$14,Villagers!$B$1:$V$33,CF197+3,FALSE)),)</f>
        <v>10</v>
      </c>
      <c r="DB197" s="14">
        <f>ROUND(IF(CG197=0,0,HLOOKUP(CG$14,Villagers!$B$1:$V$33,CG197+3,FALSE)),)</f>
        <v>10</v>
      </c>
      <c r="DC197" s="14">
        <f>ROUND(IF(CH197=0,0,HLOOKUP(CH$14,Villagers!$B$1:$V$33,CH197+3,FALSE)),)</f>
        <v>0</v>
      </c>
      <c r="DD197" s="14">
        <f>ROUND(IF(CI197=0,0,HLOOKUP(CI$14,Villagers!$B$1:$V$33,CI197+3,FALSE)),)</f>
        <v>0</v>
      </c>
      <c r="DE197" s="14">
        <f>ROUND(IF(CJ197=0,0,HLOOKUP(CJ$14,Villagers!$B$1:$V$33,CJ197+3,FALSE)),)</f>
        <v>2</v>
      </c>
      <c r="DF197" s="370">
        <f>ROUND(IF(CK197=0,0,HLOOKUP(CK$14,Villagers!$B$1:$V$33,CK197+3,FALSE)),)</f>
        <v>0</v>
      </c>
      <c r="DG197" s="370">
        <f>ROUND(IF(CL197=0,0,HLOOKUP(CL$14,Villagers!$B$1:$V$33,CL197+3,FALSE)),)</f>
        <v>0</v>
      </c>
      <c r="DH197" s="34">
        <f>ROUND(IF(CM197=0,0,HLOOKUP(CM$14,Villagers!$B$1:$V$33,CM197+3,FALSE)),)</f>
        <v>0</v>
      </c>
      <c r="DI197" s="109">
        <f t="shared" si="373"/>
        <v>0</v>
      </c>
      <c r="DJ197" s="50">
        <f t="shared" si="374"/>
        <v>0</v>
      </c>
      <c r="DK197" s="50">
        <f t="shared" si="375"/>
        <v>0</v>
      </c>
      <c r="DL197" s="50">
        <f t="shared" si="376"/>
        <v>0</v>
      </c>
      <c r="DM197" s="50">
        <f t="shared" si="377"/>
        <v>0</v>
      </c>
      <c r="DN197" s="50">
        <f t="shared" si="378"/>
        <v>0</v>
      </c>
      <c r="DO197" s="50">
        <f t="shared" si="379"/>
        <v>0</v>
      </c>
      <c r="DP197" s="50">
        <f t="shared" si="380"/>
        <v>0</v>
      </c>
      <c r="DQ197" s="50">
        <f t="shared" si="357"/>
        <v>0</v>
      </c>
      <c r="DR197" s="50">
        <f t="shared" si="358"/>
        <v>0</v>
      </c>
      <c r="DS197" s="96">
        <f>Miscelaneous!$D$4*Miscelaneous!$D$2^($CI197-1)</f>
        <v>1000</v>
      </c>
      <c r="DT197" s="333">
        <f t="shared" si="337"/>
        <v>1</v>
      </c>
      <c r="DU197" s="81">
        <v>1</v>
      </c>
      <c r="DV197" s="79">
        <f t="shared" si="359"/>
        <v>0</v>
      </c>
      <c r="DW197" s="79">
        <f t="shared" si="360"/>
        <v>0</v>
      </c>
      <c r="DX197" s="79">
        <f t="shared" si="361"/>
        <v>0</v>
      </c>
      <c r="DY197" s="79">
        <v>1</v>
      </c>
      <c r="DZ197" s="79">
        <f t="shared" si="362"/>
        <v>0</v>
      </c>
      <c r="EA197" s="79">
        <f t="shared" si="363"/>
        <v>0</v>
      </c>
      <c r="EB197" s="79">
        <f t="shared" si="364"/>
        <v>0</v>
      </c>
      <c r="EC197" s="79">
        <f t="shared" si="365"/>
        <v>0</v>
      </c>
      <c r="ED197" s="79">
        <v>1</v>
      </c>
      <c r="EE197" s="79">
        <v>1</v>
      </c>
      <c r="EF197" s="79">
        <f t="shared" si="366"/>
        <v>0</v>
      </c>
      <c r="EG197" s="79">
        <v>1</v>
      </c>
      <c r="EH197" s="79">
        <v>1</v>
      </c>
      <c r="EI197" s="79">
        <v>1</v>
      </c>
      <c r="EJ197" s="79">
        <v>1</v>
      </c>
      <c r="EK197" s="79">
        <v>1</v>
      </c>
      <c r="EL197" s="79">
        <v>1</v>
      </c>
      <c r="EM197" s="143">
        <f t="shared" si="367"/>
        <v>0</v>
      </c>
      <c r="EN197" s="143">
        <f t="shared" si="368"/>
        <v>0</v>
      </c>
      <c r="EO197" s="82">
        <f t="shared" si="369"/>
        <v>0</v>
      </c>
    </row>
    <row r="198" spans="1:145" x14ac:dyDescent="0.25">
      <c r="A198">
        <v>184</v>
      </c>
      <c r="B198" s="172" t="e">
        <f t="shared" si="338"/>
        <v>#N/A</v>
      </c>
      <c r="C198" s="121" t="e">
        <f t="shared" ref="C198:E198" si="461">AJ198-SUM(AB198:AB202)</f>
        <v>#N/A</v>
      </c>
      <c r="D198" s="122" t="e">
        <f t="shared" si="461"/>
        <v>#N/A</v>
      </c>
      <c r="E198" s="122" t="e">
        <f t="shared" si="461"/>
        <v>#N/A</v>
      </c>
      <c r="F198" s="176" t="e">
        <f t="shared" si="320"/>
        <v>#N/A</v>
      </c>
      <c r="G198" s="121">
        <f t="shared" si="340"/>
        <v>208</v>
      </c>
      <c r="H198" s="176" t="e">
        <f t="shared" si="341"/>
        <v>#N/A</v>
      </c>
      <c r="I198" s="48">
        <v>1</v>
      </c>
      <c r="J198" s="39"/>
      <c r="K198" s="350">
        <v>1</v>
      </c>
      <c r="L198" s="34" t="e">
        <f t="shared" si="321"/>
        <v>#N/A</v>
      </c>
      <c r="M198" s="38" t="e">
        <f>(HLOOKUP(J198,'Construction Times'!$B$3:$W$34,L198+2,FALSE)*HLOOKUP("hq modifier",'Construction Times'!$W$3:$W$34,BS198+2,FALSE))*(1-$H$9)</f>
        <v>#N/A</v>
      </c>
      <c r="N198" s="426" t="e">
        <f t="shared" si="342"/>
        <v>#N/A</v>
      </c>
      <c r="O198" s="427"/>
      <c r="P198" s="430" t="e">
        <f t="shared" si="343"/>
        <v>#N/A</v>
      </c>
      <c r="Q198" s="431"/>
      <c r="R198" s="103">
        <f t="shared" si="371"/>
        <v>0</v>
      </c>
      <c r="S198" s="104">
        <f t="shared" si="371"/>
        <v>0</v>
      </c>
      <c r="T198" s="104">
        <f t="shared" si="372"/>
        <v>0</v>
      </c>
      <c r="U198" s="104">
        <f t="shared" si="372"/>
        <v>0</v>
      </c>
      <c r="V198" s="104">
        <f t="shared" si="372"/>
        <v>9.9999999999999995E-8</v>
      </c>
      <c r="W198" s="104">
        <f t="shared" si="372"/>
        <v>0</v>
      </c>
      <c r="X198" s="104">
        <f t="shared" si="429"/>
        <v>0</v>
      </c>
      <c r="Y198" s="104">
        <f t="shared" si="429"/>
        <v>9.9999999999999995E-8</v>
      </c>
      <c r="Z198" s="104">
        <f t="shared" si="429"/>
        <v>9.9999999999999995E-8</v>
      </c>
      <c r="AA198" s="105">
        <f t="shared" si="429"/>
        <v>9.9999999999999995E-8</v>
      </c>
      <c r="AB198" s="101" t="e">
        <f>$DT198*HLOOKUP($J198,'Construction Costs (timber)'!$B$1:$V$32,'Construction Planner'!$L198+2,FALSE)</f>
        <v>#N/A</v>
      </c>
      <c r="AC198" s="14" t="e">
        <f>$DT198*HLOOKUP($J198,'Construction Costs (clay)'!$B$1:$V$32,'Construction Planner'!$L198+2,FALSE)</f>
        <v>#N/A</v>
      </c>
      <c r="AD198" s="14" t="e">
        <f>$DT198*HLOOKUP($J198,'Construction Costs (iron)'!$B$1:$V$32,'Construction Planner'!$L198+2,FALSE)</f>
        <v>#N/A</v>
      </c>
      <c r="AE198" s="34" t="e">
        <f t="shared" si="384"/>
        <v>#N/A</v>
      </c>
      <c r="AF198" s="33" t="e">
        <f t="shared" si="322"/>
        <v>#N/A</v>
      </c>
      <c r="AG198" s="14" t="e">
        <f t="shared" si="323"/>
        <v>#N/A</v>
      </c>
      <c r="AH198" s="14" t="e">
        <f t="shared" si="324"/>
        <v>#N/A</v>
      </c>
      <c r="AI198" s="34" t="e">
        <f t="shared" si="385"/>
        <v>#N/A</v>
      </c>
      <c r="AJ198" s="49" t="e">
        <f t="shared" si="345"/>
        <v>#N/A</v>
      </c>
      <c r="AK198" s="49" t="e">
        <f t="shared" si="346"/>
        <v>#N/A</v>
      </c>
      <c r="AL198" s="49" t="e">
        <f t="shared" si="347"/>
        <v>#N/A</v>
      </c>
      <c r="AM198" s="25">
        <f t="shared" si="325"/>
        <v>30</v>
      </c>
      <c r="AN198" s="25">
        <f t="shared" si="326"/>
        <v>30</v>
      </c>
      <c r="AO198" s="25">
        <f t="shared" si="327"/>
        <v>30</v>
      </c>
      <c r="AP198" s="52" t="e">
        <f t="shared" si="348"/>
        <v>#N/A</v>
      </c>
      <c r="AQ198" s="53" t="e">
        <f t="shared" si="348"/>
        <v>#N/A</v>
      </c>
      <c r="AR198" s="54" t="e">
        <f t="shared" si="348"/>
        <v>#N/A</v>
      </c>
      <c r="AS198" s="316">
        <f t="shared" si="459"/>
        <v>0</v>
      </c>
      <c r="AT198" s="106">
        <f>_xlfn.IFNA($M198/VLOOKUP($BT198,'Unit information'!$A$2:$K$29,2,FALSE)*R198,0)*(1+$E$9)</f>
        <v>0</v>
      </c>
      <c r="AU198" s="107">
        <f>_xlfn.IFNA($M198/VLOOKUP($BT198,'Unit information'!$A$2:$K$29,3,FALSE)*S198,0)*(1+$E$9)</f>
        <v>0</v>
      </c>
      <c r="AV198" s="107">
        <f>_xlfn.IFNA($M198/VLOOKUP($BT198,'Unit information'!$A$2:$K$29,4,FALSE)*T198,0)*(1+$E$9)</f>
        <v>0</v>
      </c>
      <c r="AW198" s="107">
        <f>_xlfn.IFNA($M198/VLOOKUP($BT198,'Unit information'!$A$2:$K$29,5,FALSE)*U198,0)*(1+$E$9)</f>
        <v>0</v>
      </c>
      <c r="AX198" s="107">
        <f>_xlfn.IFNA($M198/VLOOKUP($BU198,'Unit information'!$A$2:$K$29,6,FALSE)*V198,0)*(1+$E$9)</f>
        <v>0</v>
      </c>
      <c r="AY198" s="107">
        <f>_xlfn.IFNA($M198/VLOOKUP($BU198,'Unit information'!$A$2:$K$29,7,FALSE)*W198,0)*(1+$E$9)</f>
        <v>0</v>
      </c>
      <c r="AZ198" s="107">
        <f>_xlfn.IFNA($M198/VLOOKUP($BU198,'Unit information'!$A$2:$K$29,8,FALSE)*X198,0)*(1+$E$9)</f>
        <v>0</v>
      </c>
      <c r="BA198" s="107">
        <f>_xlfn.IFNA($M198/VLOOKUP($BU198,'Unit information'!$A$2:$K$29,9,FALSE)*Y198,0)*(1+$E$9)</f>
        <v>0</v>
      </c>
      <c r="BB198" s="107">
        <f>_xlfn.IFNA($M198/VLOOKUP($BV198,'Unit information'!$A$2:$K$29,10,FALSE)*Z198,0)*(1+$E$9)</f>
        <v>0</v>
      </c>
      <c r="BC198" s="108">
        <f>_xlfn.IFNA($M198/VLOOKUP($BV198,'Unit information'!$A$2:$K$29,11,FALSE)*AA198,0)*(1+$E$9)</f>
        <v>0</v>
      </c>
      <c r="BD198" s="106">
        <f t="shared" si="328"/>
        <v>0</v>
      </c>
      <c r="BE198" s="107">
        <f t="shared" si="329"/>
        <v>0</v>
      </c>
      <c r="BF198" s="108">
        <f t="shared" si="330"/>
        <v>0</v>
      </c>
      <c r="BG198" s="25" t="e">
        <f t="shared" si="331"/>
        <v>#N/A</v>
      </c>
      <c r="BH198" s="25" t="e">
        <f t="shared" si="332"/>
        <v>#N/A</v>
      </c>
      <c r="BI198" s="25" t="e">
        <f t="shared" si="333"/>
        <v>#N/A</v>
      </c>
      <c r="BJ198" s="27" t="e">
        <f t="shared" si="334"/>
        <v>#N/A</v>
      </c>
      <c r="BK198" s="18" t="e">
        <f t="shared" si="335"/>
        <v>#N/A</v>
      </c>
      <c r="BL198" s="18" t="e">
        <f t="shared" si="336"/>
        <v>#N/A</v>
      </c>
      <c r="BM198" s="28" t="e">
        <f t="shared" si="387"/>
        <v>#N/A</v>
      </c>
      <c r="BN198" s="33">
        <f>HLOOKUP("maximum population",Miscelaneous!$C$1:$C$33,CH198+3,FALSE)</f>
        <v>240</v>
      </c>
      <c r="BO198" s="14">
        <f t="shared" si="349"/>
        <v>32</v>
      </c>
      <c r="BP198" s="14">
        <f t="shared" si="350"/>
        <v>0</v>
      </c>
      <c r="BQ198" s="14">
        <f t="shared" si="351"/>
        <v>208</v>
      </c>
      <c r="BR198" s="34" t="e">
        <f>HLOOKUP(J198,Villagers!$B$1:$V$33,L198+3,FALSE)-HLOOKUP(J198,Villagers!$B$1:$V$33,L198+2,FALSE)</f>
        <v>#N/A</v>
      </c>
      <c r="BS198" s="49">
        <f t="shared" si="352"/>
        <v>1</v>
      </c>
      <c r="BT198" s="50">
        <f t="shared" si="353"/>
        <v>0</v>
      </c>
      <c r="BU198" s="50">
        <f t="shared" si="354"/>
        <v>0</v>
      </c>
      <c r="BV198" s="50">
        <f t="shared" si="355"/>
        <v>0</v>
      </c>
      <c r="BW198" s="50">
        <f t="shared" si="454"/>
        <v>0</v>
      </c>
      <c r="BX198" s="50">
        <f t="shared" si="454"/>
        <v>0</v>
      </c>
      <c r="BY198" s="50">
        <f t="shared" si="454"/>
        <v>0</v>
      </c>
      <c r="BZ198" s="50">
        <f t="shared" si="401"/>
        <v>0</v>
      </c>
      <c r="CA198" s="50">
        <f t="shared" si="402"/>
        <v>0</v>
      </c>
      <c r="CB198" s="50">
        <f t="shared" si="403"/>
        <v>1</v>
      </c>
      <c r="CC198" s="50">
        <f t="shared" si="404"/>
        <v>0</v>
      </c>
      <c r="CD198" s="50">
        <f t="shared" si="405"/>
        <v>0</v>
      </c>
      <c r="CE198" s="50">
        <f t="shared" si="406"/>
        <v>1</v>
      </c>
      <c r="CF198" s="50">
        <f t="shared" si="407"/>
        <v>1</v>
      </c>
      <c r="CG198" s="50">
        <f t="shared" si="408"/>
        <v>1</v>
      </c>
      <c r="CH198" s="50">
        <f t="shared" si="409"/>
        <v>1</v>
      </c>
      <c r="CI198" s="50">
        <f t="shared" si="410"/>
        <v>1</v>
      </c>
      <c r="CJ198" s="50">
        <f t="shared" si="411"/>
        <v>1</v>
      </c>
      <c r="CK198" s="50">
        <f t="shared" si="411"/>
        <v>0</v>
      </c>
      <c r="CL198" s="50">
        <f t="shared" si="411"/>
        <v>0</v>
      </c>
      <c r="CM198" s="51">
        <f t="shared" si="432"/>
        <v>0</v>
      </c>
      <c r="CN198" s="33">
        <f>ROUND(IF(BS198=0,0,HLOOKUP(BS$14,Villagers!$B$1:$V$33,BS198+3,FALSE)),)</f>
        <v>5</v>
      </c>
      <c r="CO198" s="14">
        <f>ROUND(IF(BT198=0,0,HLOOKUP(BT$14,Villagers!$B$1:$V$33,BT198+3,FALSE)),)</f>
        <v>0</v>
      </c>
      <c r="CP198" s="14">
        <f>ROUND(IF(BU198=0,0,HLOOKUP(BU$14,Villagers!$B$1:$V$33,BU198+3,FALSE)),)</f>
        <v>0</v>
      </c>
      <c r="CQ198" s="14">
        <f>ROUND(IF(BV198=0,0,HLOOKUP(BV$14,Villagers!$B$1:$V$33,BV198+3,FALSE)),)</f>
        <v>0</v>
      </c>
      <c r="CR198" s="14">
        <f>ROUND(IF(BW198=0,0,HLOOKUP(BW$14,Villagers!$B$1:$V$33,BW198+3,FALSE)),)</f>
        <v>0</v>
      </c>
      <c r="CS198" s="14">
        <f>ROUND(IF(BX198=0,0,HLOOKUP(BX$14,Villagers!$B$1:$V$33,BX198+3,FALSE)),)</f>
        <v>0</v>
      </c>
      <c r="CT198" s="14">
        <f>ROUND(IF(BY198=0,0,HLOOKUP(BY$14,Villagers!$B$1:$V$33,BY198+3,FALSE)),)</f>
        <v>0</v>
      </c>
      <c r="CU198" s="14">
        <f>ROUND(IF(BZ198=0,0,HLOOKUP(BZ$14,Villagers!$B$1:$V$33,BZ198+3,FALSE)),)</f>
        <v>0</v>
      </c>
      <c r="CV198" s="14">
        <f>ROUND(IF(CA198=0,0,HLOOKUP(CA$14,Villagers!$B$1:$V$33,CA198+3,FALSE)),)</f>
        <v>0</v>
      </c>
      <c r="CW198" s="14">
        <f>ROUND(IF(CB198=0,0,HLOOKUP(CB$14,Villagers!$B$1:$V$33,CB198+3,FALSE)),)</f>
        <v>0</v>
      </c>
      <c r="CX198" s="14">
        <f>ROUND(IF(CC198=0,0,HLOOKUP(CC$14,Villagers!$B$1:$V$33,CC198+3,FALSE)),)</f>
        <v>0</v>
      </c>
      <c r="CY198" s="14">
        <f>ROUND(IF(CD198=0,0,HLOOKUP(CD$14,Villagers!$B$1:$V$33,CD198+3,FALSE)),)</f>
        <v>0</v>
      </c>
      <c r="CZ198" s="14">
        <f>ROUND(IF(CE198=0,0,HLOOKUP(CE$14,Villagers!$B$1:$V$33,CE198+3,FALSE)),)</f>
        <v>5</v>
      </c>
      <c r="DA198" s="14">
        <f>ROUND(IF(CF198=0,0,HLOOKUP(CF$14,Villagers!$B$1:$V$33,CF198+3,FALSE)),)</f>
        <v>10</v>
      </c>
      <c r="DB198" s="14">
        <f>ROUND(IF(CG198=0,0,HLOOKUP(CG$14,Villagers!$B$1:$V$33,CG198+3,FALSE)),)</f>
        <v>10</v>
      </c>
      <c r="DC198" s="14">
        <f>ROUND(IF(CH198=0,0,HLOOKUP(CH$14,Villagers!$B$1:$V$33,CH198+3,FALSE)),)</f>
        <v>0</v>
      </c>
      <c r="DD198" s="14">
        <f>ROUND(IF(CI198=0,0,HLOOKUP(CI$14,Villagers!$B$1:$V$33,CI198+3,FALSE)),)</f>
        <v>0</v>
      </c>
      <c r="DE198" s="14">
        <f>ROUND(IF(CJ198=0,0,HLOOKUP(CJ$14,Villagers!$B$1:$V$33,CJ198+3,FALSE)),)</f>
        <v>2</v>
      </c>
      <c r="DF198" s="370">
        <f>ROUND(IF(CK198=0,0,HLOOKUP(CK$14,Villagers!$B$1:$V$33,CK198+3,FALSE)),)</f>
        <v>0</v>
      </c>
      <c r="DG198" s="370">
        <f>ROUND(IF(CL198=0,0,HLOOKUP(CL$14,Villagers!$B$1:$V$33,CL198+3,FALSE)),)</f>
        <v>0</v>
      </c>
      <c r="DH198" s="34">
        <f>ROUND(IF(CM198=0,0,HLOOKUP(CM$14,Villagers!$B$1:$V$33,CM198+3,FALSE)),)</f>
        <v>0</v>
      </c>
      <c r="DI198" s="109">
        <f t="shared" si="373"/>
        <v>0</v>
      </c>
      <c r="DJ198" s="50">
        <f t="shared" si="374"/>
        <v>0</v>
      </c>
      <c r="DK198" s="50">
        <f t="shared" si="375"/>
        <v>0</v>
      </c>
      <c r="DL198" s="50">
        <f t="shared" si="376"/>
        <v>0</v>
      </c>
      <c r="DM198" s="50">
        <f t="shared" si="377"/>
        <v>0</v>
      </c>
      <c r="DN198" s="50">
        <f t="shared" si="378"/>
        <v>0</v>
      </c>
      <c r="DO198" s="50">
        <f t="shared" si="379"/>
        <v>0</v>
      </c>
      <c r="DP198" s="50">
        <f t="shared" si="380"/>
        <v>0</v>
      </c>
      <c r="DQ198" s="50">
        <f t="shared" si="357"/>
        <v>0</v>
      </c>
      <c r="DR198" s="50">
        <f t="shared" si="358"/>
        <v>0</v>
      </c>
      <c r="DS198" s="96">
        <f>Miscelaneous!$D$4*Miscelaneous!$D$2^($CI198-1)</f>
        <v>1000</v>
      </c>
      <c r="DT198" s="333">
        <f t="shared" si="337"/>
        <v>1</v>
      </c>
      <c r="DU198" s="81">
        <v>1</v>
      </c>
      <c r="DV198" s="79">
        <f t="shared" si="359"/>
        <v>0</v>
      </c>
      <c r="DW198" s="79">
        <f t="shared" si="360"/>
        <v>0</v>
      </c>
      <c r="DX198" s="79">
        <f t="shared" si="361"/>
        <v>0</v>
      </c>
      <c r="DY198" s="79">
        <v>1</v>
      </c>
      <c r="DZ198" s="79">
        <f t="shared" si="362"/>
        <v>0</v>
      </c>
      <c r="EA198" s="79">
        <f t="shared" si="363"/>
        <v>0</v>
      </c>
      <c r="EB198" s="79">
        <f t="shared" si="364"/>
        <v>0</v>
      </c>
      <c r="EC198" s="79">
        <f t="shared" si="365"/>
        <v>0</v>
      </c>
      <c r="ED198" s="79">
        <v>1</v>
      </c>
      <c r="EE198" s="79">
        <v>1</v>
      </c>
      <c r="EF198" s="79">
        <f t="shared" si="366"/>
        <v>0</v>
      </c>
      <c r="EG198" s="79">
        <v>1</v>
      </c>
      <c r="EH198" s="79">
        <v>1</v>
      </c>
      <c r="EI198" s="79">
        <v>1</v>
      </c>
      <c r="EJ198" s="79">
        <v>1</v>
      </c>
      <c r="EK198" s="79">
        <v>1</v>
      </c>
      <c r="EL198" s="79">
        <v>1</v>
      </c>
      <c r="EM198" s="143">
        <f t="shared" si="367"/>
        <v>0</v>
      </c>
      <c r="EN198" s="143">
        <f t="shared" si="368"/>
        <v>0</v>
      </c>
      <c r="EO198" s="82">
        <f t="shared" si="369"/>
        <v>0</v>
      </c>
    </row>
    <row r="199" spans="1:145" x14ac:dyDescent="0.25">
      <c r="A199">
        <v>185</v>
      </c>
      <c r="B199" s="172" t="e">
        <f t="shared" si="338"/>
        <v>#N/A</v>
      </c>
      <c r="C199" s="121" t="e">
        <f t="shared" ref="C199:E199" si="462">AJ199-SUM(AB199:AB203)</f>
        <v>#N/A</v>
      </c>
      <c r="D199" s="122" t="e">
        <f t="shared" si="462"/>
        <v>#N/A</v>
      </c>
      <c r="E199" s="122" t="e">
        <f t="shared" si="462"/>
        <v>#N/A</v>
      </c>
      <c r="F199" s="176" t="e">
        <f t="shared" si="320"/>
        <v>#N/A</v>
      </c>
      <c r="G199" s="121">
        <f t="shared" si="340"/>
        <v>208</v>
      </c>
      <c r="H199" s="176" t="e">
        <f t="shared" si="341"/>
        <v>#N/A</v>
      </c>
      <c r="I199" s="48">
        <v>1</v>
      </c>
      <c r="J199" s="39"/>
      <c r="K199" s="350">
        <v>1</v>
      </c>
      <c r="L199" s="34" t="e">
        <f t="shared" si="321"/>
        <v>#N/A</v>
      </c>
      <c r="M199" s="38" t="e">
        <f>(HLOOKUP(J199,'Construction Times'!$B$3:$W$34,L199+2,FALSE)*HLOOKUP("hq modifier",'Construction Times'!$W$3:$W$34,BS199+2,FALSE))*(1-$H$9)</f>
        <v>#N/A</v>
      </c>
      <c r="N199" s="426" t="e">
        <f t="shared" si="342"/>
        <v>#N/A</v>
      </c>
      <c r="O199" s="427"/>
      <c r="P199" s="430" t="e">
        <f t="shared" si="343"/>
        <v>#N/A</v>
      </c>
      <c r="Q199" s="431"/>
      <c r="R199" s="103">
        <f t="shared" si="371"/>
        <v>0</v>
      </c>
      <c r="S199" s="104">
        <f t="shared" si="371"/>
        <v>0</v>
      </c>
      <c r="T199" s="104">
        <f t="shared" si="372"/>
        <v>0</v>
      </c>
      <c r="U199" s="104">
        <f t="shared" si="372"/>
        <v>0</v>
      </c>
      <c r="V199" s="104">
        <f t="shared" si="372"/>
        <v>9.9999999999999995E-8</v>
      </c>
      <c r="W199" s="104">
        <f t="shared" si="372"/>
        <v>0</v>
      </c>
      <c r="X199" s="104">
        <f t="shared" si="429"/>
        <v>0</v>
      </c>
      <c r="Y199" s="104">
        <f t="shared" si="429"/>
        <v>9.9999999999999995E-8</v>
      </c>
      <c r="Z199" s="104">
        <f t="shared" si="429"/>
        <v>9.9999999999999995E-8</v>
      </c>
      <c r="AA199" s="105">
        <f t="shared" si="429"/>
        <v>9.9999999999999995E-8</v>
      </c>
      <c r="AB199" s="101" t="e">
        <f>$DT199*HLOOKUP($J199,'Construction Costs (timber)'!$B$1:$V$32,'Construction Planner'!$L199+2,FALSE)</f>
        <v>#N/A</v>
      </c>
      <c r="AC199" s="14" t="e">
        <f>$DT199*HLOOKUP($J199,'Construction Costs (clay)'!$B$1:$V$32,'Construction Planner'!$L199+2,FALSE)</f>
        <v>#N/A</v>
      </c>
      <c r="AD199" s="14" t="e">
        <f>$DT199*HLOOKUP($J199,'Construction Costs (iron)'!$B$1:$V$32,'Construction Planner'!$L199+2,FALSE)</f>
        <v>#N/A</v>
      </c>
      <c r="AE199" s="34" t="e">
        <f t="shared" si="384"/>
        <v>#N/A</v>
      </c>
      <c r="AF199" s="33" t="e">
        <f t="shared" si="322"/>
        <v>#N/A</v>
      </c>
      <c r="AG199" s="14" t="e">
        <f t="shared" si="323"/>
        <v>#N/A</v>
      </c>
      <c r="AH199" s="14" t="e">
        <f t="shared" si="324"/>
        <v>#N/A</v>
      </c>
      <c r="AI199" s="34" t="e">
        <f t="shared" si="385"/>
        <v>#N/A</v>
      </c>
      <c r="AJ199" s="49" t="e">
        <f t="shared" si="345"/>
        <v>#N/A</v>
      </c>
      <c r="AK199" s="49" t="e">
        <f t="shared" si="346"/>
        <v>#N/A</v>
      </c>
      <c r="AL199" s="49" t="e">
        <f t="shared" si="347"/>
        <v>#N/A</v>
      </c>
      <c r="AM199" s="25">
        <f t="shared" si="325"/>
        <v>30</v>
      </c>
      <c r="AN199" s="25">
        <f t="shared" si="326"/>
        <v>30</v>
      </c>
      <c r="AO199" s="25">
        <f t="shared" si="327"/>
        <v>30</v>
      </c>
      <c r="AP199" s="52" t="e">
        <f t="shared" si="348"/>
        <v>#N/A</v>
      </c>
      <c r="AQ199" s="53" t="e">
        <f t="shared" si="348"/>
        <v>#N/A</v>
      </c>
      <c r="AR199" s="54" t="e">
        <f t="shared" si="348"/>
        <v>#N/A</v>
      </c>
      <c r="AS199" s="316">
        <f t="shared" si="459"/>
        <v>0</v>
      </c>
      <c r="AT199" s="106">
        <f>_xlfn.IFNA($M199/VLOOKUP($BT199,'Unit information'!$A$2:$K$29,2,FALSE)*R199,0)*(1+$E$9)</f>
        <v>0</v>
      </c>
      <c r="AU199" s="107">
        <f>_xlfn.IFNA($M199/VLOOKUP($BT199,'Unit information'!$A$2:$K$29,3,FALSE)*S199,0)*(1+$E$9)</f>
        <v>0</v>
      </c>
      <c r="AV199" s="107">
        <f>_xlfn.IFNA($M199/VLOOKUP($BT199,'Unit information'!$A$2:$K$29,4,FALSE)*T199,0)*(1+$E$9)</f>
        <v>0</v>
      </c>
      <c r="AW199" s="107">
        <f>_xlfn.IFNA($M199/VLOOKUP($BT199,'Unit information'!$A$2:$K$29,5,FALSE)*U199,0)*(1+$E$9)</f>
        <v>0</v>
      </c>
      <c r="AX199" s="107">
        <f>_xlfn.IFNA($M199/VLOOKUP($BU199,'Unit information'!$A$2:$K$29,6,FALSE)*V199,0)*(1+$E$9)</f>
        <v>0</v>
      </c>
      <c r="AY199" s="107">
        <f>_xlfn.IFNA($M199/VLOOKUP($BU199,'Unit information'!$A$2:$K$29,7,FALSE)*W199,0)*(1+$E$9)</f>
        <v>0</v>
      </c>
      <c r="AZ199" s="107">
        <f>_xlfn.IFNA($M199/VLOOKUP($BU199,'Unit information'!$A$2:$K$29,8,FALSE)*X199,0)*(1+$E$9)</f>
        <v>0</v>
      </c>
      <c r="BA199" s="107">
        <f>_xlfn.IFNA($M199/VLOOKUP($BU199,'Unit information'!$A$2:$K$29,9,FALSE)*Y199,0)*(1+$E$9)</f>
        <v>0</v>
      </c>
      <c r="BB199" s="107">
        <f>_xlfn.IFNA($M199/VLOOKUP($BV199,'Unit information'!$A$2:$K$29,10,FALSE)*Z199,0)*(1+$E$9)</f>
        <v>0</v>
      </c>
      <c r="BC199" s="108">
        <f>_xlfn.IFNA($M199/VLOOKUP($BV199,'Unit information'!$A$2:$K$29,11,FALSE)*AA199,0)*(1+$E$9)</f>
        <v>0</v>
      </c>
      <c r="BD199" s="106">
        <f t="shared" si="328"/>
        <v>0</v>
      </c>
      <c r="BE199" s="107">
        <f t="shared" si="329"/>
        <v>0</v>
      </c>
      <c r="BF199" s="108">
        <f t="shared" si="330"/>
        <v>0</v>
      </c>
      <c r="BG199" s="25" t="e">
        <f t="shared" si="331"/>
        <v>#N/A</v>
      </c>
      <c r="BH199" s="25" t="e">
        <f t="shared" si="332"/>
        <v>#N/A</v>
      </c>
      <c r="BI199" s="25" t="e">
        <f t="shared" si="333"/>
        <v>#N/A</v>
      </c>
      <c r="BJ199" s="27" t="e">
        <f t="shared" si="334"/>
        <v>#N/A</v>
      </c>
      <c r="BK199" s="18" t="e">
        <f t="shared" si="335"/>
        <v>#N/A</v>
      </c>
      <c r="BL199" s="18" t="e">
        <f t="shared" si="336"/>
        <v>#N/A</v>
      </c>
      <c r="BM199" s="28" t="e">
        <f t="shared" si="387"/>
        <v>#N/A</v>
      </c>
      <c r="BN199" s="33">
        <f>HLOOKUP("maximum population",Miscelaneous!$C$1:$C$33,CH199+3,FALSE)</f>
        <v>240</v>
      </c>
      <c r="BO199" s="14">
        <f t="shared" si="349"/>
        <v>32</v>
      </c>
      <c r="BP199" s="14">
        <f t="shared" si="350"/>
        <v>0</v>
      </c>
      <c r="BQ199" s="14">
        <f t="shared" si="351"/>
        <v>208</v>
      </c>
      <c r="BR199" s="34" t="e">
        <f>HLOOKUP(J199,Villagers!$B$1:$V$33,L199+3,FALSE)-HLOOKUP(J199,Villagers!$B$1:$V$33,L199+2,FALSE)</f>
        <v>#N/A</v>
      </c>
      <c r="BS199" s="49">
        <f t="shared" si="352"/>
        <v>1</v>
      </c>
      <c r="BT199" s="50">
        <f t="shared" si="353"/>
        <v>0</v>
      </c>
      <c r="BU199" s="50">
        <f t="shared" si="354"/>
        <v>0</v>
      </c>
      <c r="BV199" s="50">
        <f t="shared" si="355"/>
        <v>0</v>
      </c>
      <c r="BW199" s="50">
        <f>IF($J198=BW$14,$L198,BW198)</f>
        <v>0</v>
      </c>
      <c r="BX199" s="50">
        <f t="shared" ref="BX199:BY207" si="463">IF($J198=BX$14,$L198,BX198)</f>
        <v>0</v>
      </c>
      <c r="BY199" s="50">
        <f t="shared" si="463"/>
        <v>0</v>
      </c>
      <c r="BZ199" s="50">
        <f t="shared" si="401"/>
        <v>0</v>
      </c>
      <c r="CA199" s="50">
        <f t="shared" si="402"/>
        <v>0</v>
      </c>
      <c r="CB199" s="50">
        <f t="shared" si="403"/>
        <v>1</v>
      </c>
      <c r="CC199" s="50">
        <f t="shared" si="404"/>
        <v>0</v>
      </c>
      <c r="CD199" s="50">
        <f t="shared" si="405"/>
        <v>0</v>
      </c>
      <c r="CE199" s="50">
        <f t="shared" si="406"/>
        <v>1</v>
      </c>
      <c r="CF199" s="50">
        <f t="shared" si="407"/>
        <v>1</v>
      </c>
      <c r="CG199" s="50">
        <f t="shared" si="408"/>
        <v>1</v>
      </c>
      <c r="CH199" s="50">
        <f t="shared" si="409"/>
        <v>1</v>
      </c>
      <c r="CI199" s="50">
        <f t="shared" si="410"/>
        <v>1</v>
      </c>
      <c r="CJ199" s="50">
        <f t="shared" si="411"/>
        <v>1</v>
      </c>
      <c r="CK199" s="50">
        <f t="shared" si="411"/>
        <v>0</v>
      </c>
      <c r="CL199" s="50">
        <f t="shared" si="411"/>
        <v>0</v>
      </c>
      <c r="CM199" s="51">
        <f t="shared" si="432"/>
        <v>0</v>
      </c>
      <c r="CN199" s="33">
        <f>ROUND(IF(BS199=0,0,HLOOKUP(BS$14,Villagers!$B$1:$V$33,BS199+3,FALSE)),)</f>
        <v>5</v>
      </c>
      <c r="CO199" s="14">
        <f>ROUND(IF(BT199=0,0,HLOOKUP(BT$14,Villagers!$B$1:$V$33,BT199+3,FALSE)),)</f>
        <v>0</v>
      </c>
      <c r="CP199" s="14">
        <f>ROUND(IF(BU199=0,0,HLOOKUP(BU$14,Villagers!$B$1:$V$33,BU199+3,FALSE)),)</f>
        <v>0</v>
      </c>
      <c r="CQ199" s="14">
        <f>ROUND(IF(BV199=0,0,HLOOKUP(BV$14,Villagers!$B$1:$V$33,BV199+3,FALSE)),)</f>
        <v>0</v>
      </c>
      <c r="CR199" s="14">
        <f>ROUND(IF(BW199=0,0,HLOOKUP(BW$14,Villagers!$B$1:$V$33,BW199+3,FALSE)),)</f>
        <v>0</v>
      </c>
      <c r="CS199" s="14">
        <f>ROUND(IF(BX199=0,0,HLOOKUP(BX$14,Villagers!$B$1:$V$33,BX199+3,FALSE)),)</f>
        <v>0</v>
      </c>
      <c r="CT199" s="14">
        <f>ROUND(IF(BY199=0,0,HLOOKUP(BY$14,Villagers!$B$1:$V$33,BY199+3,FALSE)),)</f>
        <v>0</v>
      </c>
      <c r="CU199" s="14">
        <f>ROUND(IF(BZ199=0,0,HLOOKUP(BZ$14,Villagers!$B$1:$V$33,BZ199+3,FALSE)),)</f>
        <v>0</v>
      </c>
      <c r="CV199" s="14">
        <f>ROUND(IF(CA199=0,0,HLOOKUP(CA$14,Villagers!$B$1:$V$33,CA199+3,FALSE)),)</f>
        <v>0</v>
      </c>
      <c r="CW199" s="14">
        <f>ROUND(IF(CB199=0,0,HLOOKUP(CB$14,Villagers!$B$1:$V$33,CB199+3,FALSE)),)</f>
        <v>0</v>
      </c>
      <c r="CX199" s="14">
        <f>ROUND(IF(CC199=0,0,HLOOKUP(CC$14,Villagers!$B$1:$V$33,CC199+3,FALSE)),)</f>
        <v>0</v>
      </c>
      <c r="CY199" s="14">
        <f>ROUND(IF(CD199=0,0,HLOOKUP(CD$14,Villagers!$B$1:$V$33,CD199+3,FALSE)),)</f>
        <v>0</v>
      </c>
      <c r="CZ199" s="14">
        <f>ROUND(IF(CE199=0,0,HLOOKUP(CE$14,Villagers!$B$1:$V$33,CE199+3,FALSE)),)</f>
        <v>5</v>
      </c>
      <c r="DA199" s="14">
        <f>ROUND(IF(CF199=0,0,HLOOKUP(CF$14,Villagers!$B$1:$V$33,CF199+3,FALSE)),)</f>
        <v>10</v>
      </c>
      <c r="DB199" s="14">
        <f>ROUND(IF(CG199=0,0,HLOOKUP(CG$14,Villagers!$B$1:$V$33,CG199+3,FALSE)),)</f>
        <v>10</v>
      </c>
      <c r="DC199" s="14">
        <f>ROUND(IF(CH199=0,0,HLOOKUP(CH$14,Villagers!$B$1:$V$33,CH199+3,FALSE)),)</f>
        <v>0</v>
      </c>
      <c r="DD199" s="14">
        <f>ROUND(IF(CI199=0,0,HLOOKUP(CI$14,Villagers!$B$1:$V$33,CI199+3,FALSE)),)</f>
        <v>0</v>
      </c>
      <c r="DE199" s="14">
        <f>ROUND(IF(CJ199=0,0,HLOOKUP(CJ$14,Villagers!$B$1:$V$33,CJ199+3,FALSE)),)</f>
        <v>2</v>
      </c>
      <c r="DF199" s="370">
        <f>ROUND(IF(CK199=0,0,HLOOKUP(CK$14,Villagers!$B$1:$V$33,CK199+3,FALSE)),)</f>
        <v>0</v>
      </c>
      <c r="DG199" s="370">
        <f>ROUND(IF(CL199=0,0,HLOOKUP(CL$14,Villagers!$B$1:$V$33,CL199+3,FALSE)),)</f>
        <v>0</v>
      </c>
      <c r="DH199" s="34">
        <f>ROUND(IF(CM199=0,0,HLOOKUP(CM$14,Villagers!$B$1:$V$33,CM199+3,FALSE)),)</f>
        <v>0</v>
      </c>
      <c r="DI199" s="109">
        <f t="shared" si="373"/>
        <v>0</v>
      </c>
      <c r="DJ199" s="50">
        <f t="shared" si="374"/>
        <v>0</v>
      </c>
      <c r="DK199" s="50">
        <f t="shared" si="375"/>
        <v>0</v>
      </c>
      <c r="DL199" s="50">
        <f t="shared" si="376"/>
        <v>0</v>
      </c>
      <c r="DM199" s="50">
        <f t="shared" si="377"/>
        <v>0</v>
      </c>
      <c r="DN199" s="50">
        <f t="shared" si="378"/>
        <v>0</v>
      </c>
      <c r="DO199" s="50">
        <f t="shared" si="379"/>
        <v>0</v>
      </c>
      <c r="DP199" s="50">
        <f t="shared" si="380"/>
        <v>0</v>
      </c>
      <c r="DQ199" s="50">
        <f t="shared" si="357"/>
        <v>0</v>
      </c>
      <c r="DR199" s="50">
        <f t="shared" si="358"/>
        <v>0</v>
      </c>
      <c r="DS199" s="96">
        <f>Miscelaneous!$D$4*Miscelaneous!$D$2^($CI199-1)</f>
        <v>1000</v>
      </c>
      <c r="DT199" s="333">
        <f t="shared" si="337"/>
        <v>1</v>
      </c>
      <c r="DU199" s="81">
        <v>1</v>
      </c>
      <c r="DV199" s="79">
        <f t="shared" si="359"/>
        <v>0</v>
      </c>
      <c r="DW199" s="79">
        <f t="shared" si="360"/>
        <v>0</v>
      </c>
      <c r="DX199" s="79">
        <f t="shared" si="361"/>
        <v>0</v>
      </c>
      <c r="DY199" s="79">
        <v>1</v>
      </c>
      <c r="DZ199" s="79">
        <f t="shared" si="362"/>
        <v>0</v>
      </c>
      <c r="EA199" s="79">
        <f t="shared" si="363"/>
        <v>0</v>
      </c>
      <c r="EB199" s="79">
        <f t="shared" si="364"/>
        <v>0</v>
      </c>
      <c r="EC199" s="79">
        <f t="shared" si="365"/>
        <v>0</v>
      </c>
      <c r="ED199" s="79">
        <v>1</v>
      </c>
      <c r="EE199" s="79">
        <v>1</v>
      </c>
      <c r="EF199" s="79">
        <f t="shared" si="366"/>
        <v>0</v>
      </c>
      <c r="EG199" s="79">
        <v>1</v>
      </c>
      <c r="EH199" s="79">
        <v>1</v>
      </c>
      <c r="EI199" s="79">
        <v>1</v>
      </c>
      <c r="EJ199" s="79">
        <v>1</v>
      </c>
      <c r="EK199" s="79">
        <v>1</v>
      </c>
      <c r="EL199" s="79">
        <v>1</v>
      </c>
      <c r="EM199" s="143">
        <f t="shared" si="367"/>
        <v>0</v>
      </c>
      <c r="EN199" s="143">
        <f t="shared" si="368"/>
        <v>0</v>
      </c>
      <c r="EO199" s="82">
        <f t="shared" si="369"/>
        <v>0</v>
      </c>
    </row>
    <row r="200" spans="1:145" x14ac:dyDescent="0.25">
      <c r="A200">
        <v>186</v>
      </c>
      <c r="B200" s="172" t="e">
        <f t="shared" si="338"/>
        <v>#N/A</v>
      </c>
      <c r="C200" s="121" t="e">
        <f t="shared" ref="C200:E200" si="464">AJ200-SUM(AB200:AB204)</f>
        <v>#N/A</v>
      </c>
      <c r="D200" s="122" t="e">
        <f t="shared" si="464"/>
        <v>#N/A</v>
      </c>
      <c r="E200" s="122" t="e">
        <f t="shared" si="464"/>
        <v>#N/A</v>
      </c>
      <c r="F200" s="176" t="e">
        <f t="shared" si="320"/>
        <v>#N/A</v>
      </c>
      <c r="G200" s="121">
        <f t="shared" si="340"/>
        <v>208</v>
      </c>
      <c r="H200" s="176" t="e">
        <f t="shared" si="341"/>
        <v>#N/A</v>
      </c>
      <c r="I200" s="48">
        <v>1</v>
      </c>
      <c r="J200" s="39"/>
      <c r="K200" s="350">
        <v>1</v>
      </c>
      <c r="L200" s="34" t="e">
        <f t="shared" si="321"/>
        <v>#N/A</v>
      </c>
      <c r="M200" s="38" t="e">
        <f>(HLOOKUP(J200,'Construction Times'!$B$3:$W$34,L200+2,FALSE)*HLOOKUP("hq modifier",'Construction Times'!$W$3:$W$34,BS200+2,FALSE))*(1-$H$9)</f>
        <v>#N/A</v>
      </c>
      <c r="N200" s="426" t="e">
        <f t="shared" si="342"/>
        <v>#N/A</v>
      </c>
      <c r="O200" s="427"/>
      <c r="P200" s="430" t="e">
        <f t="shared" si="343"/>
        <v>#N/A</v>
      </c>
      <c r="Q200" s="431"/>
      <c r="R200" s="103">
        <f t="shared" si="371"/>
        <v>0</v>
      </c>
      <c r="S200" s="104">
        <f t="shared" si="371"/>
        <v>0</v>
      </c>
      <c r="T200" s="104">
        <f t="shared" si="372"/>
        <v>0</v>
      </c>
      <c r="U200" s="104">
        <f t="shared" si="372"/>
        <v>0</v>
      </c>
      <c r="V200" s="104">
        <f t="shared" si="372"/>
        <v>9.9999999999999995E-8</v>
      </c>
      <c r="W200" s="104">
        <f t="shared" si="372"/>
        <v>0</v>
      </c>
      <c r="X200" s="104">
        <f t="shared" si="429"/>
        <v>0</v>
      </c>
      <c r="Y200" s="104">
        <f t="shared" si="429"/>
        <v>9.9999999999999995E-8</v>
      </c>
      <c r="Z200" s="104">
        <f t="shared" si="429"/>
        <v>9.9999999999999995E-8</v>
      </c>
      <c r="AA200" s="105">
        <f t="shared" si="429"/>
        <v>9.9999999999999995E-8</v>
      </c>
      <c r="AB200" s="101" t="e">
        <f>$DT200*HLOOKUP($J200,'Construction Costs (timber)'!$B$1:$V$32,'Construction Planner'!$L200+2,FALSE)</f>
        <v>#N/A</v>
      </c>
      <c r="AC200" s="14" t="e">
        <f>$DT200*HLOOKUP($J200,'Construction Costs (clay)'!$B$1:$V$32,'Construction Planner'!$L200+2,FALSE)</f>
        <v>#N/A</v>
      </c>
      <c r="AD200" s="14" t="e">
        <f>$DT200*HLOOKUP($J200,'Construction Costs (iron)'!$B$1:$V$32,'Construction Planner'!$L200+2,FALSE)</f>
        <v>#N/A</v>
      </c>
      <c r="AE200" s="34" t="e">
        <f t="shared" si="384"/>
        <v>#N/A</v>
      </c>
      <c r="AF200" s="33" t="e">
        <f t="shared" si="322"/>
        <v>#N/A</v>
      </c>
      <c r="AG200" s="14" t="e">
        <f t="shared" si="323"/>
        <v>#N/A</v>
      </c>
      <c r="AH200" s="14" t="e">
        <f t="shared" si="324"/>
        <v>#N/A</v>
      </c>
      <c r="AI200" s="34" t="e">
        <f t="shared" si="385"/>
        <v>#N/A</v>
      </c>
      <c r="AJ200" s="49" t="e">
        <f t="shared" si="345"/>
        <v>#N/A</v>
      </c>
      <c r="AK200" s="49" t="e">
        <f t="shared" si="346"/>
        <v>#N/A</v>
      </c>
      <c r="AL200" s="49" t="e">
        <f t="shared" si="347"/>
        <v>#N/A</v>
      </c>
      <c r="AM200" s="25">
        <f t="shared" si="325"/>
        <v>30</v>
      </c>
      <c r="AN200" s="25">
        <f t="shared" si="326"/>
        <v>30</v>
      </c>
      <c r="AO200" s="25">
        <f t="shared" si="327"/>
        <v>30</v>
      </c>
      <c r="AP200" s="52" t="e">
        <f t="shared" si="348"/>
        <v>#N/A</v>
      </c>
      <c r="AQ200" s="53" t="e">
        <f t="shared" si="348"/>
        <v>#N/A</v>
      </c>
      <c r="AR200" s="54" t="e">
        <f t="shared" si="348"/>
        <v>#N/A</v>
      </c>
      <c r="AS200" s="316">
        <f t="shared" si="459"/>
        <v>0</v>
      </c>
      <c r="AT200" s="106">
        <f>_xlfn.IFNA($M200/VLOOKUP($BT200,'Unit information'!$A$2:$K$29,2,FALSE)*R200,0)*(1+$E$9)</f>
        <v>0</v>
      </c>
      <c r="AU200" s="107">
        <f>_xlfn.IFNA($M200/VLOOKUP($BT200,'Unit information'!$A$2:$K$29,3,FALSE)*S200,0)*(1+$E$9)</f>
        <v>0</v>
      </c>
      <c r="AV200" s="107">
        <f>_xlfn.IFNA($M200/VLOOKUP($BT200,'Unit information'!$A$2:$K$29,4,FALSE)*T200,0)*(1+$E$9)</f>
        <v>0</v>
      </c>
      <c r="AW200" s="107">
        <f>_xlfn.IFNA($M200/VLOOKUP($BT200,'Unit information'!$A$2:$K$29,5,FALSE)*U200,0)*(1+$E$9)</f>
        <v>0</v>
      </c>
      <c r="AX200" s="107">
        <f>_xlfn.IFNA($M200/VLOOKUP($BU200,'Unit information'!$A$2:$K$29,6,FALSE)*V200,0)*(1+$E$9)</f>
        <v>0</v>
      </c>
      <c r="AY200" s="107">
        <f>_xlfn.IFNA($M200/VLOOKUP($BU200,'Unit information'!$A$2:$K$29,7,FALSE)*W200,0)*(1+$E$9)</f>
        <v>0</v>
      </c>
      <c r="AZ200" s="107">
        <f>_xlfn.IFNA($M200/VLOOKUP($BU200,'Unit information'!$A$2:$K$29,8,FALSE)*X200,0)*(1+$E$9)</f>
        <v>0</v>
      </c>
      <c r="BA200" s="107">
        <f>_xlfn.IFNA($M200/VLOOKUP($BU200,'Unit information'!$A$2:$K$29,9,FALSE)*Y200,0)*(1+$E$9)</f>
        <v>0</v>
      </c>
      <c r="BB200" s="107">
        <f>_xlfn.IFNA($M200/VLOOKUP($BV200,'Unit information'!$A$2:$K$29,10,FALSE)*Z200,0)*(1+$E$9)</f>
        <v>0</v>
      </c>
      <c r="BC200" s="108">
        <f>_xlfn.IFNA($M200/VLOOKUP($BV200,'Unit information'!$A$2:$K$29,11,FALSE)*AA200,0)*(1+$E$9)</f>
        <v>0</v>
      </c>
      <c r="BD200" s="106">
        <f t="shared" si="328"/>
        <v>0</v>
      </c>
      <c r="BE200" s="107">
        <f t="shared" si="329"/>
        <v>0</v>
      </c>
      <c r="BF200" s="108">
        <f t="shared" si="330"/>
        <v>0</v>
      </c>
      <c r="BG200" s="25" t="e">
        <f t="shared" si="331"/>
        <v>#N/A</v>
      </c>
      <c r="BH200" s="25" t="e">
        <f t="shared" si="332"/>
        <v>#N/A</v>
      </c>
      <c r="BI200" s="25" t="e">
        <f t="shared" si="333"/>
        <v>#N/A</v>
      </c>
      <c r="BJ200" s="27" t="e">
        <f t="shared" si="334"/>
        <v>#N/A</v>
      </c>
      <c r="BK200" s="18" t="e">
        <f t="shared" si="335"/>
        <v>#N/A</v>
      </c>
      <c r="BL200" s="18" t="e">
        <f t="shared" si="336"/>
        <v>#N/A</v>
      </c>
      <c r="BM200" s="28" t="e">
        <f t="shared" si="387"/>
        <v>#N/A</v>
      </c>
      <c r="BN200" s="33">
        <f>HLOOKUP("maximum population",Miscelaneous!$C$1:$C$33,CH200+3,FALSE)</f>
        <v>240</v>
      </c>
      <c r="BO200" s="14">
        <f t="shared" si="349"/>
        <v>32</v>
      </c>
      <c r="BP200" s="14">
        <f t="shared" si="350"/>
        <v>0</v>
      </c>
      <c r="BQ200" s="14">
        <f t="shared" si="351"/>
        <v>208</v>
      </c>
      <c r="BR200" s="34" t="e">
        <f>HLOOKUP(J200,Villagers!$B$1:$V$33,L200+3,FALSE)-HLOOKUP(J200,Villagers!$B$1:$V$33,L200+2,FALSE)</f>
        <v>#N/A</v>
      </c>
      <c r="BS200" s="49">
        <f t="shared" si="352"/>
        <v>1</v>
      </c>
      <c r="BT200" s="50">
        <f t="shared" si="353"/>
        <v>0</v>
      </c>
      <c r="BU200" s="50">
        <f t="shared" si="354"/>
        <v>0</v>
      </c>
      <c r="BV200" s="50">
        <f t="shared" si="355"/>
        <v>0</v>
      </c>
      <c r="BW200" s="50">
        <f t="shared" ref="BW200:BW207" si="465">IF($J199=BW$14,$L199,BW199)</f>
        <v>0</v>
      </c>
      <c r="BX200" s="50">
        <f t="shared" si="463"/>
        <v>0</v>
      </c>
      <c r="BY200" s="50">
        <f t="shared" si="463"/>
        <v>0</v>
      </c>
      <c r="BZ200" s="50">
        <f t="shared" si="401"/>
        <v>0</v>
      </c>
      <c r="CA200" s="50">
        <f t="shared" si="402"/>
        <v>0</v>
      </c>
      <c r="CB200" s="50">
        <f t="shared" si="403"/>
        <v>1</v>
      </c>
      <c r="CC200" s="50">
        <f t="shared" si="404"/>
        <v>0</v>
      </c>
      <c r="CD200" s="50">
        <f t="shared" si="405"/>
        <v>0</v>
      </c>
      <c r="CE200" s="50">
        <f t="shared" si="406"/>
        <v>1</v>
      </c>
      <c r="CF200" s="50">
        <f t="shared" si="407"/>
        <v>1</v>
      </c>
      <c r="CG200" s="50">
        <f t="shared" si="408"/>
        <v>1</v>
      </c>
      <c r="CH200" s="50">
        <f t="shared" si="409"/>
        <v>1</v>
      </c>
      <c r="CI200" s="50">
        <f t="shared" si="410"/>
        <v>1</v>
      </c>
      <c r="CJ200" s="50">
        <f t="shared" si="411"/>
        <v>1</v>
      </c>
      <c r="CK200" s="50">
        <f t="shared" si="411"/>
        <v>0</v>
      </c>
      <c r="CL200" s="50">
        <f t="shared" si="411"/>
        <v>0</v>
      </c>
      <c r="CM200" s="51">
        <f t="shared" si="432"/>
        <v>0</v>
      </c>
      <c r="CN200" s="33">
        <f>ROUND(IF(BS200=0,0,HLOOKUP(BS$14,Villagers!$B$1:$V$33,BS200+3,FALSE)),)</f>
        <v>5</v>
      </c>
      <c r="CO200" s="14">
        <f>ROUND(IF(BT200=0,0,HLOOKUP(BT$14,Villagers!$B$1:$V$33,BT200+3,FALSE)),)</f>
        <v>0</v>
      </c>
      <c r="CP200" s="14">
        <f>ROUND(IF(BU200=0,0,HLOOKUP(BU$14,Villagers!$B$1:$V$33,BU200+3,FALSE)),)</f>
        <v>0</v>
      </c>
      <c r="CQ200" s="14">
        <f>ROUND(IF(BV200=0,0,HLOOKUP(BV$14,Villagers!$B$1:$V$33,BV200+3,FALSE)),)</f>
        <v>0</v>
      </c>
      <c r="CR200" s="14">
        <f>ROUND(IF(BW200=0,0,HLOOKUP(BW$14,Villagers!$B$1:$V$33,BW200+3,FALSE)),)</f>
        <v>0</v>
      </c>
      <c r="CS200" s="14">
        <f>ROUND(IF(BX200=0,0,HLOOKUP(BX$14,Villagers!$B$1:$V$33,BX200+3,FALSE)),)</f>
        <v>0</v>
      </c>
      <c r="CT200" s="14">
        <f>ROUND(IF(BY200=0,0,HLOOKUP(BY$14,Villagers!$B$1:$V$33,BY200+3,FALSE)),)</f>
        <v>0</v>
      </c>
      <c r="CU200" s="14">
        <f>ROUND(IF(BZ200=0,0,HLOOKUP(BZ$14,Villagers!$B$1:$V$33,BZ200+3,FALSE)),)</f>
        <v>0</v>
      </c>
      <c r="CV200" s="14">
        <f>ROUND(IF(CA200=0,0,HLOOKUP(CA$14,Villagers!$B$1:$V$33,CA200+3,FALSE)),)</f>
        <v>0</v>
      </c>
      <c r="CW200" s="14">
        <f>ROUND(IF(CB200=0,0,HLOOKUP(CB$14,Villagers!$B$1:$V$33,CB200+3,FALSE)),)</f>
        <v>0</v>
      </c>
      <c r="CX200" s="14">
        <f>ROUND(IF(CC200=0,0,HLOOKUP(CC$14,Villagers!$B$1:$V$33,CC200+3,FALSE)),)</f>
        <v>0</v>
      </c>
      <c r="CY200" s="14">
        <f>ROUND(IF(CD200=0,0,HLOOKUP(CD$14,Villagers!$B$1:$V$33,CD200+3,FALSE)),)</f>
        <v>0</v>
      </c>
      <c r="CZ200" s="14">
        <f>ROUND(IF(CE200=0,0,HLOOKUP(CE$14,Villagers!$B$1:$V$33,CE200+3,FALSE)),)</f>
        <v>5</v>
      </c>
      <c r="DA200" s="14">
        <f>ROUND(IF(CF200=0,0,HLOOKUP(CF$14,Villagers!$B$1:$V$33,CF200+3,FALSE)),)</f>
        <v>10</v>
      </c>
      <c r="DB200" s="14">
        <f>ROUND(IF(CG200=0,0,HLOOKUP(CG$14,Villagers!$B$1:$V$33,CG200+3,FALSE)),)</f>
        <v>10</v>
      </c>
      <c r="DC200" s="14">
        <f>ROUND(IF(CH200=0,0,HLOOKUP(CH$14,Villagers!$B$1:$V$33,CH200+3,FALSE)),)</f>
        <v>0</v>
      </c>
      <c r="DD200" s="14">
        <f>ROUND(IF(CI200=0,0,HLOOKUP(CI$14,Villagers!$B$1:$V$33,CI200+3,FALSE)),)</f>
        <v>0</v>
      </c>
      <c r="DE200" s="14">
        <f>ROUND(IF(CJ200=0,0,HLOOKUP(CJ$14,Villagers!$B$1:$V$33,CJ200+3,FALSE)),)</f>
        <v>2</v>
      </c>
      <c r="DF200" s="370">
        <f>ROUND(IF(CK200=0,0,HLOOKUP(CK$14,Villagers!$B$1:$V$33,CK200+3,FALSE)),)</f>
        <v>0</v>
      </c>
      <c r="DG200" s="370">
        <f>ROUND(IF(CL200=0,0,HLOOKUP(CL$14,Villagers!$B$1:$V$33,CL200+3,FALSE)),)</f>
        <v>0</v>
      </c>
      <c r="DH200" s="34">
        <f>ROUND(IF(CM200=0,0,HLOOKUP(CM$14,Villagers!$B$1:$V$33,CM200+3,FALSE)),)</f>
        <v>0</v>
      </c>
      <c r="DI200" s="109">
        <f t="shared" si="373"/>
        <v>0</v>
      </c>
      <c r="DJ200" s="50">
        <f t="shared" si="374"/>
        <v>0</v>
      </c>
      <c r="DK200" s="50">
        <f t="shared" si="375"/>
        <v>0</v>
      </c>
      <c r="DL200" s="50">
        <f t="shared" si="376"/>
        <v>0</v>
      </c>
      <c r="DM200" s="50">
        <f t="shared" si="377"/>
        <v>0</v>
      </c>
      <c r="DN200" s="50">
        <f t="shared" si="378"/>
        <v>0</v>
      </c>
      <c r="DO200" s="50">
        <f t="shared" si="379"/>
        <v>0</v>
      </c>
      <c r="DP200" s="50">
        <f t="shared" si="380"/>
        <v>0</v>
      </c>
      <c r="DQ200" s="50">
        <f t="shared" si="357"/>
        <v>0</v>
      </c>
      <c r="DR200" s="50">
        <f t="shared" si="358"/>
        <v>0</v>
      </c>
      <c r="DS200" s="96">
        <f>Miscelaneous!$D$4*Miscelaneous!$D$2^($CI200-1)</f>
        <v>1000</v>
      </c>
      <c r="DT200" s="333">
        <f t="shared" si="337"/>
        <v>1</v>
      </c>
      <c r="DU200" s="81">
        <v>1</v>
      </c>
      <c r="DV200" s="79">
        <f t="shared" si="359"/>
        <v>0</v>
      </c>
      <c r="DW200" s="79">
        <f t="shared" si="360"/>
        <v>0</v>
      </c>
      <c r="DX200" s="79">
        <f t="shared" si="361"/>
        <v>0</v>
      </c>
      <c r="DY200" s="79">
        <v>1</v>
      </c>
      <c r="DZ200" s="79">
        <f t="shared" si="362"/>
        <v>0</v>
      </c>
      <c r="EA200" s="79">
        <f t="shared" si="363"/>
        <v>0</v>
      </c>
      <c r="EB200" s="79">
        <f t="shared" si="364"/>
        <v>0</v>
      </c>
      <c r="EC200" s="79">
        <f t="shared" si="365"/>
        <v>0</v>
      </c>
      <c r="ED200" s="79">
        <v>1</v>
      </c>
      <c r="EE200" s="79">
        <v>1</v>
      </c>
      <c r="EF200" s="79">
        <f t="shared" si="366"/>
        <v>0</v>
      </c>
      <c r="EG200" s="79">
        <v>1</v>
      </c>
      <c r="EH200" s="79">
        <v>1</v>
      </c>
      <c r="EI200" s="79">
        <v>1</v>
      </c>
      <c r="EJ200" s="79">
        <v>1</v>
      </c>
      <c r="EK200" s="79">
        <v>1</v>
      </c>
      <c r="EL200" s="79">
        <v>1</v>
      </c>
      <c r="EM200" s="143">
        <f t="shared" si="367"/>
        <v>0</v>
      </c>
      <c r="EN200" s="143">
        <f t="shared" si="368"/>
        <v>0</v>
      </c>
      <c r="EO200" s="82">
        <f t="shared" si="369"/>
        <v>0</v>
      </c>
    </row>
    <row r="201" spans="1:145" x14ac:dyDescent="0.25">
      <c r="A201">
        <v>187</v>
      </c>
      <c r="B201" s="172" t="e">
        <f t="shared" si="338"/>
        <v>#N/A</v>
      </c>
      <c r="C201" s="121" t="e">
        <f t="shared" ref="C201:E201" si="466">AJ201-SUM(AB201:AB205)</f>
        <v>#N/A</v>
      </c>
      <c r="D201" s="122" t="e">
        <f t="shared" si="466"/>
        <v>#N/A</v>
      </c>
      <c r="E201" s="122" t="e">
        <f t="shared" si="466"/>
        <v>#N/A</v>
      </c>
      <c r="F201" s="176" t="e">
        <f t="shared" si="320"/>
        <v>#N/A</v>
      </c>
      <c r="G201" s="121">
        <f t="shared" si="340"/>
        <v>208</v>
      </c>
      <c r="H201" s="176" t="e">
        <f t="shared" si="341"/>
        <v>#N/A</v>
      </c>
      <c r="I201" s="48">
        <v>1</v>
      </c>
      <c r="J201" s="39"/>
      <c r="K201" s="350">
        <v>1</v>
      </c>
      <c r="L201" s="34" t="e">
        <f t="shared" si="321"/>
        <v>#N/A</v>
      </c>
      <c r="M201" s="38" t="e">
        <f>(HLOOKUP(J201,'Construction Times'!$B$3:$W$34,L201+2,FALSE)*HLOOKUP("hq modifier",'Construction Times'!$W$3:$W$34,BS201+2,FALSE))*(1-$H$9)</f>
        <v>#N/A</v>
      </c>
      <c r="N201" s="426" t="e">
        <f t="shared" si="342"/>
        <v>#N/A</v>
      </c>
      <c r="O201" s="427"/>
      <c r="P201" s="430" t="e">
        <f t="shared" si="343"/>
        <v>#N/A</v>
      </c>
      <c r="Q201" s="431"/>
      <c r="R201" s="103">
        <f t="shared" si="371"/>
        <v>0</v>
      </c>
      <c r="S201" s="104">
        <f t="shared" si="371"/>
        <v>0</v>
      </c>
      <c r="T201" s="104">
        <f t="shared" si="372"/>
        <v>0</v>
      </c>
      <c r="U201" s="104">
        <f t="shared" si="372"/>
        <v>0</v>
      </c>
      <c r="V201" s="104">
        <f t="shared" si="372"/>
        <v>9.9999999999999995E-8</v>
      </c>
      <c r="W201" s="104">
        <f t="shared" si="372"/>
        <v>0</v>
      </c>
      <c r="X201" s="104">
        <f t="shared" si="429"/>
        <v>0</v>
      </c>
      <c r="Y201" s="104">
        <f t="shared" si="429"/>
        <v>9.9999999999999995E-8</v>
      </c>
      <c r="Z201" s="104">
        <f t="shared" si="429"/>
        <v>9.9999999999999995E-8</v>
      </c>
      <c r="AA201" s="105">
        <f t="shared" si="429"/>
        <v>9.9999999999999995E-8</v>
      </c>
      <c r="AB201" s="101" t="e">
        <f>$DT201*HLOOKUP($J201,'Construction Costs (timber)'!$B$1:$V$32,'Construction Planner'!$L201+2,FALSE)</f>
        <v>#N/A</v>
      </c>
      <c r="AC201" s="14" t="e">
        <f>$DT201*HLOOKUP($J201,'Construction Costs (clay)'!$B$1:$V$32,'Construction Planner'!$L201+2,FALSE)</f>
        <v>#N/A</v>
      </c>
      <c r="AD201" s="14" t="e">
        <f>$DT201*HLOOKUP($J201,'Construction Costs (iron)'!$B$1:$V$32,'Construction Planner'!$L201+2,FALSE)</f>
        <v>#N/A</v>
      </c>
      <c r="AE201" s="34" t="e">
        <f t="shared" si="384"/>
        <v>#N/A</v>
      </c>
      <c r="AF201" s="33" t="e">
        <f t="shared" si="322"/>
        <v>#N/A</v>
      </c>
      <c r="AG201" s="14" t="e">
        <f t="shared" si="323"/>
        <v>#N/A</v>
      </c>
      <c r="AH201" s="14" t="e">
        <f t="shared" si="324"/>
        <v>#N/A</v>
      </c>
      <c r="AI201" s="34" t="e">
        <f t="shared" si="385"/>
        <v>#N/A</v>
      </c>
      <c r="AJ201" s="49" t="e">
        <f t="shared" si="345"/>
        <v>#N/A</v>
      </c>
      <c r="AK201" s="49" t="e">
        <f t="shared" si="346"/>
        <v>#N/A</v>
      </c>
      <c r="AL201" s="49" t="e">
        <f t="shared" si="347"/>
        <v>#N/A</v>
      </c>
      <c r="AM201" s="25">
        <f t="shared" si="325"/>
        <v>30</v>
      </c>
      <c r="AN201" s="25">
        <f t="shared" si="326"/>
        <v>30</v>
      </c>
      <c r="AO201" s="25">
        <f t="shared" si="327"/>
        <v>30</v>
      </c>
      <c r="AP201" s="52" t="e">
        <f t="shared" si="348"/>
        <v>#N/A</v>
      </c>
      <c r="AQ201" s="53" t="e">
        <f t="shared" si="348"/>
        <v>#N/A</v>
      </c>
      <c r="AR201" s="54" t="e">
        <f t="shared" si="348"/>
        <v>#N/A</v>
      </c>
      <c r="AS201" s="316">
        <f t="shared" si="459"/>
        <v>0</v>
      </c>
      <c r="AT201" s="106">
        <f>_xlfn.IFNA($M201/VLOOKUP($BT201,'Unit information'!$A$2:$K$29,2,FALSE)*R201,0)*(1+$E$9)</f>
        <v>0</v>
      </c>
      <c r="AU201" s="107">
        <f>_xlfn.IFNA($M201/VLOOKUP($BT201,'Unit information'!$A$2:$K$29,3,FALSE)*S201,0)*(1+$E$9)</f>
        <v>0</v>
      </c>
      <c r="AV201" s="107">
        <f>_xlfn.IFNA($M201/VLOOKUP($BT201,'Unit information'!$A$2:$K$29,4,FALSE)*T201,0)*(1+$E$9)</f>
        <v>0</v>
      </c>
      <c r="AW201" s="107">
        <f>_xlfn.IFNA($M201/VLOOKUP($BT201,'Unit information'!$A$2:$K$29,5,FALSE)*U201,0)*(1+$E$9)</f>
        <v>0</v>
      </c>
      <c r="AX201" s="107">
        <f>_xlfn.IFNA($M201/VLOOKUP($BU201,'Unit information'!$A$2:$K$29,6,FALSE)*V201,0)*(1+$E$9)</f>
        <v>0</v>
      </c>
      <c r="AY201" s="107">
        <f>_xlfn.IFNA($M201/VLOOKUP($BU201,'Unit information'!$A$2:$K$29,7,FALSE)*W201,0)*(1+$E$9)</f>
        <v>0</v>
      </c>
      <c r="AZ201" s="107">
        <f>_xlfn.IFNA($M201/VLOOKUP($BU201,'Unit information'!$A$2:$K$29,8,FALSE)*X201,0)*(1+$E$9)</f>
        <v>0</v>
      </c>
      <c r="BA201" s="107">
        <f>_xlfn.IFNA($M201/VLOOKUP($BU201,'Unit information'!$A$2:$K$29,9,FALSE)*Y201,0)*(1+$E$9)</f>
        <v>0</v>
      </c>
      <c r="BB201" s="107">
        <f>_xlfn.IFNA($M201/VLOOKUP($BV201,'Unit information'!$A$2:$K$29,10,FALSE)*Z201,0)*(1+$E$9)</f>
        <v>0</v>
      </c>
      <c r="BC201" s="108">
        <f>_xlfn.IFNA($M201/VLOOKUP($BV201,'Unit information'!$A$2:$K$29,11,FALSE)*AA201,0)*(1+$E$9)</f>
        <v>0</v>
      </c>
      <c r="BD201" s="106">
        <f t="shared" si="328"/>
        <v>0</v>
      </c>
      <c r="BE201" s="107">
        <f t="shared" si="329"/>
        <v>0</v>
      </c>
      <c r="BF201" s="108">
        <f t="shared" si="330"/>
        <v>0</v>
      </c>
      <c r="BG201" s="25" t="e">
        <f t="shared" si="331"/>
        <v>#N/A</v>
      </c>
      <c r="BH201" s="25" t="e">
        <f t="shared" si="332"/>
        <v>#N/A</v>
      </c>
      <c r="BI201" s="25" t="e">
        <f t="shared" si="333"/>
        <v>#N/A</v>
      </c>
      <c r="BJ201" s="27" t="e">
        <f t="shared" si="334"/>
        <v>#N/A</v>
      </c>
      <c r="BK201" s="18" t="e">
        <f t="shared" si="335"/>
        <v>#N/A</v>
      </c>
      <c r="BL201" s="18" t="e">
        <f t="shared" si="336"/>
        <v>#N/A</v>
      </c>
      <c r="BM201" s="28" t="e">
        <f t="shared" si="387"/>
        <v>#N/A</v>
      </c>
      <c r="BN201" s="33">
        <f>HLOOKUP("maximum population",Miscelaneous!$C$1:$C$33,CH201+3,FALSE)</f>
        <v>240</v>
      </c>
      <c r="BO201" s="14">
        <f t="shared" si="349"/>
        <v>32</v>
      </c>
      <c r="BP201" s="14">
        <f t="shared" si="350"/>
        <v>0</v>
      </c>
      <c r="BQ201" s="14">
        <f t="shared" si="351"/>
        <v>208</v>
      </c>
      <c r="BR201" s="34" t="e">
        <f>HLOOKUP(J201,Villagers!$B$1:$V$33,L201+3,FALSE)-HLOOKUP(J201,Villagers!$B$1:$V$33,L201+2,FALSE)</f>
        <v>#N/A</v>
      </c>
      <c r="BS201" s="49">
        <f t="shared" si="352"/>
        <v>1</v>
      </c>
      <c r="BT201" s="50">
        <f t="shared" si="353"/>
        <v>0</v>
      </c>
      <c r="BU201" s="50">
        <f t="shared" si="354"/>
        <v>0</v>
      </c>
      <c r="BV201" s="50">
        <f t="shared" si="355"/>
        <v>0</v>
      </c>
      <c r="BW201" s="50">
        <f t="shared" si="465"/>
        <v>0</v>
      </c>
      <c r="BX201" s="50">
        <f t="shared" si="463"/>
        <v>0</v>
      </c>
      <c r="BY201" s="50">
        <f t="shared" si="463"/>
        <v>0</v>
      </c>
      <c r="BZ201" s="50">
        <f t="shared" si="401"/>
        <v>0</v>
      </c>
      <c r="CA201" s="50">
        <f t="shared" si="402"/>
        <v>0</v>
      </c>
      <c r="CB201" s="50">
        <f t="shared" si="403"/>
        <v>1</v>
      </c>
      <c r="CC201" s="50">
        <f t="shared" si="404"/>
        <v>0</v>
      </c>
      <c r="CD201" s="50">
        <f t="shared" si="405"/>
        <v>0</v>
      </c>
      <c r="CE201" s="50">
        <f t="shared" si="406"/>
        <v>1</v>
      </c>
      <c r="CF201" s="50">
        <f t="shared" si="407"/>
        <v>1</v>
      </c>
      <c r="CG201" s="50">
        <f t="shared" si="408"/>
        <v>1</v>
      </c>
      <c r="CH201" s="50">
        <f t="shared" si="409"/>
        <v>1</v>
      </c>
      <c r="CI201" s="50">
        <f t="shared" si="410"/>
        <v>1</v>
      </c>
      <c r="CJ201" s="50">
        <f t="shared" si="411"/>
        <v>1</v>
      </c>
      <c r="CK201" s="50">
        <f t="shared" si="411"/>
        <v>0</v>
      </c>
      <c r="CL201" s="50">
        <f t="shared" si="411"/>
        <v>0</v>
      </c>
      <c r="CM201" s="51">
        <f t="shared" si="432"/>
        <v>0</v>
      </c>
      <c r="CN201" s="33">
        <f>ROUND(IF(BS201=0,0,HLOOKUP(BS$14,Villagers!$B$1:$V$33,BS201+3,FALSE)),)</f>
        <v>5</v>
      </c>
      <c r="CO201" s="14">
        <f>ROUND(IF(BT201=0,0,HLOOKUP(BT$14,Villagers!$B$1:$V$33,BT201+3,FALSE)),)</f>
        <v>0</v>
      </c>
      <c r="CP201" s="14">
        <f>ROUND(IF(BU201=0,0,HLOOKUP(BU$14,Villagers!$B$1:$V$33,BU201+3,FALSE)),)</f>
        <v>0</v>
      </c>
      <c r="CQ201" s="14">
        <f>ROUND(IF(BV201=0,0,HLOOKUP(BV$14,Villagers!$B$1:$V$33,BV201+3,FALSE)),)</f>
        <v>0</v>
      </c>
      <c r="CR201" s="14">
        <f>ROUND(IF(BW201=0,0,HLOOKUP(BW$14,Villagers!$B$1:$V$33,BW201+3,FALSE)),)</f>
        <v>0</v>
      </c>
      <c r="CS201" s="14">
        <f>ROUND(IF(BX201=0,0,HLOOKUP(BX$14,Villagers!$B$1:$V$33,BX201+3,FALSE)),)</f>
        <v>0</v>
      </c>
      <c r="CT201" s="14">
        <f>ROUND(IF(BY201=0,0,HLOOKUP(BY$14,Villagers!$B$1:$V$33,BY201+3,FALSE)),)</f>
        <v>0</v>
      </c>
      <c r="CU201" s="14">
        <f>ROUND(IF(BZ201=0,0,HLOOKUP(BZ$14,Villagers!$B$1:$V$33,BZ201+3,FALSE)),)</f>
        <v>0</v>
      </c>
      <c r="CV201" s="14">
        <f>ROUND(IF(CA201=0,0,HLOOKUP(CA$14,Villagers!$B$1:$V$33,CA201+3,FALSE)),)</f>
        <v>0</v>
      </c>
      <c r="CW201" s="14">
        <f>ROUND(IF(CB201=0,0,HLOOKUP(CB$14,Villagers!$B$1:$V$33,CB201+3,FALSE)),)</f>
        <v>0</v>
      </c>
      <c r="CX201" s="14">
        <f>ROUND(IF(CC201=0,0,HLOOKUP(CC$14,Villagers!$B$1:$V$33,CC201+3,FALSE)),)</f>
        <v>0</v>
      </c>
      <c r="CY201" s="14">
        <f>ROUND(IF(CD201=0,0,HLOOKUP(CD$14,Villagers!$B$1:$V$33,CD201+3,FALSE)),)</f>
        <v>0</v>
      </c>
      <c r="CZ201" s="14">
        <f>ROUND(IF(CE201=0,0,HLOOKUP(CE$14,Villagers!$B$1:$V$33,CE201+3,FALSE)),)</f>
        <v>5</v>
      </c>
      <c r="DA201" s="14">
        <f>ROUND(IF(CF201=0,0,HLOOKUP(CF$14,Villagers!$B$1:$V$33,CF201+3,FALSE)),)</f>
        <v>10</v>
      </c>
      <c r="DB201" s="14">
        <f>ROUND(IF(CG201=0,0,HLOOKUP(CG$14,Villagers!$B$1:$V$33,CG201+3,FALSE)),)</f>
        <v>10</v>
      </c>
      <c r="DC201" s="14">
        <f>ROUND(IF(CH201=0,0,HLOOKUP(CH$14,Villagers!$B$1:$V$33,CH201+3,FALSE)),)</f>
        <v>0</v>
      </c>
      <c r="DD201" s="14">
        <f>ROUND(IF(CI201=0,0,HLOOKUP(CI$14,Villagers!$B$1:$V$33,CI201+3,FALSE)),)</f>
        <v>0</v>
      </c>
      <c r="DE201" s="14">
        <f>ROUND(IF(CJ201=0,0,HLOOKUP(CJ$14,Villagers!$B$1:$V$33,CJ201+3,FALSE)),)</f>
        <v>2</v>
      </c>
      <c r="DF201" s="370">
        <f>ROUND(IF(CK201=0,0,HLOOKUP(CK$14,Villagers!$B$1:$V$33,CK201+3,FALSE)),)</f>
        <v>0</v>
      </c>
      <c r="DG201" s="370">
        <f>ROUND(IF(CL201=0,0,HLOOKUP(CL$14,Villagers!$B$1:$V$33,CL201+3,FALSE)),)</f>
        <v>0</v>
      </c>
      <c r="DH201" s="34">
        <f>ROUND(IF(CM201=0,0,HLOOKUP(CM$14,Villagers!$B$1:$V$33,CM201+3,FALSE)),)</f>
        <v>0</v>
      </c>
      <c r="DI201" s="109">
        <f t="shared" si="373"/>
        <v>0</v>
      </c>
      <c r="DJ201" s="50">
        <f t="shared" si="374"/>
        <v>0</v>
      </c>
      <c r="DK201" s="50">
        <f t="shared" si="375"/>
        <v>0</v>
      </c>
      <c r="DL201" s="50">
        <f t="shared" si="376"/>
        <v>0</v>
      </c>
      <c r="DM201" s="50">
        <f t="shared" si="377"/>
        <v>0</v>
      </c>
      <c r="DN201" s="50">
        <f t="shared" si="378"/>
        <v>0</v>
      </c>
      <c r="DO201" s="50">
        <f t="shared" si="379"/>
        <v>0</v>
      </c>
      <c r="DP201" s="50">
        <f t="shared" si="380"/>
        <v>0</v>
      </c>
      <c r="DQ201" s="50">
        <f t="shared" si="357"/>
        <v>0</v>
      </c>
      <c r="DR201" s="50">
        <f t="shared" si="358"/>
        <v>0</v>
      </c>
      <c r="DS201" s="96">
        <f>Miscelaneous!$D$4*Miscelaneous!$D$2^($CI201-1)</f>
        <v>1000</v>
      </c>
      <c r="DT201" s="333">
        <f t="shared" si="337"/>
        <v>1</v>
      </c>
      <c r="DU201" s="81">
        <v>1</v>
      </c>
      <c r="DV201" s="79">
        <f t="shared" si="359"/>
        <v>0</v>
      </c>
      <c r="DW201" s="79">
        <f t="shared" si="360"/>
        <v>0</v>
      </c>
      <c r="DX201" s="79">
        <f t="shared" si="361"/>
        <v>0</v>
      </c>
      <c r="DY201" s="79">
        <v>1</v>
      </c>
      <c r="DZ201" s="79">
        <f t="shared" si="362"/>
        <v>0</v>
      </c>
      <c r="EA201" s="79">
        <f t="shared" si="363"/>
        <v>0</v>
      </c>
      <c r="EB201" s="79">
        <f t="shared" si="364"/>
        <v>0</v>
      </c>
      <c r="EC201" s="79">
        <f t="shared" si="365"/>
        <v>0</v>
      </c>
      <c r="ED201" s="79">
        <v>1</v>
      </c>
      <c r="EE201" s="79">
        <v>1</v>
      </c>
      <c r="EF201" s="79">
        <f t="shared" si="366"/>
        <v>0</v>
      </c>
      <c r="EG201" s="79">
        <v>1</v>
      </c>
      <c r="EH201" s="79">
        <v>1</v>
      </c>
      <c r="EI201" s="79">
        <v>1</v>
      </c>
      <c r="EJ201" s="79">
        <v>1</v>
      </c>
      <c r="EK201" s="79">
        <v>1</v>
      </c>
      <c r="EL201" s="79">
        <v>1</v>
      </c>
      <c r="EM201" s="143">
        <f t="shared" si="367"/>
        <v>0</v>
      </c>
      <c r="EN201" s="143">
        <f t="shared" si="368"/>
        <v>0</v>
      </c>
      <c r="EO201" s="82">
        <f t="shared" si="369"/>
        <v>0</v>
      </c>
    </row>
    <row r="202" spans="1:145" x14ac:dyDescent="0.25">
      <c r="A202">
        <v>188</v>
      </c>
      <c r="B202" s="172" t="e">
        <f t="shared" si="338"/>
        <v>#N/A</v>
      </c>
      <c r="C202" s="121" t="e">
        <f t="shared" ref="C202:E202" si="467">AJ202-SUM(AB202:AB206)</f>
        <v>#N/A</v>
      </c>
      <c r="D202" s="122" t="e">
        <f t="shared" si="467"/>
        <v>#N/A</v>
      </c>
      <c r="E202" s="122" t="e">
        <f t="shared" si="467"/>
        <v>#N/A</v>
      </c>
      <c r="F202" s="176" t="e">
        <f t="shared" si="320"/>
        <v>#N/A</v>
      </c>
      <c r="G202" s="121">
        <f t="shared" si="340"/>
        <v>208</v>
      </c>
      <c r="H202" s="176" t="e">
        <f t="shared" si="341"/>
        <v>#N/A</v>
      </c>
      <c r="I202" s="48">
        <v>1</v>
      </c>
      <c r="J202" s="39"/>
      <c r="K202" s="350">
        <v>1</v>
      </c>
      <c r="L202" s="34" t="e">
        <f t="shared" si="321"/>
        <v>#N/A</v>
      </c>
      <c r="M202" s="38" t="e">
        <f>(HLOOKUP(J202,'Construction Times'!$B$3:$W$34,L202+2,FALSE)*HLOOKUP("hq modifier",'Construction Times'!$W$3:$W$34,BS202+2,FALSE))*(1-$H$9)</f>
        <v>#N/A</v>
      </c>
      <c r="N202" s="426" t="e">
        <f t="shared" si="342"/>
        <v>#N/A</v>
      </c>
      <c r="O202" s="427"/>
      <c r="P202" s="430" t="e">
        <f t="shared" si="343"/>
        <v>#N/A</v>
      </c>
      <c r="Q202" s="431"/>
      <c r="R202" s="103">
        <f t="shared" si="371"/>
        <v>0</v>
      </c>
      <c r="S202" s="104">
        <f t="shared" si="371"/>
        <v>0</v>
      </c>
      <c r="T202" s="104">
        <f t="shared" si="372"/>
        <v>0</v>
      </c>
      <c r="U202" s="104">
        <f t="shared" si="372"/>
        <v>0</v>
      </c>
      <c r="V202" s="104">
        <f t="shared" si="372"/>
        <v>9.9999999999999995E-8</v>
      </c>
      <c r="W202" s="104">
        <f t="shared" si="372"/>
        <v>0</v>
      </c>
      <c r="X202" s="104">
        <f t="shared" si="429"/>
        <v>0</v>
      </c>
      <c r="Y202" s="104">
        <f t="shared" si="429"/>
        <v>9.9999999999999995E-8</v>
      </c>
      <c r="Z202" s="104">
        <f t="shared" si="429"/>
        <v>9.9999999999999995E-8</v>
      </c>
      <c r="AA202" s="105">
        <f t="shared" si="429"/>
        <v>9.9999999999999995E-8</v>
      </c>
      <c r="AB202" s="101" t="e">
        <f>$DT202*HLOOKUP($J202,'Construction Costs (timber)'!$B$1:$V$32,'Construction Planner'!$L202+2,FALSE)</f>
        <v>#N/A</v>
      </c>
      <c r="AC202" s="14" t="e">
        <f>$DT202*HLOOKUP($J202,'Construction Costs (clay)'!$B$1:$V$32,'Construction Planner'!$L202+2,FALSE)</f>
        <v>#N/A</v>
      </c>
      <c r="AD202" s="14" t="e">
        <f>$DT202*HLOOKUP($J202,'Construction Costs (iron)'!$B$1:$V$32,'Construction Planner'!$L202+2,FALSE)</f>
        <v>#N/A</v>
      </c>
      <c r="AE202" s="34" t="e">
        <f t="shared" si="384"/>
        <v>#N/A</v>
      </c>
      <c r="AF202" s="33" t="e">
        <f t="shared" si="322"/>
        <v>#N/A</v>
      </c>
      <c r="AG202" s="14" t="e">
        <f t="shared" si="323"/>
        <v>#N/A</v>
      </c>
      <c r="AH202" s="14" t="e">
        <f t="shared" si="324"/>
        <v>#N/A</v>
      </c>
      <c r="AI202" s="34" t="e">
        <f t="shared" si="385"/>
        <v>#N/A</v>
      </c>
      <c r="AJ202" s="49" t="e">
        <f t="shared" si="345"/>
        <v>#N/A</v>
      </c>
      <c r="AK202" s="49" t="e">
        <f t="shared" si="346"/>
        <v>#N/A</v>
      </c>
      <c r="AL202" s="49" t="e">
        <f t="shared" si="347"/>
        <v>#N/A</v>
      </c>
      <c r="AM202" s="25">
        <f t="shared" si="325"/>
        <v>30</v>
      </c>
      <c r="AN202" s="25">
        <f t="shared" si="326"/>
        <v>30</v>
      </c>
      <c r="AO202" s="25">
        <f t="shared" si="327"/>
        <v>30</v>
      </c>
      <c r="AP202" s="52" t="e">
        <f t="shared" si="348"/>
        <v>#N/A</v>
      </c>
      <c r="AQ202" s="53" t="e">
        <f t="shared" si="348"/>
        <v>#N/A</v>
      </c>
      <c r="AR202" s="54" t="e">
        <f t="shared" si="348"/>
        <v>#N/A</v>
      </c>
      <c r="AS202" s="316">
        <f t="shared" si="459"/>
        <v>0</v>
      </c>
      <c r="AT202" s="106">
        <f>_xlfn.IFNA($M202/VLOOKUP($BT202,'Unit information'!$A$2:$K$29,2,FALSE)*R202,0)*(1+$E$9)</f>
        <v>0</v>
      </c>
      <c r="AU202" s="107">
        <f>_xlfn.IFNA($M202/VLOOKUP($BT202,'Unit information'!$A$2:$K$29,3,FALSE)*S202,0)*(1+$E$9)</f>
        <v>0</v>
      </c>
      <c r="AV202" s="107">
        <f>_xlfn.IFNA($M202/VLOOKUP($BT202,'Unit information'!$A$2:$K$29,4,FALSE)*T202,0)*(1+$E$9)</f>
        <v>0</v>
      </c>
      <c r="AW202" s="107">
        <f>_xlfn.IFNA($M202/VLOOKUP($BT202,'Unit information'!$A$2:$K$29,5,FALSE)*U202,0)*(1+$E$9)</f>
        <v>0</v>
      </c>
      <c r="AX202" s="107">
        <f>_xlfn.IFNA($M202/VLOOKUP($BU202,'Unit information'!$A$2:$K$29,6,FALSE)*V202,0)*(1+$E$9)</f>
        <v>0</v>
      </c>
      <c r="AY202" s="107">
        <f>_xlfn.IFNA($M202/VLOOKUP($BU202,'Unit information'!$A$2:$K$29,7,FALSE)*W202,0)*(1+$E$9)</f>
        <v>0</v>
      </c>
      <c r="AZ202" s="107">
        <f>_xlfn.IFNA($M202/VLOOKUP($BU202,'Unit information'!$A$2:$K$29,8,FALSE)*X202,0)*(1+$E$9)</f>
        <v>0</v>
      </c>
      <c r="BA202" s="107">
        <f>_xlfn.IFNA($M202/VLOOKUP($BU202,'Unit information'!$A$2:$K$29,9,FALSE)*Y202,0)*(1+$E$9)</f>
        <v>0</v>
      </c>
      <c r="BB202" s="107">
        <f>_xlfn.IFNA($M202/VLOOKUP($BV202,'Unit information'!$A$2:$K$29,10,FALSE)*Z202,0)*(1+$E$9)</f>
        <v>0</v>
      </c>
      <c r="BC202" s="108">
        <f>_xlfn.IFNA($M202/VLOOKUP($BV202,'Unit information'!$A$2:$K$29,11,FALSE)*AA202,0)*(1+$E$9)</f>
        <v>0</v>
      </c>
      <c r="BD202" s="106">
        <f t="shared" si="328"/>
        <v>0</v>
      </c>
      <c r="BE202" s="107">
        <f t="shared" si="329"/>
        <v>0</v>
      </c>
      <c r="BF202" s="108">
        <f t="shared" si="330"/>
        <v>0</v>
      </c>
      <c r="BG202" s="25" t="e">
        <f t="shared" si="331"/>
        <v>#N/A</v>
      </c>
      <c r="BH202" s="25" t="e">
        <f t="shared" si="332"/>
        <v>#N/A</v>
      </c>
      <c r="BI202" s="25" t="e">
        <f t="shared" si="333"/>
        <v>#N/A</v>
      </c>
      <c r="BJ202" s="27" t="e">
        <f t="shared" si="334"/>
        <v>#N/A</v>
      </c>
      <c r="BK202" s="18" t="e">
        <f t="shared" si="335"/>
        <v>#N/A</v>
      </c>
      <c r="BL202" s="18" t="e">
        <f t="shared" si="336"/>
        <v>#N/A</v>
      </c>
      <c r="BM202" s="28" t="e">
        <f t="shared" si="387"/>
        <v>#N/A</v>
      </c>
      <c r="BN202" s="33">
        <f>HLOOKUP("maximum population",Miscelaneous!$C$1:$C$33,CH202+3,FALSE)</f>
        <v>240</v>
      </c>
      <c r="BO202" s="14">
        <f t="shared" si="349"/>
        <v>32</v>
      </c>
      <c r="BP202" s="14">
        <f t="shared" si="350"/>
        <v>0</v>
      </c>
      <c r="BQ202" s="14">
        <f t="shared" si="351"/>
        <v>208</v>
      </c>
      <c r="BR202" s="34" t="e">
        <f>HLOOKUP(J202,Villagers!$B$1:$V$33,L202+3,FALSE)-HLOOKUP(J202,Villagers!$B$1:$V$33,L202+2,FALSE)</f>
        <v>#N/A</v>
      </c>
      <c r="BS202" s="49">
        <f t="shared" si="352"/>
        <v>1</v>
      </c>
      <c r="BT202" s="50">
        <f t="shared" si="353"/>
        <v>0</v>
      </c>
      <c r="BU202" s="50">
        <f t="shared" si="354"/>
        <v>0</v>
      </c>
      <c r="BV202" s="50">
        <f t="shared" si="355"/>
        <v>0</v>
      </c>
      <c r="BW202" s="50">
        <f t="shared" si="465"/>
        <v>0</v>
      </c>
      <c r="BX202" s="50">
        <f t="shared" si="463"/>
        <v>0</v>
      </c>
      <c r="BY202" s="50">
        <f t="shared" si="463"/>
        <v>0</v>
      </c>
      <c r="BZ202" s="50">
        <f t="shared" si="401"/>
        <v>0</v>
      </c>
      <c r="CA202" s="50">
        <f t="shared" si="402"/>
        <v>0</v>
      </c>
      <c r="CB202" s="50">
        <f t="shared" si="403"/>
        <v>1</v>
      </c>
      <c r="CC202" s="50">
        <f t="shared" si="404"/>
        <v>0</v>
      </c>
      <c r="CD202" s="50">
        <f t="shared" si="405"/>
        <v>0</v>
      </c>
      <c r="CE202" s="50">
        <f t="shared" si="406"/>
        <v>1</v>
      </c>
      <c r="CF202" s="50">
        <f t="shared" si="407"/>
        <v>1</v>
      </c>
      <c r="CG202" s="50">
        <f t="shared" si="408"/>
        <v>1</v>
      </c>
      <c r="CH202" s="50">
        <f t="shared" si="409"/>
        <v>1</v>
      </c>
      <c r="CI202" s="50">
        <f t="shared" si="410"/>
        <v>1</v>
      </c>
      <c r="CJ202" s="50">
        <f t="shared" si="411"/>
        <v>1</v>
      </c>
      <c r="CK202" s="50">
        <f t="shared" si="411"/>
        <v>0</v>
      </c>
      <c r="CL202" s="50">
        <f t="shared" si="411"/>
        <v>0</v>
      </c>
      <c r="CM202" s="51">
        <f t="shared" si="432"/>
        <v>0</v>
      </c>
      <c r="CN202" s="33">
        <f>ROUND(IF(BS202=0,0,HLOOKUP(BS$14,Villagers!$B$1:$V$33,BS202+3,FALSE)),)</f>
        <v>5</v>
      </c>
      <c r="CO202" s="14">
        <f>ROUND(IF(BT202=0,0,HLOOKUP(BT$14,Villagers!$B$1:$V$33,BT202+3,FALSE)),)</f>
        <v>0</v>
      </c>
      <c r="CP202" s="14">
        <f>ROUND(IF(BU202=0,0,HLOOKUP(BU$14,Villagers!$B$1:$V$33,BU202+3,FALSE)),)</f>
        <v>0</v>
      </c>
      <c r="CQ202" s="14">
        <f>ROUND(IF(BV202=0,0,HLOOKUP(BV$14,Villagers!$B$1:$V$33,BV202+3,FALSE)),)</f>
        <v>0</v>
      </c>
      <c r="CR202" s="14">
        <f>ROUND(IF(BW202=0,0,HLOOKUP(BW$14,Villagers!$B$1:$V$33,BW202+3,FALSE)),)</f>
        <v>0</v>
      </c>
      <c r="CS202" s="14">
        <f>ROUND(IF(BX202=0,0,HLOOKUP(BX$14,Villagers!$B$1:$V$33,BX202+3,FALSE)),)</f>
        <v>0</v>
      </c>
      <c r="CT202" s="14">
        <f>ROUND(IF(BY202=0,0,HLOOKUP(BY$14,Villagers!$B$1:$V$33,BY202+3,FALSE)),)</f>
        <v>0</v>
      </c>
      <c r="CU202" s="14">
        <f>ROUND(IF(BZ202=0,0,HLOOKUP(BZ$14,Villagers!$B$1:$V$33,BZ202+3,FALSE)),)</f>
        <v>0</v>
      </c>
      <c r="CV202" s="14">
        <f>ROUND(IF(CA202=0,0,HLOOKUP(CA$14,Villagers!$B$1:$V$33,CA202+3,FALSE)),)</f>
        <v>0</v>
      </c>
      <c r="CW202" s="14">
        <f>ROUND(IF(CB202=0,0,HLOOKUP(CB$14,Villagers!$B$1:$V$33,CB202+3,FALSE)),)</f>
        <v>0</v>
      </c>
      <c r="CX202" s="14">
        <f>ROUND(IF(CC202=0,0,HLOOKUP(CC$14,Villagers!$B$1:$V$33,CC202+3,FALSE)),)</f>
        <v>0</v>
      </c>
      <c r="CY202" s="14">
        <f>ROUND(IF(CD202=0,0,HLOOKUP(CD$14,Villagers!$B$1:$V$33,CD202+3,FALSE)),)</f>
        <v>0</v>
      </c>
      <c r="CZ202" s="14">
        <f>ROUND(IF(CE202=0,0,HLOOKUP(CE$14,Villagers!$B$1:$V$33,CE202+3,FALSE)),)</f>
        <v>5</v>
      </c>
      <c r="DA202" s="14">
        <f>ROUND(IF(CF202=0,0,HLOOKUP(CF$14,Villagers!$B$1:$V$33,CF202+3,FALSE)),)</f>
        <v>10</v>
      </c>
      <c r="DB202" s="14">
        <f>ROUND(IF(CG202=0,0,HLOOKUP(CG$14,Villagers!$B$1:$V$33,CG202+3,FALSE)),)</f>
        <v>10</v>
      </c>
      <c r="DC202" s="14">
        <f>ROUND(IF(CH202=0,0,HLOOKUP(CH$14,Villagers!$B$1:$V$33,CH202+3,FALSE)),)</f>
        <v>0</v>
      </c>
      <c r="DD202" s="14">
        <f>ROUND(IF(CI202=0,0,HLOOKUP(CI$14,Villagers!$B$1:$V$33,CI202+3,FALSE)),)</f>
        <v>0</v>
      </c>
      <c r="DE202" s="14">
        <f>ROUND(IF(CJ202=0,0,HLOOKUP(CJ$14,Villagers!$B$1:$V$33,CJ202+3,FALSE)),)</f>
        <v>2</v>
      </c>
      <c r="DF202" s="370">
        <f>ROUND(IF(CK202=0,0,HLOOKUP(CK$14,Villagers!$B$1:$V$33,CK202+3,FALSE)),)</f>
        <v>0</v>
      </c>
      <c r="DG202" s="370">
        <f>ROUND(IF(CL202=0,0,HLOOKUP(CL$14,Villagers!$B$1:$V$33,CL202+3,FALSE)),)</f>
        <v>0</v>
      </c>
      <c r="DH202" s="34">
        <f>ROUND(IF(CM202=0,0,HLOOKUP(CM$14,Villagers!$B$1:$V$33,CM202+3,FALSE)),)</f>
        <v>0</v>
      </c>
      <c r="DI202" s="109">
        <f t="shared" si="373"/>
        <v>0</v>
      </c>
      <c r="DJ202" s="50">
        <f t="shared" si="374"/>
        <v>0</v>
      </c>
      <c r="DK202" s="50">
        <f t="shared" si="375"/>
        <v>0</v>
      </c>
      <c r="DL202" s="50">
        <f t="shared" si="376"/>
        <v>0</v>
      </c>
      <c r="DM202" s="50">
        <f t="shared" si="377"/>
        <v>0</v>
      </c>
      <c r="DN202" s="50">
        <f t="shared" si="378"/>
        <v>0</v>
      </c>
      <c r="DO202" s="50">
        <f t="shared" si="379"/>
        <v>0</v>
      </c>
      <c r="DP202" s="50">
        <f t="shared" si="380"/>
        <v>0</v>
      </c>
      <c r="DQ202" s="50">
        <f t="shared" si="357"/>
        <v>0</v>
      </c>
      <c r="DR202" s="50">
        <f t="shared" si="358"/>
        <v>0</v>
      </c>
      <c r="DS202" s="96">
        <f>Miscelaneous!$D$4*Miscelaneous!$D$2^($CI202-1)</f>
        <v>1000</v>
      </c>
      <c r="DT202" s="333">
        <f t="shared" si="337"/>
        <v>1</v>
      </c>
      <c r="DU202" s="81">
        <v>1</v>
      </c>
      <c r="DV202" s="79">
        <f t="shared" si="359"/>
        <v>0</v>
      </c>
      <c r="DW202" s="79">
        <f t="shared" si="360"/>
        <v>0</v>
      </c>
      <c r="DX202" s="79">
        <f t="shared" si="361"/>
        <v>0</v>
      </c>
      <c r="DY202" s="79">
        <v>1</v>
      </c>
      <c r="DZ202" s="79">
        <f t="shared" si="362"/>
        <v>0</v>
      </c>
      <c r="EA202" s="79">
        <f t="shared" si="363"/>
        <v>0</v>
      </c>
      <c r="EB202" s="79">
        <f t="shared" si="364"/>
        <v>0</v>
      </c>
      <c r="EC202" s="79">
        <f t="shared" si="365"/>
        <v>0</v>
      </c>
      <c r="ED202" s="79">
        <v>1</v>
      </c>
      <c r="EE202" s="79">
        <v>1</v>
      </c>
      <c r="EF202" s="79">
        <f t="shared" si="366"/>
        <v>0</v>
      </c>
      <c r="EG202" s="79">
        <v>1</v>
      </c>
      <c r="EH202" s="79">
        <v>1</v>
      </c>
      <c r="EI202" s="79">
        <v>1</v>
      </c>
      <c r="EJ202" s="79">
        <v>1</v>
      </c>
      <c r="EK202" s="79">
        <v>1</v>
      </c>
      <c r="EL202" s="79">
        <v>1</v>
      </c>
      <c r="EM202" s="143">
        <f t="shared" si="367"/>
        <v>0</v>
      </c>
      <c r="EN202" s="143">
        <f t="shared" si="368"/>
        <v>0</v>
      </c>
      <c r="EO202" s="82">
        <f t="shared" si="369"/>
        <v>0</v>
      </c>
    </row>
    <row r="203" spans="1:145" x14ac:dyDescent="0.25">
      <c r="A203">
        <v>189</v>
      </c>
      <c r="B203" s="172" t="e">
        <f t="shared" si="338"/>
        <v>#N/A</v>
      </c>
      <c r="C203" s="121" t="e">
        <f t="shared" ref="C203:E203" si="468">AJ203-SUM(AB203:AB207)</f>
        <v>#N/A</v>
      </c>
      <c r="D203" s="122" t="e">
        <f t="shared" si="468"/>
        <v>#N/A</v>
      </c>
      <c r="E203" s="122" t="e">
        <f t="shared" si="468"/>
        <v>#N/A</v>
      </c>
      <c r="F203" s="176" t="e">
        <f t="shared" si="320"/>
        <v>#N/A</v>
      </c>
      <c r="G203" s="121">
        <f t="shared" si="340"/>
        <v>208</v>
      </c>
      <c r="H203" s="176" t="e">
        <f t="shared" si="341"/>
        <v>#N/A</v>
      </c>
      <c r="I203" s="48">
        <v>1</v>
      </c>
      <c r="J203" s="39"/>
      <c r="K203" s="350">
        <v>1</v>
      </c>
      <c r="L203" s="34" t="e">
        <f t="shared" si="321"/>
        <v>#N/A</v>
      </c>
      <c r="M203" s="38" t="e">
        <f>(HLOOKUP(J203,'Construction Times'!$B$3:$W$34,L203+2,FALSE)*HLOOKUP("hq modifier",'Construction Times'!$W$3:$W$34,BS203+2,FALSE))*(1-$H$9)</f>
        <v>#N/A</v>
      </c>
      <c r="N203" s="426" t="e">
        <f t="shared" si="342"/>
        <v>#N/A</v>
      </c>
      <c r="O203" s="427"/>
      <c r="P203" s="430" t="e">
        <f t="shared" si="343"/>
        <v>#N/A</v>
      </c>
      <c r="Q203" s="431"/>
      <c r="R203" s="103">
        <f t="shared" si="371"/>
        <v>0</v>
      </c>
      <c r="S203" s="104">
        <f t="shared" si="371"/>
        <v>0</v>
      </c>
      <c r="T203" s="104">
        <f t="shared" si="372"/>
        <v>0</v>
      </c>
      <c r="U203" s="104">
        <f t="shared" si="372"/>
        <v>0</v>
      </c>
      <c r="V203" s="104">
        <f t="shared" si="372"/>
        <v>9.9999999999999995E-8</v>
      </c>
      <c r="W203" s="104">
        <f t="shared" si="372"/>
        <v>0</v>
      </c>
      <c r="X203" s="104">
        <f t="shared" si="429"/>
        <v>0</v>
      </c>
      <c r="Y203" s="104">
        <f t="shared" si="429"/>
        <v>9.9999999999999995E-8</v>
      </c>
      <c r="Z203" s="104">
        <f t="shared" si="429"/>
        <v>9.9999999999999995E-8</v>
      </c>
      <c r="AA203" s="105">
        <f t="shared" si="429"/>
        <v>9.9999999999999995E-8</v>
      </c>
      <c r="AB203" s="101" t="e">
        <f>$DT203*HLOOKUP($J203,'Construction Costs (timber)'!$B$1:$V$32,'Construction Planner'!$L203+2,FALSE)</f>
        <v>#N/A</v>
      </c>
      <c r="AC203" s="14" t="e">
        <f>$DT203*HLOOKUP($J203,'Construction Costs (clay)'!$B$1:$V$32,'Construction Planner'!$L203+2,FALSE)</f>
        <v>#N/A</v>
      </c>
      <c r="AD203" s="14" t="e">
        <f>$DT203*HLOOKUP($J203,'Construction Costs (iron)'!$B$1:$V$32,'Construction Planner'!$L203+2,FALSE)</f>
        <v>#N/A</v>
      </c>
      <c r="AE203" s="34" t="e">
        <f t="shared" si="384"/>
        <v>#N/A</v>
      </c>
      <c r="AF203" s="33" t="e">
        <f t="shared" si="322"/>
        <v>#N/A</v>
      </c>
      <c r="AG203" s="14" t="e">
        <f t="shared" si="323"/>
        <v>#N/A</v>
      </c>
      <c r="AH203" s="14" t="e">
        <f t="shared" si="324"/>
        <v>#N/A</v>
      </c>
      <c r="AI203" s="34" t="e">
        <f t="shared" si="385"/>
        <v>#N/A</v>
      </c>
      <c r="AJ203" s="49" t="e">
        <f t="shared" si="345"/>
        <v>#N/A</v>
      </c>
      <c r="AK203" s="49" t="e">
        <f t="shared" si="346"/>
        <v>#N/A</v>
      </c>
      <c r="AL203" s="49" t="e">
        <f t="shared" si="347"/>
        <v>#N/A</v>
      </c>
      <c r="AM203" s="25">
        <f t="shared" si="325"/>
        <v>30</v>
      </c>
      <c r="AN203" s="25">
        <f t="shared" si="326"/>
        <v>30</v>
      </c>
      <c r="AO203" s="25">
        <f t="shared" si="327"/>
        <v>30</v>
      </c>
      <c r="AP203" s="52" t="e">
        <f t="shared" si="348"/>
        <v>#N/A</v>
      </c>
      <c r="AQ203" s="53" t="e">
        <f t="shared" si="348"/>
        <v>#N/A</v>
      </c>
      <c r="AR203" s="54" t="e">
        <f t="shared" si="348"/>
        <v>#N/A</v>
      </c>
      <c r="AS203" s="316">
        <f t="shared" si="459"/>
        <v>0</v>
      </c>
      <c r="AT203" s="106">
        <f>_xlfn.IFNA($M203/VLOOKUP($BT203,'Unit information'!$A$2:$K$29,2,FALSE)*R203,0)*(1+$E$9)</f>
        <v>0</v>
      </c>
      <c r="AU203" s="107">
        <f>_xlfn.IFNA($M203/VLOOKUP($BT203,'Unit information'!$A$2:$K$29,3,FALSE)*S203,0)*(1+$E$9)</f>
        <v>0</v>
      </c>
      <c r="AV203" s="107">
        <f>_xlfn.IFNA($M203/VLOOKUP($BT203,'Unit information'!$A$2:$K$29,4,FALSE)*T203,0)*(1+$E$9)</f>
        <v>0</v>
      </c>
      <c r="AW203" s="107">
        <f>_xlfn.IFNA($M203/VLOOKUP($BT203,'Unit information'!$A$2:$K$29,5,FALSE)*U203,0)*(1+$E$9)</f>
        <v>0</v>
      </c>
      <c r="AX203" s="107">
        <f>_xlfn.IFNA($M203/VLOOKUP($BU203,'Unit information'!$A$2:$K$29,6,FALSE)*V203,0)*(1+$E$9)</f>
        <v>0</v>
      </c>
      <c r="AY203" s="107">
        <f>_xlfn.IFNA($M203/VLOOKUP($BU203,'Unit information'!$A$2:$K$29,7,FALSE)*W203,0)*(1+$E$9)</f>
        <v>0</v>
      </c>
      <c r="AZ203" s="107">
        <f>_xlfn.IFNA($M203/VLOOKUP($BU203,'Unit information'!$A$2:$K$29,8,FALSE)*X203,0)*(1+$E$9)</f>
        <v>0</v>
      </c>
      <c r="BA203" s="107">
        <f>_xlfn.IFNA($M203/VLOOKUP($BU203,'Unit information'!$A$2:$K$29,9,FALSE)*Y203,0)*(1+$E$9)</f>
        <v>0</v>
      </c>
      <c r="BB203" s="107">
        <f>_xlfn.IFNA($M203/VLOOKUP($BV203,'Unit information'!$A$2:$K$29,10,FALSE)*Z203,0)*(1+$E$9)</f>
        <v>0</v>
      </c>
      <c r="BC203" s="108">
        <f>_xlfn.IFNA($M203/VLOOKUP($BV203,'Unit information'!$A$2:$K$29,11,FALSE)*AA203,0)*(1+$E$9)</f>
        <v>0</v>
      </c>
      <c r="BD203" s="106">
        <f t="shared" si="328"/>
        <v>0</v>
      </c>
      <c r="BE203" s="107">
        <f t="shared" si="329"/>
        <v>0</v>
      </c>
      <c r="BF203" s="108">
        <f t="shared" si="330"/>
        <v>0</v>
      </c>
      <c r="BG203" s="25" t="e">
        <f t="shared" si="331"/>
        <v>#N/A</v>
      </c>
      <c r="BH203" s="25" t="e">
        <f t="shared" si="332"/>
        <v>#N/A</v>
      </c>
      <c r="BI203" s="25" t="e">
        <f t="shared" si="333"/>
        <v>#N/A</v>
      </c>
      <c r="BJ203" s="27" t="e">
        <f t="shared" si="334"/>
        <v>#N/A</v>
      </c>
      <c r="BK203" s="18" t="e">
        <f t="shared" si="335"/>
        <v>#N/A</v>
      </c>
      <c r="BL203" s="18" t="e">
        <f t="shared" si="336"/>
        <v>#N/A</v>
      </c>
      <c r="BM203" s="28" t="e">
        <f t="shared" si="387"/>
        <v>#N/A</v>
      </c>
      <c r="BN203" s="33">
        <f>HLOOKUP("maximum population",Miscelaneous!$C$1:$C$33,CH203+3,FALSE)</f>
        <v>240</v>
      </c>
      <c r="BO203" s="14">
        <f t="shared" si="349"/>
        <v>32</v>
      </c>
      <c r="BP203" s="14">
        <f t="shared" si="350"/>
        <v>0</v>
      </c>
      <c r="BQ203" s="14">
        <f t="shared" si="351"/>
        <v>208</v>
      </c>
      <c r="BR203" s="34" t="e">
        <f>HLOOKUP(J203,Villagers!$B$1:$V$33,L203+3,FALSE)-HLOOKUP(J203,Villagers!$B$1:$V$33,L203+2,FALSE)</f>
        <v>#N/A</v>
      </c>
      <c r="BS203" s="49">
        <f t="shared" si="352"/>
        <v>1</v>
      </c>
      <c r="BT203" s="50">
        <f t="shared" si="353"/>
        <v>0</v>
      </c>
      <c r="BU203" s="50">
        <f t="shared" si="354"/>
        <v>0</v>
      </c>
      <c r="BV203" s="50">
        <f t="shared" si="355"/>
        <v>0</v>
      </c>
      <c r="BW203" s="50">
        <f t="shared" si="465"/>
        <v>0</v>
      </c>
      <c r="BX203" s="50">
        <f t="shared" si="463"/>
        <v>0</v>
      </c>
      <c r="BY203" s="50">
        <f t="shared" si="463"/>
        <v>0</v>
      </c>
      <c r="BZ203" s="50">
        <f t="shared" si="401"/>
        <v>0</v>
      </c>
      <c r="CA203" s="50">
        <f t="shared" si="402"/>
        <v>0</v>
      </c>
      <c r="CB203" s="50">
        <f t="shared" si="403"/>
        <v>1</v>
      </c>
      <c r="CC203" s="50">
        <f t="shared" si="404"/>
        <v>0</v>
      </c>
      <c r="CD203" s="50">
        <f t="shared" si="405"/>
        <v>0</v>
      </c>
      <c r="CE203" s="50">
        <f t="shared" si="406"/>
        <v>1</v>
      </c>
      <c r="CF203" s="50">
        <f t="shared" si="407"/>
        <v>1</v>
      </c>
      <c r="CG203" s="50">
        <f t="shared" si="408"/>
        <v>1</v>
      </c>
      <c r="CH203" s="50">
        <f t="shared" si="409"/>
        <v>1</v>
      </c>
      <c r="CI203" s="50">
        <f t="shared" si="410"/>
        <v>1</v>
      </c>
      <c r="CJ203" s="50">
        <f t="shared" si="411"/>
        <v>1</v>
      </c>
      <c r="CK203" s="50">
        <f t="shared" si="411"/>
        <v>0</v>
      </c>
      <c r="CL203" s="50">
        <f t="shared" si="411"/>
        <v>0</v>
      </c>
      <c r="CM203" s="51">
        <f t="shared" si="432"/>
        <v>0</v>
      </c>
      <c r="CN203" s="33">
        <f>ROUND(IF(BS203=0,0,HLOOKUP(BS$14,Villagers!$B$1:$V$33,BS203+3,FALSE)),)</f>
        <v>5</v>
      </c>
      <c r="CO203" s="14">
        <f>ROUND(IF(BT203=0,0,HLOOKUP(BT$14,Villagers!$B$1:$V$33,BT203+3,FALSE)),)</f>
        <v>0</v>
      </c>
      <c r="CP203" s="14">
        <f>ROUND(IF(BU203=0,0,HLOOKUP(BU$14,Villagers!$B$1:$V$33,BU203+3,FALSE)),)</f>
        <v>0</v>
      </c>
      <c r="CQ203" s="14">
        <f>ROUND(IF(BV203=0,0,HLOOKUP(BV$14,Villagers!$B$1:$V$33,BV203+3,FALSE)),)</f>
        <v>0</v>
      </c>
      <c r="CR203" s="14">
        <f>ROUND(IF(BW203=0,0,HLOOKUP(BW$14,Villagers!$B$1:$V$33,BW203+3,FALSE)),)</f>
        <v>0</v>
      </c>
      <c r="CS203" s="14">
        <f>ROUND(IF(BX203=0,0,HLOOKUP(BX$14,Villagers!$B$1:$V$33,BX203+3,FALSE)),)</f>
        <v>0</v>
      </c>
      <c r="CT203" s="14">
        <f>ROUND(IF(BY203=0,0,HLOOKUP(BY$14,Villagers!$B$1:$V$33,BY203+3,FALSE)),)</f>
        <v>0</v>
      </c>
      <c r="CU203" s="14">
        <f>ROUND(IF(BZ203=0,0,HLOOKUP(BZ$14,Villagers!$B$1:$V$33,BZ203+3,FALSE)),)</f>
        <v>0</v>
      </c>
      <c r="CV203" s="14">
        <f>ROUND(IF(CA203=0,0,HLOOKUP(CA$14,Villagers!$B$1:$V$33,CA203+3,FALSE)),)</f>
        <v>0</v>
      </c>
      <c r="CW203" s="14">
        <f>ROUND(IF(CB203=0,0,HLOOKUP(CB$14,Villagers!$B$1:$V$33,CB203+3,FALSE)),)</f>
        <v>0</v>
      </c>
      <c r="CX203" s="14">
        <f>ROUND(IF(CC203=0,0,HLOOKUP(CC$14,Villagers!$B$1:$V$33,CC203+3,FALSE)),)</f>
        <v>0</v>
      </c>
      <c r="CY203" s="14">
        <f>ROUND(IF(CD203=0,0,HLOOKUP(CD$14,Villagers!$B$1:$V$33,CD203+3,FALSE)),)</f>
        <v>0</v>
      </c>
      <c r="CZ203" s="14">
        <f>ROUND(IF(CE203=0,0,HLOOKUP(CE$14,Villagers!$B$1:$V$33,CE203+3,FALSE)),)</f>
        <v>5</v>
      </c>
      <c r="DA203" s="14">
        <f>ROUND(IF(CF203=0,0,HLOOKUP(CF$14,Villagers!$B$1:$V$33,CF203+3,FALSE)),)</f>
        <v>10</v>
      </c>
      <c r="DB203" s="14">
        <f>ROUND(IF(CG203=0,0,HLOOKUP(CG$14,Villagers!$B$1:$V$33,CG203+3,FALSE)),)</f>
        <v>10</v>
      </c>
      <c r="DC203" s="14">
        <f>ROUND(IF(CH203=0,0,HLOOKUP(CH$14,Villagers!$B$1:$V$33,CH203+3,FALSE)),)</f>
        <v>0</v>
      </c>
      <c r="DD203" s="14">
        <f>ROUND(IF(CI203=0,0,HLOOKUP(CI$14,Villagers!$B$1:$V$33,CI203+3,FALSE)),)</f>
        <v>0</v>
      </c>
      <c r="DE203" s="14">
        <f>ROUND(IF(CJ203=0,0,HLOOKUP(CJ$14,Villagers!$B$1:$V$33,CJ203+3,FALSE)),)</f>
        <v>2</v>
      </c>
      <c r="DF203" s="370">
        <f>ROUND(IF(CK203=0,0,HLOOKUP(CK$14,Villagers!$B$1:$V$33,CK203+3,FALSE)),)</f>
        <v>0</v>
      </c>
      <c r="DG203" s="370">
        <f>ROUND(IF(CL203=0,0,HLOOKUP(CL$14,Villagers!$B$1:$V$33,CL203+3,FALSE)),)</f>
        <v>0</v>
      </c>
      <c r="DH203" s="34">
        <f>ROUND(IF(CM203=0,0,HLOOKUP(CM$14,Villagers!$B$1:$V$33,CM203+3,FALSE)),)</f>
        <v>0</v>
      </c>
      <c r="DI203" s="109">
        <f t="shared" si="373"/>
        <v>0</v>
      </c>
      <c r="DJ203" s="50">
        <f t="shared" si="374"/>
        <v>0</v>
      </c>
      <c r="DK203" s="50">
        <f t="shared" si="375"/>
        <v>0</v>
      </c>
      <c r="DL203" s="50">
        <f t="shared" si="376"/>
        <v>0</v>
      </c>
      <c r="DM203" s="50">
        <f t="shared" si="377"/>
        <v>0</v>
      </c>
      <c r="DN203" s="50">
        <f t="shared" si="378"/>
        <v>0</v>
      </c>
      <c r="DO203" s="50">
        <f t="shared" si="379"/>
        <v>0</v>
      </c>
      <c r="DP203" s="50">
        <f t="shared" si="380"/>
        <v>0</v>
      </c>
      <c r="DQ203" s="50">
        <f t="shared" si="357"/>
        <v>0</v>
      </c>
      <c r="DR203" s="50">
        <f t="shared" si="358"/>
        <v>0</v>
      </c>
      <c r="DS203" s="96">
        <f>Miscelaneous!$D$4*Miscelaneous!$D$2^($CI203-1)</f>
        <v>1000</v>
      </c>
      <c r="DT203" s="333">
        <f t="shared" si="337"/>
        <v>1</v>
      </c>
      <c r="DU203" s="81">
        <v>1</v>
      </c>
      <c r="DV203" s="79">
        <f t="shared" si="359"/>
        <v>0</v>
      </c>
      <c r="DW203" s="79">
        <f t="shared" si="360"/>
        <v>0</v>
      </c>
      <c r="DX203" s="79">
        <f t="shared" si="361"/>
        <v>0</v>
      </c>
      <c r="DY203" s="79">
        <v>1</v>
      </c>
      <c r="DZ203" s="79">
        <f t="shared" si="362"/>
        <v>0</v>
      </c>
      <c r="EA203" s="79">
        <f t="shared" si="363"/>
        <v>0</v>
      </c>
      <c r="EB203" s="79">
        <f t="shared" si="364"/>
        <v>0</v>
      </c>
      <c r="EC203" s="79">
        <f t="shared" si="365"/>
        <v>0</v>
      </c>
      <c r="ED203" s="79">
        <v>1</v>
      </c>
      <c r="EE203" s="79">
        <v>1</v>
      </c>
      <c r="EF203" s="79">
        <f t="shared" si="366"/>
        <v>0</v>
      </c>
      <c r="EG203" s="79">
        <v>1</v>
      </c>
      <c r="EH203" s="79">
        <v>1</v>
      </c>
      <c r="EI203" s="79">
        <v>1</v>
      </c>
      <c r="EJ203" s="79">
        <v>1</v>
      </c>
      <c r="EK203" s="79">
        <v>1</v>
      </c>
      <c r="EL203" s="79">
        <v>1</v>
      </c>
      <c r="EM203" s="143">
        <f t="shared" si="367"/>
        <v>0</v>
      </c>
      <c r="EN203" s="143">
        <f t="shared" si="368"/>
        <v>0</v>
      </c>
      <c r="EO203" s="82">
        <f t="shared" si="369"/>
        <v>0</v>
      </c>
    </row>
    <row r="204" spans="1:145" x14ac:dyDescent="0.25">
      <c r="A204">
        <v>190</v>
      </c>
      <c r="B204" s="172" t="e">
        <f t="shared" si="338"/>
        <v>#N/A</v>
      </c>
      <c r="C204" s="121" t="e">
        <f t="shared" ref="C204:E204" si="469">AJ204-SUM(AB204:AB208)</f>
        <v>#N/A</v>
      </c>
      <c r="D204" s="122" t="e">
        <f t="shared" si="469"/>
        <v>#N/A</v>
      </c>
      <c r="E204" s="122" t="e">
        <f t="shared" si="469"/>
        <v>#N/A</v>
      </c>
      <c r="F204" s="176" t="e">
        <f t="shared" si="320"/>
        <v>#N/A</v>
      </c>
      <c r="G204" s="121">
        <f t="shared" si="340"/>
        <v>208</v>
      </c>
      <c r="H204" s="176" t="e">
        <f t="shared" si="341"/>
        <v>#N/A</v>
      </c>
      <c r="I204" s="48">
        <v>1</v>
      </c>
      <c r="J204" s="39"/>
      <c r="K204" s="350">
        <v>1</v>
      </c>
      <c r="L204" s="34" t="e">
        <f t="shared" si="321"/>
        <v>#N/A</v>
      </c>
      <c r="M204" s="38" t="e">
        <f>(HLOOKUP(J204,'Construction Times'!$B$3:$W$34,L204+2,FALSE)*HLOOKUP("hq modifier",'Construction Times'!$W$3:$W$34,BS204+2,FALSE))*(1-$H$9)</f>
        <v>#N/A</v>
      </c>
      <c r="N204" s="426" t="e">
        <f t="shared" si="342"/>
        <v>#N/A</v>
      </c>
      <c r="O204" s="427"/>
      <c r="P204" s="430" t="e">
        <f t="shared" si="343"/>
        <v>#N/A</v>
      </c>
      <c r="Q204" s="431"/>
      <c r="R204" s="103">
        <f t="shared" si="371"/>
        <v>0</v>
      </c>
      <c r="S204" s="104">
        <f t="shared" si="371"/>
        <v>0</v>
      </c>
      <c r="T204" s="104">
        <f t="shared" si="372"/>
        <v>0</v>
      </c>
      <c r="U204" s="104">
        <f t="shared" si="372"/>
        <v>0</v>
      </c>
      <c r="V204" s="104">
        <f t="shared" si="372"/>
        <v>9.9999999999999995E-8</v>
      </c>
      <c r="W204" s="104">
        <f t="shared" si="372"/>
        <v>0</v>
      </c>
      <c r="X204" s="104">
        <f t="shared" si="429"/>
        <v>0</v>
      </c>
      <c r="Y204" s="104">
        <f t="shared" si="429"/>
        <v>9.9999999999999995E-8</v>
      </c>
      <c r="Z204" s="104">
        <f t="shared" si="429"/>
        <v>9.9999999999999995E-8</v>
      </c>
      <c r="AA204" s="105">
        <f t="shared" si="429"/>
        <v>9.9999999999999995E-8</v>
      </c>
      <c r="AB204" s="101" t="e">
        <f>$DT204*HLOOKUP($J204,'Construction Costs (timber)'!$B$1:$V$32,'Construction Planner'!$L204+2,FALSE)</f>
        <v>#N/A</v>
      </c>
      <c r="AC204" s="14" t="e">
        <f>$DT204*HLOOKUP($J204,'Construction Costs (clay)'!$B$1:$V$32,'Construction Planner'!$L204+2,FALSE)</f>
        <v>#N/A</v>
      </c>
      <c r="AD204" s="14" t="e">
        <f>$DT204*HLOOKUP($J204,'Construction Costs (iron)'!$B$1:$V$32,'Construction Planner'!$L204+2,FALSE)</f>
        <v>#N/A</v>
      </c>
      <c r="AE204" s="34" t="e">
        <f t="shared" si="384"/>
        <v>#N/A</v>
      </c>
      <c r="AF204" s="33" t="e">
        <f t="shared" si="322"/>
        <v>#N/A</v>
      </c>
      <c r="AG204" s="14" t="e">
        <f t="shared" si="323"/>
        <v>#N/A</v>
      </c>
      <c r="AH204" s="14" t="e">
        <f t="shared" si="324"/>
        <v>#N/A</v>
      </c>
      <c r="AI204" s="34" t="e">
        <f t="shared" si="385"/>
        <v>#N/A</v>
      </c>
      <c r="AJ204" s="49" t="e">
        <f t="shared" si="345"/>
        <v>#N/A</v>
      </c>
      <c r="AK204" s="49" t="e">
        <f t="shared" si="346"/>
        <v>#N/A</v>
      </c>
      <c r="AL204" s="49" t="e">
        <f t="shared" si="347"/>
        <v>#N/A</v>
      </c>
      <c r="AM204" s="25">
        <f t="shared" si="325"/>
        <v>30</v>
      </c>
      <c r="AN204" s="25">
        <f t="shared" si="326"/>
        <v>30</v>
      </c>
      <c r="AO204" s="25">
        <f t="shared" si="327"/>
        <v>30</v>
      </c>
      <c r="AP204" s="52" t="e">
        <f t="shared" si="348"/>
        <v>#N/A</v>
      </c>
      <c r="AQ204" s="53" t="e">
        <f t="shared" si="348"/>
        <v>#N/A</v>
      </c>
      <c r="AR204" s="54" t="e">
        <f t="shared" si="348"/>
        <v>#N/A</v>
      </c>
      <c r="AS204" s="316">
        <f t="shared" si="459"/>
        <v>0</v>
      </c>
      <c r="AT204" s="106">
        <f>_xlfn.IFNA($M204/VLOOKUP($BT204,'Unit information'!$A$2:$K$29,2,FALSE)*R204,0)*(1+$E$9)</f>
        <v>0</v>
      </c>
      <c r="AU204" s="107">
        <f>_xlfn.IFNA($M204/VLOOKUP($BT204,'Unit information'!$A$2:$K$29,3,FALSE)*S204,0)*(1+$E$9)</f>
        <v>0</v>
      </c>
      <c r="AV204" s="107">
        <f>_xlfn.IFNA($M204/VLOOKUP($BT204,'Unit information'!$A$2:$K$29,4,FALSE)*T204,0)*(1+$E$9)</f>
        <v>0</v>
      </c>
      <c r="AW204" s="107">
        <f>_xlfn.IFNA($M204/VLOOKUP($BT204,'Unit information'!$A$2:$K$29,5,FALSE)*U204,0)*(1+$E$9)</f>
        <v>0</v>
      </c>
      <c r="AX204" s="107">
        <f>_xlfn.IFNA($M204/VLOOKUP($BU204,'Unit information'!$A$2:$K$29,6,FALSE)*V204,0)*(1+$E$9)</f>
        <v>0</v>
      </c>
      <c r="AY204" s="107">
        <f>_xlfn.IFNA($M204/VLOOKUP($BU204,'Unit information'!$A$2:$K$29,7,FALSE)*W204,0)*(1+$E$9)</f>
        <v>0</v>
      </c>
      <c r="AZ204" s="107">
        <f>_xlfn.IFNA($M204/VLOOKUP($BU204,'Unit information'!$A$2:$K$29,8,FALSE)*X204,0)*(1+$E$9)</f>
        <v>0</v>
      </c>
      <c r="BA204" s="107">
        <f>_xlfn.IFNA($M204/VLOOKUP($BU204,'Unit information'!$A$2:$K$29,9,FALSE)*Y204,0)*(1+$E$9)</f>
        <v>0</v>
      </c>
      <c r="BB204" s="107">
        <f>_xlfn.IFNA($M204/VLOOKUP($BV204,'Unit information'!$A$2:$K$29,10,FALSE)*Z204,0)*(1+$E$9)</f>
        <v>0</v>
      </c>
      <c r="BC204" s="108">
        <f>_xlfn.IFNA($M204/VLOOKUP($BV204,'Unit information'!$A$2:$K$29,11,FALSE)*AA204,0)*(1+$E$9)</f>
        <v>0</v>
      </c>
      <c r="BD204" s="106">
        <f t="shared" si="328"/>
        <v>0</v>
      </c>
      <c r="BE204" s="107">
        <f t="shared" si="329"/>
        <v>0</v>
      </c>
      <c r="BF204" s="108">
        <f t="shared" si="330"/>
        <v>0</v>
      </c>
      <c r="BG204" s="25" t="e">
        <f t="shared" si="331"/>
        <v>#N/A</v>
      </c>
      <c r="BH204" s="25" t="e">
        <f t="shared" si="332"/>
        <v>#N/A</v>
      </c>
      <c r="BI204" s="25" t="e">
        <f t="shared" si="333"/>
        <v>#N/A</v>
      </c>
      <c r="BJ204" s="27" t="e">
        <f t="shared" si="334"/>
        <v>#N/A</v>
      </c>
      <c r="BK204" s="18" t="e">
        <f t="shared" si="335"/>
        <v>#N/A</v>
      </c>
      <c r="BL204" s="18" t="e">
        <f t="shared" si="336"/>
        <v>#N/A</v>
      </c>
      <c r="BM204" s="28" t="e">
        <f t="shared" si="387"/>
        <v>#N/A</v>
      </c>
      <c r="BN204" s="33">
        <f>HLOOKUP("maximum population",Miscelaneous!$C$1:$C$33,CH204+3,FALSE)</f>
        <v>240</v>
      </c>
      <c r="BO204" s="14">
        <f t="shared" si="349"/>
        <v>32</v>
      </c>
      <c r="BP204" s="14">
        <f t="shared" si="350"/>
        <v>0</v>
      </c>
      <c r="BQ204" s="14">
        <f t="shared" si="351"/>
        <v>208</v>
      </c>
      <c r="BR204" s="34" t="e">
        <f>HLOOKUP(J204,Villagers!$B$1:$V$33,L204+3,FALSE)-HLOOKUP(J204,Villagers!$B$1:$V$33,L204+2,FALSE)</f>
        <v>#N/A</v>
      </c>
      <c r="BS204" s="49">
        <f t="shared" si="352"/>
        <v>1</v>
      </c>
      <c r="BT204" s="50">
        <f t="shared" si="353"/>
        <v>0</v>
      </c>
      <c r="BU204" s="50">
        <f t="shared" si="354"/>
        <v>0</v>
      </c>
      <c r="BV204" s="50">
        <f t="shared" si="355"/>
        <v>0</v>
      </c>
      <c r="BW204" s="50">
        <f t="shared" si="465"/>
        <v>0</v>
      </c>
      <c r="BX204" s="50">
        <f t="shared" si="463"/>
        <v>0</v>
      </c>
      <c r="BY204" s="50">
        <f t="shared" si="463"/>
        <v>0</v>
      </c>
      <c r="BZ204" s="50">
        <f t="shared" si="401"/>
        <v>0</v>
      </c>
      <c r="CA204" s="50">
        <f t="shared" si="402"/>
        <v>0</v>
      </c>
      <c r="CB204" s="50">
        <f t="shared" si="403"/>
        <v>1</v>
      </c>
      <c r="CC204" s="50">
        <f t="shared" si="404"/>
        <v>0</v>
      </c>
      <c r="CD204" s="50">
        <f t="shared" si="405"/>
        <v>0</v>
      </c>
      <c r="CE204" s="50">
        <f t="shared" si="406"/>
        <v>1</v>
      </c>
      <c r="CF204" s="50">
        <f t="shared" si="407"/>
        <v>1</v>
      </c>
      <c r="CG204" s="50">
        <f t="shared" si="408"/>
        <v>1</v>
      </c>
      <c r="CH204" s="50">
        <f t="shared" si="409"/>
        <v>1</v>
      </c>
      <c r="CI204" s="50">
        <f t="shared" si="410"/>
        <v>1</v>
      </c>
      <c r="CJ204" s="50">
        <f t="shared" si="411"/>
        <v>1</v>
      </c>
      <c r="CK204" s="50">
        <f t="shared" si="411"/>
        <v>0</v>
      </c>
      <c r="CL204" s="50">
        <f t="shared" si="411"/>
        <v>0</v>
      </c>
      <c r="CM204" s="51">
        <f t="shared" si="432"/>
        <v>0</v>
      </c>
      <c r="CN204" s="33">
        <f>ROUND(IF(BS204=0,0,HLOOKUP(BS$14,Villagers!$B$1:$V$33,BS204+3,FALSE)),)</f>
        <v>5</v>
      </c>
      <c r="CO204" s="14">
        <f>ROUND(IF(BT204=0,0,HLOOKUP(BT$14,Villagers!$B$1:$V$33,BT204+3,FALSE)),)</f>
        <v>0</v>
      </c>
      <c r="CP204" s="14">
        <f>ROUND(IF(BU204=0,0,HLOOKUP(BU$14,Villagers!$B$1:$V$33,BU204+3,FALSE)),)</f>
        <v>0</v>
      </c>
      <c r="CQ204" s="14">
        <f>ROUND(IF(BV204=0,0,HLOOKUP(BV$14,Villagers!$B$1:$V$33,BV204+3,FALSE)),)</f>
        <v>0</v>
      </c>
      <c r="CR204" s="14">
        <f>ROUND(IF(BW204=0,0,HLOOKUP(BW$14,Villagers!$B$1:$V$33,BW204+3,FALSE)),)</f>
        <v>0</v>
      </c>
      <c r="CS204" s="14">
        <f>ROUND(IF(BX204=0,0,HLOOKUP(BX$14,Villagers!$B$1:$V$33,BX204+3,FALSE)),)</f>
        <v>0</v>
      </c>
      <c r="CT204" s="14">
        <f>ROUND(IF(BY204=0,0,HLOOKUP(BY$14,Villagers!$B$1:$V$33,BY204+3,FALSE)),)</f>
        <v>0</v>
      </c>
      <c r="CU204" s="14">
        <f>ROUND(IF(BZ204=0,0,HLOOKUP(BZ$14,Villagers!$B$1:$V$33,BZ204+3,FALSE)),)</f>
        <v>0</v>
      </c>
      <c r="CV204" s="14">
        <f>ROUND(IF(CA204=0,0,HLOOKUP(CA$14,Villagers!$B$1:$V$33,CA204+3,FALSE)),)</f>
        <v>0</v>
      </c>
      <c r="CW204" s="14">
        <f>ROUND(IF(CB204=0,0,HLOOKUP(CB$14,Villagers!$B$1:$V$33,CB204+3,FALSE)),)</f>
        <v>0</v>
      </c>
      <c r="CX204" s="14">
        <f>ROUND(IF(CC204=0,0,HLOOKUP(CC$14,Villagers!$B$1:$V$33,CC204+3,FALSE)),)</f>
        <v>0</v>
      </c>
      <c r="CY204" s="14">
        <f>ROUND(IF(CD204=0,0,HLOOKUP(CD$14,Villagers!$B$1:$V$33,CD204+3,FALSE)),)</f>
        <v>0</v>
      </c>
      <c r="CZ204" s="14">
        <f>ROUND(IF(CE204=0,0,HLOOKUP(CE$14,Villagers!$B$1:$V$33,CE204+3,FALSE)),)</f>
        <v>5</v>
      </c>
      <c r="DA204" s="14">
        <f>ROUND(IF(CF204=0,0,HLOOKUP(CF$14,Villagers!$B$1:$V$33,CF204+3,FALSE)),)</f>
        <v>10</v>
      </c>
      <c r="DB204" s="14">
        <f>ROUND(IF(CG204=0,0,HLOOKUP(CG$14,Villagers!$B$1:$V$33,CG204+3,FALSE)),)</f>
        <v>10</v>
      </c>
      <c r="DC204" s="14">
        <f>ROUND(IF(CH204=0,0,HLOOKUP(CH$14,Villagers!$B$1:$V$33,CH204+3,FALSE)),)</f>
        <v>0</v>
      </c>
      <c r="DD204" s="14">
        <f>ROUND(IF(CI204=0,0,HLOOKUP(CI$14,Villagers!$B$1:$V$33,CI204+3,FALSE)),)</f>
        <v>0</v>
      </c>
      <c r="DE204" s="14">
        <f>ROUND(IF(CJ204=0,0,HLOOKUP(CJ$14,Villagers!$B$1:$V$33,CJ204+3,FALSE)),)</f>
        <v>2</v>
      </c>
      <c r="DF204" s="370">
        <f>ROUND(IF(CK204=0,0,HLOOKUP(CK$14,Villagers!$B$1:$V$33,CK204+3,FALSE)),)</f>
        <v>0</v>
      </c>
      <c r="DG204" s="370">
        <f>ROUND(IF(CL204=0,0,HLOOKUP(CL$14,Villagers!$B$1:$V$33,CL204+3,FALSE)),)</f>
        <v>0</v>
      </c>
      <c r="DH204" s="34">
        <f>ROUND(IF(CM204=0,0,HLOOKUP(CM$14,Villagers!$B$1:$V$33,CM204+3,FALSE)),)</f>
        <v>0</v>
      </c>
      <c r="DI204" s="109">
        <f t="shared" si="373"/>
        <v>0</v>
      </c>
      <c r="DJ204" s="50">
        <f t="shared" si="374"/>
        <v>0</v>
      </c>
      <c r="DK204" s="50">
        <f t="shared" si="375"/>
        <v>0</v>
      </c>
      <c r="DL204" s="50">
        <f t="shared" si="376"/>
        <v>0</v>
      </c>
      <c r="DM204" s="50">
        <f t="shared" si="377"/>
        <v>0</v>
      </c>
      <c r="DN204" s="50">
        <f t="shared" si="378"/>
        <v>0</v>
      </c>
      <c r="DO204" s="50">
        <f t="shared" si="379"/>
        <v>0</v>
      </c>
      <c r="DP204" s="50">
        <f t="shared" si="380"/>
        <v>0</v>
      </c>
      <c r="DQ204" s="50">
        <f t="shared" si="357"/>
        <v>0</v>
      </c>
      <c r="DR204" s="50">
        <f t="shared" si="358"/>
        <v>0</v>
      </c>
      <c r="DS204" s="96">
        <f>Miscelaneous!$D$4*Miscelaneous!$D$2^($CI204-1)</f>
        <v>1000</v>
      </c>
      <c r="DT204" s="333">
        <f t="shared" si="337"/>
        <v>1</v>
      </c>
      <c r="DU204" s="81">
        <v>1</v>
      </c>
      <c r="DV204" s="79">
        <f t="shared" si="359"/>
        <v>0</v>
      </c>
      <c r="DW204" s="79">
        <f t="shared" si="360"/>
        <v>0</v>
      </c>
      <c r="DX204" s="79">
        <f t="shared" si="361"/>
        <v>0</v>
      </c>
      <c r="DY204" s="79">
        <v>1</v>
      </c>
      <c r="DZ204" s="79">
        <f t="shared" si="362"/>
        <v>0</v>
      </c>
      <c r="EA204" s="79">
        <f t="shared" si="363"/>
        <v>0</v>
      </c>
      <c r="EB204" s="79">
        <f t="shared" si="364"/>
        <v>0</v>
      </c>
      <c r="EC204" s="79">
        <f t="shared" si="365"/>
        <v>0</v>
      </c>
      <c r="ED204" s="79">
        <v>1</v>
      </c>
      <c r="EE204" s="79">
        <v>1</v>
      </c>
      <c r="EF204" s="79">
        <f t="shared" si="366"/>
        <v>0</v>
      </c>
      <c r="EG204" s="79">
        <v>1</v>
      </c>
      <c r="EH204" s="79">
        <v>1</v>
      </c>
      <c r="EI204" s="79">
        <v>1</v>
      </c>
      <c r="EJ204" s="79">
        <v>1</v>
      </c>
      <c r="EK204" s="79">
        <v>1</v>
      </c>
      <c r="EL204" s="79">
        <v>1</v>
      </c>
      <c r="EM204" s="143">
        <f t="shared" si="367"/>
        <v>0</v>
      </c>
      <c r="EN204" s="143">
        <f t="shared" si="368"/>
        <v>0</v>
      </c>
      <c r="EO204" s="82">
        <f t="shared" si="369"/>
        <v>0</v>
      </c>
    </row>
    <row r="205" spans="1:145" x14ac:dyDescent="0.25">
      <c r="A205">
        <v>191</v>
      </c>
      <c r="B205" s="172" t="e">
        <f t="shared" si="338"/>
        <v>#N/A</v>
      </c>
      <c r="C205" s="121" t="e">
        <f t="shared" ref="C205:E205" si="470">AJ205-SUM(AB205:AB209)</f>
        <v>#N/A</v>
      </c>
      <c r="D205" s="122" t="e">
        <f t="shared" si="470"/>
        <v>#N/A</v>
      </c>
      <c r="E205" s="122" t="e">
        <f t="shared" si="470"/>
        <v>#N/A</v>
      </c>
      <c r="F205" s="176" t="e">
        <f t="shared" si="320"/>
        <v>#N/A</v>
      </c>
      <c r="G205" s="121">
        <f t="shared" si="340"/>
        <v>208</v>
      </c>
      <c r="H205" s="176" t="e">
        <f t="shared" si="341"/>
        <v>#N/A</v>
      </c>
      <c r="I205" s="48">
        <v>1</v>
      </c>
      <c r="J205" s="39"/>
      <c r="K205" s="350">
        <v>1</v>
      </c>
      <c r="L205" s="34" t="e">
        <f t="shared" si="321"/>
        <v>#N/A</v>
      </c>
      <c r="M205" s="38" t="e">
        <f>(HLOOKUP(J205,'Construction Times'!$B$3:$W$34,L205+2,FALSE)*HLOOKUP("hq modifier",'Construction Times'!$W$3:$W$34,BS205+2,FALSE))*(1-$H$9)</f>
        <v>#N/A</v>
      </c>
      <c r="N205" s="426" t="e">
        <f t="shared" si="342"/>
        <v>#N/A</v>
      </c>
      <c r="O205" s="427"/>
      <c r="P205" s="430" t="e">
        <f t="shared" si="343"/>
        <v>#N/A</v>
      </c>
      <c r="Q205" s="431"/>
      <c r="R205" s="103">
        <f t="shared" si="371"/>
        <v>0</v>
      </c>
      <c r="S205" s="104">
        <f t="shared" si="371"/>
        <v>0</v>
      </c>
      <c r="T205" s="104">
        <f t="shared" si="372"/>
        <v>0</v>
      </c>
      <c r="U205" s="104">
        <f t="shared" si="372"/>
        <v>0</v>
      </c>
      <c r="V205" s="104">
        <f t="shared" si="372"/>
        <v>9.9999999999999995E-8</v>
      </c>
      <c r="W205" s="104">
        <f t="shared" si="372"/>
        <v>0</v>
      </c>
      <c r="X205" s="104">
        <f t="shared" si="429"/>
        <v>0</v>
      </c>
      <c r="Y205" s="104">
        <f t="shared" si="429"/>
        <v>9.9999999999999995E-8</v>
      </c>
      <c r="Z205" s="104">
        <f t="shared" si="429"/>
        <v>9.9999999999999995E-8</v>
      </c>
      <c r="AA205" s="105">
        <f t="shared" si="429"/>
        <v>9.9999999999999995E-8</v>
      </c>
      <c r="AB205" s="101" t="e">
        <f>$DT205*HLOOKUP($J205,'Construction Costs (timber)'!$B$1:$V$32,'Construction Planner'!$L205+2,FALSE)</f>
        <v>#N/A</v>
      </c>
      <c r="AC205" s="14" t="e">
        <f>$DT205*HLOOKUP($J205,'Construction Costs (clay)'!$B$1:$V$32,'Construction Planner'!$L205+2,FALSE)</f>
        <v>#N/A</v>
      </c>
      <c r="AD205" s="14" t="e">
        <f>$DT205*HLOOKUP($J205,'Construction Costs (iron)'!$B$1:$V$32,'Construction Planner'!$L205+2,FALSE)</f>
        <v>#N/A</v>
      </c>
      <c r="AE205" s="34" t="e">
        <f t="shared" si="384"/>
        <v>#N/A</v>
      </c>
      <c r="AF205" s="33" t="e">
        <f t="shared" si="322"/>
        <v>#N/A</v>
      </c>
      <c r="AG205" s="14" t="e">
        <f t="shared" si="323"/>
        <v>#N/A</v>
      </c>
      <c r="AH205" s="14" t="e">
        <f t="shared" si="324"/>
        <v>#N/A</v>
      </c>
      <c r="AI205" s="34" t="e">
        <f t="shared" si="385"/>
        <v>#N/A</v>
      </c>
      <c r="AJ205" s="49" t="e">
        <f t="shared" si="345"/>
        <v>#N/A</v>
      </c>
      <c r="AK205" s="49" t="e">
        <f t="shared" si="346"/>
        <v>#N/A</v>
      </c>
      <c r="AL205" s="49" t="e">
        <f t="shared" si="347"/>
        <v>#N/A</v>
      </c>
      <c r="AM205" s="25">
        <f t="shared" si="325"/>
        <v>30</v>
      </c>
      <c r="AN205" s="25">
        <f t="shared" si="326"/>
        <v>30</v>
      </c>
      <c r="AO205" s="25">
        <f t="shared" si="327"/>
        <v>30</v>
      </c>
      <c r="AP205" s="52" t="e">
        <f t="shared" si="348"/>
        <v>#N/A</v>
      </c>
      <c r="AQ205" s="53" t="e">
        <f t="shared" si="348"/>
        <v>#N/A</v>
      </c>
      <c r="AR205" s="54" t="e">
        <f t="shared" si="348"/>
        <v>#N/A</v>
      </c>
      <c r="AS205" s="316">
        <f t="shared" si="459"/>
        <v>0</v>
      </c>
      <c r="AT205" s="106">
        <f>_xlfn.IFNA($M205/VLOOKUP($BT205,'Unit information'!$A$2:$K$29,2,FALSE)*R205,0)*(1+$E$9)</f>
        <v>0</v>
      </c>
      <c r="AU205" s="107">
        <f>_xlfn.IFNA($M205/VLOOKUP($BT205,'Unit information'!$A$2:$K$29,3,FALSE)*S205,0)*(1+$E$9)</f>
        <v>0</v>
      </c>
      <c r="AV205" s="107">
        <f>_xlfn.IFNA($M205/VLOOKUP($BT205,'Unit information'!$A$2:$K$29,4,FALSE)*T205,0)*(1+$E$9)</f>
        <v>0</v>
      </c>
      <c r="AW205" s="107">
        <f>_xlfn.IFNA($M205/VLOOKUP($BT205,'Unit information'!$A$2:$K$29,5,FALSE)*U205,0)*(1+$E$9)</f>
        <v>0</v>
      </c>
      <c r="AX205" s="107">
        <f>_xlfn.IFNA($M205/VLOOKUP($BU205,'Unit information'!$A$2:$K$29,6,FALSE)*V205,0)*(1+$E$9)</f>
        <v>0</v>
      </c>
      <c r="AY205" s="107">
        <f>_xlfn.IFNA($M205/VLOOKUP($BU205,'Unit information'!$A$2:$K$29,7,FALSE)*W205,0)*(1+$E$9)</f>
        <v>0</v>
      </c>
      <c r="AZ205" s="107">
        <f>_xlfn.IFNA($M205/VLOOKUP($BU205,'Unit information'!$A$2:$K$29,8,FALSE)*X205,0)*(1+$E$9)</f>
        <v>0</v>
      </c>
      <c r="BA205" s="107">
        <f>_xlfn.IFNA($M205/VLOOKUP($BU205,'Unit information'!$A$2:$K$29,9,FALSE)*Y205,0)*(1+$E$9)</f>
        <v>0</v>
      </c>
      <c r="BB205" s="107">
        <f>_xlfn.IFNA($M205/VLOOKUP($BV205,'Unit information'!$A$2:$K$29,10,FALSE)*Z205,0)*(1+$E$9)</f>
        <v>0</v>
      </c>
      <c r="BC205" s="108">
        <f>_xlfn.IFNA($M205/VLOOKUP($BV205,'Unit information'!$A$2:$K$29,11,FALSE)*AA205,0)*(1+$E$9)</f>
        <v>0</v>
      </c>
      <c r="BD205" s="106">
        <f t="shared" si="328"/>
        <v>0</v>
      </c>
      <c r="BE205" s="107">
        <f t="shared" si="329"/>
        <v>0</v>
      </c>
      <c r="BF205" s="108">
        <f t="shared" si="330"/>
        <v>0</v>
      </c>
      <c r="BG205" s="25" t="e">
        <f t="shared" si="331"/>
        <v>#N/A</v>
      </c>
      <c r="BH205" s="25" t="e">
        <f t="shared" si="332"/>
        <v>#N/A</v>
      </c>
      <c r="BI205" s="25" t="e">
        <f t="shared" si="333"/>
        <v>#N/A</v>
      </c>
      <c r="BJ205" s="27" t="e">
        <f t="shared" si="334"/>
        <v>#N/A</v>
      </c>
      <c r="BK205" s="18" t="e">
        <f t="shared" si="335"/>
        <v>#N/A</v>
      </c>
      <c r="BL205" s="18" t="e">
        <f t="shared" si="336"/>
        <v>#N/A</v>
      </c>
      <c r="BM205" s="28" t="e">
        <f t="shared" si="387"/>
        <v>#N/A</v>
      </c>
      <c r="BN205" s="33">
        <f>HLOOKUP("maximum population",Miscelaneous!$C$1:$C$33,CH205+3,FALSE)</f>
        <v>240</v>
      </c>
      <c r="BO205" s="14">
        <f t="shared" si="349"/>
        <v>32</v>
      </c>
      <c r="BP205" s="14">
        <f t="shared" si="350"/>
        <v>0</v>
      </c>
      <c r="BQ205" s="14">
        <f t="shared" si="351"/>
        <v>208</v>
      </c>
      <c r="BR205" s="34" t="e">
        <f>HLOOKUP(J205,Villagers!$B$1:$V$33,L205+3,FALSE)-HLOOKUP(J205,Villagers!$B$1:$V$33,L205+2,FALSE)</f>
        <v>#N/A</v>
      </c>
      <c r="BS205" s="49">
        <f t="shared" si="352"/>
        <v>1</v>
      </c>
      <c r="BT205" s="50">
        <f t="shared" si="353"/>
        <v>0</v>
      </c>
      <c r="BU205" s="50">
        <f t="shared" si="354"/>
        <v>0</v>
      </c>
      <c r="BV205" s="50">
        <f t="shared" si="355"/>
        <v>0</v>
      </c>
      <c r="BW205" s="50">
        <f t="shared" si="465"/>
        <v>0</v>
      </c>
      <c r="BX205" s="50">
        <f t="shared" si="463"/>
        <v>0</v>
      </c>
      <c r="BY205" s="50">
        <f t="shared" si="463"/>
        <v>0</v>
      </c>
      <c r="BZ205" s="50">
        <f t="shared" si="401"/>
        <v>0</v>
      </c>
      <c r="CA205" s="50">
        <f t="shared" si="402"/>
        <v>0</v>
      </c>
      <c r="CB205" s="50">
        <f t="shared" si="403"/>
        <v>1</v>
      </c>
      <c r="CC205" s="50">
        <f t="shared" si="404"/>
        <v>0</v>
      </c>
      <c r="CD205" s="50">
        <f t="shared" si="405"/>
        <v>0</v>
      </c>
      <c r="CE205" s="50">
        <f t="shared" si="406"/>
        <v>1</v>
      </c>
      <c r="CF205" s="50">
        <f t="shared" si="407"/>
        <v>1</v>
      </c>
      <c r="CG205" s="50">
        <f t="shared" si="408"/>
        <v>1</v>
      </c>
      <c r="CH205" s="50">
        <f t="shared" si="409"/>
        <v>1</v>
      </c>
      <c r="CI205" s="50">
        <f t="shared" si="410"/>
        <v>1</v>
      </c>
      <c r="CJ205" s="50">
        <f t="shared" si="411"/>
        <v>1</v>
      </c>
      <c r="CK205" s="50">
        <f t="shared" si="411"/>
        <v>0</v>
      </c>
      <c r="CL205" s="50">
        <f t="shared" si="411"/>
        <v>0</v>
      </c>
      <c r="CM205" s="51">
        <f t="shared" si="432"/>
        <v>0</v>
      </c>
      <c r="CN205" s="33">
        <f>ROUND(IF(BS205=0,0,HLOOKUP(BS$14,Villagers!$B$1:$V$33,BS205+3,FALSE)),)</f>
        <v>5</v>
      </c>
      <c r="CO205" s="14">
        <f>ROUND(IF(BT205=0,0,HLOOKUP(BT$14,Villagers!$B$1:$V$33,BT205+3,FALSE)),)</f>
        <v>0</v>
      </c>
      <c r="CP205" s="14">
        <f>ROUND(IF(BU205=0,0,HLOOKUP(BU$14,Villagers!$B$1:$V$33,BU205+3,FALSE)),)</f>
        <v>0</v>
      </c>
      <c r="CQ205" s="14">
        <f>ROUND(IF(BV205=0,0,HLOOKUP(BV$14,Villagers!$B$1:$V$33,BV205+3,FALSE)),)</f>
        <v>0</v>
      </c>
      <c r="CR205" s="14">
        <f>ROUND(IF(BW205=0,0,HLOOKUP(BW$14,Villagers!$B$1:$V$33,BW205+3,FALSE)),)</f>
        <v>0</v>
      </c>
      <c r="CS205" s="14">
        <f>ROUND(IF(BX205=0,0,HLOOKUP(BX$14,Villagers!$B$1:$V$33,BX205+3,FALSE)),)</f>
        <v>0</v>
      </c>
      <c r="CT205" s="14">
        <f>ROUND(IF(BY205=0,0,HLOOKUP(BY$14,Villagers!$B$1:$V$33,BY205+3,FALSE)),)</f>
        <v>0</v>
      </c>
      <c r="CU205" s="14">
        <f>ROUND(IF(BZ205=0,0,HLOOKUP(BZ$14,Villagers!$B$1:$V$33,BZ205+3,FALSE)),)</f>
        <v>0</v>
      </c>
      <c r="CV205" s="14">
        <f>ROUND(IF(CA205=0,0,HLOOKUP(CA$14,Villagers!$B$1:$V$33,CA205+3,FALSE)),)</f>
        <v>0</v>
      </c>
      <c r="CW205" s="14">
        <f>ROUND(IF(CB205=0,0,HLOOKUP(CB$14,Villagers!$B$1:$V$33,CB205+3,FALSE)),)</f>
        <v>0</v>
      </c>
      <c r="CX205" s="14">
        <f>ROUND(IF(CC205=0,0,HLOOKUP(CC$14,Villagers!$B$1:$V$33,CC205+3,FALSE)),)</f>
        <v>0</v>
      </c>
      <c r="CY205" s="14">
        <f>ROUND(IF(CD205=0,0,HLOOKUP(CD$14,Villagers!$B$1:$V$33,CD205+3,FALSE)),)</f>
        <v>0</v>
      </c>
      <c r="CZ205" s="14">
        <f>ROUND(IF(CE205=0,0,HLOOKUP(CE$14,Villagers!$B$1:$V$33,CE205+3,FALSE)),)</f>
        <v>5</v>
      </c>
      <c r="DA205" s="14">
        <f>ROUND(IF(CF205=0,0,HLOOKUP(CF$14,Villagers!$B$1:$V$33,CF205+3,FALSE)),)</f>
        <v>10</v>
      </c>
      <c r="DB205" s="14">
        <f>ROUND(IF(CG205=0,0,HLOOKUP(CG$14,Villagers!$B$1:$V$33,CG205+3,FALSE)),)</f>
        <v>10</v>
      </c>
      <c r="DC205" s="14">
        <f>ROUND(IF(CH205=0,0,HLOOKUP(CH$14,Villagers!$B$1:$V$33,CH205+3,FALSE)),)</f>
        <v>0</v>
      </c>
      <c r="DD205" s="14">
        <f>ROUND(IF(CI205=0,0,HLOOKUP(CI$14,Villagers!$B$1:$V$33,CI205+3,FALSE)),)</f>
        <v>0</v>
      </c>
      <c r="DE205" s="14">
        <f>ROUND(IF(CJ205=0,0,HLOOKUP(CJ$14,Villagers!$B$1:$V$33,CJ205+3,FALSE)),)</f>
        <v>2</v>
      </c>
      <c r="DF205" s="370">
        <f>ROUND(IF(CK205=0,0,HLOOKUP(CK$14,Villagers!$B$1:$V$33,CK205+3,FALSE)),)</f>
        <v>0</v>
      </c>
      <c r="DG205" s="370">
        <f>ROUND(IF(CL205=0,0,HLOOKUP(CL$14,Villagers!$B$1:$V$33,CL205+3,FALSE)),)</f>
        <v>0</v>
      </c>
      <c r="DH205" s="34">
        <f>ROUND(IF(CM205=0,0,HLOOKUP(CM$14,Villagers!$B$1:$V$33,CM205+3,FALSE)),)</f>
        <v>0</v>
      </c>
      <c r="DI205" s="109">
        <f t="shared" si="373"/>
        <v>0</v>
      </c>
      <c r="DJ205" s="50">
        <f t="shared" si="374"/>
        <v>0</v>
      </c>
      <c r="DK205" s="50">
        <f t="shared" si="375"/>
        <v>0</v>
      </c>
      <c r="DL205" s="50">
        <f t="shared" si="376"/>
        <v>0</v>
      </c>
      <c r="DM205" s="50">
        <f t="shared" si="377"/>
        <v>0</v>
      </c>
      <c r="DN205" s="50">
        <f t="shared" si="378"/>
        <v>0</v>
      </c>
      <c r="DO205" s="50">
        <f t="shared" si="379"/>
        <v>0</v>
      </c>
      <c r="DP205" s="50">
        <f t="shared" si="380"/>
        <v>0</v>
      </c>
      <c r="DQ205" s="50">
        <f t="shared" si="357"/>
        <v>0</v>
      </c>
      <c r="DR205" s="50">
        <f t="shared" si="358"/>
        <v>0</v>
      </c>
      <c r="DS205" s="96">
        <f>Miscelaneous!$D$4*Miscelaneous!$D$2^($CI205-1)</f>
        <v>1000</v>
      </c>
      <c r="DT205" s="333">
        <f t="shared" si="337"/>
        <v>1</v>
      </c>
      <c r="DU205" s="81">
        <v>1</v>
      </c>
      <c r="DV205" s="79">
        <f t="shared" si="359"/>
        <v>0</v>
      </c>
      <c r="DW205" s="79">
        <f t="shared" si="360"/>
        <v>0</v>
      </c>
      <c r="DX205" s="79">
        <f t="shared" si="361"/>
        <v>0</v>
      </c>
      <c r="DY205" s="79">
        <v>1</v>
      </c>
      <c r="DZ205" s="79">
        <f t="shared" si="362"/>
        <v>0</v>
      </c>
      <c r="EA205" s="79">
        <f t="shared" si="363"/>
        <v>0</v>
      </c>
      <c r="EB205" s="79">
        <f t="shared" si="364"/>
        <v>0</v>
      </c>
      <c r="EC205" s="79">
        <f t="shared" si="365"/>
        <v>0</v>
      </c>
      <c r="ED205" s="79">
        <v>1</v>
      </c>
      <c r="EE205" s="79">
        <v>1</v>
      </c>
      <c r="EF205" s="79">
        <f t="shared" si="366"/>
        <v>0</v>
      </c>
      <c r="EG205" s="79">
        <v>1</v>
      </c>
      <c r="EH205" s="79">
        <v>1</v>
      </c>
      <c r="EI205" s="79">
        <v>1</v>
      </c>
      <c r="EJ205" s="79">
        <v>1</v>
      </c>
      <c r="EK205" s="79">
        <v>1</v>
      </c>
      <c r="EL205" s="79">
        <v>1</v>
      </c>
      <c r="EM205" s="143">
        <f t="shared" si="367"/>
        <v>0</v>
      </c>
      <c r="EN205" s="143">
        <f t="shared" si="368"/>
        <v>0</v>
      </c>
      <c r="EO205" s="82">
        <f t="shared" si="369"/>
        <v>0</v>
      </c>
    </row>
    <row r="206" spans="1:145" x14ac:dyDescent="0.25">
      <c r="A206">
        <v>192</v>
      </c>
      <c r="B206" s="172" t="e">
        <f t="shared" si="338"/>
        <v>#N/A</v>
      </c>
      <c r="C206" s="121" t="e">
        <f t="shared" ref="C206:E206" si="471">AJ206-SUM(AB206:AB210)</f>
        <v>#N/A</v>
      </c>
      <c r="D206" s="122" t="e">
        <f t="shared" si="471"/>
        <v>#N/A</v>
      </c>
      <c r="E206" s="122" t="e">
        <f t="shared" si="471"/>
        <v>#N/A</v>
      </c>
      <c r="F206" s="176" t="e">
        <f t="shared" si="320"/>
        <v>#N/A</v>
      </c>
      <c r="G206" s="121">
        <f t="shared" si="340"/>
        <v>208</v>
      </c>
      <c r="H206" s="176" t="e">
        <f t="shared" si="341"/>
        <v>#N/A</v>
      </c>
      <c r="I206" s="48">
        <v>1</v>
      </c>
      <c r="J206" s="39"/>
      <c r="K206" s="350">
        <v>1</v>
      </c>
      <c r="L206" s="34" t="e">
        <f t="shared" si="321"/>
        <v>#N/A</v>
      </c>
      <c r="M206" s="38" t="e">
        <f>(HLOOKUP(J206,'Construction Times'!$B$3:$W$34,L206+2,FALSE)*HLOOKUP("hq modifier",'Construction Times'!$W$3:$W$34,BS206+2,FALSE))*(1-$H$9)</f>
        <v>#N/A</v>
      </c>
      <c r="N206" s="426" t="e">
        <f t="shared" si="342"/>
        <v>#N/A</v>
      </c>
      <c r="O206" s="427"/>
      <c r="P206" s="430" t="e">
        <f t="shared" si="343"/>
        <v>#N/A</v>
      </c>
      <c r="Q206" s="431"/>
      <c r="R206" s="103">
        <f t="shared" si="371"/>
        <v>0</v>
      </c>
      <c r="S206" s="104">
        <f t="shared" si="371"/>
        <v>0</v>
      </c>
      <c r="T206" s="104">
        <f t="shared" si="372"/>
        <v>0</v>
      </c>
      <c r="U206" s="104">
        <f t="shared" si="372"/>
        <v>0</v>
      </c>
      <c r="V206" s="104">
        <f t="shared" si="372"/>
        <v>9.9999999999999995E-8</v>
      </c>
      <c r="W206" s="104">
        <f t="shared" si="372"/>
        <v>0</v>
      </c>
      <c r="X206" s="104">
        <f t="shared" si="429"/>
        <v>0</v>
      </c>
      <c r="Y206" s="104">
        <f t="shared" si="429"/>
        <v>9.9999999999999995E-8</v>
      </c>
      <c r="Z206" s="104">
        <f t="shared" si="429"/>
        <v>9.9999999999999995E-8</v>
      </c>
      <c r="AA206" s="105">
        <f t="shared" si="429"/>
        <v>9.9999999999999995E-8</v>
      </c>
      <c r="AB206" s="101" t="e">
        <f>$DT206*HLOOKUP($J206,'Construction Costs (timber)'!$B$1:$V$32,'Construction Planner'!$L206+2,FALSE)</f>
        <v>#N/A</v>
      </c>
      <c r="AC206" s="14" t="e">
        <f>$DT206*HLOOKUP($J206,'Construction Costs (clay)'!$B$1:$V$32,'Construction Planner'!$L206+2,FALSE)</f>
        <v>#N/A</v>
      </c>
      <c r="AD206" s="14" t="e">
        <f>$DT206*HLOOKUP($J206,'Construction Costs (iron)'!$B$1:$V$32,'Construction Planner'!$L206+2,FALSE)</f>
        <v>#N/A</v>
      </c>
      <c r="AE206" s="34" t="e">
        <f t="shared" si="384"/>
        <v>#N/A</v>
      </c>
      <c r="AF206" s="33" t="e">
        <f t="shared" si="322"/>
        <v>#N/A</v>
      </c>
      <c r="AG206" s="14" t="e">
        <f t="shared" si="323"/>
        <v>#N/A</v>
      </c>
      <c r="AH206" s="14" t="e">
        <f t="shared" si="324"/>
        <v>#N/A</v>
      </c>
      <c r="AI206" s="34" t="e">
        <f t="shared" si="385"/>
        <v>#N/A</v>
      </c>
      <c r="AJ206" s="49" t="e">
        <f t="shared" si="345"/>
        <v>#N/A</v>
      </c>
      <c r="AK206" s="49" t="e">
        <f t="shared" si="346"/>
        <v>#N/A</v>
      </c>
      <c r="AL206" s="49" t="e">
        <f t="shared" si="347"/>
        <v>#N/A</v>
      </c>
      <c r="AM206" s="25">
        <f t="shared" si="325"/>
        <v>30</v>
      </c>
      <c r="AN206" s="25">
        <f t="shared" si="326"/>
        <v>30</v>
      </c>
      <c r="AO206" s="25">
        <f t="shared" si="327"/>
        <v>30</v>
      </c>
      <c r="AP206" s="52" t="e">
        <f t="shared" si="348"/>
        <v>#N/A</v>
      </c>
      <c r="AQ206" s="53" t="e">
        <f t="shared" si="348"/>
        <v>#N/A</v>
      </c>
      <c r="AR206" s="54" t="e">
        <f t="shared" si="348"/>
        <v>#N/A</v>
      </c>
      <c r="AS206" s="316">
        <f t="shared" si="459"/>
        <v>0</v>
      </c>
      <c r="AT206" s="106">
        <f>_xlfn.IFNA($M206/VLOOKUP($BT206,'Unit information'!$A$2:$K$29,2,FALSE)*R206,0)*(1+$E$9)</f>
        <v>0</v>
      </c>
      <c r="AU206" s="107">
        <f>_xlfn.IFNA($M206/VLOOKUP($BT206,'Unit information'!$A$2:$K$29,3,FALSE)*S206,0)*(1+$E$9)</f>
        <v>0</v>
      </c>
      <c r="AV206" s="107">
        <f>_xlfn.IFNA($M206/VLOOKUP($BT206,'Unit information'!$A$2:$K$29,4,FALSE)*T206,0)*(1+$E$9)</f>
        <v>0</v>
      </c>
      <c r="AW206" s="107">
        <f>_xlfn.IFNA($M206/VLOOKUP($BT206,'Unit information'!$A$2:$K$29,5,FALSE)*U206,0)*(1+$E$9)</f>
        <v>0</v>
      </c>
      <c r="AX206" s="107">
        <f>_xlfn.IFNA($M206/VLOOKUP($BU206,'Unit information'!$A$2:$K$29,6,FALSE)*V206,0)*(1+$E$9)</f>
        <v>0</v>
      </c>
      <c r="AY206" s="107">
        <f>_xlfn.IFNA($M206/VLOOKUP($BU206,'Unit information'!$A$2:$K$29,7,FALSE)*W206,0)*(1+$E$9)</f>
        <v>0</v>
      </c>
      <c r="AZ206" s="107">
        <f>_xlfn.IFNA($M206/VLOOKUP($BU206,'Unit information'!$A$2:$K$29,8,FALSE)*X206,0)*(1+$E$9)</f>
        <v>0</v>
      </c>
      <c r="BA206" s="107">
        <f>_xlfn.IFNA($M206/VLOOKUP($BU206,'Unit information'!$A$2:$K$29,9,FALSE)*Y206,0)*(1+$E$9)</f>
        <v>0</v>
      </c>
      <c r="BB206" s="107">
        <f>_xlfn.IFNA($M206/VLOOKUP($BV206,'Unit information'!$A$2:$K$29,10,FALSE)*Z206,0)*(1+$E$9)</f>
        <v>0</v>
      </c>
      <c r="BC206" s="108">
        <f>_xlfn.IFNA($M206/VLOOKUP($BV206,'Unit information'!$A$2:$K$29,11,FALSE)*AA206,0)*(1+$E$9)</f>
        <v>0</v>
      </c>
      <c r="BD206" s="106">
        <f t="shared" si="328"/>
        <v>0</v>
      </c>
      <c r="BE206" s="107">
        <f t="shared" si="329"/>
        <v>0</v>
      </c>
      <c r="BF206" s="108">
        <f t="shared" si="330"/>
        <v>0</v>
      </c>
      <c r="BG206" s="25" t="e">
        <f t="shared" si="331"/>
        <v>#N/A</v>
      </c>
      <c r="BH206" s="25" t="e">
        <f t="shared" si="332"/>
        <v>#N/A</v>
      </c>
      <c r="BI206" s="25" t="e">
        <f t="shared" si="333"/>
        <v>#N/A</v>
      </c>
      <c r="BJ206" s="27" t="e">
        <f t="shared" si="334"/>
        <v>#N/A</v>
      </c>
      <c r="BK206" s="18" t="e">
        <f t="shared" si="335"/>
        <v>#N/A</v>
      </c>
      <c r="BL206" s="18" t="e">
        <f t="shared" si="336"/>
        <v>#N/A</v>
      </c>
      <c r="BM206" s="28" t="e">
        <f t="shared" si="387"/>
        <v>#N/A</v>
      </c>
      <c r="BN206" s="33">
        <f>HLOOKUP("maximum population",Miscelaneous!$C$1:$C$33,CH206+3,FALSE)</f>
        <v>240</v>
      </c>
      <c r="BO206" s="14">
        <f t="shared" si="349"/>
        <v>32</v>
      </c>
      <c r="BP206" s="14">
        <f t="shared" si="350"/>
        <v>0</v>
      </c>
      <c r="BQ206" s="14">
        <f t="shared" si="351"/>
        <v>208</v>
      </c>
      <c r="BR206" s="34" t="e">
        <f>HLOOKUP(J206,Villagers!$B$1:$V$33,L206+3,FALSE)-HLOOKUP(J206,Villagers!$B$1:$V$33,L206+2,FALSE)</f>
        <v>#N/A</v>
      </c>
      <c r="BS206" s="49">
        <f t="shared" si="352"/>
        <v>1</v>
      </c>
      <c r="BT206" s="50">
        <f t="shared" si="353"/>
        <v>0</v>
      </c>
      <c r="BU206" s="50">
        <f t="shared" si="354"/>
        <v>0</v>
      </c>
      <c r="BV206" s="50">
        <f t="shared" si="355"/>
        <v>0</v>
      </c>
      <c r="BW206" s="50">
        <f t="shared" si="465"/>
        <v>0</v>
      </c>
      <c r="BX206" s="50">
        <f t="shared" si="463"/>
        <v>0</v>
      </c>
      <c r="BY206" s="50">
        <f t="shared" si="463"/>
        <v>0</v>
      </c>
      <c r="BZ206" s="50">
        <f t="shared" si="401"/>
        <v>0</v>
      </c>
      <c r="CA206" s="50">
        <f t="shared" si="402"/>
        <v>0</v>
      </c>
      <c r="CB206" s="50">
        <f t="shared" si="403"/>
        <v>1</v>
      </c>
      <c r="CC206" s="50">
        <f t="shared" si="404"/>
        <v>0</v>
      </c>
      <c r="CD206" s="50">
        <f t="shared" si="405"/>
        <v>0</v>
      </c>
      <c r="CE206" s="50">
        <f t="shared" si="406"/>
        <v>1</v>
      </c>
      <c r="CF206" s="50">
        <f t="shared" si="407"/>
        <v>1</v>
      </c>
      <c r="CG206" s="50">
        <f t="shared" si="408"/>
        <v>1</v>
      </c>
      <c r="CH206" s="50">
        <f t="shared" si="409"/>
        <v>1</v>
      </c>
      <c r="CI206" s="50">
        <f t="shared" si="410"/>
        <v>1</v>
      </c>
      <c r="CJ206" s="50">
        <f t="shared" si="411"/>
        <v>1</v>
      </c>
      <c r="CK206" s="50">
        <f t="shared" si="411"/>
        <v>0</v>
      </c>
      <c r="CL206" s="50">
        <f t="shared" si="411"/>
        <v>0</v>
      </c>
      <c r="CM206" s="51">
        <f t="shared" si="432"/>
        <v>0</v>
      </c>
      <c r="CN206" s="33">
        <f>ROUND(IF(BS206=0,0,HLOOKUP(BS$14,Villagers!$B$1:$V$33,BS206+3,FALSE)),)</f>
        <v>5</v>
      </c>
      <c r="CO206" s="14">
        <f>ROUND(IF(BT206=0,0,HLOOKUP(BT$14,Villagers!$B$1:$V$33,BT206+3,FALSE)),)</f>
        <v>0</v>
      </c>
      <c r="CP206" s="14">
        <f>ROUND(IF(BU206=0,0,HLOOKUP(BU$14,Villagers!$B$1:$V$33,BU206+3,FALSE)),)</f>
        <v>0</v>
      </c>
      <c r="CQ206" s="14">
        <f>ROUND(IF(BV206=0,0,HLOOKUP(BV$14,Villagers!$B$1:$V$33,BV206+3,FALSE)),)</f>
        <v>0</v>
      </c>
      <c r="CR206" s="14">
        <f>ROUND(IF(BW206=0,0,HLOOKUP(BW$14,Villagers!$B$1:$V$33,BW206+3,FALSE)),)</f>
        <v>0</v>
      </c>
      <c r="CS206" s="14">
        <f>ROUND(IF(BX206=0,0,HLOOKUP(BX$14,Villagers!$B$1:$V$33,BX206+3,FALSE)),)</f>
        <v>0</v>
      </c>
      <c r="CT206" s="14">
        <f>ROUND(IF(BY206=0,0,HLOOKUP(BY$14,Villagers!$B$1:$V$33,BY206+3,FALSE)),)</f>
        <v>0</v>
      </c>
      <c r="CU206" s="14">
        <f>ROUND(IF(BZ206=0,0,HLOOKUP(BZ$14,Villagers!$B$1:$V$33,BZ206+3,FALSE)),)</f>
        <v>0</v>
      </c>
      <c r="CV206" s="14">
        <f>ROUND(IF(CA206=0,0,HLOOKUP(CA$14,Villagers!$B$1:$V$33,CA206+3,FALSE)),)</f>
        <v>0</v>
      </c>
      <c r="CW206" s="14">
        <f>ROUND(IF(CB206=0,0,HLOOKUP(CB$14,Villagers!$B$1:$V$33,CB206+3,FALSE)),)</f>
        <v>0</v>
      </c>
      <c r="CX206" s="14">
        <f>ROUND(IF(CC206=0,0,HLOOKUP(CC$14,Villagers!$B$1:$V$33,CC206+3,FALSE)),)</f>
        <v>0</v>
      </c>
      <c r="CY206" s="14">
        <f>ROUND(IF(CD206=0,0,HLOOKUP(CD$14,Villagers!$B$1:$V$33,CD206+3,FALSE)),)</f>
        <v>0</v>
      </c>
      <c r="CZ206" s="14">
        <f>ROUND(IF(CE206=0,0,HLOOKUP(CE$14,Villagers!$B$1:$V$33,CE206+3,FALSE)),)</f>
        <v>5</v>
      </c>
      <c r="DA206" s="14">
        <f>ROUND(IF(CF206=0,0,HLOOKUP(CF$14,Villagers!$B$1:$V$33,CF206+3,FALSE)),)</f>
        <v>10</v>
      </c>
      <c r="DB206" s="14">
        <f>ROUND(IF(CG206=0,0,HLOOKUP(CG$14,Villagers!$B$1:$V$33,CG206+3,FALSE)),)</f>
        <v>10</v>
      </c>
      <c r="DC206" s="14">
        <f>ROUND(IF(CH206=0,0,HLOOKUP(CH$14,Villagers!$B$1:$V$33,CH206+3,FALSE)),)</f>
        <v>0</v>
      </c>
      <c r="DD206" s="14">
        <f>ROUND(IF(CI206=0,0,HLOOKUP(CI$14,Villagers!$B$1:$V$33,CI206+3,FALSE)),)</f>
        <v>0</v>
      </c>
      <c r="DE206" s="14">
        <f>ROUND(IF(CJ206=0,0,HLOOKUP(CJ$14,Villagers!$B$1:$V$33,CJ206+3,FALSE)),)</f>
        <v>2</v>
      </c>
      <c r="DF206" s="370">
        <f>ROUND(IF(CK206=0,0,HLOOKUP(CK$14,Villagers!$B$1:$V$33,CK206+3,FALSE)),)</f>
        <v>0</v>
      </c>
      <c r="DG206" s="370">
        <f>ROUND(IF(CL206=0,0,HLOOKUP(CL$14,Villagers!$B$1:$V$33,CL206+3,FALSE)),)</f>
        <v>0</v>
      </c>
      <c r="DH206" s="34">
        <f>ROUND(IF(CM206=0,0,HLOOKUP(CM$14,Villagers!$B$1:$V$33,CM206+3,FALSE)),)</f>
        <v>0</v>
      </c>
      <c r="DI206" s="109">
        <f t="shared" si="373"/>
        <v>0</v>
      </c>
      <c r="DJ206" s="50">
        <f t="shared" si="374"/>
        <v>0</v>
      </c>
      <c r="DK206" s="50">
        <f t="shared" si="375"/>
        <v>0</v>
      </c>
      <c r="DL206" s="50">
        <f t="shared" si="376"/>
        <v>0</v>
      </c>
      <c r="DM206" s="50">
        <f t="shared" si="377"/>
        <v>0</v>
      </c>
      <c r="DN206" s="50">
        <f t="shared" si="378"/>
        <v>0</v>
      </c>
      <c r="DO206" s="50">
        <f t="shared" si="379"/>
        <v>0</v>
      </c>
      <c r="DP206" s="50">
        <f t="shared" si="380"/>
        <v>0</v>
      </c>
      <c r="DQ206" s="50">
        <f t="shared" si="357"/>
        <v>0</v>
      </c>
      <c r="DR206" s="50">
        <f t="shared" si="358"/>
        <v>0</v>
      </c>
      <c r="DS206" s="96">
        <f>Miscelaneous!$D$4*Miscelaneous!$D$2^($CI206-1)</f>
        <v>1000</v>
      </c>
      <c r="DT206" s="333">
        <f t="shared" si="337"/>
        <v>1</v>
      </c>
      <c r="DU206" s="81">
        <v>1</v>
      </c>
      <c r="DV206" s="79">
        <f t="shared" si="359"/>
        <v>0</v>
      </c>
      <c r="DW206" s="79">
        <f t="shared" si="360"/>
        <v>0</v>
      </c>
      <c r="DX206" s="79">
        <f t="shared" si="361"/>
        <v>0</v>
      </c>
      <c r="DY206" s="79">
        <v>1</v>
      </c>
      <c r="DZ206" s="79">
        <f t="shared" si="362"/>
        <v>0</v>
      </c>
      <c r="EA206" s="79">
        <f t="shared" si="363"/>
        <v>0</v>
      </c>
      <c r="EB206" s="79">
        <f t="shared" si="364"/>
        <v>0</v>
      </c>
      <c r="EC206" s="79">
        <f t="shared" si="365"/>
        <v>0</v>
      </c>
      <c r="ED206" s="79">
        <v>1</v>
      </c>
      <c r="EE206" s="79">
        <v>1</v>
      </c>
      <c r="EF206" s="79">
        <f t="shared" si="366"/>
        <v>0</v>
      </c>
      <c r="EG206" s="79">
        <v>1</v>
      </c>
      <c r="EH206" s="79">
        <v>1</v>
      </c>
      <c r="EI206" s="79">
        <v>1</v>
      </c>
      <c r="EJ206" s="79">
        <v>1</v>
      </c>
      <c r="EK206" s="79">
        <v>1</v>
      </c>
      <c r="EL206" s="79">
        <v>1</v>
      </c>
      <c r="EM206" s="143">
        <f t="shared" si="367"/>
        <v>0</v>
      </c>
      <c r="EN206" s="143">
        <f t="shared" si="368"/>
        <v>0</v>
      </c>
      <c r="EO206" s="82">
        <f t="shared" si="369"/>
        <v>0</v>
      </c>
    </row>
    <row r="207" spans="1:145" x14ac:dyDescent="0.25">
      <c r="A207">
        <v>193</v>
      </c>
      <c r="B207" s="172" t="e">
        <f t="shared" si="338"/>
        <v>#N/A</v>
      </c>
      <c r="C207" s="121" t="e">
        <f t="shared" ref="C207:E207" si="472">AJ207-SUM(AB207:AB211)</f>
        <v>#N/A</v>
      </c>
      <c r="D207" s="122" t="e">
        <f t="shared" si="472"/>
        <v>#N/A</v>
      </c>
      <c r="E207" s="122" t="e">
        <f t="shared" si="472"/>
        <v>#N/A</v>
      </c>
      <c r="F207" s="176" t="e">
        <f t="shared" ref="F207:F270" si="473">IF(AND(MAX(C207:E207)&gt;0,DS207-MAX(C207:E207)&lt;DS207),DS207-MAX(C207:E207),DS207)</f>
        <v>#N/A</v>
      </c>
      <c r="G207" s="121">
        <f t="shared" si="340"/>
        <v>208</v>
      </c>
      <c r="H207" s="176" t="e">
        <f t="shared" si="341"/>
        <v>#N/A</v>
      </c>
      <c r="I207" s="48">
        <v>1</v>
      </c>
      <c r="J207" s="39"/>
      <c r="K207" s="350">
        <v>1</v>
      </c>
      <c r="L207" s="34" t="e">
        <f t="shared" ref="L207:L270" si="474">HLOOKUP(J207,$BS$14:$CM$508,A208,FALSE)+K207</f>
        <v>#N/A</v>
      </c>
      <c r="M207" s="38" t="e">
        <f>(HLOOKUP(J207,'Construction Times'!$B$3:$W$34,L207+2,FALSE)*HLOOKUP("hq modifier",'Construction Times'!$W$3:$W$34,BS207+2,FALSE))*(1-$H$9)</f>
        <v>#N/A</v>
      </c>
      <c r="N207" s="426" t="e">
        <f t="shared" si="342"/>
        <v>#N/A</v>
      </c>
      <c r="O207" s="427"/>
      <c r="P207" s="430" t="e">
        <f t="shared" si="343"/>
        <v>#N/A</v>
      </c>
      <c r="Q207" s="431"/>
      <c r="R207" s="103">
        <f t="shared" si="371"/>
        <v>0</v>
      </c>
      <c r="S207" s="104">
        <f t="shared" si="371"/>
        <v>0</v>
      </c>
      <c r="T207" s="104">
        <f t="shared" si="372"/>
        <v>0</v>
      </c>
      <c r="U207" s="104">
        <f t="shared" si="372"/>
        <v>0</v>
      </c>
      <c r="V207" s="104">
        <f t="shared" si="372"/>
        <v>9.9999999999999995E-8</v>
      </c>
      <c r="W207" s="104">
        <f t="shared" si="372"/>
        <v>0</v>
      </c>
      <c r="X207" s="104">
        <f t="shared" si="429"/>
        <v>0</v>
      </c>
      <c r="Y207" s="104">
        <f t="shared" si="429"/>
        <v>9.9999999999999995E-8</v>
      </c>
      <c r="Z207" s="104">
        <f t="shared" si="429"/>
        <v>9.9999999999999995E-8</v>
      </c>
      <c r="AA207" s="105">
        <f t="shared" si="429"/>
        <v>9.9999999999999995E-8</v>
      </c>
      <c r="AB207" s="101" t="e">
        <f>$DT207*HLOOKUP($J207,'Construction Costs (timber)'!$B$1:$V$32,'Construction Planner'!$L207+2,FALSE)</f>
        <v>#N/A</v>
      </c>
      <c r="AC207" s="14" t="e">
        <f>$DT207*HLOOKUP($J207,'Construction Costs (clay)'!$B$1:$V$32,'Construction Planner'!$L207+2,FALSE)</f>
        <v>#N/A</v>
      </c>
      <c r="AD207" s="14" t="e">
        <f>$DT207*HLOOKUP($J207,'Construction Costs (iron)'!$B$1:$V$32,'Construction Planner'!$L207+2,FALSE)</f>
        <v>#N/A</v>
      </c>
      <c r="AE207" s="34" t="e">
        <f t="shared" si="384"/>
        <v>#N/A</v>
      </c>
      <c r="AF207" s="33" t="e">
        <f t="shared" ref="AF207:AF270" si="475">AB207*($AH$3/$M207)</f>
        <v>#N/A</v>
      </c>
      <c r="AG207" s="14" t="e">
        <f t="shared" ref="AG207:AG270" si="476">AC207*($AH$3/$M207)</f>
        <v>#N/A</v>
      </c>
      <c r="AH207" s="14" t="e">
        <f t="shared" ref="AH207:AH270" si="477">AD207*($AH$3/$M207)</f>
        <v>#N/A</v>
      </c>
      <c r="AI207" s="34" t="e">
        <f t="shared" si="385"/>
        <v>#N/A</v>
      </c>
      <c r="AJ207" s="49" t="e">
        <f t="shared" si="345"/>
        <v>#N/A</v>
      </c>
      <c r="AK207" s="49" t="e">
        <f t="shared" si="346"/>
        <v>#N/A</v>
      </c>
      <c r="AL207" s="49" t="e">
        <f t="shared" si="347"/>
        <v>#N/A</v>
      </c>
      <c r="AM207" s="25">
        <f t="shared" ref="AM207:AM270" si="478">IF(CE207 = 0,$E$3*5,$E$3*30*1.163118^(CE207-1))*(1+$B$10)</f>
        <v>30</v>
      </c>
      <c r="AN207" s="25">
        <f t="shared" ref="AN207:AN270" si="479">IF(CF207 = 0,$E$3*5,$E$3*30*1.163118^(CF207-1))*(1+$B$10)</f>
        <v>30</v>
      </c>
      <c r="AO207" s="25">
        <f t="shared" ref="AO207:AO270" si="480">IF(CG207 = 0,$E$3*5,$E$3*30*1.163118^(CG207-1))*(1+$B$10)</f>
        <v>30</v>
      </c>
      <c r="AP207" s="52" t="e">
        <f t="shared" si="348"/>
        <v>#N/A</v>
      </c>
      <c r="AQ207" s="53" t="e">
        <f t="shared" si="348"/>
        <v>#N/A</v>
      </c>
      <c r="AR207" s="54" t="e">
        <f t="shared" si="348"/>
        <v>#N/A</v>
      </c>
      <c r="AS207" s="316">
        <f t="shared" si="459"/>
        <v>0</v>
      </c>
      <c r="AT207" s="106">
        <f>_xlfn.IFNA($M207/VLOOKUP($BT207,'Unit information'!$A$2:$K$29,2,FALSE)*R207,0)*(1+$E$9)</f>
        <v>0</v>
      </c>
      <c r="AU207" s="107">
        <f>_xlfn.IFNA($M207/VLOOKUP($BT207,'Unit information'!$A$2:$K$29,3,FALSE)*S207,0)*(1+$E$9)</f>
        <v>0</v>
      </c>
      <c r="AV207" s="107">
        <f>_xlfn.IFNA($M207/VLOOKUP($BT207,'Unit information'!$A$2:$K$29,4,FALSE)*T207,0)*(1+$E$9)</f>
        <v>0</v>
      </c>
      <c r="AW207" s="107">
        <f>_xlfn.IFNA($M207/VLOOKUP($BT207,'Unit information'!$A$2:$K$29,5,FALSE)*U207,0)*(1+$E$9)</f>
        <v>0</v>
      </c>
      <c r="AX207" s="107">
        <f>_xlfn.IFNA($M207/VLOOKUP($BU207,'Unit information'!$A$2:$K$29,6,FALSE)*V207,0)*(1+$E$9)</f>
        <v>0</v>
      </c>
      <c r="AY207" s="107">
        <f>_xlfn.IFNA($M207/VLOOKUP($BU207,'Unit information'!$A$2:$K$29,7,FALSE)*W207,0)*(1+$E$9)</f>
        <v>0</v>
      </c>
      <c r="AZ207" s="107">
        <f>_xlfn.IFNA($M207/VLOOKUP($BU207,'Unit information'!$A$2:$K$29,8,FALSE)*X207,0)*(1+$E$9)</f>
        <v>0</v>
      </c>
      <c r="BA207" s="107">
        <f>_xlfn.IFNA($M207/VLOOKUP($BU207,'Unit information'!$A$2:$K$29,9,FALSE)*Y207,0)*(1+$E$9)</f>
        <v>0</v>
      </c>
      <c r="BB207" s="107">
        <f>_xlfn.IFNA($M207/VLOOKUP($BV207,'Unit information'!$A$2:$K$29,10,FALSE)*Z207,0)*(1+$E$9)</f>
        <v>0</v>
      </c>
      <c r="BC207" s="108">
        <f>_xlfn.IFNA($M207/VLOOKUP($BV207,'Unit information'!$A$2:$K$29,11,FALSE)*AA207,0)*(1+$E$9)</f>
        <v>0</v>
      </c>
      <c r="BD207" s="106">
        <f t="shared" ref="BD207:BD270" si="481">$AT207*50+$AU207*30+$AV207*60+$AX207*50+$AY207*125+$BA207*200+$BB207*300+$BC207*320</f>
        <v>0</v>
      </c>
      <c r="BE207" s="107">
        <f t="shared" ref="BE207:BE270" si="482">$AT207*30+$AU207*30+$AV207*30+$AX207*50+$AY207*100+$BA207*150+$BB207*200+$BC207*400</f>
        <v>0</v>
      </c>
      <c r="BF207" s="108">
        <f t="shared" ref="BF207:BF270" si="483">$AT207*10+$AU207*70+$AV207*40+$AX207*20+$AY207*250+$BA207*600+$BB207*200+$BC207*100</f>
        <v>0</v>
      </c>
      <c r="BG207" s="25" t="e">
        <f t="shared" ref="BG207:BG270" si="484">AM207+AP207</f>
        <v>#N/A</v>
      </c>
      <c r="BH207" s="25" t="e">
        <f t="shared" ref="BH207:BH270" si="485">AN207+AQ207</f>
        <v>#N/A</v>
      </c>
      <c r="BI207" s="25" t="e">
        <f t="shared" ref="BI207:BI270" si="486">AO207+AR207</f>
        <v>#N/A</v>
      </c>
      <c r="BJ207" s="27" t="e">
        <f t="shared" ref="BJ207:BJ270" si="487">IF(AJ207&gt;AB207,0,(AB207-AJ207)/BG207*$AK$3)</f>
        <v>#N/A</v>
      </c>
      <c r="BK207" s="18" t="e">
        <f t="shared" ref="BK207:BK270" si="488">IF(AK207&gt;AC207,0,(AC207-AK207)/BH207*$AK$3)</f>
        <v>#N/A</v>
      </c>
      <c r="BL207" s="18" t="e">
        <f t="shared" ref="BL207:BL270" si="489">IF(AL207&gt;AD207,0,(AD207-AL207)/BI207*$AK$3)</f>
        <v>#N/A</v>
      </c>
      <c r="BM207" s="28" t="e">
        <f t="shared" si="387"/>
        <v>#N/A</v>
      </c>
      <c r="BN207" s="33">
        <f>HLOOKUP("maximum population",Miscelaneous!$C$1:$C$33,CH207+3,FALSE)</f>
        <v>240</v>
      </c>
      <c r="BO207" s="14">
        <f t="shared" si="349"/>
        <v>32</v>
      </c>
      <c r="BP207" s="14">
        <f t="shared" si="350"/>
        <v>0</v>
      </c>
      <c r="BQ207" s="14">
        <f t="shared" si="351"/>
        <v>208</v>
      </c>
      <c r="BR207" s="34" t="e">
        <f>HLOOKUP(J207,Villagers!$B$1:$V$33,L207+3,FALSE)-HLOOKUP(J207,Villagers!$B$1:$V$33,L207+2,FALSE)</f>
        <v>#N/A</v>
      </c>
      <c r="BS207" s="49">
        <f t="shared" si="352"/>
        <v>1</v>
      </c>
      <c r="BT207" s="50">
        <f t="shared" si="353"/>
        <v>0</v>
      </c>
      <c r="BU207" s="50">
        <f t="shared" si="354"/>
        <v>0</v>
      </c>
      <c r="BV207" s="50">
        <f t="shared" si="355"/>
        <v>0</v>
      </c>
      <c r="BW207" s="50">
        <f t="shared" si="465"/>
        <v>0</v>
      </c>
      <c r="BX207" s="50">
        <f t="shared" si="463"/>
        <v>0</v>
      </c>
      <c r="BY207" s="50">
        <f t="shared" si="463"/>
        <v>0</v>
      </c>
      <c r="BZ207" s="50">
        <f t="shared" si="401"/>
        <v>0</v>
      </c>
      <c r="CA207" s="50">
        <f t="shared" si="402"/>
        <v>0</v>
      </c>
      <c r="CB207" s="50">
        <f t="shared" si="403"/>
        <v>1</v>
      </c>
      <c r="CC207" s="50">
        <f t="shared" si="404"/>
        <v>0</v>
      </c>
      <c r="CD207" s="50">
        <f t="shared" si="405"/>
        <v>0</v>
      </c>
      <c r="CE207" s="50">
        <f t="shared" si="406"/>
        <v>1</v>
      </c>
      <c r="CF207" s="50">
        <f t="shared" si="407"/>
        <v>1</v>
      </c>
      <c r="CG207" s="50">
        <f t="shared" si="408"/>
        <v>1</v>
      </c>
      <c r="CH207" s="50">
        <f t="shared" si="409"/>
        <v>1</v>
      </c>
      <c r="CI207" s="50">
        <f t="shared" si="410"/>
        <v>1</v>
      </c>
      <c r="CJ207" s="50">
        <f t="shared" si="411"/>
        <v>1</v>
      </c>
      <c r="CK207" s="50">
        <f t="shared" si="411"/>
        <v>0</v>
      </c>
      <c r="CL207" s="50">
        <f t="shared" si="411"/>
        <v>0</v>
      </c>
      <c r="CM207" s="51">
        <f t="shared" si="432"/>
        <v>0</v>
      </c>
      <c r="CN207" s="33">
        <f>ROUND(IF(BS207=0,0,HLOOKUP(BS$14,Villagers!$B$1:$V$33,BS207+3,FALSE)),)</f>
        <v>5</v>
      </c>
      <c r="CO207" s="14">
        <f>ROUND(IF(BT207=0,0,HLOOKUP(BT$14,Villagers!$B$1:$V$33,BT207+3,FALSE)),)</f>
        <v>0</v>
      </c>
      <c r="CP207" s="14">
        <f>ROUND(IF(BU207=0,0,HLOOKUP(BU$14,Villagers!$B$1:$V$33,BU207+3,FALSE)),)</f>
        <v>0</v>
      </c>
      <c r="CQ207" s="14">
        <f>ROUND(IF(BV207=0,0,HLOOKUP(BV$14,Villagers!$B$1:$V$33,BV207+3,FALSE)),)</f>
        <v>0</v>
      </c>
      <c r="CR207" s="14">
        <f>ROUND(IF(BW207=0,0,HLOOKUP(BW$14,Villagers!$B$1:$V$33,BW207+3,FALSE)),)</f>
        <v>0</v>
      </c>
      <c r="CS207" s="14">
        <f>ROUND(IF(BX207=0,0,HLOOKUP(BX$14,Villagers!$B$1:$V$33,BX207+3,FALSE)),)</f>
        <v>0</v>
      </c>
      <c r="CT207" s="14">
        <f>ROUND(IF(BY207=0,0,HLOOKUP(BY$14,Villagers!$B$1:$V$33,BY207+3,FALSE)),)</f>
        <v>0</v>
      </c>
      <c r="CU207" s="14">
        <f>ROUND(IF(BZ207=0,0,HLOOKUP(BZ$14,Villagers!$B$1:$V$33,BZ207+3,FALSE)),)</f>
        <v>0</v>
      </c>
      <c r="CV207" s="14">
        <f>ROUND(IF(CA207=0,0,HLOOKUP(CA$14,Villagers!$B$1:$V$33,CA207+3,FALSE)),)</f>
        <v>0</v>
      </c>
      <c r="CW207" s="14">
        <f>ROUND(IF(CB207=0,0,HLOOKUP(CB$14,Villagers!$B$1:$V$33,CB207+3,FALSE)),)</f>
        <v>0</v>
      </c>
      <c r="CX207" s="14">
        <f>ROUND(IF(CC207=0,0,HLOOKUP(CC$14,Villagers!$B$1:$V$33,CC207+3,FALSE)),)</f>
        <v>0</v>
      </c>
      <c r="CY207" s="14">
        <f>ROUND(IF(CD207=0,0,HLOOKUP(CD$14,Villagers!$B$1:$V$33,CD207+3,FALSE)),)</f>
        <v>0</v>
      </c>
      <c r="CZ207" s="14">
        <f>ROUND(IF(CE207=0,0,HLOOKUP(CE$14,Villagers!$B$1:$V$33,CE207+3,FALSE)),)</f>
        <v>5</v>
      </c>
      <c r="DA207" s="14">
        <f>ROUND(IF(CF207=0,0,HLOOKUP(CF$14,Villagers!$B$1:$V$33,CF207+3,FALSE)),)</f>
        <v>10</v>
      </c>
      <c r="DB207" s="14">
        <f>ROUND(IF(CG207=0,0,HLOOKUP(CG$14,Villagers!$B$1:$V$33,CG207+3,FALSE)),)</f>
        <v>10</v>
      </c>
      <c r="DC207" s="14">
        <f>ROUND(IF(CH207=0,0,HLOOKUP(CH$14,Villagers!$B$1:$V$33,CH207+3,FALSE)),)</f>
        <v>0</v>
      </c>
      <c r="DD207" s="14">
        <f>ROUND(IF(CI207=0,0,HLOOKUP(CI$14,Villagers!$B$1:$V$33,CI207+3,FALSE)),)</f>
        <v>0</v>
      </c>
      <c r="DE207" s="14">
        <f>ROUND(IF(CJ207=0,0,HLOOKUP(CJ$14,Villagers!$B$1:$V$33,CJ207+3,FALSE)),)</f>
        <v>2</v>
      </c>
      <c r="DF207" s="370">
        <f>ROUND(IF(CK207=0,0,HLOOKUP(CK$14,Villagers!$B$1:$V$33,CK207+3,FALSE)),)</f>
        <v>0</v>
      </c>
      <c r="DG207" s="370">
        <f>ROUND(IF(CL207=0,0,HLOOKUP(CL$14,Villagers!$B$1:$V$33,CL207+3,FALSE)),)</f>
        <v>0</v>
      </c>
      <c r="DH207" s="34">
        <f>ROUND(IF(CM207=0,0,HLOOKUP(CM$14,Villagers!$B$1:$V$33,CM207+3,FALSE)),)</f>
        <v>0</v>
      </c>
      <c r="DI207" s="109">
        <f t="shared" si="373"/>
        <v>0</v>
      </c>
      <c r="DJ207" s="50">
        <f t="shared" si="374"/>
        <v>0</v>
      </c>
      <c r="DK207" s="50">
        <f t="shared" si="375"/>
        <v>0</v>
      </c>
      <c r="DL207" s="50">
        <f t="shared" si="376"/>
        <v>0</v>
      </c>
      <c r="DM207" s="50">
        <f t="shared" si="377"/>
        <v>0</v>
      </c>
      <c r="DN207" s="50">
        <f t="shared" si="378"/>
        <v>0</v>
      </c>
      <c r="DO207" s="50">
        <f t="shared" si="379"/>
        <v>0</v>
      </c>
      <c r="DP207" s="50">
        <f t="shared" si="380"/>
        <v>0</v>
      </c>
      <c r="DQ207" s="50">
        <f t="shared" si="357"/>
        <v>0</v>
      </c>
      <c r="DR207" s="50">
        <f t="shared" si="358"/>
        <v>0</v>
      </c>
      <c r="DS207" s="96">
        <f>Miscelaneous!$D$4*Miscelaneous!$D$2^($CI207-1)</f>
        <v>1000</v>
      </c>
      <c r="DT207" s="333">
        <f t="shared" ref="DT207:DT270" si="490">IF(I207&lt;3,1,1.125^(I207-3))</f>
        <v>1</v>
      </c>
      <c r="DU207" s="81">
        <v>1</v>
      </c>
      <c r="DV207" s="79">
        <f t="shared" si="359"/>
        <v>0</v>
      </c>
      <c r="DW207" s="79">
        <f t="shared" si="360"/>
        <v>0</v>
      </c>
      <c r="DX207" s="79">
        <f t="shared" si="361"/>
        <v>0</v>
      </c>
      <c r="DY207" s="79">
        <v>1</v>
      </c>
      <c r="DZ207" s="79">
        <f t="shared" si="362"/>
        <v>0</v>
      </c>
      <c r="EA207" s="79">
        <f t="shared" si="363"/>
        <v>0</v>
      </c>
      <c r="EB207" s="79">
        <f t="shared" si="364"/>
        <v>0</v>
      </c>
      <c r="EC207" s="79">
        <f t="shared" si="365"/>
        <v>0</v>
      </c>
      <c r="ED207" s="79">
        <v>1</v>
      </c>
      <c r="EE207" s="79">
        <v>1</v>
      </c>
      <c r="EF207" s="79">
        <f t="shared" si="366"/>
        <v>0</v>
      </c>
      <c r="EG207" s="79">
        <v>1</v>
      </c>
      <c r="EH207" s="79">
        <v>1</v>
      </c>
      <c r="EI207" s="79">
        <v>1</v>
      </c>
      <c r="EJ207" s="79">
        <v>1</v>
      </c>
      <c r="EK207" s="79">
        <v>1</v>
      </c>
      <c r="EL207" s="79">
        <v>1</v>
      </c>
      <c r="EM207" s="143">
        <f t="shared" si="367"/>
        <v>0</v>
      </c>
      <c r="EN207" s="143">
        <f t="shared" si="368"/>
        <v>0</v>
      </c>
      <c r="EO207" s="82">
        <f t="shared" si="369"/>
        <v>0</v>
      </c>
    </row>
    <row r="208" spans="1:145" x14ac:dyDescent="0.25">
      <c r="A208">
        <v>194</v>
      </c>
      <c r="B208" s="172" t="e">
        <f t="shared" ref="B208:B271" si="491">BM208</f>
        <v>#N/A</v>
      </c>
      <c r="C208" s="121" t="e">
        <f t="shared" ref="C208:E208" si="492">AJ208-SUM(AB208:AB212)</f>
        <v>#N/A</v>
      </c>
      <c r="D208" s="122" t="e">
        <f t="shared" si="492"/>
        <v>#N/A</v>
      </c>
      <c r="E208" s="122" t="e">
        <f t="shared" si="492"/>
        <v>#N/A</v>
      </c>
      <c r="F208" s="176" t="e">
        <f t="shared" si="473"/>
        <v>#N/A</v>
      </c>
      <c r="G208" s="121">
        <f t="shared" ref="G208:G271" si="493">BQ208</f>
        <v>208</v>
      </c>
      <c r="H208" s="176" t="e">
        <f t="shared" ref="H208:H271" si="494">BQ208-SUM(BR208:BR212)</f>
        <v>#N/A</v>
      </c>
      <c r="I208" s="48">
        <v>1</v>
      </c>
      <c r="J208" s="39"/>
      <c r="K208" s="350">
        <v>1</v>
      </c>
      <c r="L208" s="34" t="e">
        <f t="shared" si="474"/>
        <v>#N/A</v>
      </c>
      <c r="M208" s="38" t="e">
        <f>(HLOOKUP(J208,'Construction Times'!$B$3:$W$34,L208+2,FALSE)*HLOOKUP("hq modifier",'Construction Times'!$W$3:$W$34,BS208+2,FALSE))*(1-$H$9)</f>
        <v>#N/A</v>
      </c>
      <c r="N208" s="426" t="e">
        <f t="shared" ref="N208:N271" si="495">P207+M207</f>
        <v>#N/A</v>
      </c>
      <c r="O208" s="427"/>
      <c r="P208" s="430" t="e">
        <f t="shared" ref="P208:P271" si="496">IF(MAX(AB208:AD208)&gt;DS208,"Speicher zu klein",IF(HLOOKUP(J208,$DU$14:$EO$509,A208+2,FALSE)=0,"Gebäude Vor. nicht erfüllt",N208+BM208))</f>
        <v>#N/A</v>
      </c>
      <c r="Q208" s="431"/>
      <c r="R208" s="103">
        <f t="shared" si="371"/>
        <v>0</v>
      </c>
      <c r="S208" s="104">
        <f t="shared" si="371"/>
        <v>0</v>
      </c>
      <c r="T208" s="104">
        <f t="shared" si="372"/>
        <v>0</v>
      </c>
      <c r="U208" s="104">
        <f t="shared" si="372"/>
        <v>0</v>
      </c>
      <c r="V208" s="104">
        <f t="shared" si="372"/>
        <v>9.9999999999999995E-8</v>
      </c>
      <c r="W208" s="104">
        <f t="shared" ref="W208" si="497">W207</f>
        <v>0</v>
      </c>
      <c r="X208" s="104">
        <f t="shared" si="429"/>
        <v>0</v>
      </c>
      <c r="Y208" s="104">
        <f t="shared" si="429"/>
        <v>9.9999999999999995E-8</v>
      </c>
      <c r="Z208" s="104">
        <f t="shared" si="429"/>
        <v>9.9999999999999995E-8</v>
      </c>
      <c r="AA208" s="105">
        <f t="shared" si="429"/>
        <v>9.9999999999999995E-8</v>
      </c>
      <c r="AB208" s="101" t="e">
        <f>$DT208*HLOOKUP($J208,'Construction Costs (timber)'!$B$1:$V$32,'Construction Planner'!$L208+2,FALSE)</f>
        <v>#N/A</v>
      </c>
      <c r="AC208" s="14" t="e">
        <f>$DT208*HLOOKUP($J208,'Construction Costs (clay)'!$B$1:$V$32,'Construction Planner'!$L208+2,FALSE)</f>
        <v>#N/A</v>
      </c>
      <c r="AD208" s="14" t="e">
        <f>$DT208*HLOOKUP($J208,'Construction Costs (iron)'!$B$1:$V$32,'Construction Planner'!$L208+2,FALSE)</f>
        <v>#N/A</v>
      </c>
      <c r="AE208" s="34" t="e">
        <f t="shared" si="384"/>
        <v>#N/A</v>
      </c>
      <c r="AF208" s="33" t="e">
        <f t="shared" si="475"/>
        <v>#N/A</v>
      </c>
      <c r="AG208" s="14" t="e">
        <f t="shared" si="476"/>
        <v>#N/A</v>
      </c>
      <c r="AH208" s="14" t="e">
        <f t="shared" si="477"/>
        <v>#N/A</v>
      </c>
      <c r="AI208" s="34" t="e">
        <f t="shared" si="385"/>
        <v>#N/A</v>
      </c>
      <c r="AJ208" s="49" t="e">
        <f t="shared" ref="AJ208:AJ271" si="498">(($N208-$N207)/$AK$3)*BG207+AJ207-AB207-BD207</f>
        <v>#N/A</v>
      </c>
      <c r="AK208" s="49" t="e">
        <f t="shared" ref="AK208:AK271" si="499">(($N208-$N207)/$AK$3)*BH207+AK207-AC207-BE207</f>
        <v>#N/A</v>
      </c>
      <c r="AL208" s="49" t="e">
        <f t="shared" ref="AL208:AL271" si="500">(($N208-$N207)/$AK$3)*BI207+AL207-AD207-BF207</f>
        <v>#N/A</v>
      </c>
      <c r="AM208" s="25">
        <f t="shared" si="478"/>
        <v>30</v>
      </c>
      <c r="AN208" s="25">
        <f t="shared" si="479"/>
        <v>30</v>
      </c>
      <c r="AO208" s="25">
        <f t="shared" si="480"/>
        <v>30</v>
      </c>
      <c r="AP208" s="52" t="e">
        <f t="shared" ref="AP208:AR271" si="501">($N208-$AK$6+$AK$9+1)*$AK$5/24/3*$AS208</f>
        <v>#N/A</v>
      </c>
      <c r="AQ208" s="53" t="e">
        <f t="shared" si="501"/>
        <v>#N/A</v>
      </c>
      <c r="AR208" s="54" t="e">
        <f t="shared" si="501"/>
        <v>#N/A</v>
      </c>
      <c r="AS208" s="316">
        <f t="shared" si="459"/>
        <v>0</v>
      </c>
      <c r="AT208" s="106">
        <f>_xlfn.IFNA($M208/VLOOKUP($BT208,'Unit information'!$A$2:$K$29,2,FALSE)*R208,0)*(1+$E$9)</f>
        <v>0</v>
      </c>
      <c r="AU208" s="107">
        <f>_xlfn.IFNA($M208/VLOOKUP($BT208,'Unit information'!$A$2:$K$29,3,FALSE)*S208,0)*(1+$E$9)</f>
        <v>0</v>
      </c>
      <c r="AV208" s="107">
        <f>_xlfn.IFNA($M208/VLOOKUP($BT208,'Unit information'!$A$2:$K$29,4,FALSE)*T208,0)*(1+$E$9)</f>
        <v>0</v>
      </c>
      <c r="AW208" s="107">
        <f>_xlfn.IFNA($M208/VLOOKUP($BT208,'Unit information'!$A$2:$K$29,5,FALSE)*U208,0)*(1+$E$9)</f>
        <v>0</v>
      </c>
      <c r="AX208" s="107">
        <f>_xlfn.IFNA($M208/VLOOKUP($BU208,'Unit information'!$A$2:$K$29,6,FALSE)*V208,0)*(1+$E$9)</f>
        <v>0</v>
      </c>
      <c r="AY208" s="107">
        <f>_xlfn.IFNA($M208/VLOOKUP($BU208,'Unit information'!$A$2:$K$29,7,FALSE)*W208,0)*(1+$E$9)</f>
        <v>0</v>
      </c>
      <c r="AZ208" s="107">
        <f>_xlfn.IFNA($M208/VLOOKUP($BU208,'Unit information'!$A$2:$K$29,8,FALSE)*X208,0)*(1+$E$9)</f>
        <v>0</v>
      </c>
      <c r="BA208" s="107">
        <f>_xlfn.IFNA($M208/VLOOKUP($BU208,'Unit information'!$A$2:$K$29,9,FALSE)*Y208,0)*(1+$E$9)</f>
        <v>0</v>
      </c>
      <c r="BB208" s="107">
        <f>_xlfn.IFNA($M208/VLOOKUP($BV208,'Unit information'!$A$2:$K$29,10,FALSE)*Z208,0)*(1+$E$9)</f>
        <v>0</v>
      </c>
      <c r="BC208" s="108">
        <f>_xlfn.IFNA($M208/VLOOKUP($BV208,'Unit information'!$A$2:$K$29,11,FALSE)*AA208,0)*(1+$E$9)</f>
        <v>0</v>
      </c>
      <c r="BD208" s="106">
        <f t="shared" si="481"/>
        <v>0</v>
      </c>
      <c r="BE208" s="107">
        <f t="shared" si="482"/>
        <v>0</v>
      </c>
      <c r="BF208" s="108">
        <f t="shared" si="483"/>
        <v>0</v>
      </c>
      <c r="BG208" s="25" t="e">
        <f t="shared" si="484"/>
        <v>#N/A</v>
      </c>
      <c r="BH208" s="25" t="e">
        <f t="shared" si="485"/>
        <v>#N/A</v>
      </c>
      <c r="BI208" s="25" t="e">
        <f t="shared" si="486"/>
        <v>#N/A</v>
      </c>
      <c r="BJ208" s="27" t="e">
        <f t="shared" si="487"/>
        <v>#N/A</v>
      </c>
      <c r="BK208" s="18" t="e">
        <f t="shared" si="488"/>
        <v>#N/A</v>
      </c>
      <c r="BL208" s="18" t="e">
        <f t="shared" si="489"/>
        <v>#N/A</v>
      </c>
      <c r="BM208" s="28" t="e">
        <f t="shared" si="387"/>
        <v>#N/A</v>
      </c>
      <c r="BN208" s="33">
        <f>HLOOKUP("maximum population",Miscelaneous!$C$1:$C$33,CH208+3,FALSE)</f>
        <v>240</v>
      </c>
      <c r="BO208" s="14">
        <f t="shared" ref="BO208:BO271" si="502">SUM(CN209:DH209)</f>
        <v>32</v>
      </c>
      <c r="BP208" s="14">
        <f t="shared" ref="BP208:BP271" si="503">SUM(DI208:DL208)+DM208*2+DN208*4+DO208*5+DP208*6+DQ208*5+DR208*8</f>
        <v>0</v>
      </c>
      <c r="BQ208" s="14">
        <f t="shared" ref="BQ208:BQ271" si="504">BN208-BO208-BP208</f>
        <v>208</v>
      </c>
      <c r="BR208" s="34" t="e">
        <f>HLOOKUP(J208,Villagers!$B$1:$V$33,L208+3,FALSE)-HLOOKUP(J208,Villagers!$B$1:$V$33,L208+2,FALSE)</f>
        <v>#N/A</v>
      </c>
      <c r="BS208" s="49">
        <f t="shared" ref="BS208:BS271" si="505">IF($J207=BS$14,$L207,BS207)</f>
        <v>1</v>
      </c>
      <c r="BT208" s="50">
        <f t="shared" ref="BT208:BT271" si="506">IF($J207=BT$14,$L207,BT207)</f>
        <v>0</v>
      </c>
      <c r="BU208" s="50">
        <f t="shared" ref="BU208:BU271" si="507">IF($J207=BU$14,$L207,BU207)</f>
        <v>0</v>
      </c>
      <c r="BV208" s="50">
        <f t="shared" ref="BV208:BV271" si="508">IF($J207=BV$14,$L207,BV207)</f>
        <v>0</v>
      </c>
      <c r="BW208" s="50">
        <f t="shared" ref="BW208:BY214" si="509">IF($J207=BW$14,$L207,BW207)</f>
        <v>0</v>
      </c>
      <c r="BX208" s="50">
        <f t="shared" si="509"/>
        <v>0</v>
      </c>
      <c r="BY208" s="50">
        <f t="shared" si="509"/>
        <v>0</v>
      </c>
      <c r="BZ208" s="50">
        <f t="shared" si="401"/>
        <v>0</v>
      </c>
      <c r="CA208" s="50">
        <f t="shared" si="402"/>
        <v>0</v>
      </c>
      <c r="CB208" s="50">
        <f t="shared" si="403"/>
        <v>1</v>
      </c>
      <c r="CC208" s="50">
        <f t="shared" si="404"/>
        <v>0</v>
      </c>
      <c r="CD208" s="50">
        <f t="shared" si="405"/>
        <v>0</v>
      </c>
      <c r="CE208" s="50">
        <f t="shared" si="406"/>
        <v>1</v>
      </c>
      <c r="CF208" s="50">
        <f t="shared" si="407"/>
        <v>1</v>
      </c>
      <c r="CG208" s="50">
        <f t="shared" si="408"/>
        <v>1</v>
      </c>
      <c r="CH208" s="50">
        <f t="shared" si="409"/>
        <v>1</v>
      </c>
      <c r="CI208" s="50">
        <f t="shared" si="410"/>
        <v>1</v>
      </c>
      <c r="CJ208" s="50">
        <f t="shared" si="411"/>
        <v>1</v>
      </c>
      <c r="CK208" s="50">
        <f t="shared" si="411"/>
        <v>0</v>
      </c>
      <c r="CL208" s="50">
        <f t="shared" si="411"/>
        <v>0</v>
      </c>
      <c r="CM208" s="51">
        <f t="shared" si="432"/>
        <v>0</v>
      </c>
      <c r="CN208" s="33">
        <f>ROUND(IF(BS208=0,0,HLOOKUP(BS$14,Villagers!$B$1:$V$33,BS208+3,FALSE)),)</f>
        <v>5</v>
      </c>
      <c r="CO208" s="14">
        <f>ROUND(IF(BT208=0,0,HLOOKUP(BT$14,Villagers!$B$1:$V$33,BT208+3,FALSE)),)</f>
        <v>0</v>
      </c>
      <c r="CP208" s="14">
        <f>ROUND(IF(BU208=0,0,HLOOKUP(BU$14,Villagers!$B$1:$V$33,BU208+3,FALSE)),)</f>
        <v>0</v>
      </c>
      <c r="CQ208" s="14">
        <f>ROUND(IF(BV208=0,0,HLOOKUP(BV$14,Villagers!$B$1:$V$33,BV208+3,FALSE)),)</f>
        <v>0</v>
      </c>
      <c r="CR208" s="14">
        <f>ROUND(IF(BW208=0,0,HLOOKUP(BW$14,Villagers!$B$1:$V$33,BW208+3,FALSE)),)</f>
        <v>0</v>
      </c>
      <c r="CS208" s="14">
        <f>ROUND(IF(BX208=0,0,HLOOKUP(BX$14,Villagers!$B$1:$V$33,BX208+3,FALSE)),)</f>
        <v>0</v>
      </c>
      <c r="CT208" s="14">
        <f>ROUND(IF(BY208=0,0,HLOOKUP(BY$14,Villagers!$B$1:$V$33,BY208+3,FALSE)),)</f>
        <v>0</v>
      </c>
      <c r="CU208" s="14">
        <f>ROUND(IF(BZ208=0,0,HLOOKUP(BZ$14,Villagers!$B$1:$V$33,BZ208+3,FALSE)),)</f>
        <v>0</v>
      </c>
      <c r="CV208" s="14">
        <f>ROUND(IF(CA208=0,0,HLOOKUP(CA$14,Villagers!$B$1:$V$33,CA208+3,FALSE)),)</f>
        <v>0</v>
      </c>
      <c r="CW208" s="14">
        <f>ROUND(IF(CB208=0,0,HLOOKUP(CB$14,Villagers!$B$1:$V$33,CB208+3,FALSE)),)</f>
        <v>0</v>
      </c>
      <c r="CX208" s="14">
        <f>ROUND(IF(CC208=0,0,HLOOKUP(CC$14,Villagers!$B$1:$V$33,CC208+3,FALSE)),)</f>
        <v>0</v>
      </c>
      <c r="CY208" s="14">
        <f>ROUND(IF(CD208=0,0,HLOOKUP(CD$14,Villagers!$B$1:$V$33,CD208+3,FALSE)),)</f>
        <v>0</v>
      </c>
      <c r="CZ208" s="14">
        <f>ROUND(IF(CE208=0,0,HLOOKUP(CE$14,Villagers!$B$1:$V$33,CE208+3,FALSE)),)</f>
        <v>5</v>
      </c>
      <c r="DA208" s="14">
        <f>ROUND(IF(CF208=0,0,HLOOKUP(CF$14,Villagers!$B$1:$V$33,CF208+3,FALSE)),)</f>
        <v>10</v>
      </c>
      <c r="DB208" s="14">
        <f>ROUND(IF(CG208=0,0,HLOOKUP(CG$14,Villagers!$B$1:$V$33,CG208+3,FALSE)),)</f>
        <v>10</v>
      </c>
      <c r="DC208" s="14">
        <f>ROUND(IF(CH208=0,0,HLOOKUP(CH$14,Villagers!$B$1:$V$33,CH208+3,FALSE)),)</f>
        <v>0</v>
      </c>
      <c r="DD208" s="14">
        <f>ROUND(IF(CI208=0,0,HLOOKUP(CI$14,Villagers!$B$1:$V$33,CI208+3,FALSE)),)</f>
        <v>0</v>
      </c>
      <c r="DE208" s="14">
        <f>ROUND(IF(CJ208=0,0,HLOOKUP(CJ$14,Villagers!$B$1:$V$33,CJ208+3,FALSE)),)</f>
        <v>2</v>
      </c>
      <c r="DF208" s="370">
        <f>ROUND(IF(CK208=0,0,HLOOKUP(CK$14,Villagers!$B$1:$V$33,CK208+3,FALSE)),)</f>
        <v>0</v>
      </c>
      <c r="DG208" s="370">
        <f>ROUND(IF(CL208=0,0,HLOOKUP(CL$14,Villagers!$B$1:$V$33,CL208+3,FALSE)),)</f>
        <v>0</v>
      </c>
      <c r="DH208" s="34">
        <f>ROUND(IF(CM208=0,0,HLOOKUP(CM$14,Villagers!$B$1:$V$33,CM208+3,FALSE)),)</f>
        <v>0</v>
      </c>
      <c r="DI208" s="109">
        <f t="shared" si="373"/>
        <v>0</v>
      </c>
      <c r="DJ208" s="50">
        <f t="shared" si="374"/>
        <v>0</v>
      </c>
      <c r="DK208" s="50">
        <f t="shared" si="375"/>
        <v>0</v>
      </c>
      <c r="DL208" s="50">
        <f t="shared" si="376"/>
        <v>0</v>
      </c>
      <c r="DM208" s="50">
        <f t="shared" si="377"/>
        <v>0</v>
      </c>
      <c r="DN208" s="50">
        <f t="shared" si="378"/>
        <v>0</v>
      </c>
      <c r="DO208" s="50">
        <f t="shared" si="379"/>
        <v>0</v>
      </c>
      <c r="DP208" s="50">
        <f t="shared" si="380"/>
        <v>0</v>
      </c>
      <c r="DQ208" s="50">
        <f t="shared" ref="DQ208:DQ271" si="510">ROUND(_xlfn.IFNA(DQ207+BB208,DQ207),0)</f>
        <v>0</v>
      </c>
      <c r="DR208" s="50">
        <f t="shared" ref="DR208:DR271" si="511">ROUND(_xlfn.IFNA(DR207+BC208,DR207),0)</f>
        <v>0</v>
      </c>
      <c r="DS208" s="96">
        <f>Miscelaneous!$D$4*Miscelaneous!$D$2^($CI208-1)</f>
        <v>1000</v>
      </c>
      <c r="DT208" s="333">
        <f t="shared" si="490"/>
        <v>1</v>
      </c>
      <c r="DU208" s="81">
        <v>1</v>
      </c>
      <c r="DV208" s="79">
        <f t="shared" ref="DV208:DV271" si="512">IF(BS208&gt;2,1,0)</f>
        <v>0</v>
      </c>
      <c r="DW208" s="79">
        <f t="shared" ref="DW208:DW271" si="513">IF(AND(BS208&gt;9,CA208&gt;4,BT208&gt;4)=TRUE,1,0)</f>
        <v>0</v>
      </c>
      <c r="DX208" s="79">
        <f t="shared" ref="DX208:DX271" si="514">IF(AND(BS208&gt;9,CA208&gt;9)=TRUE,1,0)</f>
        <v>0</v>
      </c>
      <c r="DY208" s="79">
        <v>1</v>
      </c>
      <c r="DZ208" s="79">
        <f t="shared" ref="DZ208:DZ271" si="515">IF(AND(BS208&gt;4,CH208&gt;4),1,0)</f>
        <v>0</v>
      </c>
      <c r="EA208" s="79">
        <f t="shared" ref="EA208:EA271" si="516">IF(AND(BS208&gt;4,CH208&gt;4),1,0)</f>
        <v>0</v>
      </c>
      <c r="EB208" s="79">
        <f t="shared" ref="EB208:EB271" si="517">IF(AND(BS208&gt;19,CA208&gt;19,CD208&gt;9)=TRUE,1,0)</f>
        <v>0</v>
      </c>
      <c r="EC208" s="79">
        <f t="shared" ref="EC208:EC271" si="518">IF(AND(BS208&gt;4,BT208&gt;0)=TRUE,1,0)</f>
        <v>0</v>
      </c>
      <c r="ED208" s="79">
        <v>1</v>
      </c>
      <c r="EE208" s="79">
        <v>1</v>
      </c>
      <c r="EF208" s="79">
        <f t="shared" ref="EF208:EF271" si="519">IF(AND(BS208&gt;2,CI208&gt;1),1,0)</f>
        <v>0</v>
      </c>
      <c r="EG208" s="79">
        <v>1</v>
      </c>
      <c r="EH208" s="79">
        <v>1</v>
      </c>
      <c r="EI208" s="79">
        <v>1</v>
      </c>
      <c r="EJ208" s="79">
        <v>1</v>
      </c>
      <c r="EK208" s="79">
        <v>1</v>
      </c>
      <c r="EL208" s="79">
        <v>1</v>
      </c>
      <c r="EM208" s="143">
        <f t="shared" ref="EM208:EM271" si="520">IF(CL208&gt;0,1,0)</f>
        <v>0</v>
      </c>
      <c r="EN208" s="143">
        <f t="shared" ref="EN208:EN271" si="521">IF(BZ208&gt;0,1,0)</f>
        <v>0</v>
      </c>
      <c r="EO208" s="82">
        <f t="shared" ref="EO208:EO271" si="522">IF(BT208&gt;0,1,0)</f>
        <v>0</v>
      </c>
    </row>
    <row r="209" spans="1:145" x14ac:dyDescent="0.25">
      <c r="A209">
        <v>195</v>
      </c>
      <c r="B209" s="172" t="e">
        <f t="shared" si="491"/>
        <v>#N/A</v>
      </c>
      <c r="C209" s="121" t="e">
        <f t="shared" ref="C209:E209" si="523">AJ209-SUM(AB209:AB213)</f>
        <v>#N/A</v>
      </c>
      <c r="D209" s="122" t="e">
        <f t="shared" si="523"/>
        <v>#N/A</v>
      </c>
      <c r="E209" s="122" t="e">
        <f t="shared" si="523"/>
        <v>#N/A</v>
      </c>
      <c r="F209" s="176" t="e">
        <f t="shared" si="473"/>
        <v>#N/A</v>
      </c>
      <c r="G209" s="121">
        <f t="shared" si="493"/>
        <v>208</v>
      </c>
      <c r="H209" s="176" t="e">
        <f t="shared" si="494"/>
        <v>#N/A</v>
      </c>
      <c r="I209" s="48">
        <v>1</v>
      </c>
      <c r="J209" s="39"/>
      <c r="K209" s="350">
        <v>1</v>
      </c>
      <c r="L209" s="34" t="e">
        <f t="shared" si="474"/>
        <v>#N/A</v>
      </c>
      <c r="M209" s="38" t="e">
        <f>(HLOOKUP(J209,'Construction Times'!$B$3:$W$34,L209+2,FALSE)*HLOOKUP("hq modifier",'Construction Times'!$W$3:$W$34,BS209+2,FALSE))*(1-$H$9)</f>
        <v>#N/A</v>
      </c>
      <c r="N209" s="426" t="e">
        <f t="shared" si="495"/>
        <v>#N/A</v>
      </c>
      <c r="O209" s="427"/>
      <c r="P209" s="430" t="e">
        <f t="shared" si="496"/>
        <v>#N/A</v>
      </c>
      <c r="Q209" s="431"/>
      <c r="R209" s="103">
        <f t="shared" ref="R209:S272" si="524">R208</f>
        <v>0</v>
      </c>
      <c r="S209" s="104">
        <f t="shared" si="524"/>
        <v>0</v>
      </c>
      <c r="T209" s="104">
        <f t="shared" ref="T209:W272" si="525">T208</f>
        <v>0</v>
      </c>
      <c r="U209" s="104">
        <f t="shared" si="525"/>
        <v>0</v>
      </c>
      <c r="V209" s="104">
        <f t="shared" si="525"/>
        <v>9.9999999999999995E-8</v>
      </c>
      <c r="W209" s="104">
        <f t="shared" si="525"/>
        <v>0</v>
      </c>
      <c r="X209" s="104">
        <f t="shared" si="429"/>
        <v>0</v>
      </c>
      <c r="Y209" s="104">
        <f t="shared" si="429"/>
        <v>9.9999999999999995E-8</v>
      </c>
      <c r="Z209" s="104">
        <f t="shared" si="429"/>
        <v>9.9999999999999995E-8</v>
      </c>
      <c r="AA209" s="105">
        <f t="shared" si="429"/>
        <v>9.9999999999999995E-8</v>
      </c>
      <c r="AB209" s="101" t="e">
        <f>$DT209*HLOOKUP($J209,'Construction Costs (timber)'!$B$1:$V$32,'Construction Planner'!$L209+2,FALSE)</f>
        <v>#N/A</v>
      </c>
      <c r="AC209" s="14" t="e">
        <f>$DT209*HLOOKUP($J209,'Construction Costs (clay)'!$B$1:$V$32,'Construction Planner'!$L209+2,FALSE)</f>
        <v>#N/A</v>
      </c>
      <c r="AD209" s="14" t="e">
        <f>$DT209*HLOOKUP($J209,'Construction Costs (iron)'!$B$1:$V$32,'Construction Planner'!$L209+2,FALSE)</f>
        <v>#N/A</v>
      </c>
      <c r="AE209" s="34" t="e">
        <f t="shared" si="384"/>
        <v>#N/A</v>
      </c>
      <c r="AF209" s="33" t="e">
        <f t="shared" si="475"/>
        <v>#N/A</v>
      </c>
      <c r="AG209" s="14" t="e">
        <f t="shared" si="476"/>
        <v>#N/A</v>
      </c>
      <c r="AH209" s="14" t="e">
        <f t="shared" si="477"/>
        <v>#N/A</v>
      </c>
      <c r="AI209" s="34" t="e">
        <f t="shared" si="385"/>
        <v>#N/A</v>
      </c>
      <c r="AJ209" s="49" t="e">
        <f t="shared" si="498"/>
        <v>#N/A</v>
      </c>
      <c r="AK209" s="49" t="e">
        <f t="shared" si="499"/>
        <v>#N/A</v>
      </c>
      <c r="AL209" s="49" t="e">
        <f t="shared" si="500"/>
        <v>#N/A</v>
      </c>
      <c r="AM209" s="25">
        <f t="shared" si="478"/>
        <v>30</v>
      </c>
      <c r="AN209" s="25">
        <f t="shared" si="479"/>
        <v>30</v>
      </c>
      <c r="AO209" s="25">
        <f t="shared" si="480"/>
        <v>30</v>
      </c>
      <c r="AP209" s="52" t="e">
        <f t="shared" si="501"/>
        <v>#N/A</v>
      </c>
      <c r="AQ209" s="53" t="e">
        <f t="shared" si="501"/>
        <v>#N/A</v>
      </c>
      <c r="AR209" s="54" t="e">
        <f t="shared" si="501"/>
        <v>#N/A</v>
      </c>
      <c r="AS209" s="316">
        <f t="shared" si="459"/>
        <v>0</v>
      </c>
      <c r="AT209" s="106">
        <f>_xlfn.IFNA($M209/VLOOKUP($BT209,'Unit information'!$A$2:$K$29,2,FALSE)*R209,0)*(1+$E$9)</f>
        <v>0</v>
      </c>
      <c r="AU209" s="107">
        <f>_xlfn.IFNA($M209/VLOOKUP($BT209,'Unit information'!$A$2:$K$29,3,FALSE)*S209,0)*(1+$E$9)</f>
        <v>0</v>
      </c>
      <c r="AV209" s="107">
        <f>_xlfn.IFNA($M209/VLOOKUP($BT209,'Unit information'!$A$2:$K$29,4,FALSE)*T209,0)*(1+$E$9)</f>
        <v>0</v>
      </c>
      <c r="AW209" s="107">
        <f>_xlfn.IFNA($M209/VLOOKUP($BT209,'Unit information'!$A$2:$K$29,5,FALSE)*U209,0)*(1+$E$9)</f>
        <v>0</v>
      </c>
      <c r="AX209" s="107">
        <f>_xlfn.IFNA($M209/VLOOKUP($BU209,'Unit information'!$A$2:$K$29,6,FALSE)*V209,0)*(1+$E$9)</f>
        <v>0</v>
      </c>
      <c r="AY209" s="107">
        <f>_xlfn.IFNA($M209/VLOOKUP($BU209,'Unit information'!$A$2:$K$29,7,FALSE)*W209,0)*(1+$E$9)</f>
        <v>0</v>
      </c>
      <c r="AZ209" s="107">
        <f>_xlfn.IFNA($M209/VLOOKUP($BU209,'Unit information'!$A$2:$K$29,8,FALSE)*X209,0)*(1+$E$9)</f>
        <v>0</v>
      </c>
      <c r="BA209" s="107">
        <f>_xlfn.IFNA($M209/VLOOKUP($BU209,'Unit information'!$A$2:$K$29,9,FALSE)*Y209,0)*(1+$E$9)</f>
        <v>0</v>
      </c>
      <c r="BB209" s="107">
        <f>_xlfn.IFNA($M209/VLOOKUP($BV209,'Unit information'!$A$2:$K$29,10,FALSE)*Z209,0)*(1+$E$9)</f>
        <v>0</v>
      </c>
      <c r="BC209" s="108">
        <f>_xlfn.IFNA($M209/VLOOKUP($BV209,'Unit information'!$A$2:$K$29,11,FALSE)*AA209,0)*(1+$E$9)</f>
        <v>0</v>
      </c>
      <c r="BD209" s="106">
        <f t="shared" si="481"/>
        <v>0</v>
      </c>
      <c r="BE209" s="107">
        <f t="shared" si="482"/>
        <v>0</v>
      </c>
      <c r="BF209" s="108">
        <f t="shared" si="483"/>
        <v>0</v>
      </c>
      <c r="BG209" s="25" t="e">
        <f t="shared" si="484"/>
        <v>#N/A</v>
      </c>
      <c r="BH209" s="25" t="e">
        <f t="shared" si="485"/>
        <v>#N/A</v>
      </c>
      <c r="BI209" s="25" t="e">
        <f t="shared" si="486"/>
        <v>#N/A</v>
      </c>
      <c r="BJ209" s="27" t="e">
        <f t="shared" si="487"/>
        <v>#N/A</v>
      </c>
      <c r="BK209" s="18" t="e">
        <f t="shared" si="488"/>
        <v>#N/A</v>
      </c>
      <c r="BL209" s="18" t="e">
        <f t="shared" si="489"/>
        <v>#N/A</v>
      </c>
      <c r="BM209" s="28" t="e">
        <f t="shared" si="387"/>
        <v>#N/A</v>
      </c>
      <c r="BN209" s="33">
        <f>HLOOKUP("maximum population",Miscelaneous!$C$1:$C$33,CH209+3,FALSE)</f>
        <v>240</v>
      </c>
      <c r="BO209" s="14">
        <f t="shared" si="502"/>
        <v>32</v>
      </c>
      <c r="BP209" s="14">
        <f t="shared" si="503"/>
        <v>0</v>
      </c>
      <c r="BQ209" s="14">
        <f t="shared" si="504"/>
        <v>208</v>
      </c>
      <c r="BR209" s="34" t="e">
        <f>HLOOKUP(J209,Villagers!$B$1:$V$33,L209+3,FALSE)-HLOOKUP(J209,Villagers!$B$1:$V$33,L209+2,FALSE)</f>
        <v>#N/A</v>
      </c>
      <c r="BS209" s="49">
        <f t="shared" si="505"/>
        <v>1</v>
      </c>
      <c r="BT209" s="50">
        <f t="shared" si="506"/>
        <v>0</v>
      </c>
      <c r="BU209" s="50">
        <f t="shared" si="507"/>
        <v>0</v>
      </c>
      <c r="BV209" s="50">
        <f t="shared" si="508"/>
        <v>0</v>
      </c>
      <c r="BW209" s="50">
        <f t="shared" si="509"/>
        <v>0</v>
      </c>
      <c r="BX209" s="50">
        <f t="shared" si="509"/>
        <v>0</v>
      </c>
      <c r="BY209" s="50">
        <f t="shared" si="509"/>
        <v>0</v>
      </c>
      <c r="BZ209" s="50">
        <f t="shared" si="401"/>
        <v>0</v>
      </c>
      <c r="CA209" s="50">
        <f t="shared" si="402"/>
        <v>0</v>
      </c>
      <c r="CB209" s="50">
        <f t="shared" si="403"/>
        <v>1</v>
      </c>
      <c r="CC209" s="50">
        <f t="shared" si="404"/>
        <v>0</v>
      </c>
      <c r="CD209" s="50">
        <f t="shared" si="405"/>
        <v>0</v>
      </c>
      <c r="CE209" s="50">
        <f t="shared" si="406"/>
        <v>1</v>
      </c>
      <c r="CF209" s="50">
        <f t="shared" si="407"/>
        <v>1</v>
      </c>
      <c r="CG209" s="50">
        <f t="shared" si="408"/>
        <v>1</v>
      </c>
      <c r="CH209" s="50">
        <f t="shared" si="409"/>
        <v>1</v>
      </c>
      <c r="CI209" s="50">
        <f t="shared" si="410"/>
        <v>1</v>
      </c>
      <c r="CJ209" s="50">
        <f t="shared" si="411"/>
        <v>1</v>
      </c>
      <c r="CK209" s="50">
        <f t="shared" si="411"/>
        <v>0</v>
      </c>
      <c r="CL209" s="50">
        <f t="shared" si="411"/>
        <v>0</v>
      </c>
      <c r="CM209" s="51">
        <f t="shared" si="432"/>
        <v>0</v>
      </c>
      <c r="CN209" s="33">
        <f>ROUND(IF(BS209=0,0,HLOOKUP(BS$14,Villagers!$B$1:$V$33,BS209+3,FALSE)),)</f>
        <v>5</v>
      </c>
      <c r="CO209" s="14">
        <f>ROUND(IF(BT209=0,0,HLOOKUP(BT$14,Villagers!$B$1:$V$33,BT209+3,FALSE)),)</f>
        <v>0</v>
      </c>
      <c r="CP209" s="14">
        <f>ROUND(IF(BU209=0,0,HLOOKUP(BU$14,Villagers!$B$1:$V$33,BU209+3,FALSE)),)</f>
        <v>0</v>
      </c>
      <c r="CQ209" s="14">
        <f>ROUND(IF(BV209=0,0,HLOOKUP(BV$14,Villagers!$B$1:$V$33,BV209+3,FALSE)),)</f>
        <v>0</v>
      </c>
      <c r="CR209" s="14">
        <f>ROUND(IF(BW209=0,0,HLOOKUP(BW$14,Villagers!$B$1:$V$33,BW209+3,FALSE)),)</f>
        <v>0</v>
      </c>
      <c r="CS209" s="14">
        <f>ROUND(IF(BX209=0,0,HLOOKUP(BX$14,Villagers!$B$1:$V$33,BX209+3,FALSE)),)</f>
        <v>0</v>
      </c>
      <c r="CT209" s="14">
        <f>ROUND(IF(BY209=0,0,HLOOKUP(BY$14,Villagers!$B$1:$V$33,BY209+3,FALSE)),)</f>
        <v>0</v>
      </c>
      <c r="CU209" s="14">
        <f>ROUND(IF(BZ209=0,0,HLOOKUP(BZ$14,Villagers!$B$1:$V$33,BZ209+3,FALSE)),)</f>
        <v>0</v>
      </c>
      <c r="CV209" s="14">
        <f>ROUND(IF(CA209=0,0,HLOOKUP(CA$14,Villagers!$B$1:$V$33,CA209+3,FALSE)),)</f>
        <v>0</v>
      </c>
      <c r="CW209" s="14">
        <f>ROUND(IF(CB209=0,0,HLOOKUP(CB$14,Villagers!$B$1:$V$33,CB209+3,FALSE)),)</f>
        <v>0</v>
      </c>
      <c r="CX209" s="14">
        <f>ROUND(IF(CC209=0,0,HLOOKUP(CC$14,Villagers!$B$1:$V$33,CC209+3,FALSE)),)</f>
        <v>0</v>
      </c>
      <c r="CY209" s="14">
        <f>ROUND(IF(CD209=0,0,HLOOKUP(CD$14,Villagers!$B$1:$V$33,CD209+3,FALSE)),)</f>
        <v>0</v>
      </c>
      <c r="CZ209" s="14">
        <f>ROUND(IF(CE209=0,0,HLOOKUP(CE$14,Villagers!$B$1:$V$33,CE209+3,FALSE)),)</f>
        <v>5</v>
      </c>
      <c r="DA209" s="14">
        <f>ROUND(IF(CF209=0,0,HLOOKUP(CF$14,Villagers!$B$1:$V$33,CF209+3,FALSE)),)</f>
        <v>10</v>
      </c>
      <c r="DB209" s="14">
        <f>ROUND(IF(CG209=0,0,HLOOKUP(CG$14,Villagers!$B$1:$V$33,CG209+3,FALSE)),)</f>
        <v>10</v>
      </c>
      <c r="DC209" s="14">
        <f>ROUND(IF(CH209=0,0,HLOOKUP(CH$14,Villagers!$B$1:$V$33,CH209+3,FALSE)),)</f>
        <v>0</v>
      </c>
      <c r="DD209" s="14">
        <f>ROUND(IF(CI209=0,0,HLOOKUP(CI$14,Villagers!$B$1:$V$33,CI209+3,FALSE)),)</f>
        <v>0</v>
      </c>
      <c r="DE209" s="14">
        <f>ROUND(IF(CJ209=0,0,HLOOKUP(CJ$14,Villagers!$B$1:$V$33,CJ209+3,FALSE)),)</f>
        <v>2</v>
      </c>
      <c r="DF209" s="370">
        <f>ROUND(IF(CK209=0,0,HLOOKUP(CK$14,Villagers!$B$1:$V$33,CK209+3,FALSE)),)</f>
        <v>0</v>
      </c>
      <c r="DG209" s="370">
        <f>ROUND(IF(CL209=0,0,HLOOKUP(CL$14,Villagers!$B$1:$V$33,CL209+3,FALSE)),)</f>
        <v>0</v>
      </c>
      <c r="DH209" s="34">
        <f>ROUND(IF(CM209=0,0,HLOOKUP(CM$14,Villagers!$B$1:$V$33,CM209+3,FALSE)),)</f>
        <v>0</v>
      </c>
      <c r="DI209" s="109">
        <f t="shared" ref="DI209:DI272" si="526">ROUND(_xlfn.IFNA(DI208+AT209,DI208),0)</f>
        <v>0</v>
      </c>
      <c r="DJ209" s="50">
        <f t="shared" ref="DJ209:DJ272" si="527">ROUND(_xlfn.IFNA(DJ208+AU209,DJ208),0)</f>
        <v>0</v>
      </c>
      <c r="DK209" s="50">
        <f t="shared" ref="DK209:DK272" si="528">ROUND(_xlfn.IFNA(DK208+AV209,DK208),0)</f>
        <v>0</v>
      </c>
      <c r="DL209" s="50">
        <f t="shared" ref="DL209:DL272" si="529">ROUND(_xlfn.IFNA(DL208+AW209,DL208),0)</f>
        <v>0</v>
      </c>
      <c r="DM209" s="50">
        <f t="shared" ref="DM209:DM272" si="530">ROUND(_xlfn.IFNA(DM208+AX209,DM208),0)</f>
        <v>0</v>
      </c>
      <c r="DN209" s="50">
        <f t="shared" ref="DN209:DN272" si="531">ROUND(_xlfn.IFNA(DN208+AY209,DN208),0)</f>
        <v>0</v>
      </c>
      <c r="DO209" s="50">
        <f t="shared" ref="DO209:DO272" si="532">ROUND(_xlfn.IFNA(DO208+AZ209,DO208),0)</f>
        <v>0</v>
      </c>
      <c r="DP209" s="50">
        <f t="shared" ref="DP209:DP272" si="533">ROUND(_xlfn.IFNA(DP208+BA209,DP208),0)</f>
        <v>0</v>
      </c>
      <c r="DQ209" s="50">
        <f t="shared" si="510"/>
        <v>0</v>
      </c>
      <c r="DR209" s="50">
        <f t="shared" si="511"/>
        <v>0</v>
      </c>
      <c r="DS209" s="96">
        <f>Miscelaneous!$D$4*Miscelaneous!$D$2^($CI209-1)</f>
        <v>1000</v>
      </c>
      <c r="DT209" s="333">
        <f t="shared" si="490"/>
        <v>1</v>
      </c>
      <c r="DU209" s="81">
        <v>1</v>
      </c>
      <c r="DV209" s="79">
        <f t="shared" si="512"/>
        <v>0</v>
      </c>
      <c r="DW209" s="79">
        <f t="shared" si="513"/>
        <v>0</v>
      </c>
      <c r="DX209" s="79">
        <f t="shared" si="514"/>
        <v>0</v>
      </c>
      <c r="DY209" s="79">
        <v>1</v>
      </c>
      <c r="DZ209" s="79">
        <f t="shared" si="515"/>
        <v>0</v>
      </c>
      <c r="EA209" s="79">
        <f t="shared" si="516"/>
        <v>0</v>
      </c>
      <c r="EB209" s="79">
        <f t="shared" si="517"/>
        <v>0</v>
      </c>
      <c r="EC209" s="79">
        <f t="shared" si="518"/>
        <v>0</v>
      </c>
      <c r="ED209" s="79">
        <v>1</v>
      </c>
      <c r="EE209" s="79">
        <v>1</v>
      </c>
      <c r="EF209" s="79">
        <f t="shared" si="519"/>
        <v>0</v>
      </c>
      <c r="EG209" s="79">
        <v>1</v>
      </c>
      <c r="EH209" s="79">
        <v>1</v>
      </c>
      <c r="EI209" s="79">
        <v>1</v>
      </c>
      <c r="EJ209" s="79">
        <v>1</v>
      </c>
      <c r="EK209" s="79">
        <v>1</v>
      </c>
      <c r="EL209" s="79">
        <v>1</v>
      </c>
      <c r="EM209" s="143">
        <f t="shared" si="520"/>
        <v>0</v>
      </c>
      <c r="EN209" s="143">
        <f t="shared" si="521"/>
        <v>0</v>
      </c>
      <c r="EO209" s="82">
        <f t="shared" si="522"/>
        <v>0</v>
      </c>
    </row>
    <row r="210" spans="1:145" x14ac:dyDescent="0.25">
      <c r="A210">
        <v>196</v>
      </c>
      <c r="B210" s="172" t="e">
        <f t="shared" si="491"/>
        <v>#N/A</v>
      </c>
      <c r="C210" s="121" t="e">
        <f t="shared" ref="C210:E210" si="534">AJ210-SUM(AB210:AB214)</f>
        <v>#N/A</v>
      </c>
      <c r="D210" s="122" t="e">
        <f t="shared" si="534"/>
        <v>#N/A</v>
      </c>
      <c r="E210" s="122" t="e">
        <f t="shared" si="534"/>
        <v>#N/A</v>
      </c>
      <c r="F210" s="176" t="e">
        <f t="shared" si="473"/>
        <v>#N/A</v>
      </c>
      <c r="G210" s="121">
        <f t="shared" si="493"/>
        <v>208</v>
      </c>
      <c r="H210" s="176" t="e">
        <f t="shared" si="494"/>
        <v>#N/A</v>
      </c>
      <c r="I210" s="48">
        <v>1</v>
      </c>
      <c r="J210" s="39"/>
      <c r="K210" s="350">
        <v>1</v>
      </c>
      <c r="L210" s="34" t="e">
        <f t="shared" si="474"/>
        <v>#N/A</v>
      </c>
      <c r="M210" s="38" t="e">
        <f>(HLOOKUP(J210,'Construction Times'!$B$3:$W$34,L210+2,FALSE)*HLOOKUP("hq modifier",'Construction Times'!$W$3:$W$34,BS210+2,FALSE))*(1-$H$9)</f>
        <v>#N/A</v>
      </c>
      <c r="N210" s="426" t="e">
        <f t="shared" si="495"/>
        <v>#N/A</v>
      </c>
      <c r="O210" s="427"/>
      <c r="P210" s="430" t="e">
        <f t="shared" si="496"/>
        <v>#N/A</v>
      </c>
      <c r="Q210" s="431"/>
      <c r="R210" s="103">
        <f t="shared" si="524"/>
        <v>0</v>
      </c>
      <c r="S210" s="104">
        <f t="shared" si="524"/>
        <v>0</v>
      </c>
      <c r="T210" s="104">
        <f t="shared" si="525"/>
        <v>0</v>
      </c>
      <c r="U210" s="104">
        <f t="shared" si="525"/>
        <v>0</v>
      </c>
      <c r="V210" s="104">
        <f t="shared" si="525"/>
        <v>9.9999999999999995E-8</v>
      </c>
      <c r="W210" s="104">
        <f t="shared" si="525"/>
        <v>0</v>
      </c>
      <c r="X210" s="104">
        <f t="shared" si="429"/>
        <v>0</v>
      </c>
      <c r="Y210" s="104">
        <f t="shared" si="429"/>
        <v>9.9999999999999995E-8</v>
      </c>
      <c r="Z210" s="104">
        <f t="shared" si="429"/>
        <v>9.9999999999999995E-8</v>
      </c>
      <c r="AA210" s="105">
        <f t="shared" si="429"/>
        <v>9.9999999999999995E-8</v>
      </c>
      <c r="AB210" s="101" t="e">
        <f>$DT210*HLOOKUP($J210,'Construction Costs (timber)'!$B$1:$V$32,'Construction Planner'!$L210+2,FALSE)</f>
        <v>#N/A</v>
      </c>
      <c r="AC210" s="14" t="e">
        <f>$DT210*HLOOKUP($J210,'Construction Costs (clay)'!$B$1:$V$32,'Construction Planner'!$L210+2,FALSE)</f>
        <v>#N/A</v>
      </c>
      <c r="AD210" s="14" t="e">
        <f>$DT210*HLOOKUP($J210,'Construction Costs (iron)'!$B$1:$V$32,'Construction Planner'!$L210+2,FALSE)</f>
        <v>#N/A</v>
      </c>
      <c r="AE210" s="34" t="e">
        <f t="shared" si="384"/>
        <v>#N/A</v>
      </c>
      <c r="AF210" s="33" t="e">
        <f t="shared" si="475"/>
        <v>#N/A</v>
      </c>
      <c r="AG210" s="14" t="e">
        <f t="shared" si="476"/>
        <v>#N/A</v>
      </c>
      <c r="AH210" s="14" t="e">
        <f t="shared" si="477"/>
        <v>#N/A</v>
      </c>
      <c r="AI210" s="34" t="e">
        <f t="shared" si="385"/>
        <v>#N/A</v>
      </c>
      <c r="AJ210" s="49" t="e">
        <f t="shared" si="498"/>
        <v>#N/A</v>
      </c>
      <c r="AK210" s="49" t="e">
        <f t="shared" si="499"/>
        <v>#N/A</v>
      </c>
      <c r="AL210" s="49" t="e">
        <f t="shared" si="500"/>
        <v>#N/A</v>
      </c>
      <c r="AM210" s="25">
        <f t="shared" si="478"/>
        <v>30</v>
      </c>
      <c r="AN210" s="25">
        <f t="shared" si="479"/>
        <v>30</v>
      </c>
      <c r="AO210" s="25">
        <f t="shared" si="480"/>
        <v>30</v>
      </c>
      <c r="AP210" s="52" t="e">
        <f t="shared" si="501"/>
        <v>#N/A</v>
      </c>
      <c r="AQ210" s="53" t="e">
        <f t="shared" si="501"/>
        <v>#N/A</v>
      </c>
      <c r="AR210" s="54" t="e">
        <f t="shared" si="501"/>
        <v>#N/A</v>
      </c>
      <c r="AS210" s="316">
        <f t="shared" si="459"/>
        <v>0</v>
      </c>
      <c r="AT210" s="106">
        <f>_xlfn.IFNA($M210/VLOOKUP($BT210,'Unit information'!$A$2:$K$29,2,FALSE)*R210,0)*(1+$E$9)</f>
        <v>0</v>
      </c>
      <c r="AU210" s="107">
        <f>_xlfn.IFNA($M210/VLOOKUP($BT210,'Unit information'!$A$2:$K$29,3,FALSE)*S210,0)*(1+$E$9)</f>
        <v>0</v>
      </c>
      <c r="AV210" s="107">
        <f>_xlfn.IFNA($M210/VLOOKUP($BT210,'Unit information'!$A$2:$K$29,4,FALSE)*T210,0)*(1+$E$9)</f>
        <v>0</v>
      </c>
      <c r="AW210" s="107">
        <f>_xlfn.IFNA($M210/VLOOKUP($BT210,'Unit information'!$A$2:$K$29,5,FALSE)*U210,0)*(1+$E$9)</f>
        <v>0</v>
      </c>
      <c r="AX210" s="107">
        <f>_xlfn.IFNA($M210/VLOOKUP($BU210,'Unit information'!$A$2:$K$29,6,FALSE)*V210,0)*(1+$E$9)</f>
        <v>0</v>
      </c>
      <c r="AY210" s="107">
        <f>_xlfn.IFNA($M210/VLOOKUP($BU210,'Unit information'!$A$2:$K$29,7,FALSE)*W210,0)*(1+$E$9)</f>
        <v>0</v>
      </c>
      <c r="AZ210" s="107">
        <f>_xlfn.IFNA($M210/VLOOKUP($BU210,'Unit information'!$A$2:$K$29,8,FALSE)*X210,0)*(1+$E$9)</f>
        <v>0</v>
      </c>
      <c r="BA210" s="107">
        <f>_xlfn.IFNA($M210/VLOOKUP($BU210,'Unit information'!$A$2:$K$29,9,FALSE)*Y210,0)*(1+$E$9)</f>
        <v>0</v>
      </c>
      <c r="BB210" s="107">
        <f>_xlfn.IFNA($M210/VLOOKUP($BV210,'Unit information'!$A$2:$K$29,10,FALSE)*Z210,0)*(1+$E$9)</f>
        <v>0</v>
      </c>
      <c r="BC210" s="108">
        <f>_xlfn.IFNA($M210/VLOOKUP($BV210,'Unit information'!$A$2:$K$29,11,FALSE)*AA210,0)*(1+$E$9)</f>
        <v>0</v>
      </c>
      <c r="BD210" s="106">
        <f t="shared" si="481"/>
        <v>0</v>
      </c>
      <c r="BE210" s="107">
        <f t="shared" si="482"/>
        <v>0</v>
      </c>
      <c r="BF210" s="108">
        <f t="shared" si="483"/>
        <v>0</v>
      </c>
      <c r="BG210" s="25" t="e">
        <f t="shared" si="484"/>
        <v>#N/A</v>
      </c>
      <c r="BH210" s="25" t="e">
        <f t="shared" si="485"/>
        <v>#N/A</v>
      </c>
      <c r="BI210" s="25" t="e">
        <f t="shared" si="486"/>
        <v>#N/A</v>
      </c>
      <c r="BJ210" s="27" t="e">
        <f t="shared" si="487"/>
        <v>#N/A</v>
      </c>
      <c r="BK210" s="18" t="e">
        <f t="shared" si="488"/>
        <v>#N/A</v>
      </c>
      <c r="BL210" s="18" t="e">
        <f t="shared" si="489"/>
        <v>#N/A</v>
      </c>
      <c r="BM210" s="28" t="e">
        <f t="shared" si="387"/>
        <v>#N/A</v>
      </c>
      <c r="BN210" s="33">
        <f>HLOOKUP("maximum population",Miscelaneous!$C$1:$C$33,CH210+3,FALSE)</f>
        <v>240</v>
      </c>
      <c r="BO210" s="14">
        <f t="shared" si="502"/>
        <v>32</v>
      </c>
      <c r="BP210" s="14">
        <f t="shared" si="503"/>
        <v>0</v>
      </c>
      <c r="BQ210" s="14">
        <f t="shared" si="504"/>
        <v>208</v>
      </c>
      <c r="BR210" s="34" t="e">
        <f>HLOOKUP(J210,Villagers!$B$1:$V$33,L210+3,FALSE)-HLOOKUP(J210,Villagers!$B$1:$V$33,L210+2,FALSE)</f>
        <v>#N/A</v>
      </c>
      <c r="BS210" s="49">
        <f t="shared" si="505"/>
        <v>1</v>
      </c>
      <c r="BT210" s="50">
        <f t="shared" si="506"/>
        <v>0</v>
      </c>
      <c r="BU210" s="50">
        <f t="shared" si="507"/>
        <v>0</v>
      </c>
      <c r="BV210" s="50">
        <f t="shared" si="508"/>
        <v>0</v>
      </c>
      <c r="BW210" s="50">
        <f t="shared" si="509"/>
        <v>0</v>
      </c>
      <c r="BX210" s="50">
        <f t="shared" si="509"/>
        <v>0</v>
      </c>
      <c r="BY210" s="50">
        <f t="shared" si="509"/>
        <v>0</v>
      </c>
      <c r="BZ210" s="50">
        <f t="shared" si="401"/>
        <v>0</v>
      </c>
      <c r="CA210" s="50">
        <f t="shared" si="402"/>
        <v>0</v>
      </c>
      <c r="CB210" s="50">
        <f t="shared" si="403"/>
        <v>1</v>
      </c>
      <c r="CC210" s="50">
        <f t="shared" si="404"/>
        <v>0</v>
      </c>
      <c r="CD210" s="50">
        <f t="shared" si="405"/>
        <v>0</v>
      </c>
      <c r="CE210" s="50">
        <f t="shared" si="406"/>
        <v>1</v>
      </c>
      <c r="CF210" s="50">
        <f t="shared" si="407"/>
        <v>1</v>
      </c>
      <c r="CG210" s="50">
        <f t="shared" si="408"/>
        <v>1</v>
      </c>
      <c r="CH210" s="50">
        <f t="shared" si="409"/>
        <v>1</v>
      </c>
      <c r="CI210" s="50">
        <f t="shared" si="410"/>
        <v>1</v>
      </c>
      <c r="CJ210" s="50">
        <f t="shared" si="411"/>
        <v>1</v>
      </c>
      <c r="CK210" s="50">
        <f t="shared" si="411"/>
        <v>0</v>
      </c>
      <c r="CL210" s="50">
        <f t="shared" si="411"/>
        <v>0</v>
      </c>
      <c r="CM210" s="51">
        <f t="shared" si="432"/>
        <v>0</v>
      </c>
      <c r="CN210" s="33">
        <f>ROUND(IF(BS210=0,0,HLOOKUP(BS$14,Villagers!$B$1:$V$33,BS210+3,FALSE)),)</f>
        <v>5</v>
      </c>
      <c r="CO210" s="14">
        <f>ROUND(IF(BT210=0,0,HLOOKUP(BT$14,Villagers!$B$1:$V$33,BT210+3,FALSE)),)</f>
        <v>0</v>
      </c>
      <c r="CP210" s="14">
        <f>ROUND(IF(BU210=0,0,HLOOKUP(BU$14,Villagers!$B$1:$V$33,BU210+3,FALSE)),)</f>
        <v>0</v>
      </c>
      <c r="CQ210" s="14">
        <f>ROUND(IF(BV210=0,0,HLOOKUP(BV$14,Villagers!$B$1:$V$33,BV210+3,FALSE)),)</f>
        <v>0</v>
      </c>
      <c r="CR210" s="14">
        <f>ROUND(IF(BW210=0,0,HLOOKUP(BW$14,Villagers!$B$1:$V$33,BW210+3,FALSE)),)</f>
        <v>0</v>
      </c>
      <c r="CS210" s="14">
        <f>ROUND(IF(BX210=0,0,HLOOKUP(BX$14,Villagers!$B$1:$V$33,BX210+3,FALSE)),)</f>
        <v>0</v>
      </c>
      <c r="CT210" s="14">
        <f>ROUND(IF(BY210=0,0,HLOOKUP(BY$14,Villagers!$B$1:$V$33,BY210+3,FALSE)),)</f>
        <v>0</v>
      </c>
      <c r="CU210" s="14">
        <f>ROUND(IF(BZ210=0,0,HLOOKUP(BZ$14,Villagers!$B$1:$V$33,BZ210+3,FALSE)),)</f>
        <v>0</v>
      </c>
      <c r="CV210" s="14">
        <f>ROUND(IF(CA210=0,0,HLOOKUP(CA$14,Villagers!$B$1:$V$33,CA210+3,FALSE)),)</f>
        <v>0</v>
      </c>
      <c r="CW210" s="14">
        <f>ROUND(IF(CB210=0,0,HLOOKUP(CB$14,Villagers!$B$1:$V$33,CB210+3,FALSE)),)</f>
        <v>0</v>
      </c>
      <c r="CX210" s="14">
        <f>ROUND(IF(CC210=0,0,HLOOKUP(CC$14,Villagers!$B$1:$V$33,CC210+3,FALSE)),)</f>
        <v>0</v>
      </c>
      <c r="CY210" s="14">
        <f>ROUND(IF(CD210=0,0,HLOOKUP(CD$14,Villagers!$B$1:$V$33,CD210+3,FALSE)),)</f>
        <v>0</v>
      </c>
      <c r="CZ210" s="14">
        <f>ROUND(IF(CE210=0,0,HLOOKUP(CE$14,Villagers!$B$1:$V$33,CE210+3,FALSE)),)</f>
        <v>5</v>
      </c>
      <c r="DA210" s="14">
        <f>ROUND(IF(CF210=0,0,HLOOKUP(CF$14,Villagers!$B$1:$V$33,CF210+3,FALSE)),)</f>
        <v>10</v>
      </c>
      <c r="DB210" s="14">
        <f>ROUND(IF(CG210=0,0,HLOOKUP(CG$14,Villagers!$B$1:$V$33,CG210+3,FALSE)),)</f>
        <v>10</v>
      </c>
      <c r="DC210" s="14">
        <f>ROUND(IF(CH210=0,0,HLOOKUP(CH$14,Villagers!$B$1:$V$33,CH210+3,FALSE)),)</f>
        <v>0</v>
      </c>
      <c r="DD210" s="14">
        <f>ROUND(IF(CI210=0,0,HLOOKUP(CI$14,Villagers!$B$1:$V$33,CI210+3,FALSE)),)</f>
        <v>0</v>
      </c>
      <c r="DE210" s="14">
        <f>ROUND(IF(CJ210=0,0,HLOOKUP(CJ$14,Villagers!$B$1:$V$33,CJ210+3,FALSE)),)</f>
        <v>2</v>
      </c>
      <c r="DF210" s="370">
        <f>ROUND(IF(CK210=0,0,HLOOKUP(CK$14,Villagers!$B$1:$V$33,CK210+3,FALSE)),)</f>
        <v>0</v>
      </c>
      <c r="DG210" s="370">
        <f>ROUND(IF(CL210=0,0,HLOOKUP(CL$14,Villagers!$B$1:$V$33,CL210+3,FALSE)),)</f>
        <v>0</v>
      </c>
      <c r="DH210" s="34">
        <f>ROUND(IF(CM210=0,0,HLOOKUP(CM$14,Villagers!$B$1:$V$33,CM210+3,FALSE)),)</f>
        <v>0</v>
      </c>
      <c r="DI210" s="109">
        <f t="shared" si="526"/>
        <v>0</v>
      </c>
      <c r="DJ210" s="50">
        <f t="shared" si="527"/>
        <v>0</v>
      </c>
      <c r="DK210" s="50">
        <f t="shared" si="528"/>
        <v>0</v>
      </c>
      <c r="DL210" s="50">
        <f t="shared" si="529"/>
        <v>0</v>
      </c>
      <c r="DM210" s="50">
        <f t="shared" si="530"/>
        <v>0</v>
      </c>
      <c r="DN210" s="50">
        <f t="shared" si="531"/>
        <v>0</v>
      </c>
      <c r="DO210" s="50">
        <f t="shared" si="532"/>
        <v>0</v>
      </c>
      <c r="DP210" s="50">
        <f t="shared" si="533"/>
        <v>0</v>
      </c>
      <c r="DQ210" s="50">
        <f t="shared" si="510"/>
        <v>0</v>
      </c>
      <c r="DR210" s="50">
        <f t="shared" si="511"/>
        <v>0</v>
      </c>
      <c r="DS210" s="96">
        <f>Miscelaneous!$D$4*Miscelaneous!$D$2^($CI210-1)</f>
        <v>1000</v>
      </c>
      <c r="DT210" s="333">
        <f t="shared" si="490"/>
        <v>1</v>
      </c>
      <c r="DU210" s="81">
        <v>1</v>
      </c>
      <c r="DV210" s="79">
        <f t="shared" si="512"/>
        <v>0</v>
      </c>
      <c r="DW210" s="79">
        <f t="shared" si="513"/>
        <v>0</v>
      </c>
      <c r="DX210" s="79">
        <f t="shared" si="514"/>
        <v>0</v>
      </c>
      <c r="DY210" s="79">
        <v>1</v>
      </c>
      <c r="DZ210" s="79">
        <f t="shared" si="515"/>
        <v>0</v>
      </c>
      <c r="EA210" s="79">
        <f t="shared" si="516"/>
        <v>0</v>
      </c>
      <c r="EB210" s="79">
        <f t="shared" si="517"/>
        <v>0</v>
      </c>
      <c r="EC210" s="79">
        <f t="shared" si="518"/>
        <v>0</v>
      </c>
      <c r="ED210" s="79">
        <v>1</v>
      </c>
      <c r="EE210" s="79">
        <v>1</v>
      </c>
      <c r="EF210" s="79">
        <f t="shared" si="519"/>
        <v>0</v>
      </c>
      <c r="EG210" s="79">
        <v>1</v>
      </c>
      <c r="EH210" s="79">
        <v>1</v>
      </c>
      <c r="EI210" s="79">
        <v>1</v>
      </c>
      <c r="EJ210" s="79">
        <v>1</v>
      </c>
      <c r="EK210" s="79">
        <v>1</v>
      </c>
      <c r="EL210" s="79">
        <v>1</v>
      </c>
      <c r="EM210" s="143">
        <f t="shared" si="520"/>
        <v>0</v>
      </c>
      <c r="EN210" s="143">
        <f t="shared" si="521"/>
        <v>0</v>
      </c>
      <c r="EO210" s="82">
        <f t="shared" si="522"/>
        <v>0</v>
      </c>
    </row>
    <row r="211" spans="1:145" x14ac:dyDescent="0.25">
      <c r="A211">
        <v>197</v>
      </c>
      <c r="B211" s="172" t="e">
        <f t="shared" si="491"/>
        <v>#N/A</v>
      </c>
      <c r="C211" s="121" t="e">
        <f t="shared" ref="C211:E211" si="535">AJ211-SUM(AB211:AB215)</f>
        <v>#N/A</v>
      </c>
      <c r="D211" s="122" t="e">
        <f t="shared" si="535"/>
        <v>#N/A</v>
      </c>
      <c r="E211" s="122" t="e">
        <f t="shared" si="535"/>
        <v>#N/A</v>
      </c>
      <c r="F211" s="176" t="e">
        <f t="shared" si="473"/>
        <v>#N/A</v>
      </c>
      <c r="G211" s="121">
        <f t="shared" si="493"/>
        <v>208</v>
      </c>
      <c r="H211" s="176" t="e">
        <f t="shared" si="494"/>
        <v>#N/A</v>
      </c>
      <c r="I211" s="48">
        <v>1</v>
      </c>
      <c r="J211" s="39"/>
      <c r="K211" s="350">
        <v>1</v>
      </c>
      <c r="L211" s="34" t="e">
        <f t="shared" si="474"/>
        <v>#N/A</v>
      </c>
      <c r="M211" s="38" t="e">
        <f>(HLOOKUP(J211,'Construction Times'!$B$3:$W$34,L211+2,FALSE)*HLOOKUP("hq modifier",'Construction Times'!$W$3:$W$34,BS211+2,FALSE))*(1-$H$9)</f>
        <v>#N/A</v>
      </c>
      <c r="N211" s="426" t="e">
        <f t="shared" si="495"/>
        <v>#N/A</v>
      </c>
      <c r="O211" s="427"/>
      <c r="P211" s="430" t="e">
        <f t="shared" si="496"/>
        <v>#N/A</v>
      </c>
      <c r="Q211" s="431"/>
      <c r="R211" s="103">
        <f t="shared" si="524"/>
        <v>0</v>
      </c>
      <c r="S211" s="104">
        <f t="shared" si="524"/>
        <v>0</v>
      </c>
      <c r="T211" s="104">
        <f t="shared" si="525"/>
        <v>0</v>
      </c>
      <c r="U211" s="104">
        <f t="shared" si="525"/>
        <v>0</v>
      </c>
      <c r="V211" s="104">
        <f t="shared" si="525"/>
        <v>9.9999999999999995E-8</v>
      </c>
      <c r="W211" s="104">
        <f t="shared" si="525"/>
        <v>0</v>
      </c>
      <c r="X211" s="104">
        <f t="shared" si="429"/>
        <v>0</v>
      </c>
      <c r="Y211" s="104">
        <f t="shared" si="429"/>
        <v>9.9999999999999995E-8</v>
      </c>
      <c r="Z211" s="104">
        <f t="shared" si="429"/>
        <v>9.9999999999999995E-8</v>
      </c>
      <c r="AA211" s="105">
        <f t="shared" si="429"/>
        <v>9.9999999999999995E-8</v>
      </c>
      <c r="AB211" s="101" t="e">
        <f>$DT211*HLOOKUP($J211,'Construction Costs (timber)'!$B$1:$V$32,'Construction Planner'!$L211+2,FALSE)</f>
        <v>#N/A</v>
      </c>
      <c r="AC211" s="14" t="e">
        <f>$DT211*HLOOKUP($J211,'Construction Costs (clay)'!$B$1:$V$32,'Construction Planner'!$L211+2,FALSE)</f>
        <v>#N/A</v>
      </c>
      <c r="AD211" s="14" t="e">
        <f>$DT211*HLOOKUP($J211,'Construction Costs (iron)'!$B$1:$V$32,'Construction Planner'!$L211+2,FALSE)</f>
        <v>#N/A</v>
      </c>
      <c r="AE211" s="34" t="e">
        <f t="shared" si="384"/>
        <v>#N/A</v>
      </c>
      <c r="AF211" s="33" t="e">
        <f t="shared" si="475"/>
        <v>#N/A</v>
      </c>
      <c r="AG211" s="14" t="e">
        <f t="shared" si="476"/>
        <v>#N/A</v>
      </c>
      <c r="AH211" s="14" t="e">
        <f t="shared" si="477"/>
        <v>#N/A</v>
      </c>
      <c r="AI211" s="34" t="e">
        <f t="shared" si="385"/>
        <v>#N/A</v>
      </c>
      <c r="AJ211" s="49" t="e">
        <f t="shared" si="498"/>
        <v>#N/A</v>
      </c>
      <c r="AK211" s="49" t="e">
        <f t="shared" si="499"/>
        <v>#N/A</v>
      </c>
      <c r="AL211" s="49" t="e">
        <f t="shared" si="500"/>
        <v>#N/A</v>
      </c>
      <c r="AM211" s="25">
        <f t="shared" si="478"/>
        <v>30</v>
      </c>
      <c r="AN211" s="25">
        <f t="shared" si="479"/>
        <v>30</v>
      </c>
      <c r="AO211" s="25">
        <f t="shared" si="480"/>
        <v>30</v>
      </c>
      <c r="AP211" s="52" t="e">
        <f t="shared" si="501"/>
        <v>#N/A</v>
      </c>
      <c r="AQ211" s="53" t="e">
        <f t="shared" si="501"/>
        <v>#N/A</v>
      </c>
      <c r="AR211" s="54" t="e">
        <f t="shared" si="501"/>
        <v>#N/A</v>
      </c>
      <c r="AS211" s="316">
        <f t="shared" si="459"/>
        <v>0</v>
      </c>
      <c r="AT211" s="106">
        <f>_xlfn.IFNA($M211/VLOOKUP($BT211,'Unit information'!$A$2:$K$29,2,FALSE)*R211,0)*(1+$E$9)</f>
        <v>0</v>
      </c>
      <c r="AU211" s="107">
        <f>_xlfn.IFNA($M211/VLOOKUP($BT211,'Unit information'!$A$2:$K$29,3,FALSE)*S211,0)*(1+$E$9)</f>
        <v>0</v>
      </c>
      <c r="AV211" s="107">
        <f>_xlfn.IFNA($M211/VLOOKUP($BT211,'Unit information'!$A$2:$K$29,4,FALSE)*T211,0)*(1+$E$9)</f>
        <v>0</v>
      </c>
      <c r="AW211" s="107">
        <f>_xlfn.IFNA($M211/VLOOKUP($BT211,'Unit information'!$A$2:$K$29,5,FALSE)*U211,0)*(1+$E$9)</f>
        <v>0</v>
      </c>
      <c r="AX211" s="107">
        <f>_xlfn.IFNA($M211/VLOOKUP($BU211,'Unit information'!$A$2:$K$29,6,FALSE)*V211,0)*(1+$E$9)</f>
        <v>0</v>
      </c>
      <c r="AY211" s="107">
        <f>_xlfn.IFNA($M211/VLOOKUP($BU211,'Unit information'!$A$2:$K$29,7,FALSE)*W211,0)*(1+$E$9)</f>
        <v>0</v>
      </c>
      <c r="AZ211" s="107">
        <f>_xlfn.IFNA($M211/VLOOKUP($BU211,'Unit information'!$A$2:$K$29,8,FALSE)*X211,0)*(1+$E$9)</f>
        <v>0</v>
      </c>
      <c r="BA211" s="107">
        <f>_xlfn.IFNA($M211/VLOOKUP($BU211,'Unit information'!$A$2:$K$29,9,FALSE)*Y211,0)*(1+$E$9)</f>
        <v>0</v>
      </c>
      <c r="BB211" s="107">
        <f>_xlfn.IFNA($M211/VLOOKUP($BV211,'Unit information'!$A$2:$K$29,10,FALSE)*Z211,0)*(1+$E$9)</f>
        <v>0</v>
      </c>
      <c r="BC211" s="108">
        <f>_xlfn.IFNA($M211/VLOOKUP($BV211,'Unit information'!$A$2:$K$29,11,FALSE)*AA211,0)*(1+$E$9)</f>
        <v>0</v>
      </c>
      <c r="BD211" s="106">
        <f t="shared" si="481"/>
        <v>0</v>
      </c>
      <c r="BE211" s="107">
        <f t="shared" si="482"/>
        <v>0</v>
      </c>
      <c r="BF211" s="108">
        <f t="shared" si="483"/>
        <v>0</v>
      </c>
      <c r="BG211" s="25" t="e">
        <f t="shared" si="484"/>
        <v>#N/A</v>
      </c>
      <c r="BH211" s="25" t="e">
        <f t="shared" si="485"/>
        <v>#N/A</v>
      </c>
      <c r="BI211" s="25" t="e">
        <f t="shared" si="486"/>
        <v>#N/A</v>
      </c>
      <c r="BJ211" s="27" t="e">
        <f t="shared" si="487"/>
        <v>#N/A</v>
      </c>
      <c r="BK211" s="18" t="e">
        <f t="shared" si="488"/>
        <v>#N/A</v>
      </c>
      <c r="BL211" s="18" t="e">
        <f t="shared" si="489"/>
        <v>#N/A</v>
      </c>
      <c r="BM211" s="28" t="e">
        <f t="shared" si="387"/>
        <v>#N/A</v>
      </c>
      <c r="BN211" s="33">
        <f>HLOOKUP("maximum population",Miscelaneous!$C$1:$C$33,CH211+3,FALSE)</f>
        <v>240</v>
      </c>
      <c r="BO211" s="14">
        <f t="shared" si="502"/>
        <v>32</v>
      </c>
      <c r="BP211" s="14">
        <f t="shared" si="503"/>
        <v>0</v>
      </c>
      <c r="BQ211" s="14">
        <f t="shared" si="504"/>
        <v>208</v>
      </c>
      <c r="BR211" s="34" t="e">
        <f>HLOOKUP(J211,Villagers!$B$1:$V$33,L211+3,FALSE)-HLOOKUP(J211,Villagers!$B$1:$V$33,L211+2,FALSE)</f>
        <v>#N/A</v>
      </c>
      <c r="BS211" s="49">
        <f t="shared" si="505"/>
        <v>1</v>
      </c>
      <c r="BT211" s="50">
        <f t="shared" si="506"/>
        <v>0</v>
      </c>
      <c r="BU211" s="50">
        <f t="shared" si="507"/>
        <v>0</v>
      </c>
      <c r="BV211" s="50">
        <f t="shared" si="508"/>
        <v>0</v>
      </c>
      <c r="BW211" s="50">
        <f t="shared" si="509"/>
        <v>0</v>
      </c>
      <c r="BX211" s="50">
        <f t="shared" si="509"/>
        <v>0</v>
      </c>
      <c r="BY211" s="50">
        <f t="shared" si="509"/>
        <v>0</v>
      </c>
      <c r="BZ211" s="50">
        <f t="shared" si="401"/>
        <v>0</v>
      </c>
      <c r="CA211" s="50">
        <f t="shared" si="402"/>
        <v>0</v>
      </c>
      <c r="CB211" s="50">
        <f t="shared" si="403"/>
        <v>1</v>
      </c>
      <c r="CC211" s="50">
        <f t="shared" si="404"/>
        <v>0</v>
      </c>
      <c r="CD211" s="50">
        <f t="shared" si="405"/>
        <v>0</v>
      </c>
      <c r="CE211" s="50">
        <f t="shared" si="406"/>
        <v>1</v>
      </c>
      <c r="CF211" s="50">
        <f t="shared" si="407"/>
        <v>1</v>
      </c>
      <c r="CG211" s="50">
        <f t="shared" si="408"/>
        <v>1</v>
      </c>
      <c r="CH211" s="50">
        <f t="shared" si="409"/>
        <v>1</v>
      </c>
      <c r="CI211" s="50">
        <f t="shared" si="410"/>
        <v>1</v>
      </c>
      <c r="CJ211" s="50">
        <f t="shared" si="411"/>
        <v>1</v>
      </c>
      <c r="CK211" s="50">
        <f t="shared" si="411"/>
        <v>0</v>
      </c>
      <c r="CL211" s="50">
        <f t="shared" si="411"/>
        <v>0</v>
      </c>
      <c r="CM211" s="51">
        <f t="shared" si="432"/>
        <v>0</v>
      </c>
      <c r="CN211" s="33">
        <f>ROUND(IF(BS211=0,0,HLOOKUP(BS$14,Villagers!$B$1:$V$33,BS211+3,FALSE)),)</f>
        <v>5</v>
      </c>
      <c r="CO211" s="14">
        <f>ROUND(IF(BT211=0,0,HLOOKUP(BT$14,Villagers!$B$1:$V$33,BT211+3,FALSE)),)</f>
        <v>0</v>
      </c>
      <c r="CP211" s="14">
        <f>ROUND(IF(BU211=0,0,HLOOKUP(BU$14,Villagers!$B$1:$V$33,BU211+3,FALSE)),)</f>
        <v>0</v>
      </c>
      <c r="CQ211" s="14">
        <f>ROUND(IF(BV211=0,0,HLOOKUP(BV$14,Villagers!$B$1:$V$33,BV211+3,FALSE)),)</f>
        <v>0</v>
      </c>
      <c r="CR211" s="14">
        <f>ROUND(IF(BW211=0,0,HLOOKUP(BW$14,Villagers!$B$1:$V$33,BW211+3,FALSE)),)</f>
        <v>0</v>
      </c>
      <c r="CS211" s="14">
        <f>ROUND(IF(BX211=0,0,HLOOKUP(BX$14,Villagers!$B$1:$V$33,BX211+3,FALSE)),)</f>
        <v>0</v>
      </c>
      <c r="CT211" s="14">
        <f>ROUND(IF(BY211=0,0,HLOOKUP(BY$14,Villagers!$B$1:$V$33,BY211+3,FALSE)),)</f>
        <v>0</v>
      </c>
      <c r="CU211" s="14">
        <f>ROUND(IF(BZ211=0,0,HLOOKUP(BZ$14,Villagers!$B$1:$V$33,BZ211+3,FALSE)),)</f>
        <v>0</v>
      </c>
      <c r="CV211" s="14">
        <f>ROUND(IF(CA211=0,0,HLOOKUP(CA$14,Villagers!$B$1:$V$33,CA211+3,FALSE)),)</f>
        <v>0</v>
      </c>
      <c r="CW211" s="14">
        <f>ROUND(IF(CB211=0,0,HLOOKUP(CB$14,Villagers!$B$1:$V$33,CB211+3,FALSE)),)</f>
        <v>0</v>
      </c>
      <c r="CX211" s="14">
        <f>ROUND(IF(CC211=0,0,HLOOKUP(CC$14,Villagers!$B$1:$V$33,CC211+3,FALSE)),)</f>
        <v>0</v>
      </c>
      <c r="CY211" s="14">
        <f>ROUND(IF(CD211=0,0,HLOOKUP(CD$14,Villagers!$B$1:$V$33,CD211+3,FALSE)),)</f>
        <v>0</v>
      </c>
      <c r="CZ211" s="14">
        <f>ROUND(IF(CE211=0,0,HLOOKUP(CE$14,Villagers!$B$1:$V$33,CE211+3,FALSE)),)</f>
        <v>5</v>
      </c>
      <c r="DA211" s="14">
        <f>ROUND(IF(CF211=0,0,HLOOKUP(CF$14,Villagers!$B$1:$V$33,CF211+3,FALSE)),)</f>
        <v>10</v>
      </c>
      <c r="DB211" s="14">
        <f>ROUND(IF(CG211=0,0,HLOOKUP(CG$14,Villagers!$B$1:$V$33,CG211+3,FALSE)),)</f>
        <v>10</v>
      </c>
      <c r="DC211" s="14">
        <f>ROUND(IF(CH211=0,0,HLOOKUP(CH$14,Villagers!$B$1:$V$33,CH211+3,FALSE)),)</f>
        <v>0</v>
      </c>
      <c r="DD211" s="14">
        <f>ROUND(IF(CI211=0,0,HLOOKUP(CI$14,Villagers!$B$1:$V$33,CI211+3,FALSE)),)</f>
        <v>0</v>
      </c>
      <c r="DE211" s="14">
        <f>ROUND(IF(CJ211=0,0,HLOOKUP(CJ$14,Villagers!$B$1:$V$33,CJ211+3,FALSE)),)</f>
        <v>2</v>
      </c>
      <c r="DF211" s="370">
        <f>ROUND(IF(CK211=0,0,HLOOKUP(CK$14,Villagers!$B$1:$V$33,CK211+3,FALSE)),)</f>
        <v>0</v>
      </c>
      <c r="DG211" s="370">
        <f>ROUND(IF(CL211=0,0,HLOOKUP(CL$14,Villagers!$B$1:$V$33,CL211+3,FALSE)),)</f>
        <v>0</v>
      </c>
      <c r="DH211" s="34">
        <f>ROUND(IF(CM211=0,0,HLOOKUP(CM$14,Villagers!$B$1:$V$33,CM211+3,FALSE)),)</f>
        <v>0</v>
      </c>
      <c r="DI211" s="109">
        <f t="shared" si="526"/>
        <v>0</v>
      </c>
      <c r="DJ211" s="50">
        <f t="shared" si="527"/>
        <v>0</v>
      </c>
      <c r="DK211" s="50">
        <f t="shared" si="528"/>
        <v>0</v>
      </c>
      <c r="DL211" s="50">
        <f t="shared" si="529"/>
        <v>0</v>
      </c>
      <c r="DM211" s="50">
        <f t="shared" si="530"/>
        <v>0</v>
      </c>
      <c r="DN211" s="50">
        <f t="shared" si="531"/>
        <v>0</v>
      </c>
      <c r="DO211" s="50">
        <f t="shared" si="532"/>
        <v>0</v>
      </c>
      <c r="DP211" s="50">
        <f t="shared" si="533"/>
        <v>0</v>
      </c>
      <c r="DQ211" s="50">
        <f t="shared" si="510"/>
        <v>0</v>
      </c>
      <c r="DR211" s="50">
        <f t="shared" si="511"/>
        <v>0</v>
      </c>
      <c r="DS211" s="96">
        <f>Miscelaneous!$D$4*Miscelaneous!$D$2^($CI211-1)</f>
        <v>1000</v>
      </c>
      <c r="DT211" s="333">
        <f t="shared" si="490"/>
        <v>1</v>
      </c>
      <c r="DU211" s="81">
        <v>1</v>
      </c>
      <c r="DV211" s="79">
        <f t="shared" si="512"/>
        <v>0</v>
      </c>
      <c r="DW211" s="79">
        <f t="shared" si="513"/>
        <v>0</v>
      </c>
      <c r="DX211" s="79">
        <f t="shared" si="514"/>
        <v>0</v>
      </c>
      <c r="DY211" s="79">
        <v>1</v>
      </c>
      <c r="DZ211" s="79">
        <f t="shared" si="515"/>
        <v>0</v>
      </c>
      <c r="EA211" s="79">
        <f t="shared" si="516"/>
        <v>0</v>
      </c>
      <c r="EB211" s="79">
        <f t="shared" si="517"/>
        <v>0</v>
      </c>
      <c r="EC211" s="79">
        <f t="shared" si="518"/>
        <v>0</v>
      </c>
      <c r="ED211" s="79">
        <v>1</v>
      </c>
      <c r="EE211" s="79">
        <v>1</v>
      </c>
      <c r="EF211" s="79">
        <f t="shared" si="519"/>
        <v>0</v>
      </c>
      <c r="EG211" s="79">
        <v>1</v>
      </c>
      <c r="EH211" s="79">
        <v>1</v>
      </c>
      <c r="EI211" s="79">
        <v>1</v>
      </c>
      <c r="EJ211" s="79">
        <v>1</v>
      </c>
      <c r="EK211" s="79">
        <v>1</v>
      </c>
      <c r="EL211" s="79">
        <v>1</v>
      </c>
      <c r="EM211" s="143">
        <f t="shared" si="520"/>
        <v>0</v>
      </c>
      <c r="EN211" s="143">
        <f t="shared" si="521"/>
        <v>0</v>
      </c>
      <c r="EO211" s="82">
        <f t="shared" si="522"/>
        <v>0</v>
      </c>
    </row>
    <row r="212" spans="1:145" x14ac:dyDescent="0.25">
      <c r="A212">
        <v>198</v>
      </c>
      <c r="B212" s="172" t="e">
        <f t="shared" si="491"/>
        <v>#N/A</v>
      </c>
      <c r="C212" s="121" t="e">
        <f t="shared" ref="C212:E212" si="536">AJ212-SUM(AB212:AB216)</f>
        <v>#N/A</v>
      </c>
      <c r="D212" s="122" t="e">
        <f t="shared" si="536"/>
        <v>#N/A</v>
      </c>
      <c r="E212" s="122" t="e">
        <f t="shared" si="536"/>
        <v>#N/A</v>
      </c>
      <c r="F212" s="176" t="e">
        <f t="shared" si="473"/>
        <v>#N/A</v>
      </c>
      <c r="G212" s="121">
        <f t="shared" si="493"/>
        <v>208</v>
      </c>
      <c r="H212" s="176" t="e">
        <f t="shared" si="494"/>
        <v>#N/A</v>
      </c>
      <c r="I212" s="48">
        <v>1</v>
      </c>
      <c r="J212" s="39"/>
      <c r="K212" s="350">
        <v>1</v>
      </c>
      <c r="L212" s="34" t="e">
        <f t="shared" si="474"/>
        <v>#N/A</v>
      </c>
      <c r="M212" s="38" t="e">
        <f>(HLOOKUP(J212,'Construction Times'!$B$3:$W$34,L212+2,FALSE)*HLOOKUP("hq modifier",'Construction Times'!$W$3:$W$34,BS212+2,FALSE))*(1-$H$9)</f>
        <v>#N/A</v>
      </c>
      <c r="N212" s="426" t="e">
        <f t="shared" si="495"/>
        <v>#N/A</v>
      </c>
      <c r="O212" s="427"/>
      <c r="P212" s="430" t="e">
        <f t="shared" si="496"/>
        <v>#N/A</v>
      </c>
      <c r="Q212" s="431"/>
      <c r="R212" s="103">
        <f t="shared" si="524"/>
        <v>0</v>
      </c>
      <c r="S212" s="104">
        <f t="shared" si="524"/>
        <v>0</v>
      </c>
      <c r="T212" s="104">
        <f t="shared" si="525"/>
        <v>0</v>
      </c>
      <c r="U212" s="104">
        <f t="shared" si="525"/>
        <v>0</v>
      </c>
      <c r="V212" s="104">
        <f t="shared" si="525"/>
        <v>9.9999999999999995E-8</v>
      </c>
      <c r="W212" s="104">
        <f t="shared" si="525"/>
        <v>0</v>
      </c>
      <c r="X212" s="104">
        <f t="shared" si="429"/>
        <v>0</v>
      </c>
      <c r="Y212" s="104">
        <f t="shared" si="429"/>
        <v>9.9999999999999995E-8</v>
      </c>
      <c r="Z212" s="104">
        <f t="shared" si="429"/>
        <v>9.9999999999999995E-8</v>
      </c>
      <c r="AA212" s="105">
        <f t="shared" si="429"/>
        <v>9.9999999999999995E-8</v>
      </c>
      <c r="AB212" s="101" t="e">
        <f>$DT212*HLOOKUP($J212,'Construction Costs (timber)'!$B$1:$V$32,'Construction Planner'!$L212+2,FALSE)</f>
        <v>#N/A</v>
      </c>
      <c r="AC212" s="14" t="e">
        <f>$DT212*HLOOKUP($J212,'Construction Costs (clay)'!$B$1:$V$32,'Construction Planner'!$L212+2,FALSE)</f>
        <v>#N/A</v>
      </c>
      <c r="AD212" s="14" t="e">
        <f>$DT212*HLOOKUP($J212,'Construction Costs (iron)'!$B$1:$V$32,'Construction Planner'!$L212+2,FALSE)</f>
        <v>#N/A</v>
      </c>
      <c r="AE212" s="34" t="e">
        <f t="shared" ref="AE212:AE275" si="537">SUM(AB212:AD212)</f>
        <v>#N/A</v>
      </c>
      <c r="AF212" s="33" t="e">
        <f t="shared" si="475"/>
        <v>#N/A</v>
      </c>
      <c r="AG212" s="14" t="e">
        <f t="shared" si="476"/>
        <v>#N/A</v>
      </c>
      <c r="AH212" s="14" t="e">
        <f t="shared" si="477"/>
        <v>#N/A</v>
      </c>
      <c r="AI212" s="34" t="e">
        <f t="shared" ref="AI212:AI275" si="538">SUM(AF212:AH212)</f>
        <v>#N/A</v>
      </c>
      <c r="AJ212" s="49" t="e">
        <f t="shared" si="498"/>
        <v>#N/A</v>
      </c>
      <c r="AK212" s="49" t="e">
        <f t="shared" si="499"/>
        <v>#N/A</v>
      </c>
      <c r="AL212" s="49" t="e">
        <f t="shared" si="500"/>
        <v>#N/A</v>
      </c>
      <c r="AM212" s="25">
        <f t="shared" si="478"/>
        <v>30</v>
      </c>
      <c r="AN212" s="25">
        <f t="shared" si="479"/>
        <v>30</v>
      </c>
      <c r="AO212" s="25">
        <f t="shared" si="480"/>
        <v>30</v>
      </c>
      <c r="AP212" s="52" t="e">
        <f t="shared" si="501"/>
        <v>#N/A</v>
      </c>
      <c r="AQ212" s="53" t="e">
        <f t="shared" si="501"/>
        <v>#N/A</v>
      </c>
      <c r="AR212" s="54" t="e">
        <f t="shared" si="501"/>
        <v>#N/A</v>
      </c>
      <c r="AS212" s="316">
        <f t="shared" ref="AS212:AS227" si="539">AS211</f>
        <v>0</v>
      </c>
      <c r="AT212" s="106">
        <f>_xlfn.IFNA($M212/VLOOKUP($BT212,'Unit information'!$A$2:$K$29,2,FALSE)*R212,0)*(1+$E$9)</f>
        <v>0</v>
      </c>
      <c r="AU212" s="107">
        <f>_xlfn.IFNA($M212/VLOOKUP($BT212,'Unit information'!$A$2:$K$29,3,FALSE)*S212,0)*(1+$E$9)</f>
        <v>0</v>
      </c>
      <c r="AV212" s="107">
        <f>_xlfn.IFNA($M212/VLOOKUP($BT212,'Unit information'!$A$2:$K$29,4,FALSE)*T212,0)*(1+$E$9)</f>
        <v>0</v>
      </c>
      <c r="AW212" s="107">
        <f>_xlfn.IFNA($M212/VLOOKUP($BT212,'Unit information'!$A$2:$K$29,5,FALSE)*U212,0)*(1+$E$9)</f>
        <v>0</v>
      </c>
      <c r="AX212" s="107">
        <f>_xlfn.IFNA($M212/VLOOKUP($BU212,'Unit information'!$A$2:$K$29,6,FALSE)*V212,0)*(1+$E$9)</f>
        <v>0</v>
      </c>
      <c r="AY212" s="107">
        <f>_xlfn.IFNA($M212/VLOOKUP($BU212,'Unit information'!$A$2:$K$29,7,FALSE)*W212,0)*(1+$E$9)</f>
        <v>0</v>
      </c>
      <c r="AZ212" s="107">
        <f>_xlfn.IFNA($M212/VLOOKUP($BU212,'Unit information'!$A$2:$K$29,8,FALSE)*X212,0)*(1+$E$9)</f>
        <v>0</v>
      </c>
      <c r="BA212" s="107">
        <f>_xlfn.IFNA($M212/VLOOKUP($BU212,'Unit information'!$A$2:$K$29,9,FALSE)*Y212,0)*(1+$E$9)</f>
        <v>0</v>
      </c>
      <c r="BB212" s="107">
        <f>_xlfn.IFNA($M212/VLOOKUP($BV212,'Unit information'!$A$2:$K$29,10,FALSE)*Z212,0)*(1+$E$9)</f>
        <v>0</v>
      </c>
      <c r="BC212" s="108">
        <f>_xlfn.IFNA($M212/VLOOKUP($BV212,'Unit information'!$A$2:$K$29,11,FALSE)*AA212,0)*(1+$E$9)</f>
        <v>0</v>
      </c>
      <c r="BD212" s="106">
        <f t="shared" si="481"/>
        <v>0</v>
      </c>
      <c r="BE212" s="107">
        <f t="shared" si="482"/>
        <v>0</v>
      </c>
      <c r="BF212" s="108">
        <f t="shared" si="483"/>
        <v>0</v>
      </c>
      <c r="BG212" s="25" t="e">
        <f t="shared" si="484"/>
        <v>#N/A</v>
      </c>
      <c r="BH212" s="25" t="e">
        <f t="shared" si="485"/>
        <v>#N/A</v>
      </c>
      <c r="BI212" s="25" t="e">
        <f t="shared" si="486"/>
        <v>#N/A</v>
      </c>
      <c r="BJ212" s="27" t="e">
        <f t="shared" si="487"/>
        <v>#N/A</v>
      </c>
      <c r="BK212" s="18" t="e">
        <f t="shared" si="488"/>
        <v>#N/A</v>
      </c>
      <c r="BL212" s="18" t="e">
        <f t="shared" si="489"/>
        <v>#N/A</v>
      </c>
      <c r="BM212" s="28" t="e">
        <f t="shared" ref="BM212:BM275" si="540">MAX(BJ212:BL212)</f>
        <v>#N/A</v>
      </c>
      <c r="BN212" s="33">
        <f>HLOOKUP("maximum population",Miscelaneous!$C$1:$C$33,CH212+3,FALSE)</f>
        <v>240</v>
      </c>
      <c r="BO212" s="14">
        <f t="shared" si="502"/>
        <v>32</v>
      </c>
      <c r="BP212" s="14">
        <f t="shared" si="503"/>
        <v>0</v>
      </c>
      <c r="BQ212" s="14">
        <f t="shared" si="504"/>
        <v>208</v>
      </c>
      <c r="BR212" s="34" t="e">
        <f>HLOOKUP(J212,Villagers!$B$1:$V$33,L212+3,FALSE)-HLOOKUP(J212,Villagers!$B$1:$V$33,L212+2,FALSE)</f>
        <v>#N/A</v>
      </c>
      <c r="BS212" s="49">
        <f t="shared" si="505"/>
        <v>1</v>
      </c>
      <c r="BT212" s="50">
        <f t="shared" si="506"/>
        <v>0</v>
      </c>
      <c r="BU212" s="50">
        <f t="shared" si="507"/>
        <v>0</v>
      </c>
      <c r="BV212" s="50">
        <f t="shared" si="508"/>
        <v>0</v>
      </c>
      <c r="BW212" s="50">
        <f t="shared" si="509"/>
        <v>0</v>
      </c>
      <c r="BX212" s="50">
        <f t="shared" si="509"/>
        <v>0</v>
      </c>
      <c r="BY212" s="50">
        <f t="shared" si="509"/>
        <v>0</v>
      </c>
      <c r="BZ212" s="50">
        <f t="shared" si="401"/>
        <v>0</v>
      </c>
      <c r="CA212" s="50">
        <f t="shared" si="402"/>
        <v>0</v>
      </c>
      <c r="CB212" s="50">
        <f t="shared" si="403"/>
        <v>1</v>
      </c>
      <c r="CC212" s="50">
        <f t="shared" si="404"/>
        <v>0</v>
      </c>
      <c r="CD212" s="50">
        <f t="shared" si="405"/>
        <v>0</v>
      </c>
      <c r="CE212" s="50">
        <f t="shared" si="406"/>
        <v>1</v>
      </c>
      <c r="CF212" s="50">
        <f t="shared" si="407"/>
        <v>1</v>
      </c>
      <c r="CG212" s="50">
        <f t="shared" si="408"/>
        <v>1</v>
      </c>
      <c r="CH212" s="50">
        <f t="shared" si="409"/>
        <v>1</v>
      </c>
      <c r="CI212" s="50">
        <f t="shared" si="410"/>
        <v>1</v>
      </c>
      <c r="CJ212" s="50">
        <f t="shared" si="411"/>
        <v>1</v>
      </c>
      <c r="CK212" s="50">
        <f t="shared" si="411"/>
        <v>0</v>
      </c>
      <c r="CL212" s="50">
        <f t="shared" si="411"/>
        <v>0</v>
      </c>
      <c r="CM212" s="51">
        <f t="shared" si="432"/>
        <v>0</v>
      </c>
      <c r="CN212" s="33">
        <f>ROUND(IF(BS212=0,0,HLOOKUP(BS$14,Villagers!$B$1:$V$33,BS212+3,FALSE)),)</f>
        <v>5</v>
      </c>
      <c r="CO212" s="14">
        <f>ROUND(IF(BT212=0,0,HLOOKUP(BT$14,Villagers!$B$1:$V$33,BT212+3,FALSE)),)</f>
        <v>0</v>
      </c>
      <c r="CP212" s="14">
        <f>ROUND(IF(BU212=0,0,HLOOKUP(BU$14,Villagers!$B$1:$V$33,BU212+3,FALSE)),)</f>
        <v>0</v>
      </c>
      <c r="CQ212" s="14">
        <f>ROUND(IF(BV212=0,0,HLOOKUP(BV$14,Villagers!$B$1:$V$33,BV212+3,FALSE)),)</f>
        <v>0</v>
      </c>
      <c r="CR212" s="14">
        <f>ROUND(IF(BW212=0,0,HLOOKUP(BW$14,Villagers!$B$1:$V$33,BW212+3,FALSE)),)</f>
        <v>0</v>
      </c>
      <c r="CS212" s="14">
        <f>ROUND(IF(BX212=0,0,HLOOKUP(BX$14,Villagers!$B$1:$V$33,BX212+3,FALSE)),)</f>
        <v>0</v>
      </c>
      <c r="CT212" s="14">
        <f>ROUND(IF(BY212=0,0,HLOOKUP(BY$14,Villagers!$B$1:$V$33,BY212+3,FALSE)),)</f>
        <v>0</v>
      </c>
      <c r="CU212" s="14">
        <f>ROUND(IF(BZ212=0,0,HLOOKUP(BZ$14,Villagers!$B$1:$V$33,BZ212+3,FALSE)),)</f>
        <v>0</v>
      </c>
      <c r="CV212" s="14">
        <f>ROUND(IF(CA212=0,0,HLOOKUP(CA$14,Villagers!$B$1:$V$33,CA212+3,FALSE)),)</f>
        <v>0</v>
      </c>
      <c r="CW212" s="14">
        <f>ROUND(IF(CB212=0,0,HLOOKUP(CB$14,Villagers!$B$1:$V$33,CB212+3,FALSE)),)</f>
        <v>0</v>
      </c>
      <c r="CX212" s="14">
        <f>ROUND(IF(CC212=0,0,HLOOKUP(CC$14,Villagers!$B$1:$V$33,CC212+3,FALSE)),)</f>
        <v>0</v>
      </c>
      <c r="CY212" s="14">
        <f>ROUND(IF(CD212=0,0,HLOOKUP(CD$14,Villagers!$B$1:$V$33,CD212+3,FALSE)),)</f>
        <v>0</v>
      </c>
      <c r="CZ212" s="14">
        <f>ROUND(IF(CE212=0,0,HLOOKUP(CE$14,Villagers!$B$1:$V$33,CE212+3,FALSE)),)</f>
        <v>5</v>
      </c>
      <c r="DA212" s="14">
        <f>ROUND(IF(CF212=0,0,HLOOKUP(CF$14,Villagers!$B$1:$V$33,CF212+3,FALSE)),)</f>
        <v>10</v>
      </c>
      <c r="DB212" s="14">
        <f>ROUND(IF(CG212=0,0,HLOOKUP(CG$14,Villagers!$B$1:$V$33,CG212+3,FALSE)),)</f>
        <v>10</v>
      </c>
      <c r="DC212" s="14">
        <f>ROUND(IF(CH212=0,0,HLOOKUP(CH$14,Villagers!$B$1:$V$33,CH212+3,FALSE)),)</f>
        <v>0</v>
      </c>
      <c r="DD212" s="14">
        <f>ROUND(IF(CI212=0,0,HLOOKUP(CI$14,Villagers!$B$1:$V$33,CI212+3,FALSE)),)</f>
        <v>0</v>
      </c>
      <c r="DE212" s="14">
        <f>ROUND(IF(CJ212=0,0,HLOOKUP(CJ$14,Villagers!$B$1:$V$33,CJ212+3,FALSE)),)</f>
        <v>2</v>
      </c>
      <c r="DF212" s="370">
        <f>ROUND(IF(CK212=0,0,HLOOKUP(CK$14,Villagers!$B$1:$V$33,CK212+3,FALSE)),)</f>
        <v>0</v>
      </c>
      <c r="DG212" s="370">
        <f>ROUND(IF(CL212=0,0,HLOOKUP(CL$14,Villagers!$B$1:$V$33,CL212+3,FALSE)),)</f>
        <v>0</v>
      </c>
      <c r="DH212" s="34">
        <f>ROUND(IF(CM212=0,0,HLOOKUP(CM$14,Villagers!$B$1:$V$33,CM212+3,FALSE)),)</f>
        <v>0</v>
      </c>
      <c r="DI212" s="109">
        <f t="shared" si="526"/>
        <v>0</v>
      </c>
      <c r="DJ212" s="50">
        <f t="shared" si="527"/>
        <v>0</v>
      </c>
      <c r="DK212" s="50">
        <f t="shared" si="528"/>
        <v>0</v>
      </c>
      <c r="DL212" s="50">
        <f t="shared" si="529"/>
        <v>0</v>
      </c>
      <c r="DM212" s="50">
        <f t="shared" si="530"/>
        <v>0</v>
      </c>
      <c r="DN212" s="50">
        <f t="shared" si="531"/>
        <v>0</v>
      </c>
      <c r="DO212" s="50">
        <f t="shared" si="532"/>
        <v>0</v>
      </c>
      <c r="DP212" s="50">
        <f t="shared" si="533"/>
        <v>0</v>
      </c>
      <c r="DQ212" s="50">
        <f t="shared" si="510"/>
        <v>0</v>
      </c>
      <c r="DR212" s="50">
        <f t="shared" si="511"/>
        <v>0</v>
      </c>
      <c r="DS212" s="96">
        <f>Miscelaneous!$D$4*Miscelaneous!$D$2^($CI212-1)</f>
        <v>1000</v>
      </c>
      <c r="DT212" s="333">
        <f t="shared" si="490"/>
        <v>1</v>
      </c>
      <c r="DU212" s="81">
        <v>1</v>
      </c>
      <c r="DV212" s="79">
        <f t="shared" si="512"/>
        <v>0</v>
      </c>
      <c r="DW212" s="79">
        <f t="shared" si="513"/>
        <v>0</v>
      </c>
      <c r="DX212" s="79">
        <f t="shared" si="514"/>
        <v>0</v>
      </c>
      <c r="DY212" s="79">
        <v>1</v>
      </c>
      <c r="DZ212" s="79">
        <f t="shared" si="515"/>
        <v>0</v>
      </c>
      <c r="EA212" s="79">
        <f t="shared" si="516"/>
        <v>0</v>
      </c>
      <c r="EB212" s="79">
        <f t="shared" si="517"/>
        <v>0</v>
      </c>
      <c r="EC212" s="79">
        <f t="shared" si="518"/>
        <v>0</v>
      </c>
      <c r="ED212" s="79">
        <v>1</v>
      </c>
      <c r="EE212" s="79">
        <v>1</v>
      </c>
      <c r="EF212" s="79">
        <f t="shared" si="519"/>
        <v>0</v>
      </c>
      <c r="EG212" s="79">
        <v>1</v>
      </c>
      <c r="EH212" s="79">
        <v>1</v>
      </c>
      <c r="EI212" s="79">
        <v>1</v>
      </c>
      <c r="EJ212" s="79">
        <v>1</v>
      </c>
      <c r="EK212" s="79">
        <v>1</v>
      </c>
      <c r="EL212" s="79">
        <v>1</v>
      </c>
      <c r="EM212" s="143">
        <f t="shared" si="520"/>
        <v>0</v>
      </c>
      <c r="EN212" s="143">
        <f t="shared" si="521"/>
        <v>0</v>
      </c>
      <c r="EO212" s="82">
        <f t="shared" si="522"/>
        <v>0</v>
      </c>
    </row>
    <row r="213" spans="1:145" x14ac:dyDescent="0.25">
      <c r="A213">
        <v>199</v>
      </c>
      <c r="B213" s="172" t="e">
        <f t="shared" si="491"/>
        <v>#N/A</v>
      </c>
      <c r="C213" s="121" t="e">
        <f t="shared" ref="C213:E213" si="541">AJ213-SUM(AB213:AB217)</f>
        <v>#N/A</v>
      </c>
      <c r="D213" s="122" t="e">
        <f t="shared" si="541"/>
        <v>#N/A</v>
      </c>
      <c r="E213" s="122" t="e">
        <f t="shared" si="541"/>
        <v>#N/A</v>
      </c>
      <c r="F213" s="176" t="e">
        <f t="shared" si="473"/>
        <v>#N/A</v>
      </c>
      <c r="G213" s="121">
        <f t="shared" si="493"/>
        <v>208</v>
      </c>
      <c r="H213" s="176" t="e">
        <f t="shared" si="494"/>
        <v>#N/A</v>
      </c>
      <c r="I213" s="48">
        <v>1</v>
      </c>
      <c r="J213" s="39"/>
      <c r="K213" s="350">
        <v>1</v>
      </c>
      <c r="L213" s="34" t="e">
        <f t="shared" si="474"/>
        <v>#N/A</v>
      </c>
      <c r="M213" s="38" t="e">
        <f>(HLOOKUP(J213,'Construction Times'!$B$3:$W$34,L213+2,FALSE)*HLOOKUP("hq modifier",'Construction Times'!$W$3:$W$34,BS213+2,FALSE))*(1-$H$9)</f>
        <v>#N/A</v>
      </c>
      <c r="N213" s="426" t="e">
        <f t="shared" si="495"/>
        <v>#N/A</v>
      </c>
      <c r="O213" s="427"/>
      <c r="P213" s="430" t="e">
        <f t="shared" si="496"/>
        <v>#N/A</v>
      </c>
      <c r="Q213" s="431"/>
      <c r="R213" s="103">
        <f t="shared" si="524"/>
        <v>0</v>
      </c>
      <c r="S213" s="104">
        <f t="shared" si="524"/>
        <v>0</v>
      </c>
      <c r="T213" s="104">
        <f t="shared" si="525"/>
        <v>0</v>
      </c>
      <c r="U213" s="104">
        <f t="shared" si="525"/>
        <v>0</v>
      </c>
      <c r="V213" s="104">
        <f t="shared" si="525"/>
        <v>9.9999999999999995E-8</v>
      </c>
      <c r="W213" s="104">
        <f t="shared" si="525"/>
        <v>0</v>
      </c>
      <c r="X213" s="104">
        <f t="shared" si="429"/>
        <v>0</v>
      </c>
      <c r="Y213" s="104">
        <f t="shared" si="429"/>
        <v>9.9999999999999995E-8</v>
      </c>
      <c r="Z213" s="104">
        <f t="shared" si="429"/>
        <v>9.9999999999999995E-8</v>
      </c>
      <c r="AA213" s="105">
        <f t="shared" si="429"/>
        <v>9.9999999999999995E-8</v>
      </c>
      <c r="AB213" s="101" t="e">
        <f>$DT213*HLOOKUP($J213,'Construction Costs (timber)'!$B$1:$V$32,'Construction Planner'!$L213+2,FALSE)</f>
        <v>#N/A</v>
      </c>
      <c r="AC213" s="14" t="e">
        <f>$DT213*HLOOKUP($J213,'Construction Costs (clay)'!$B$1:$V$32,'Construction Planner'!$L213+2,FALSE)</f>
        <v>#N/A</v>
      </c>
      <c r="AD213" s="14" t="e">
        <f>$DT213*HLOOKUP($J213,'Construction Costs (iron)'!$B$1:$V$32,'Construction Planner'!$L213+2,FALSE)</f>
        <v>#N/A</v>
      </c>
      <c r="AE213" s="34" t="e">
        <f t="shared" si="537"/>
        <v>#N/A</v>
      </c>
      <c r="AF213" s="33" t="e">
        <f t="shared" si="475"/>
        <v>#N/A</v>
      </c>
      <c r="AG213" s="14" t="e">
        <f t="shared" si="476"/>
        <v>#N/A</v>
      </c>
      <c r="AH213" s="14" t="e">
        <f t="shared" si="477"/>
        <v>#N/A</v>
      </c>
      <c r="AI213" s="34" t="e">
        <f t="shared" si="538"/>
        <v>#N/A</v>
      </c>
      <c r="AJ213" s="49" t="e">
        <f t="shared" si="498"/>
        <v>#N/A</v>
      </c>
      <c r="AK213" s="49" t="e">
        <f t="shared" si="499"/>
        <v>#N/A</v>
      </c>
      <c r="AL213" s="49" t="e">
        <f t="shared" si="500"/>
        <v>#N/A</v>
      </c>
      <c r="AM213" s="25">
        <f t="shared" si="478"/>
        <v>30</v>
      </c>
      <c r="AN213" s="25">
        <f t="shared" si="479"/>
        <v>30</v>
      </c>
      <c r="AO213" s="25">
        <f t="shared" si="480"/>
        <v>30</v>
      </c>
      <c r="AP213" s="52" t="e">
        <f t="shared" si="501"/>
        <v>#N/A</v>
      </c>
      <c r="AQ213" s="53" t="e">
        <f t="shared" si="501"/>
        <v>#N/A</v>
      </c>
      <c r="AR213" s="54" t="e">
        <f t="shared" si="501"/>
        <v>#N/A</v>
      </c>
      <c r="AS213" s="316">
        <f t="shared" si="539"/>
        <v>0</v>
      </c>
      <c r="AT213" s="106">
        <f>_xlfn.IFNA($M213/VLOOKUP($BT213,'Unit information'!$A$2:$K$29,2,FALSE)*R213,0)*(1+$E$9)</f>
        <v>0</v>
      </c>
      <c r="AU213" s="107">
        <f>_xlfn.IFNA($M213/VLOOKUP($BT213,'Unit information'!$A$2:$K$29,3,FALSE)*S213,0)*(1+$E$9)</f>
        <v>0</v>
      </c>
      <c r="AV213" s="107">
        <f>_xlfn.IFNA($M213/VLOOKUP($BT213,'Unit information'!$A$2:$K$29,4,FALSE)*T213,0)*(1+$E$9)</f>
        <v>0</v>
      </c>
      <c r="AW213" s="107">
        <f>_xlfn.IFNA($M213/VLOOKUP($BT213,'Unit information'!$A$2:$K$29,5,FALSE)*U213,0)*(1+$E$9)</f>
        <v>0</v>
      </c>
      <c r="AX213" s="107">
        <f>_xlfn.IFNA($M213/VLOOKUP($BU213,'Unit information'!$A$2:$K$29,6,FALSE)*V213,0)*(1+$E$9)</f>
        <v>0</v>
      </c>
      <c r="AY213" s="107">
        <f>_xlfn.IFNA($M213/VLOOKUP($BU213,'Unit information'!$A$2:$K$29,7,FALSE)*W213,0)*(1+$E$9)</f>
        <v>0</v>
      </c>
      <c r="AZ213" s="107">
        <f>_xlfn.IFNA($M213/VLOOKUP($BU213,'Unit information'!$A$2:$K$29,8,FALSE)*X213,0)*(1+$E$9)</f>
        <v>0</v>
      </c>
      <c r="BA213" s="107">
        <f>_xlfn.IFNA($M213/VLOOKUP($BU213,'Unit information'!$A$2:$K$29,9,FALSE)*Y213,0)*(1+$E$9)</f>
        <v>0</v>
      </c>
      <c r="BB213" s="107">
        <f>_xlfn.IFNA($M213/VLOOKUP($BV213,'Unit information'!$A$2:$K$29,10,FALSE)*Z213,0)*(1+$E$9)</f>
        <v>0</v>
      </c>
      <c r="BC213" s="108">
        <f>_xlfn.IFNA($M213/VLOOKUP($BV213,'Unit information'!$A$2:$K$29,11,FALSE)*AA213,0)*(1+$E$9)</f>
        <v>0</v>
      </c>
      <c r="BD213" s="106">
        <f t="shared" si="481"/>
        <v>0</v>
      </c>
      <c r="BE213" s="107">
        <f t="shared" si="482"/>
        <v>0</v>
      </c>
      <c r="BF213" s="108">
        <f t="shared" si="483"/>
        <v>0</v>
      </c>
      <c r="BG213" s="25" t="e">
        <f t="shared" si="484"/>
        <v>#N/A</v>
      </c>
      <c r="BH213" s="25" t="e">
        <f t="shared" si="485"/>
        <v>#N/A</v>
      </c>
      <c r="BI213" s="25" t="e">
        <f t="shared" si="486"/>
        <v>#N/A</v>
      </c>
      <c r="BJ213" s="27" t="e">
        <f t="shared" si="487"/>
        <v>#N/A</v>
      </c>
      <c r="BK213" s="18" t="e">
        <f t="shared" si="488"/>
        <v>#N/A</v>
      </c>
      <c r="BL213" s="18" t="e">
        <f t="shared" si="489"/>
        <v>#N/A</v>
      </c>
      <c r="BM213" s="28" t="e">
        <f t="shared" si="540"/>
        <v>#N/A</v>
      </c>
      <c r="BN213" s="33">
        <f>HLOOKUP("maximum population",Miscelaneous!$C$1:$C$33,CH213+3,FALSE)</f>
        <v>240</v>
      </c>
      <c r="BO213" s="14">
        <f t="shared" si="502"/>
        <v>32</v>
      </c>
      <c r="BP213" s="14">
        <f t="shared" si="503"/>
        <v>0</v>
      </c>
      <c r="BQ213" s="14">
        <f t="shared" si="504"/>
        <v>208</v>
      </c>
      <c r="BR213" s="34" t="e">
        <f>HLOOKUP(J213,Villagers!$B$1:$V$33,L213+3,FALSE)-HLOOKUP(J213,Villagers!$B$1:$V$33,L213+2,FALSE)</f>
        <v>#N/A</v>
      </c>
      <c r="BS213" s="49">
        <f t="shared" si="505"/>
        <v>1</v>
      </c>
      <c r="BT213" s="50">
        <f t="shared" si="506"/>
        <v>0</v>
      </c>
      <c r="BU213" s="50">
        <f t="shared" si="507"/>
        <v>0</v>
      </c>
      <c r="BV213" s="50">
        <f t="shared" si="508"/>
        <v>0</v>
      </c>
      <c r="BW213" s="50">
        <f t="shared" si="509"/>
        <v>0</v>
      </c>
      <c r="BX213" s="50">
        <f t="shared" si="509"/>
        <v>0</v>
      </c>
      <c r="BY213" s="50">
        <f t="shared" si="509"/>
        <v>0</v>
      </c>
      <c r="BZ213" s="50">
        <f t="shared" si="401"/>
        <v>0</v>
      </c>
      <c r="CA213" s="50">
        <f t="shared" si="402"/>
        <v>0</v>
      </c>
      <c r="CB213" s="50">
        <f t="shared" si="403"/>
        <v>1</v>
      </c>
      <c r="CC213" s="50">
        <f t="shared" si="404"/>
        <v>0</v>
      </c>
      <c r="CD213" s="50">
        <f t="shared" si="405"/>
        <v>0</v>
      </c>
      <c r="CE213" s="50">
        <f t="shared" si="406"/>
        <v>1</v>
      </c>
      <c r="CF213" s="50">
        <f t="shared" si="407"/>
        <v>1</v>
      </c>
      <c r="CG213" s="50">
        <f t="shared" si="408"/>
        <v>1</v>
      </c>
      <c r="CH213" s="50">
        <f t="shared" si="409"/>
        <v>1</v>
      </c>
      <c r="CI213" s="50">
        <f t="shared" si="410"/>
        <v>1</v>
      </c>
      <c r="CJ213" s="50">
        <f t="shared" si="411"/>
        <v>1</v>
      </c>
      <c r="CK213" s="50">
        <f t="shared" si="411"/>
        <v>0</v>
      </c>
      <c r="CL213" s="50">
        <f t="shared" si="411"/>
        <v>0</v>
      </c>
      <c r="CM213" s="51">
        <f t="shared" si="432"/>
        <v>0</v>
      </c>
      <c r="CN213" s="33">
        <f>ROUND(IF(BS213=0,0,HLOOKUP(BS$14,Villagers!$B$1:$V$33,BS213+3,FALSE)),)</f>
        <v>5</v>
      </c>
      <c r="CO213" s="14">
        <f>ROUND(IF(BT213=0,0,HLOOKUP(BT$14,Villagers!$B$1:$V$33,BT213+3,FALSE)),)</f>
        <v>0</v>
      </c>
      <c r="CP213" s="14">
        <f>ROUND(IF(BU213=0,0,HLOOKUP(BU$14,Villagers!$B$1:$V$33,BU213+3,FALSE)),)</f>
        <v>0</v>
      </c>
      <c r="CQ213" s="14">
        <f>ROUND(IF(BV213=0,0,HLOOKUP(BV$14,Villagers!$B$1:$V$33,BV213+3,FALSE)),)</f>
        <v>0</v>
      </c>
      <c r="CR213" s="14">
        <f>ROUND(IF(BW213=0,0,HLOOKUP(BW$14,Villagers!$B$1:$V$33,BW213+3,FALSE)),)</f>
        <v>0</v>
      </c>
      <c r="CS213" s="14">
        <f>ROUND(IF(BX213=0,0,HLOOKUP(BX$14,Villagers!$B$1:$V$33,BX213+3,FALSE)),)</f>
        <v>0</v>
      </c>
      <c r="CT213" s="14">
        <f>ROUND(IF(BY213=0,0,HLOOKUP(BY$14,Villagers!$B$1:$V$33,BY213+3,FALSE)),)</f>
        <v>0</v>
      </c>
      <c r="CU213" s="14">
        <f>ROUND(IF(BZ213=0,0,HLOOKUP(BZ$14,Villagers!$B$1:$V$33,BZ213+3,FALSE)),)</f>
        <v>0</v>
      </c>
      <c r="CV213" s="14">
        <f>ROUND(IF(CA213=0,0,HLOOKUP(CA$14,Villagers!$B$1:$V$33,CA213+3,FALSE)),)</f>
        <v>0</v>
      </c>
      <c r="CW213" s="14">
        <f>ROUND(IF(CB213=0,0,HLOOKUP(CB$14,Villagers!$B$1:$V$33,CB213+3,FALSE)),)</f>
        <v>0</v>
      </c>
      <c r="CX213" s="14">
        <f>ROUND(IF(CC213=0,0,HLOOKUP(CC$14,Villagers!$B$1:$V$33,CC213+3,FALSE)),)</f>
        <v>0</v>
      </c>
      <c r="CY213" s="14">
        <f>ROUND(IF(CD213=0,0,HLOOKUP(CD$14,Villagers!$B$1:$V$33,CD213+3,FALSE)),)</f>
        <v>0</v>
      </c>
      <c r="CZ213" s="14">
        <f>ROUND(IF(CE213=0,0,HLOOKUP(CE$14,Villagers!$B$1:$V$33,CE213+3,FALSE)),)</f>
        <v>5</v>
      </c>
      <c r="DA213" s="14">
        <f>ROUND(IF(CF213=0,0,HLOOKUP(CF$14,Villagers!$B$1:$V$33,CF213+3,FALSE)),)</f>
        <v>10</v>
      </c>
      <c r="DB213" s="14">
        <f>ROUND(IF(CG213=0,0,HLOOKUP(CG$14,Villagers!$B$1:$V$33,CG213+3,FALSE)),)</f>
        <v>10</v>
      </c>
      <c r="DC213" s="14">
        <f>ROUND(IF(CH213=0,0,HLOOKUP(CH$14,Villagers!$B$1:$V$33,CH213+3,FALSE)),)</f>
        <v>0</v>
      </c>
      <c r="DD213" s="14">
        <f>ROUND(IF(CI213=0,0,HLOOKUP(CI$14,Villagers!$B$1:$V$33,CI213+3,FALSE)),)</f>
        <v>0</v>
      </c>
      <c r="DE213" s="14">
        <f>ROUND(IF(CJ213=0,0,HLOOKUP(CJ$14,Villagers!$B$1:$V$33,CJ213+3,FALSE)),)</f>
        <v>2</v>
      </c>
      <c r="DF213" s="370">
        <f>ROUND(IF(CK213=0,0,HLOOKUP(CK$14,Villagers!$B$1:$V$33,CK213+3,FALSE)),)</f>
        <v>0</v>
      </c>
      <c r="DG213" s="370">
        <f>ROUND(IF(CL213=0,0,HLOOKUP(CL$14,Villagers!$B$1:$V$33,CL213+3,FALSE)),)</f>
        <v>0</v>
      </c>
      <c r="DH213" s="34">
        <f>ROUND(IF(CM213=0,0,HLOOKUP(CM$14,Villagers!$B$1:$V$33,CM213+3,FALSE)),)</f>
        <v>0</v>
      </c>
      <c r="DI213" s="109">
        <f t="shared" si="526"/>
        <v>0</v>
      </c>
      <c r="DJ213" s="50">
        <f t="shared" si="527"/>
        <v>0</v>
      </c>
      <c r="DK213" s="50">
        <f t="shared" si="528"/>
        <v>0</v>
      </c>
      <c r="DL213" s="50">
        <f t="shared" si="529"/>
        <v>0</v>
      </c>
      <c r="DM213" s="50">
        <f t="shared" si="530"/>
        <v>0</v>
      </c>
      <c r="DN213" s="50">
        <f t="shared" si="531"/>
        <v>0</v>
      </c>
      <c r="DO213" s="50">
        <f t="shared" si="532"/>
        <v>0</v>
      </c>
      <c r="DP213" s="50">
        <f t="shared" si="533"/>
        <v>0</v>
      </c>
      <c r="DQ213" s="50">
        <f t="shared" si="510"/>
        <v>0</v>
      </c>
      <c r="DR213" s="50">
        <f t="shared" si="511"/>
        <v>0</v>
      </c>
      <c r="DS213" s="96">
        <f>Miscelaneous!$D$4*Miscelaneous!$D$2^($CI213-1)</f>
        <v>1000</v>
      </c>
      <c r="DT213" s="333">
        <f t="shared" si="490"/>
        <v>1</v>
      </c>
      <c r="DU213" s="81">
        <v>1</v>
      </c>
      <c r="DV213" s="79">
        <f t="shared" si="512"/>
        <v>0</v>
      </c>
      <c r="DW213" s="79">
        <f t="shared" si="513"/>
        <v>0</v>
      </c>
      <c r="DX213" s="79">
        <f t="shared" si="514"/>
        <v>0</v>
      </c>
      <c r="DY213" s="79">
        <v>1</v>
      </c>
      <c r="DZ213" s="79">
        <f t="shared" si="515"/>
        <v>0</v>
      </c>
      <c r="EA213" s="79">
        <f t="shared" si="516"/>
        <v>0</v>
      </c>
      <c r="EB213" s="79">
        <f t="shared" si="517"/>
        <v>0</v>
      </c>
      <c r="EC213" s="79">
        <f t="shared" si="518"/>
        <v>0</v>
      </c>
      <c r="ED213" s="79">
        <v>1</v>
      </c>
      <c r="EE213" s="79">
        <v>1</v>
      </c>
      <c r="EF213" s="79">
        <f t="shared" si="519"/>
        <v>0</v>
      </c>
      <c r="EG213" s="79">
        <v>1</v>
      </c>
      <c r="EH213" s="79">
        <v>1</v>
      </c>
      <c r="EI213" s="79">
        <v>1</v>
      </c>
      <c r="EJ213" s="79">
        <v>1</v>
      </c>
      <c r="EK213" s="79">
        <v>1</v>
      </c>
      <c r="EL213" s="79">
        <v>1</v>
      </c>
      <c r="EM213" s="143">
        <f t="shared" si="520"/>
        <v>0</v>
      </c>
      <c r="EN213" s="143">
        <f t="shared" si="521"/>
        <v>0</v>
      </c>
      <c r="EO213" s="82">
        <f t="shared" si="522"/>
        <v>0</v>
      </c>
    </row>
    <row r="214" spans="1:145" x14ac:dyDescent="0.25">
      <c r="A214">
        <v>200</v>
      </c>
      <c r="B214" s="172" t="e">
        <f t="shared" si="491"/>
        <v>#N/A</v>
      </c>
      <c r="C214" s="121" t="e">
        <f t="shared" ref="C214:E214" si="542">AJ214-SUM(AB214:AB218)</f>
        <v>#N/A</v>
      </c>
      <c r="D214" s="122" t="e">
        <f t="shared" si="542"/>
        <v>#N/A</v>
      </c>
      <c r="E214" s="122" t="e">
        <f t="shared" si="542"/>
        <v>#N/A</v>
      </c>
      <c r="F214" s="176" t="e">
        <f t="shared" si="473"/>
        <v>#N/A</v>
      </c>
      <c r="G214" s="121">
        <f t="shared" si="493"/>
        <v>208</v>
      </c>
      <c r="H214" s="176" t="e">
        <f t="shared" si="494"/>
        <v>#N/A</v>
      </c>
      <c r="I214" s="48">
        <v>1</v>
      </c>
      <c r="J214" s="39"/>
      <c r="K214" s="350">
        <v>1</v>
      </c>
      <c r="L214" s="34" t="e">
        <f t="shared" si="474"/>
        <v>#N/A</v>
      </c>
      <c r="M214" s="38" t="e">
        <f>(HLOOKUP(J214,'Construction Times'!$B$3:$W$34,L214+2,FALSE)*HLOOKUP("hq modifier",'Construction Times'!$W$3:$W$34,BS214+2,FALSE))*(1-$H$9)</f>
        <v>#N/A</v>
      </c>
      <c r="N214" s="426" t="e">
        <f t="shared" si="495"/>
        <v>#N/A</v>
      </c>
      <c r="O214" s="427"/>
      <c r="P214" s="430" t="e">
        <f t="shared" si="496"/>
        <v>#N/A</v>
      </c>
      <c r="Q214" s="431"/>
      <c r="R214" s="103">
        <f t="shared" si="524"/>
        <v>0</v>
      </c>
      <c r="S214" s="104">
        <f t="shared" si="524"/>
        <v>0</v>
      </c>
      <c r="T214" s="104">
        <f t="shared" si="525"/>
        <v>0</v>
      </c>
      <c r="U214" s="104">
        <f t="shared" si="525"/>
        <v>0</v>
      </c>
      <c r="V214" s="104">
        <f t="shared" si="525"/>
        <v>9.9999999999999995E-8</v>
      </c>
      <c r="W214" s="104">
        <f t="shared" si="525"/>
        <v>0</v>
      </c>
      <c r="X214" s="104">
        <f t="shared" si="429"/>
        <v>0</v>
      </c>
      <c r="Y214" s="104">
        <f t="shared" si="429"/>
        <v>9.9999999999999995E-8</v>
      </c>
      <c r="Z214" s="104">
        <f t="shared" si="429"/>
        <v>9.9999999999999995E-8</v>
      </c>
      <c r="AA214" s="105">
        <f t="shared" si="429"/>
        <v>9.9999999999999995E-8</v>
      </c>
      <c r="AB214" s="101" t="e">
        <f>$DT214*HLOOKUP($J214,'Construction Costs (timber)'!$B$1:$V$32,'Construction Planner'!$L214+2,FALSE)</f>
        <v>#N/A</v>
      </c>
      <c r="AC214" s="14" t="e">
        <f>$DT214*HLOOKUP($J214,'Construction Costs (clay)'!$B$1:$V$32,'Construction Planner'!$L214+2,FALSE)</f>
        <v>#N/A</v>
      </c>
      <c r="AD214" s="14" t="e">
        <f>$DT214*HLOOKUP($J214,'Construction Costs (iron)'!$B$1:$V$32,'Construction Planner'!$L214+2,FALSE)</f>
        <v>#N/A</v>
      </c>
      <c r="AE214" s="34" t="e">
        <f t="shared" si="537"/>
        <v>#N/A</v>
      </c>
      <c r="AF214" s="33" t="e">
        <f t="shared" si="475"/>
        <v>#N/A</v>
      </c>
      <c r="AG214" s="14" t="e">
        <f t="shared" si="476"/>
        <v>#N/A</v>
      </c>
      <c r="AH214" s="14" t="e">
        <f t="shared" si="477"/>
        <v>#N/A</v>
      </c>
      <c r="AI214" s="34" t="e">
        <f t="shared" si="538"/>
        <v>#N/A</v>
      </c>
      <c r="AJ214" s="49" t="e">
        <f t="shared" si="498"/>
        <v>#N/A</v>
      </c>
      <c r="AK214" s="49" t="e">
        <f t="shared" si="499"/>
        <v>#N/A</v>
      </c>
      <c r="AL214" s="49" t="e">
        <f t="shared" si="500"/>
        <v>#N/A</v>
      </c>
      <c r="AM214" s="25">
        <f t="shared" si="478"/>
        <v>30</v>
      </c>
      <c r="AN214" s="25">
        <f t="shared" si="479"/>
        <v>30</v>
      </c>
      <c r="AO214" s="25">
        <f t="shared" si="480"/>
        <v>30</v>
      </c>
      <c r="AP214" s="52" t="e">
        <f t="shared" si="501"/>
        <v>#N/A</v>
      </c>
      <c r="AQ214" s="53" t="e">
        <f t="shared" si="501"/>
        <v>#N/A</v>
      </c>
      <c r="AR214" s="54" t="e">
        <f t="shared" si="501"/>
        <v>#N/A</v>
      </c>
      <c r="AS214" s="316">
        <f t="shared" si="539"/>
        <v>0</v>
      </c>
      <c r="AT214" s="106">
        <f>_xlfn.IFNA($M214/VLOOKUP($BT214,'Unit information'!$A$2:$K$29,2,FALSE)*R214,0)*(1+$E$9)</f>
        <v>0</v>
      </c>
      <c r="AU214" s="107">
        <f>_xlfn.IFNA($M214/VLOOKUP($BT214,'Unit information'!$A$2:$K$29,3,FALSE)*S214,0)*(1+$E$9)</f>
        <v>0</v>
      </c>
      <c r="AV214" s="107">
        <f>_xlfn.IFNA($M214/VLOOKUP($BT214,'Unit information'!$A$2:$K$29,4,FALSE)*T214,0)*(1+$E$9)</f>
        <v>0</v>
      </c>
      <c r="AW214" s="107">
        <f>_xlfn.IFNA($M214/VLOOKUP($BT214,'Unit information'!$A$2:$K$29,5,FALSE)*U214,0)*(1+$E$9)</f>
        <v>0</v>
      </c>
      <c r="AX214" s="107">
        <f>_xlfn.IFNA($M214/VLOOKUP($BU214,'Unit information'!$A$2:$K$29,6,FALSE)*V214,0)*(1+$E$9)</f>
        <v>0</v>
      </c>
      <c r="AY214" s="107">
        <f>_xlfn.IFNA($M214/VLOOKUP($BU214,'Unit information'!$A$2:$K$29,7,FALSE)*W214,0)*(1+$E$9)</f>
        <v>0</v>
      </c>
      <c r="AZ214" s="107">
        <f>_xlfn.IFNA($M214/VLOOKUP($BU214,'Unit information'!$A$2:$K$29,8,FALSE)*X214,0)*(1+$E$9)</f>
        <v>0</v>
      </c>
      <c r="BA214" s="107">
        <f>_xlfn.IFNA($M214/VLOOKUP($BU214,'Unit information'!$A$2:$K$29,9,FALSE)*Y214,0)*(1+$E$9)</f>
        <v>0</v>
      </c>
      <c r="BB214" s="107">
        <f>_xlfn.IFNA($M214/VLOOKUP($BV214,'Unit information'!$A$2:$K$29,10,FALSE)*Z214,0)*(1+$E$9)</f>
        <v>0</v>
      </c>
      <c r="BC214" s="108">
        <f>_xlfn.IFNA($M214/VLOOKUP($BV214,'Unit information'!$A$2:$K$29,11,FALSE)*AA214,0)*(1+$E$9)</f>
        <v>0</v>
      </c>
      <c r="BD214" s="106">
        <f t="shared" si="481"/>
        <v>0</v>
      </c>
      <c r="BE214" s="107">
        <f t="shared" si="482"/>
        <v>0</v>
      </c>
      <c r="BF214" s="108">
        <f t="shared" si="483"/>
        <v>0</v>
      </c>
      <c r="BG214" s="25" t="e">
        <f t="shared" si="484"/>
        <v>#N/A</v>
      </c>
      <c r="BH214" s="25" t="e">
        <f t="shared" si="485"/>
        <v>#N/A</v>
      </c>
      <c r="BI214" s="25" t="e">
        <f t="shared" si="486"/>
        <v>#N/A</v>
      </c>
      <c r="BJ214" s="27" t="e">
        <f t="shared" si="487"/>
        <v>#N/A</v>
      </c>
      <c r="BK214" s="18" t="e">
        <f t="shared" si="488"/>
        <v>#N/A</v>
      </c>
      <c r="BL214" s="18" t="e">
        <f t="shared" si="489"/>
        <v>#N/A</v>
      </c>
      <c r="BM214" s="28" t="e">
        <f t="shared" si="540"/>
        <v>#N/A</v>
      </c>
      <c r="BN214" s="33">
        <f>HLOOKUP("maximum population",Miscelaneous!$C$1:$C$33,CH214+3,FALSE)</f>
        <v>240</v>
      </c>
      <c r="BO214" s="14">
        <f t="shared" si="502"/>
        <v>32</v>
      </c>
      <c r="BP214" s="14">
        <f t="shared" si="503"/>
        <v>0</v>
      </c>
      <c r="BQ214" s="14">
        <f t="shared" si="504"/>
        <v>208</v>
      </c>
      <c r="BR214" s="34" t="e">
        <f>HLOOKUP(J214,Villagers!$B$1:$V$33,L214+3,FALSE)-HLOOKUP(J214,Villagers!$B$1:$V$33,L214+2,FALSE)</f>
        <v>#N/A</v>
      </c>
      <c r="BS214" s="49">
        <f t="shared" si="505"/>
        <v>1</v>
      </c>
      <c r="BT214" s="50">
        <f t="shared" si="506"/>
        <v>0</v>
      </c>
      <c r="BU214" s="50">
        <f t="shared" si="507"/>
        <v>0</v>
      </c>
      <c r="BV214" s="50">
        <f t="shared" si="508"/>
        <v>0</v>
      </c>
      <c r="BW214" s="50">
        <f t="shared" si="509"/>
        <v>0</v>
      </c>
      <c r="BX214" s="50">
        <f t="shared" si="509"/>
        <v>0</v>
      </c>
      <c r="BY214" s="50">
        <f t="shared" si="509"/>
        <v>0</v>
      </c>
      <c r="BZ214" s="50">
        <f t="shared" si="401"/>
        <v>0</v>
      </c>
      <c r="CA214" s="50">
        <f t="shared" si="402"/>
        <v>0</v>
      </c>
      <c r="CB214" s="50">
        <f t="shared" si="403"/>
        <v>1</v>
      </c>
      <c r="CC214" s="50">
        <f t="shared" si="404"/>
        <v>0</v>
      </c>
      <c r="CD214" s="50">
        <f t="shared" si="405"/>
        <v>0</v>
      </c>
      <c r="CE214" s="50">
        <f t="shared" si="406"/>
        <v>1</v>
      </c>
      <c r="CF214" s="50">
        <f t="shared" si="407"/>
        <v>1</v>
      </c>
      <c r="CG214" s="50">
        <f t="shared" si="408"/>
        <v>1</v>
      </c>
      <c r="CH214" s="50">
        <f t="shared" si="409"/>
        <v>1</v>
      </c>
      <c r="CI214" s="50">
        <f t="shared" si="410"/>
        <v>1</v>
      </c>
      <c r="CJ214" s="50">
        <f t="shared" si="411"/>
        <v>1</v>
      </c>
      <c r="CK214" s="50">
        <f t="shared" si="411"/>
        <v>0</v>
      </c>
      <c r="CL214" s="50">
        <f t="shared" si="411"/>
        <v>0</v>
      </c>
      <c r="CM214" s="51">
        <f t="shared" si="432"/>
        <v>0</v>
      </c>
      <c r="CN214" s="33">
        <f>ROUND(IF(BS214=0,0,HLOOKUP(BS$14,Villagers!$B$1:$V$33,BS214+3,FALSE)),)</f>
        <v>5</v>
      </c>
      <c r="CO214" s="14">
        <f>ROUND(IF(BT214=0,0,HLOOKUP(BT$14,Villagers!$B$1:$V$33,BT214+3,FALSE)),)</f>
        <v>0</v>
      </c>
      <c r="CP214" s="14">
        <f>ROUND(IF(BU214=0,0,HLOOKUP(BU$14,Villagers!$B$1:$V$33,BU214+3,FALSE)),)</f>
        <v>0</v>
      </c>
      <c r="CQ214" s="14">
        <f>ROUND(IF(BV214=0,0,HLOOKUP(BV$14,Villagers!$B$1:$V$33,BV214+3,FALSE)),)</f>
        <v>0</v>
      </c>
      <c r="CR214" s="14">
        <f>ROUND(IF(BW214=0,0,HLOOKUP(BW$14,Villagers!$B$1:$V$33,BW214+3,FALSE)),)</f>
        <v>0</v>
      </c>
      <c r="CS214" s="14">
        <f>ROUND(IF(BX214=0,0,HLOOKUP(BX$14,Villagers!$B$1:$V$33,BX214+3,FALSE)),)</f>
        <v>0</v>
      </c>
      <c r="CT214" s="14">
        <f>ROUND(IF(BY214=0,0,HLOOKUP(BY$14,Villagers!$B$1:$V$33,BY214+3,FALSE)),)</f>
        <v>0</v>
      </c>
      <c r="CU214" s="14">
        <f>ROUND(IF(BZ214=0,0,HLOOKUP(BZ$14,Villagers!$B$1:$V$33,BZ214+3,FALSE)),)</f>
        <v>0</v>
      </c>
      <c r="CV214" s="14">
        <f>ROUND(IF(CA214=0,0,HLOOKUP(CA$14,Villagers!$B$1:$V$33,CA214+3,FALSE)),)</f>
        <v>0</v>
      </c>
      <c r="CW214" s="14">
        <f>ROUND(IF(CB214=0,0,HLOOKUP(CB$14,Villagers!$B$1:$V$33,CB214+3,FALSE)),)</f>
        <v>0</v>
      </c>
      <c r="CX214" s="14">
        <f>ROUND(IF(CC214=0,0,HLOOKUP(CC$14,Villagers!$B$1:$V$33,CC214+3,FALSE)),)</f>
        <v>0</v>
      </c>
      <c r="CY214" s="14">
        <f>ROUND(IF(CD214=0,0,HLOOKUP(CD$14,Villagers!$B$1:$V$33,CD214+3,FALSE)),)</f>
        <v>0</v>
      </c>
      <c r="CZ214" s="14">
        <f>ROUND(IF(CE214=0,0,HLOOKUP(CE$14,Villagers!$B$1:$V$33,CE214+3,FALSE)),)</f>
        <v>5</v>
      </c>
      <c r="DA214" s="14">
        <f>ROUND(IF(CF214=0,0,HLOOKUP(CF$14,Villagers!$B$1:$V$33,CF214+3,FALSE)),)</f>
        <v>10</v>
      </c>
      <c r="DB214" s="14">
        <f>ROUND(IF(CG214=0,0,HLOOKUP(CG$14,Villagers!$B$1:$V$33,CG214+3,FALSE)),)</f>
        <v>10</v>
      </c>
      <c r="DC214" s="14">
        <f>ROUND(IF(CH214=0,0,HLOOKUP(CH$14,Villagers!$B$1:$V$33,CH214+3,FALSE)),)</f>
        <v>0</v>
      </c>
      <c r="DD214" s="14">
        <f>ROUND(IF(CI214=0,0,HLOOKUP(CI$14,Villagers!$B$1:$V$33,CI214+3,FALSE)),)</f>
        <v>0</v>
      </c>
      <c r="DE214" s="14">
        <f>ROUND(IF(CJ214=0,0,HLOOKUP(CJ$14,Villagers!$B$1:$V$33,CJ214+3,FALSE)),)</f>
        <v>2</v>
      </c>
      <c r="DF214" s="370">
        <f>ROUND(IF(CK214=0,0,HLOOKUP(CK$14,Villagers!$B$1:$V$33,CK214+3,FALSE)),)</f>
        <v>0</v>
      </c>
      <c r="DG214" s="370">
        <f>ROUND(IF(CL214=0,0,HLOOKUP(CL$14,Villagers!$B$1:$V$33,CL214+3,FALSE)),)</f>
        <v>0</v>
      </c>
      <c r="DH214" s="34">
        <f>ROUND(IF(CM214=0,0,HLOOKUP(CM$14,Villagers!$B$1:$V$33,CM214+3,FALSE)),)</f>
        <v>0</v>
      </c>
      <c r="DI214" s="109">
        <f t="shared" si="526"/>
        <v>0</v>
      </c>
      <c r="DJ214" s="50">
        <f t="shared" si="527"/>
        <v>0</v>
      </c>
      <c r="DK214" s="50">
        <f t="shared" si="528"/>
        <v>0</v>
      </c>
      <c r="DL214" s="50">
        <f t="shared" si="529"/>
        <v>0</v>
      </c>
      <c r="DM214" s="50">
        <f t="shared" si="530"/>
        <v>0</v>
      </c>
      <c r="DN214" s="50">
        <f t="shared" si="531"/>
        <v>0</v>
      </c>
      <c r="DO214" s="50">
        <f t="shared" si="532"/>
        <v>0</v>
      </c>
      <c r="DP214" s="50">
        <f t="shared" si="533"/>
        <v>0</v>
      </c>
      <c r="DQ214" s="50">
        <f t="shared" si="510"/>
        <v>0</v>
      </c>
      <c r="DR214" s="50">
        <f t="shared" si="511"/>
        <v>0</v>
      </c>
      <c r="DS214" s="96">
        <f>Miscelaneous!$D$4*Miscelaneous!$D$2^($CI214-1)</f>
        <v>1000</v>
      </c>
      <c r="DT214" s="333">
        <f t="shared" si="490"/>
        <v>1</v>
      </c>
      <c r="DU214" s="81">
        <v>1</v>
      </c>
      <c r="DV214" s="79">
        <f t="shared" si="512"/>
        <v>0</v>
      </c>
      <c r="DW214" s="79">
        <f t="shared" si="513"/>
        <v>0</v>
      </c>
      <c r="DX214" s="79">
        <f t="shared" si="514"/>
        <v>0</v>
      </c>
      <c r="DY214" s="79">
        <v>1</v>
      </c>
      <c r="DZ214" s="79">
        <f t="shared" si="515"/>
        <v>0</v>
      </c>
      <c r="EA214" s="79">
        <f t="shared" si="516"/>
        <v>0</v>
      </c>
      <c r="EB214" s="79">
        <f t="shared" si="517"/>
        <v>0</v>
      </c>
      <c r="EC214" s="79">
        <f t="shared" si="518"/>
        <v>0</v>
      </c>
      <c r="ED214" s="79">
        <v>1</v>
      </c>
      <c r="EE214" s="79">
        <v>1</v>
      </c>
      <c r="EF214" s="79">
        <f t="shared" si="519"/>
        <v>0</v>
      </c>
      <c r="EG214" s="79">
        <v>1</v>
      </c>
      <c r="EH214" s="79">
        <v>1</v>
      </c>
      <c r="EI214" s="79">
        <v>1</v>
      </c>
      <c r="EJ214" s="79">
        <v>1</v>
      </c>
      <c r="EK214" s="79">
        <v>1</v>
      </c>
      <c r="EL214" s="79">
        <v>1</v>
      </c>
      <c r="EM214" s="143">
        <f t="shared" si="520"/>
        <v>0</v>
      </c>
      <c r="EN214" s="143">
        <f t="shared" si="521"/>
        <v>0</v>
      </c>
      <c r="EO214" s="82">
        <f t="shared" si="522"/>
        <v>0</v>
      </c>
    </row>
    <row r="215" spans="1:145" x14ac:dyDescent="0.25">
      <c r="A215">
        <v>201</v>
      </c>
      <c r="B215" s="172" t="e">
        <f t="shared" si="491"/>
        <v>#N/A</v>
      </c>
      <c r="C215" s="121" t="e">
        <f t="shared" ref="C215:E215" si="543">AJ215-SUM(AB215:AB219)</f>
        <v>#N/A</v>
      </c>
      <c r="D215" s="122" t="e">
        <f t="shared" si="543"/>
        <v>#N/A</v>
      </c>
      <c r="E215" s="122" t="e">
        <f t="shared" si="543"/>
        <v>#N/A</v>
      </c>
      <c r="F215" s="176" t="e">
        <f t="shared" si="473"/>
        <v>#N/A</v>
      </c>
      <c r="G215" s="121">
        <f t="shared" si="493"/>
        <v>208</v>
      </c>
      <c r="H215" s="176" t="e">
        <f t="shared" si="494"/>
        <v>#N/A</v>
      </c>
      <c r="I215" s="48">
        <v>1</v>
      </c>
      <c r="J215" s="39"/>
      <c r="K215" s="350">
        <v>1</v>
      </c>
      <c r="L215" s="34" t="e">
        <f t="shared" si="474"/>
        <v>#N/A</v>
      </c>
      <c r="M215" s="38" t="e">
        <f>(HLOOKUP(J215,'Construction Times'!$B$3:$W$34,L215+2,FALSE)*HLOOKUP("hq modifier",'Construction Times'!$W$3:$W$34,BS215+2,FALSE))*(1-$H$9)</f>
        <v>#N/A</v>
      </c>
      <c r="N215" s="426" t="e">
        <f t="shared" si="495"/>
        <v>#N/A</v>
      </c>
      <c r="O215" s="427"/>
      <c r="P215" s="430" t="e">
        <f t="shared" si="496"/>
        <v>#N/A</v>
      </c>
      <c r="Q215" s="431"/>
      <c r="R215" s="103">
        <f t="shared" si="524"/>
        <v>0</v>
      </c>
      <c r="S215" s="104">
        <f t="shared" si="524"/>
        <v>0</v>
      </c>
      <c r="T215" s="104">
        <f t="shared" si="525"/>
        <v>0</v>
      </c>
      <c r="U215" s="104">
        <f t="shared" si="525"/>
        <v>0</v>
      </c>
      <c r="V215" s="104">
        <f t="shared" si="525"/>
        <v>9.9999999999999995E-8</v>
      </c>
      <c r="W215" s="104">
        <f t="shared" si="525"/>
        <v>0</v>
      </c>
      <c r="X215" s="104">
        <f t="shared" si="429"/>
        <v>0</v>
      </c>
      <c r="Y215" s="104">
        <f t="shared" si="429"/>
        <v>9.9999999999999995E-8</v>
      </c>
      <c r="Z215" s="104">
        <f t="shared" si="429"/>
        <v>9.9999999999999995E-8</v>
      </c>
      <c r="AA215" s="105">
        <f t="shared" si="429"/>
        <v>9.9999999999999995E-8</v>
      </c>
      <c r="AB215" s="101" t="e">
        <f>$DT215*HLOOKUP($J215,'Construction Costs (timber)'!$B$1:$V$32,'Construction Planner'!$L215+2,FALSE)</f>
        <v>#N/A</v>
      </c>
      <c r="AC215" s="14" t="e">
        <f>$DT215*HLOOKUP($J215,'Construction Costs (clay)'!$B$1:$V$32,'Construction Planner'!$L215+2,FALSE)</f>
        <v>#N/A</v>
      </c>
      <c r="AD215" s="14" t="e">
        <f>$DT215*HLOOKUP($J215,'Construction Costs (iron)'!$B$1:$V$32,'Construction Planner'!$L215+2,FALSE)</f>
        <v>#N/A</v>
      </c>
      <c r="AE215" s="34" t="e">
        <f t="shared" si="537"/>
        <v>#N/A</v>
      </c>
      <c r="AF215" s="33" t="e">
        <f t="shared" si="475"/>
        <v>#N/A</v>
      </c>
      <c r="AG215" s="14" t="e">
        <f t="shared" si="476"/>
        <v>#N/A</v>
      </c>
      <c r="AH215" s="14" t="e">
        <f t="shared" si="477"/>
        <v>#N/A</v>
      </c>
      <c r="AI215" s="34" t="e">
        <f t="shared" si="538"/>
        <v>#N/A</v>
      </c>
      <c r="AJ215" s="49" t="e">
        <f t="shared" si="498"/>
        <v>#N/A</v>
      </c>
      <c r="AK215" s="49" t="e">
        <f t="shared" si="499"/>
        <v>#N/A</v>
      </c>
      <c r="AL215" s="49" t="e">
        <f t="shared" si="500"/>
        <v>#N/A</v>
      </c>
      <c r="AM215" s="25">
        <f t="shared" si="478"/>
        <v>30</v>
      </c>
      <c r="AN215" s="25">
        <f t="shared" si="479"/>
        <v>30</v>
      </c>
      <c r="AO215" s="25">
        <f t="shared" si="480"/>
        <v>30</v>
      </c>
      <c r="AP215" s="52" t="e">
        <f t="shared" si="501"/>
        <v>#N/A</v>
      </c>
      <c r="AQ215" s="53" t="e">
        <f t="shared" si="501"/>
        <v>#N/A</v>
      </c>
      <c r="AR215" s="54" t="e">
        <f t="shared" si="501"/>
        <v>#N/A</v>
      </c>
      <c r="AS215" s="316">
        <f t="shared" si="539"/>
        <v>0</v>
      </c>
      <c r="AT215" s="106">
        <f>_xlfn.IFNA($M215/VLOOKUP($BT215,'Unit information'!$A$2:$K$29,2,FALSE)*R215,0)*(1+$E$9)</f>
        <v>0</v>
      </c>
      <c r="AU215" s="107">
        <f>_xlfn.IFNA($M215/VLOOKUP($BT215,'Unit information'!$A$2:$K$29,3,FALSE)*S215,0)*(1+$E$9)</f>
        <v>0</v>
      </c>
      <c r="AV215" s="107">
        <f>_xlfn.IFNA($M215/VLOOKUP($BT215,'Unit information'!$A$2:$K$29,4,FALSE)*T215,0)*(1+$E$9)</f>
        <v>0</v>
      </c>
      <c r="AW215" s="107">
        <f>_xlfn.IFNA($M215/VLOOKUP($BT215,'Unit information'!$A$2:$K$29,5,FALSE)*U215,0)*(1+$E$9)</f>
        <v>0</v>
      </c>
      <c r="AX215" s="107">
        <f>_xlfn.IFNA($M215/VLOOKUP($BU215,'Unit information'!$A$2:$K$29,6,FALSE)*V215,0)*(1+$E$9)</f>
        <v>0</v>
      </c>
      <c r="AY215" s="107">
        <f>_xlfn.IFNA($M215/VLOOKUP($BU215,'Unit information'!$A$2:$K$29,7,FALSE)*W215,0)*(1+$E$9)</f>
        <v>0</v>
      </c>
      <c r="AZ215" s="107">
        <f>_xlfn.IFNA($M215/VLOOKUP($BU215,'Unit information'!$A$2:$K$29,8,FALSE)*X215,0)*(1+$E$9)</f>
        <v>0</v>
      </c>
      <c r="BA215" s="107">
        <f>_xlfn.IFNA($M215/VLOOKUP($BU215,'Unit information'!$A$2:$K$29,9,FALSE)*Y215,0)*(1+$E$9)</f>
        <v>0</v>
      </c>
      <c r="BB215" s="107">
        <f>_xlfn.IFNA($M215/VLOOKUP($BV215,'Unit information'!$A$2:$K$29,10,FALSE)*Z215,0)*(1+$E$9)</f>
        <v>0</v>
      </c>
      <c r="BC215" s="108">
        <f>_xlfn.IFNA($M215/VLOOKUP($BV215,'Unit information'!$A$2:$K$29,11,FALSE)*AA215,0)*(1+$E$9)</f>
        <v>0</v>
      </c>
      <c r="BD215" s="106">
        <f t="shared" si="481"/>
        <v>0</v>
      </c>
      <c r="BE215" s="107">
        <f t="shared" si="482"/>
        <v>0</v>
      </c>
      <c r="BF215" s="108">
        <f t="shared" si="483"/>
        <v>0</v>
      </c>
      <c r="BG215" s="25" t="e">
        <f t="shared" si="484"/>
        <v>#N/A</v>
      </c>
      <c r="BH215" s="25" t="e">
        <f t="shared" si="485"/>
        <v>#N/A</v>
      </c>
      <c r="BI215" s="25" t="e">
        <f t="shared" si="486"/>
        <v>#N/A</v>
      </c>
      <c r="BJ215" s="27" t="e">
        <f t="shared" si="487"/>
        <v>#N/A</v>
      </c>
      <c r="BK215" s="18" t="e">
        <f t="shared" si="488"/>
        <v>#N/A</v>
      </c>
      <c r="BL215" s="18" t="e">
        <f t="shared" si="489"/>
        <v>#N/A</v>
      </c>
      <c r="BM215" s="28" t="e">
        <f t="shared" si="540"/>
        <v>#N/A</v>
      </c>
      <c r="BN215" s="33">
        <f>HLOOKUP("maximum population",Miscelaneous!$C$1:$C$33,CH215+3,FALSE)</f>
        <v>240</v>
      </c>
      <c r="BO215" s="14">
        <f t="shared" si="502"/>
        <v>32</v>
      </c>
      <c r="BP215" s="14">
        <f t="shared" si="503"/>
        <v>0</v>
      </c>
      <c r="BQ215" s="14">
        <f t="shared" si="504"/>
        <v>208</v>
      </c>
      <c r="BR215" s="34" t="e">
        <f>HLOOKUP(J215,Villagers!$B$1:$V$33,L215+3,FALSE)-HLOOKUP(J215,Villagers!$B$1:$V$33,L215+2,FALSE)</f>
        <v>#N/A</v>
      </c>
      <c r="BS215" s="49">
        <f t="shared" si="505"/>
        <v>1</v>
      </c>
      <c r="BT215" s="50">
        <f t="shared" si="506"/>
        <v>0</v>
      </c>
      <c r="BU215" s="50">
        <f t="shared" si="507"/>
        <v>0</v>
      </c>
      <c r="BV215" s="50">
        <f t="shared" si="508"/>
        <v>0</v>
      </c>
      <c r="BW215" s="50">
        <f>IF($J214=BW$14,$L214,BW214)</f>
        <v>0</v>
      </c>
      <c r="BX215" s="50">
        <f t="shared" ref="BX215:BY223" si="544">IF($J214=BX$14,$L214,BX214)</f>
        <v>0</v>
      </c>
      <c r="BY215" s="50">
        <f t="shared" si="544"/>
        <v>0</v>
      </c>
      <c r="BZ215" s="50">
        <f t="shared" si="401"/>
        <v>0</v>
      </c>
      <c r="CA215" s="50">
        <f t="shared" si="402"/>
        <v>0</v>
      </c>
      <c r="CB215" s="50">
        <f t="shared" si="403"/>
        <v>1</v>
      </c>
      <c r="CC215" s="50">
        <f t="shared" si="404"/>
        <v>0</v>
      </c>
      <c r="CD215" s="50">
        <f t="shared" si="405"/>
        <v>0</v>
      </c>
      <c r="CE215" s="50">
        <f t="shared" si="406"/>
        <v>1</v>
      </c>
      <c r="CF215" s="50">
        <f t="shared" si="407"/>
        <v>1</v>
      </c>
      <c r="CG215" s="50">
        <f t="shared" si="408"/>
        <v>1</v>
      </c>
      <c r="CH215" s="50">
        <f t="shared" si="409"/>
        <v>1</v>
      </c>
      <c r="CI215" s="50">
        <f t="shared" si="410"/>
        <v>1</v>
      </c>
      <c r="CJ215" s="50">
        <f t="shared" si="411"/>
        <v>1</v>
      </c>
      <c r="CK215" s="50">
        <f t="shared" si="411"/>
        <v>0</v>
      </c>
      <c r="CL215" s="50">
        <f t="shared" si="411"/>
        <v>0</v>
      </c>
      <c r="CM215" s="51">
        <f t="shared" si="432"/>
        <v>0</v>
      </c>
      <c r="CN215" s="33">
        <f>ROUND(IF(BS215=0,0,HLOOKUP(BS$14,Villagers!$B$1:$V$33,BS215+3,FALSE)),)</f>
        <v>5</v>
      </c>
      <c r="CO215" s="14">
        <f>ROUND(IF(BT215=0,0,HLOOKUP(BT$14,Villagers!$B$1:$V$33,BT215+3,FALSE)),)</f>
        <v>0</v>
      </c>
      <c r="CP215" s="14">
        <f>ROUND(IF(BU215=0,0,HLOOKUP(BU$14,Villagers!$B$1:$V$33,BU215+3,FALSE)),)</f>
        <v>0</v>
      </c>
      <c r="CQ215" s="14">
        <f>ROUND(IF(BV215=0,0,HLOOKUP(BV$14,Villagers!$B$1:$V$33,BV215+3,FALSE)),)</f>
        <v>0</v>
      </c>
      <c r="CR215" s="14">
        <f>ROUND(IF(BW215=0,0,HLOOKUP(BW$14,Villagers!$B$1:$V$33,BW215+3,FALSE)),)</f>
        <v>0</v>
      </c>
      <c r="CS215" s="14">
        <f>ROUND(IF(BX215=0,0,HLOOKUP(BX$14,Villagers!$B$1:$V$33,BX215+3,FALSE)),)</f>
        <v>0</v>
      </c>
      <c r="CT215" s="14">
        <f>ROUND(IF(BY215=0,0,HLOOKUP(BY$14,Villagers!$B$1:$V$33,BY215+3,FALSE)),)</f>
        <v>0</v>
      </c>
      <c r="CU215" s="14">
        <f>ROUND(IF(BZ215=0,0,HLOOKUP(BZ$14,Villagers!$B$1:$V$33,BZ215+3,FALSE)),)</f>
        <v>0</v>
      </c>
      <c r="CV215" s="14">
        <f>ROUND(IF(CA215=0,0,HLOOKUP(CA$14,Villagers!$B$1:$V$33,CA215+3,FALSE)),)</f>
        <v>0</v>
      </c>
      <c r="CW215" s="14">
        <f>ROUND(IF(CB215=0,0,HLOOKUP(CB$14,Villagers!$B$1:$V$33,CB215+3,FALSE)),)</f>
        <v>0</v>
      </c>
      <c r="CX215" s="14">
        <f>ROUND(IF(CC215=0,0,HLOOKUP(CC$14,Villagers!$B$1:$V$33,CC215+3,FALSE)),)</f>
        <v>0</v>
      </c>
      <c r="CY215" s="14">
        <f>ROUND(IF(CD215=0,0,HLOOKUP(CD$14,Villagers!$B$1:$V$33,CD215+3,FALSE)),)</f>
        <v>0</v>
      </c>
      <c r="CZ215" s="14">
        <f>ROUND(IF(CE215=0,0,HLOOKUP(CE$14,Villagers!$B$1:$V$33,CE215+3,FALSE)),)</f>
        <v>5</v>
      </c>
      <c r="DA215" s="14">
        <f>ROUND(IF(CF215=0,0,HLOOKUP(CF$14,Villagers!$B$1:$V$33,CF215+3,FALSE)),)</f>
        <v>10</v>
      </c>
      <c r="DB215" s="14">
        <f>ROUND(IF(CG215=0,0,HLOOKUP(CG$14,Villagers!$B$1:$V$33,CG215+3,FALSE)),)</f>
        <v>10</v>
      </c>
      <c r="DC215" s="14">
        <f>ROUND(IF(CH215=0,0,HLOOKUP(CH$14,Villagers!$B$1:$V$33,CH215+3,FALSE)),)</f>
        <v>0</v>
      </c>
      <c r="DD215" s="14">
        <f>ROUND(IF(CI215=0,0,HLOOKUP(CI$14,Villagers!$B$1:$V$33,CI215+3,FALSE)),)</f>
        <v>0</v>
      </c>
      <c r="DE215" s="14">
        <f>ROUND(IF(CJ215=0,0,HLOOKUP(CJ$14,Villagers!$B$1:$V$33,CJ215+3,FALSE)),)</f>
        <v>2</v>
      </c>
      <c r="DF215" s="370">
        <f>ROUND(IF(CK215=0,0,HLOOKUP(CK$14,Villagers!$B$1:$V$33,CK215+3,FALSE)),)</f>
        <v>0</v>
      </c>
      <c r="DG215" s="370">
        <f>ROUND(IF(CL215=0,0,HLOOKUP(CL$14,Villagers!$B$1:$V$33,CL215+3,FALSE)),)</f>
        <v>0</v>
      </c>
      <c r="DH215" s="34">
        <f>ROUND(IF(CM215=0,0,HLOOKUP(CM$14,Villagers!$B$1:$V$33,CM215+3,FALSE)),)</f>
        <v>0</v>
      </c>
      <c r="DI215" s="109">
        <f t="shared" si="526"/>
        <v>0</v>
      </c>
      <c r="DJ215" s="50">
        <f t="shared" si="527"/>
        <v>0</v>
      </c>
      <c r="DK215" s="50">
        <f t="shared" si="528"/>
        <v>0</v>
      </c>
      <c r="DL215" s="50">
        <f t="shared" si="529"/>
        <v>0</v>
      </c>
      <c r="DM215" s="50">
        <f t="shared" si="530"/>
        <v>0</v>
      </c>
      <c r="DN215" s="50">
        <f t="shared" si="531"/>
        <v>0</v>
      </c>
      <c r="DO215" s="50">
        <f t="shared" si="532"/>
        <v>0</v>
      </c>
      <c r="DP215" s="50">
        <f t="shared" si="533"/>
        <v>0</v>
      </c>
      <c r="DQ215" s="50">
        <f t="shared" si="510"/>
        <v>0</v>
      </c>
      <c r="DR215" s="50">
        <f t="shared" si="511"/>
        <v>0</v>
      </c>
      <c r="DS215" s="96">
        <f>Miscelaneous!$D$4*Miscelaneous!$D$2^($CI215-1)</f>
        <v>1000</v>
      </c>
      <c r="DT215" s="333">
        <f t="shared" si="490"/>
        <v>1</v>
      </c>
      <c r="DU215" s="81">
        <v>1</v>
      </c>
      <c r="DV215" s="79">
        <f t="shared" si="512"/>
        <v>0</v>
      </c>
      <c r="DW215" s="79">
        <f t="shared" si="513"/>
        <v>0</v>
      </c>
      <c r="DX215" s="79">
        <f t="shared" si="514"/>
        <v>0</v>
      </c>
      <c r="DY215" s="79">
        <v>1</v>
      </c>
      <c r="DZ215" s="79">
        <f t="shared" si="515"/>
        <v>0</v>
      </c>
      <c r="EA215" s="79">
        <f t="shared" si="516"/>
        <v>0</v>
      </c>
      <c r="EB215" s="79">
        <f t="shared" si="517"/>
        <v>0</v>
      </c>
      <c r="EC215" s="79">
        <f t="shared" si="518"/>
        <v>0</v>
      </c>
      <c r="ED215" s="79">
        <v>1</v>
      </c>
      <c r="EE215" s="79">
        <v>1</v>
      </c>
      <c r="EF215" s="79">
        <f t="shared" si="519"/>
        <v>0</v>
      </c>
      <c r="EG215" s="79">
        <v>1</v>
      </c>
      <c r="EH215" s="79">
        <v>1</v>
      </c>
      <c r="EI215" s="79">
        <v>1</v>
      </c>
      <c r="EJ215" s="79">
        <v>1</v>
      </c>
      <c r="EK215" s="79">
        <v>1</v>
      </c>
      <c r="EL215" s="79">
        <v>1</v>
      </c>
      <c r="EM215" s="143">
        <f t="shared" si="520"/>
        <v>0</v>
      </c>
      <c r="EN215" s="143">
        <f t="shared" si="521"/>
        <v>0</v>
      </c>
      <c r="EO215" s="82">
        <f t="shared" si="522"/>
        <v>0</v>
      </c>
    </row>
    <row r="216" spans="1:145" x14ac:dyDescent="0.25">
      <c r="A216">
        <v>202</v>
      </c>
      <c r="B216" s="172" t="e">
        <f t="shared" si="491"/>
        <v>#N/A</v>
      </c>
      <c r="C216" s="121" t="e">
        <f t="shared" ref="C216:E216" si="545">AJ216-SUM(AB216:AB220)</f>
        <v>#N/A</v>
      </c>
      <c r="D216" s="122" t="e">
        <f t="shared" si="545"/>
        <v>#N/A</v>
      </c>
      <c r="E216" s="122" t="e">
        <f t="shared" si="545"/>
        <v>#N/A</v>
      </c>
      <c r="F216" s="176" t="e">
        <f t="shared" si="473"/>
        <v>#N/A</v>
      </c>
      <c r="G216" s="121">
        <f t="shared" si="493"/>
        <v>208</v>
      </c>
      <c r="H216" s="176" t="e">
        <f t="shared" si="494"/>
        <v>#N/A</v>
      </c>
      <c r="I216" s="48">
        <v>1</v>
      </c>
      <c r="J216" s="39"/>
      <c r="K216" s="350">
        <v>1</v>
      </c>
      <c r="L216" s="34" t="e">
        <f t="shared" si="474"/>
        <v>#N/A</v>
      </c>
      <c r="M216" s="38" t="e">
        <f>(HLOOKUP(J216,'Construction Times'!$B$3:$W$34,L216+2,FALSE)*HLOOKUP("hq modifier",'Construction Times'!$W$3:$W$34,BS216+2,FALSE))*(1-$H$9)</f>
        <v>#N/A</v>
      </c>
      <c r="N216" s="426" t="e">
        <f t="shared" si="495"/>
        <v>#N/A</v>
      </c>
      <c r="O216" s="427"/>
      <c r="P216" s="430" t="e">
        <f t="shared" si="496"/>
        <v>#N/A</v>
      </c>
      <c r="Q216" s="431"/>
      <c r="R216" s="103">
        <f t="shared" si="524"/>
        <v>0</v>
      </c>
      <c r="S216" s="104">
        <f t="shared" si="524"/>
        <v>0</v>
      </c>
      <c r="T216" s="104">
        <f t="shared" si="525"/>
        <v>0</v>
      </c>
      <c r="U216" s="104">
        <f t="shared" si="525"/>
        <v>0</v>
      </c>
      <c r="V216" s="104">
        <f t="shared" si="525"/>
        <v>9.9999999999999995E-8</v>
      </c>
      <c r="W216" s="104">
        <f t="shared" si="525"/>
        <v>0</v>
      </c>
      <c r="X216" s="104">
        <f t="shared" si="429"/>
        <v>0</v>
      </c>
      <c r="Y216" s="104">
        <f t="shared" si="429"/>
        <v>9.9999999999999995E-8</v>
      </c>
      <c r="Z216" s="104">
        <f t="shared" si="429"/>
        <v>9.9999999999999995E-8</v>
      </c>
      <c r="AA216" s="105">
        <f t="shared" si="429"/>
        <v>9.9999999999999995E-8</v>
      </c>
      <c r="AB216" s="101" t="e">
        <f>$DT216*HLOOKUP($J216,'Construction Costs (timber)'!$B$1:$V$32,'Construction Planner'!$L216+2,FALSE)</f>
        <v>#N/A</v>
      </c>
      <c r="AC216" s="14" t="e">
        <f>$DT216*HLOOKUP($J216,'Construction Costs (clay)'!$B$1:$V$32,'Construction Planner'!$L216+2,FALSE)</f>
        <v>#N/A</v>
      </c>
      <c r="AD216" s="14" t="e">
        <f>$DT216*HLOOKUP($J216,'Construction Costs (iron)'!$B$1:$V$32,'Construction Planner'!$L216+2,FALSE)</f>
        <v>#N/A</v>
      </c>
      <c r="AE216" s="34" t="e">
        <f t="shared" si="537"/>
        <v>#N/A</v>
      </c>
      <c r="AF216" s="33" t="e">
        <f t="shared" si="475"/>
        <v>#N/A</v>
      </c>
      <c r="AG216" s="14" t="e">
        <f t="shared" si="476"/>
        <v>#N/A</v>
      </c>
      <c r="AH216" s="14" t="e">
        <f t="shared" si="477"/>
        <v>#N/A</v>
      </c>
      <c r="AI216" s="34" t="e">
        <f t="shared" si="538"/>
        <v>#N/A</v>
      </c>
      <c r="AJ216" s="49" t="e">
        <f t="shared" si="498"/>
        <v>#N/A</v>
      </c>
      <c r="AK216" s="49" t="e">
        <f t="shared" si="499"/>
        <v>#N/A</v>
      </c>
      <c r="AL216" s="49" t="e">
        <f t="shared" si="500"/>
        <v>#N/A</v>
      </c>
      <c r="AM216" s="25">
        <f t="shared" si="478"/>
        <v>30</v>
      </c>
      <c r="AN216" s="25">
        <f t="shared" si="479"/>
        <v>30</v>
      </c>
      <c r="AO216" s="25">
        <f t="shared" si="480"/>
        <v>30</v>
      </c>
      <c r="AP216" s="52" t="e">
        <f t="shared" si="501"/>
        <v>#N/A</v>
      </c>
      <c r="AQ216" s="53" t="e">
        <f t="shared" si="501"/>
        <v>#N/A</v>
      </c>
      <c r="AR216" s="54" t="e">
        <f t="shared" si="501"/>
        <v>#N/A</v>
      </c>
      <c r="AS216" s="316">
        <f t="shared" si="539"/>
        <v>0</v>
      </c>
      <c r="AT216" s="106">
        <f>_xlfn.IFNA($M216/VLOOKUP($BT216,'Unit information'!$A$2:$K$29,2,FALSE)*R216,0)*(1+$E$9)</f>
        <v>0</v>
      </c>
      <c r="AU216" s="107">
        <f>_xlfn.IFNA($M216/VLOOKUP($BT216,'Unit information'!$A$2:$K$29,3,FALSE)*S216,0)*(1+$E$9)</f>
        <v>0</v>
      </c>
      <c r="AV216" s="107">
        <f>_xlfn.IFNA($M216/VLOOKUP($BT216,'Unit information'!$A$2:$K$29,4,FALSE)*T216,0)*(1+$E$9)</f>
        <v>0</v>
      </c>
      <c r="AW216" s="107">
        <f>_xlfn.IFNA($M216/VLOOKUP($BT216,'Unit information'!$A$2:$K$29,5,FALSE)*U216,0)*(1+$E$9)</f>
        <v>0</v>
      </c>
      <c r="AX216" s="107">
        <f>_xlfn.IFNA($M216/VLOOKUP($BU216,'Unit information'!$A$2:$K$29,6,FALSE)*V216,0)*(1+$E$9)</f>
        <v>0</v>
      </c>
      <c r="AY216" s="107">
        <f>_xlfn.IFNA($M216/VLOOKUP($BU216,'Unit information'!$A$2:$K$29,7,FALSE)*W216,0)*(1+$E$9)</f>
        <v>0</v>
      </c>
      <c r="AZ216" s="107">
        <f>_xlfn.IFNA($M216/VLOOKUP($BU216,'Unit information'!$A$2:$K$29,8,FALSE)*X216,0)*(1+$E$9)</f>
        <v>0</v>
      </c>
      <c r="BA216" s="107">
        <f>_xlfn.IFNA($M216/VLOOKUP($BU216,'Unit information'!$A$2:$K$29,9,FALSE)*Y216,0)*(1+$E$9)</f>
        <v>0</v>
      </c>
      <c r="BB216" s="107">
        <f>_xlfn.IFNA($M216/VLOOKUP($BV216,'Unit information'!$A$2:$K$29,10,FALSE)*Z216,0)*(1+$E$9)</f>
        <v>0</v>
      </c>
      <c r="BC216" s="108">
        <f>_xlfn.IFNA($M216/VLOOKUP($BV216,'Unit information'!$A$2:$K$29,11,FALSE)*AA216,0)*(1+$E$9)</f>
        <v>0</v>
      </c>
      <c r="BD216" s="106">
        <f t="shared" si="481"/>
        <v>0</v>
      </c>
      <c r="BE216" s="107">
        <f t="shared" si="482"/>
        <v>0</v>
      </c>
      <c r="BF216" s="108">
        <f t="shared" si="483"/>
        <v>0</v>
      </c>
      <c r="BG216" s="25" t="e">
        <f t="shared" si="484"/>
        <v>#N/A</v>
      </c>
      <c r="BH216" s="25" t="e">
        <f t="shared" si="485"/>
        <v>#N/A</v>
      </c>
      <c r="BI216" s="25" t="e">
        <f t="shared" si="486"/>
        <v>#N/A</v>
      </c>
      <c r="BJ216" s="27" t="e">
        <f t="shared" si="487"/>
        <v>#N/A</v>
      </c>
      <c r="BK216" s="18" t="e">
        <f t="shared" si="488"/>
        <v>#N/A</v>
      </c>
      <c r="BL216" s="18" t="e">
        <f t="shared" si="489"/>
        <v>#N/A</v>
      </c>
      <c r="BM216" s="28" t="e">
        <f t="shared" si="540"/>
        <v>#N/A</v>
      </c>
      <c r="BN216" s="33">
        <f>HLOOKUP("maximum population",Miscelaneous!$C$1:$C$33,CH216+3,FALSE)</f>
        <v>240</v>
      </c>
      <c r="BO216" s="14">
        <f t="shared" si="502"/>
        <v>32</v>
      </c>
      <c r="BP216" s="14">
        <f t="shared" si="503"/>
        <v>0</v>
      </c>
      <c r="BQ216" s="14">
        <f t="shared" si="504"/>
        <v>208</v>
      </c>
      <c r="BR216" s="34" t="e">
        <f>HLOOKUP(J216,Villagers!$B$1:$V$33,L216+3,FALSE)-HLOOKUP(J216,Villagers!$B$1:$V$33,L216+2,FALSE)</f>
        <v>#N/A</v>
      </c>
      <c r="BS216" s="49">
        <f t="shared" si="505"/>
        <v>1</v>
      </c>
      <c r="BT216" s="50">
        <f t="shared" si="506"/>
        <v>0</v>
      </c>
      <c r="BU216" s="50">
        <f t="shared" si="507"/>
        <v>0</v>
      </c>
      <c r="BV216" s="50">
        <f t="shared" si="508"/>
        <v>0</v>
      </c>
      <c r="BW216" s="50">
        <f t="shared" ref="BW216:BW223" si="546">IF($J215=BW$14,$L215,BW215)</f>
        <v>0</v>
      </c>
      <c r="BX216" s="50">
        <f t="shared" si="544"/>
        <v>0</v>
      </c>
      <c r="BY216" s="50">
        <f t="shared" si="544"/>
        <v>0</v>
      </c>
      <c r="BZ216" s="50">
        <f t="shared" si="401"/>
        <v>0</v>
      </c>
      <c r="CA216" s="50">
        <f t="shared" si="402"/>
        <v>0</v>
      </c>
      <c r="CB216" s="50">
        <f t="shared" si="403"/>
        <v>1</v>
      </c>
      <c r="CC216" s="50">
        <f t="shared" si="404"/>
        <v>0</v>
      </c>
      <c r="CD216" s="50">
        <f t="shared" si="405"/>
        <v>0</v>
      </c>
      <c r="CE216" s="50">
        <f t="shared" si="406"/>
        <v>1</v>
      </c>
      <c r="CF216" s="50">
        <f t="shared" si="407"/>
        <v>1</v>
      </c>
      <c r="CG216" s="50">
        <f t="shared" si="408"/>
        <v>1</v>
      </c>
      <c r="CH216" s="50">
        <f t="shared" si="409"/>
        <v>1</v>
      </c>
      <c r="CI216" s="50">
        <f t="shared" si="410"/>
        <v>1</v>
      </c>
      <c r="CJ216" s="50">
        <f t="shared" si="411"/>
        <v>1</v>
      </c>
      <c r="CK216" s="50">
        <f t="shared" si="411"/>
        <v>0</v>
      </c>
      <c r="CL216" s="50">
        <f t="shared" si="411"/>
        <v>0</v>
      </c>
      <c r="CM216" s="51">
        <f t="shared" si="432"/>
        <v>0</v>
      </c>
      <c r="CN216" s="33">
        <f>ROUND(IF(BS216=0,0,HLOOKUP(BS$14,Villagers!$B$1:$V$33,BS216+3,FALSE)),)</f>
        <v>5</v>
      </c>
      <c r="CO216" s="14">
        <f>ROUND(IF(BT216=0,0,HLOOKUP(BT$14,Villagers!$B$1:$V$33,BT216+3,FALSE)),)</f>
        <v>0</v>
      </c>
      <c r="CP216" s="14">
        <f>ROUND(IF(BU216=0,0,HLOOKUP(BU$14,Villagers!$B$1:$V$33,BU216+3,FALSE)),)</f>
        <v>0</v>
      </c>
      <c r="CQ216" s="14">
        <f>ROUND(IF(BV216=0,0,HLOOKUP(BV$14,Villagers!$B$1:$V$33,BV216+3,FALSE)),)</f>
        <v>0</v>
      </c>
      <c r="CR216" s="14">
        <f>ROUND(IF(BW216=0,0,HLOOKUP(BW$14,Villagers!$B$1:$V$33,BW216+3,FALSE)),)</f>
        <v>0</v>
      </c>
      <c r="CS216" s="14">
        <f>ROUND(IF(BX216=0,0,HLOOKUP(BX$14,Villagers!$B$1:$V$33,BX216+3,FALSE)),)</f>
        <v>0</v>
      </c>
      <c r="CT216" s="14">
        <f>ROUND(IF(BY216=0,0,HLOOKUP(BY$14,Villagers!$B$1:$V$33,BY216+3,FALSE)),)</f>
        <v>0</v>
      </c>
      <c r="CU216" s="14">
        <f>ROUND(IF(BZ216=0,0,HLOOKUP(BZ$14,Villagers!$B$1:$V$33,BZ216+3,FALSE)),)</f>
        <v>0</v>
      </c>
      <c r="CV216" s="14">
        <f>ROUND(IF(CA216=0,0,HLOOKUP(CA$14,Villagers!$B$1:$V$33,CA216+3,FALSE)),)</f>
        <v>0</v>
      </c>
      <c r="CW216" s="14">
        <f>ROUND(IF(CB216=0,0,HLOOKUP(CB$14,Villagers!$B$1:$V$33,CB216+3,FALSE)),)</f>
        <v>0</v>
      </c>
      <c r="CX216" s="14">
        <f>ROUND(IF(CC216=0,0,HLOOKUP(CC$14,Villagers!$B$1:$V$33,CC216+3,FALSE)),)</f>
        <v>0</v>
      </c>
      <c r="CY216" s="14">
        <f>ROUND(IF(CD216=0,0,HLOOKUP(CD$14,Villagers!$B$1:$V$33,CD216+3,FALSE)),)</f>
        <v>0</v>
      </c>
      <c r="CZ216" s="14">
        <f>ROUND(IF(CE216=0,0,HLOOKUP(CE$14,Villagers!$B$1:$V$33,CE216+3,FALSE)),)</f>
        <v>5</v>
      </c>
      <c r="DA216" s="14">
        <f>ROUND(IF(CF216=0,0,HLOOKUP(CF$14,Villagers!$B$1:$V$33,CF216+3,FALSE)),)</f>
        <v>10</v>
      </c>
      <c r="DB216" s="14">
        <f>ROUND(IF(CG216=0,0,HLOOKUP(CG$14,Villagers!$B$1:$V$33,CG216+3,FALSE)),)</f>
        <v>10</v>
      </c>
      <c r="DC216" s="14">
        <f>ROUND(IF(CH216=0,0,HLOOKUP(CH$14,Villagers!$B$1:$V$33,CH216+3,FALSE)),)</f>
        <v>0</v>
      </c>
      <c r="DD216" s="14">
        <f>ROUND(IF(CI216=0,0,HLOOKUP(CI$14,Villagers!$B$1:$V$33,CI216+3,FALSE)),)</f>
        <v>0</v>
      </c>
      <c r="DE216" s="14">
        <f>ROUND(IF(CJ216=0,0,HLOOKUP(CJ$14,Villagers!$B$1:$V$33,CJ216+3,FALSE)),)</f>
        <v>2</v>
      </c>
      <c r="DF216" s="370">
        <f>ROUND(IF(CK216=0,0,HLOOKUP(CK$14,Villagers!$B$1:$V$33,CK216+3,FALSE)),)</f>
        <v>0</v>
      </c>
      <c r="DG216" s="370">
        <f>ROUND(IF(CL216=0,0,HLOOKUP(CL$14,Villagers!$B$1:$V$33,CL216+3,FALSE)),)</f>
        <v>0</v>
      </c>
      <c r="DH216" s="34">
        <f>ROUND(IF(CM216=0,0,HLOOKUP(CM$14,Villagers!$B$1:$V$33,CM216+3,FALSE)),)</f>
        <v>0</v>
      </c>
      <c r="DI216" s="109">
        <f t="shared" si="526"/>
        <v>0</v>
      </c>
      <c r="DJ216" s="50">
        <f t="shared" si="527"/>
        <v>0</v>
      </c>
      <c r="DK216" s="50">
        <f t="shared" si="528"/>
        <v>0</v>
      </c>
      <c r="DL216" s="50">
        <f t="shared" si="529"/>
        <v>0</v>
      </c>
      <c r="DM216" s="50">
        <f t="shared" si="530"/>
        <v>0</v>
      </c>
      <c r="DN216" s="50">
        <f t="shared" si="531"/>
        <v>0</v>
      </c>
      <c r="DO216" s="50">
        <f t="shared" si="532"/>
        <v>0</v>
      </c>
      <c r="DP216" s="50">
        <f t="shared" si="533"/>
        <v>0</v>
      </c>
      <c r="DQ216" s="50">
        <f t="shared" si="510"/>
        <v>0</v>
      </c>
      <c r="DR216" s="50">
        <f t="shared" si="511"/>
        <v>0</v>
      </c>
      <c r="DS216" s="96">
        <f>Miscelaneous!$D$4*Miscelaneous!$D$2^($CI216-1)</f>
        <v>1000</v>
      </c>
      <c r="DT216" s="333">
        <f t="shared" si="490"/>
        <v>1</v>
      </c>
      <c r="DU216" s="81">
        <v>1</v>
      </c>
      <c r="DV216" s="79">
        <f t="shared" si="512"/>
        <v>0</v>
      </c>
      <c r="DW216" s="79">
        <f t="shared" si="513"/>
        <v>0</v>
      </c>
      <c r="DX216" s="79">
        <f t="shared" si="514"/>
        <v>0</v>
      </c>
      <c r="DY216" s="79">
        <v>1</v>
      </c>
      <c r="DZ216" s="79">
        <f t="shared" si="515"/>
        <v>0</v>
      </c>
      <c r="EA216" s="79">
        <f t="shared" si="516"/>
        <v>0</v>
      </c>
      <c r="EB216" s="79">
        <f t="shared" si="517"/>
        <v>0</v>
      </c>
      <c r="EC216" s="79">
        <f t="shared" si="518"/>
        <v>0</v>
      </c>
      <c r="ED216" s="79">
        <v>1</v>
      </c>
      <c r="EE216" s="79">
        <v>1</v>
      </c>
      <c r="EF216" s="79">
        <f t="shared" si="519"/>
        <v>0</v>
      </c>
      <c r="EG216" s="79">
        <v>1</v>
      </c>
      <c r="EH216" s="79">
        <v>1</v>
      </c>
      <c r="EI216" s="79">
        <v>1</v>
      </c>
      <c r="EJ216" s="79">
        <v>1</v>
      </c>
      <c r="EK216" s="79">
        <v>1</v>
      </c>
      <c r="EL216" s="79">
        <v>1</v>
      </c>
      <c r="EM216" s="143">
        <f t="shared" si="520"/>
        <v>0</v>
      </c>
      <c r="EN216" s="143">
        <f t="shared" si="521"/>
        <v>0</v>
      </c>
      <c r="EO216" s="82">
        <f t="shared" si="522"/>
        <v>0</v>
      </c>
    </row>
    <row r="217" spans="1:145" x14ac:dyDescent="0.25">
      <c r="A217">
        <v>203</v>
      </c>
      <c r="B217" s="172" t="e">
        <f t="shared" si="491"/>
        <v>#N/A</v>
      </c>
      <c r="C217" s="121" t="e">
        <f t="shared" ref="C217:E217" si="547">AJ217-SUM(AB217:AB221)</f>
        <v>#N/A</v>
      </c>
      <c r="D217" s="122" t="e">
        <f t="shared" si="547"/>
        <v>#N/A</v>
      </c>
      <c r="E217" s="122" t="e">
        <f t="shared" si="547"/>
        <v>#N/A</v>
      </c>
      <c r="F217" s="176" t="e">
        <f t="shared" si="473"/>
        <v>#N/A</v>
      </c>
      <c r="G217" s="121">
        <f t="shared" si="493"/>
        <v>208</v>
      </c>
      <c r="H217" s="176" t="e">
        <f t="shared" si="494"/>
        <v>#N/A</v>
      </c>
      <c r="I217" s="48">
        <v>1</v>
      </c>
      <c r="J217" s="39"/>
      <c r="K217" s="350">
        <v>1</v>
      </c>
      <c r="L217" s="34" t="e">
        <f t="shared" si="474"/>
        <v>#N/A</v>
      </c>
      <c r="M217" s="38" t="e">
        <f>(HLOOKUP(J217,'Construction Times'!$B$3:$W$34,L217+2,FALSE)*HLOOKUP("hq modifier",'Construction Times'!$W$3:$W$34,BS217+2,FALSE))*(1-$H$9)</f>
        <v>#N/A</v>
      </c>
      <c r="N217" s="426" t="e">
        <f t="shared" si="495"/>
        <v>#N/A</v>
      </c>
      <c r="O217" s="427"/>
      <c r="P217" s="430" t="e">
        <f t="shared" si="496"/>
        <v>#N/A</v>
      </c>
      <c r="Q217" s="431"/>
      <c r="R217" s="103">
        <f t="shared" si="524"/>
        <v>0</v>
      </c>
      <c r="S217" s="104">
        <f t="shared" si="524"/>
        <v>0</v>
      </c>
      <c r="T217" s="104">
        <f t="shared" si="525"/>
        <v>0</v>
      </c>
      <c r="U217" s="104">
        <f t="shared" si="525"/>
        <v>0</v>
      </c>
      <c r="V217" s="104">
        <f t="shared" si="525"/>
        <v>9.9999999999999995E-8</v>
      </c>
      <c r="W217" s="104">
        <f t="shared" si="525"/>
        <v>0</v>
      </c>
      <c r="X217" s="104">
        <f t="shared" si="429"/>
        <v>0</v>
      </c>
      <c r="Y217" s="104">
        <f t="shared" si="429"/>
        <v>9.9999999999999995E-8</v>
      </c>
      <c r="Z217" s="104">
        <f t="shared" si="429"/>
        <v>9.9999999999999995E-8</v>
      </c>
      <c r="AA217" s="105">
        <f t="shared" si="429"/>
        <v>9.9999999999999995E-8</v>
      </c>
      <c r="AB217" s="101" t="e">
        <f>$DT217*HLOOKUP($J217,'Construction Costs (timber)'!$B$1:$V$32,'Construction Planner'!$L217+2,FALSE)</f>
        <v>#N/A</v>
      </c>
      <c r="AC217" s="14" t="e">
        <f>$DT217*HLOOKUP($J217,'Construction Costs (clay)'!$B$1:$V$32,'Construction Planner'!$L217+2,FALSE)</f>
        <v>#N/A</v>
      </c>
      <c r="AD217" s="14" t="e">
        <f>$DT217*HLOOKUP($J217,'Construction Costs (iron)'!$B$1:$V$32,'Construction Planner'!$L217+2,FALSE)</f>
        <v>#N/A</v>
      </c>
      <c r="AE217" s="34" t="e">
        <f t="shared" si="537"/>
        <v>#N/A</v>
      </c>
      <c r="AF217" s="33" t="e">
        <f t="shared" si="475"/>
        <v>#N/A</v>
      </c>
      <c r="AG217" s="14" t="e">
        <f t="shared" si="476"/>
        <v>#N/A</v>
      </c>
      <c r="AH217" s="14" t="e">
        <f t="shared" si="477"/>
        <v>#N/A</v>
      </c>
      <c r="AI217" s="34" t="e">
        <f t="shared" si="538"/>
        <v>#N/A</v>
      </c>
      <c r="AJ217" s="49" t="e">
        <f t="shared" si="498"/>
        <v>#N/A</v>
      </c>
      <c r="AK217" s="49" t="e">
        <f t="shared" si="499"/>
        <v>#N/A</v>
      </c>
      <c r="AL217" s="49" t="e">
        <f t="shared" si="500"/>
        <v>#N/A</v>
      </c>
      <c r="AM217" s="25">
        <f t="shared" si="478"/>
        <v>30</v>
      </c>
      <c r="AN217" s="25">
        <f t="shared" si="479"/>
        <v>30</v>
      </c>
      <c r="AO217" s="25">
        <f t="shared" si="480"/>
        <v>30</v>
      </c>
      <c r="AP217" s="52" t="e">
        <f t="shared" si="501"/>
        <v>#N/A</v>
      </c>
      <c r="AQ217" s="53" t="e">
        <f t="shared" si="501"/>
        <v>#N/A</v>
      </c>
      <c r="AR217" s="54" t="e">
        <f t="shared" si="501"/>
        <v>#N/A</v>
      </c>
      <c r="AS217" s="316">
        <f t="shared" si="539"/>
        <v>0</v>
      </c>
      <c r="AT217" s="106">
        <f>_xlfn.IFNA($M217/VLOOKUP($BT217,'Unit information'!$A$2:$K$29,2,FALSE)*R217,0)*(1+$E$9)</f>
        <v>0</v>
      </c>
      <c r="AU217" s="107">
        <f>_xlfn.IFNA($M217/VLOOKUP($BT217,'Unit information'!$A$2:$K$29,3,FALSE)*S217,0)*(1+$E$9)</f>
        <v>0</v>
      </c>
      <c r="AV217" s="107">
        <f>_xlfn.IFNA($M217/VLOOKUP($BT217,'Unit information'!$A$2:$K$29,4,FALSE)*T217,0)*(1+$E$9)</f>
        <v>0</v>
      </c>
      <c r="AW217" s="107">
        <f>_xlfn.IFNA($M217/VLOOKUP($BT217,'Unit information'!$A$2:$K$29,5,FALSE)*U217,0)*(1+$E$9)</f>
        <v>0</v>
      </c>
      <c r="AX217" s="107">
        <f>_xlfn.IFNA($M217/VLOOKUP($BU217,'Unit information'!$A$2:$K$29,6,FALSE)*V217,0)*(1+$E$9)</f>
        <v>0</v>
      </c>
      <c r="AY217" s="107">
        <f>_xlfn.IFNA($M217/VLOOKUP($BU217,'Unit information'!$A$2:$K$29,7,FALSE)*W217,0)*(1+$E$9)</f>
        <v>0</v>
      </c>
      <c r="AZ217" s="107">
        <f>_xlfn.IFNA($M217/VLOOKUP($BU217,'Unit information'!$A$2:$K$29,8,FALSE)*X217,0)*(1+$E$9)</f>
        <v>0</v>
      </c>
      <c r="BA217" s="107">
        <f>_xlfn.IFNA($M217/VLOOKUP($BU217,'Unit information'!$A$2:$K$29,9,FALSE)*Y217,0)*(1+$E$9)</f>
        <v>0</v>
      </c>
      <c r="BB217" s="107">
        <f>_xlfn.IFNA($M217/VLOOKUP($BV217,'Unit information'!$A$2:$K$29,10,FALSE)*Z217,0)*(1+$E$9)</f>
        <v>0</v>
      </c>
      <c r="BC217" s="108">
        <f>_xlfn.IFNA($M217/VLOOKUP($BV217,'Unit information'!$A$2:$K$29,11,FALSE)*AA217,0)*(1+$E$9)</f>
        <v>0</v>
      </c>
      <c r="BD217" s="106">
        <f t="shared" si="481"/>
        <v>0</v>
      </c>
      <c r="BE217" s="107">
        <f t="shared" si="482"/>
        <v>0</v>
      </c>
      <c r="BF217" s="108">
        <f t="shared" si="483"/>
        <v>0</v>
      </c>
      <c r="BG217" s="25" t="e">
        <f t="shared" si="484"/>
        <v>#N/A</v>
      </c>
      <c r="BH217" s="25" t="e">
        <f t="shared" si="485"/>
        <v>#N/A</v>
      </c>
      <c r="BI217" s="25" t="e">
        <f t="shared" si="486"/>
        <v>#N/A</v>
      </c>
      <c r="BJ217" s="27" t="e">
        <f t="shared" si="487"/>
        <v>#N/A</v>
      </c>
      <c r="BK217" s="18" t="e">
        <f t="shared" si="488"/>
        <v>#N/A</v>
      </c>
      <c r="BL217" s="18" t="e">
        <f t="shared" si="489"/>
        <v>#N/A</v>
      </c>
      <c r="BM217" s="28" t="e">
        <f t="shared" si="540"/>
        <v>#N/A</v>
      </c>
      <c r="BN217" s="33">
        <f>HLOOKUP("maximum population",Miscelaneous!$C$1:$C$33,CH217+3,FALSE)</f>
        <v>240</v>
      </c>
      <c r="BO217" s="14">
        <f t="shared" si="502"/>
        <v>32</v>
      </c>
      <c r="BP217" s="14">
        <f t="shared" si="503"/>
        <v>0</v>
      </c>
      <c r="BQ217" s="14">
        <f t="shared" si="504"/>
        <v>208</v>
      </c>
      <c r="BR217" s="34" t="e">
        <f>HLOOKUP(J217,Villagers!$B$1:$V$33,L217+3,FALSE)-HLOOKUP(J217,Villagers!$B$1:$V$33,L217+2,FALSE)</f>
        <v>#N/A</v>
      </c>
      <c r="BS217" s="49">
        <f t="shared" si="505"/>
        <v>1</v>
      </c>
      <c r="BT217" s="50">
        <f t="shared" si="506"/>
        <v>0</v>
      </c>
      <c r="BU217" s="50">
        <f t="shared" si="507"/>
        <v>0</v>
      </c>
      <c r="BV217" s="50">
        <f t="shared" si="508"/>
        <v>0</v>
      </c>
      <c r="BW217" s="50">
        <f t="shared" si="546"/>
        <v>0</v>
      </c>
      <c r="BX217" s="50">
        <f t="shared" si="544"/>
        <v>0</v>
      </c>
      <c r="BY217" s="50">
        <f t="shared" si="544"/>
        <v>0</v>
      </c>
      <c r="BZ217" s="50">
        <f t="shared" si="401"/>
        <v>0</v>
      </c>
      <c r="CA217" s="50">
        <f t="shared" si="402"/>
        <v>0</v>
      </c>
      <c r="CB217" s="50">
        <f t="shared" si="403"/>
        <v>1</v>
      </c>
      <c r="CC217" s="50">
        <f t="shared" si="404"/>
        <v>0</v>
      </c>
      <c r="CD217" s="50">
        <f t="shared" si="405"/>
        <v>0</v>
      </c>
      <c r="CE217" s="50">
        <f t="shared" si="406"/>
        <v>1</v>
      </c>
      <c r="CF217" s="50">
        <f t="shared" si="407"/>
        <v>1</v>
      </c>
      <c r="CG217" s="50">
        <f t="shared" si="408"/>
        <v>1</v>
      </c>
      <c r="CH217" s="50">
        <f t="shared" si="409"/>
        <v>1</v>
      </c>
      <c r="CI217" s="50">
        <f t="shared" si="410"/>
        <v>1</v>
      </c>
      <c r="CJ217" s="50">
        <f t="shared" si="411"/>
        <v>1</v>
      </c>
      <c r="CK217" s="50">
        <f t="shared" si="411"/>
        <v>0</v>
      </c>
      <c r="CL217" s="50">
        <f t="shared" si="411"/>
        <v>0</v>
      </c>
      <c r="CM217" s="51">
        <f t="shared" si="432"/>
        <v>0</v>
      </c>
      <c r="CN217" s="33">
        <f>ROUND(IF(BS217=0,0,HLOOKUP(BS$14,Villagers!$B$1:$V$33,BS217+3,FALSE)),)</f>
        <v>5</v>
      </c>
      <c r="CO217" s="14">
        <f>ROUND(IF(BT217=0,0,HLOOKUP(BT$14,Villagers!$B$1:$V$33,BT217+3,FALSE)),)</f>
        <v>0</v>
      </c>
      <c r="CP217" s="14">
        <f>ROUND(IF(BU217=0,0,HLOOKUP(BU$14,Villagers!$B$1:$V$33,BU217+3,FALSE)),)</f>
        <v>0</v>
      </c>
      <c r="CQ217" s="14">
        <f>ROUND(IF(BV217=0,0,HLOOKUP(BV$14,Villagers!$B$1:$V$33,BV217+3,FALSE)),)</f>
        <v>0</v>
      </c>
      <c r="CR217" s="14">
        <f>ROUND(IF(BW217=0,0,HLOOKUP(BW$14,Villagers!$B$1:$V$33,BW217+3,FALSE)),)</f>
        <v>0</v>
      </c>
      <c r="CS217" s="14">
        <f>ROUND(IF(BX217=0,0,HLOOKUP(BX$14,Villagers!$B$1:$V$33,BX217+3,FALSE)),)</f>
        <v>0</v>
      </c>
      <c r="CT217" s="14">
        <f>ROUND(IF(BY217=0,0,HLOOKUP(BY$14,Villagers!$B$1:$V$33,BY217+3,FALSE)),)</f>
        <v>0</v>
      </c>
      <c r="CU217" s="14">
        <f>ROUND(IF(BZ217=0,0,HLOOKUP(BZ$14,Villagers!$B$1:$V$33,BZ217+3,FALSE)),)</f>
        <v>0</v>
      </c>
      <c r="CV217" s="14">
        <f>ROUND(IF(CA217=0,0,HLOOKUP(CA$14,Villagers!$B$1:$V$33,CA217+3,FALSE)),)</f>
        <v>0</v>
      </c>
      <c r="CW217" s="14">
        <f>ROUND(IF(CB217=0,0,HLOOKUP(CB$14,Villagers!$B$1:$V$33,CB217+3,FALSE)),)</f>
        <v>0</v>
      </c>
      <c r="CX217" s="14">
        <f>ROUND(IF(CC217=0,0,HLOOKUP(CC$14,Villagers!$B$1:$V$33,CC217+3,FALSE)),)</f>
        <v>0</v>
      </c>
      <c r="CY217" s="14">
        <f>ROUND(IF(CD217=0,0,HLOOKUP(CD$14,Villagers!$B$1:$V$33,CD217+3,FALSE)),)</f>
        <v>0</v>
      </c>
      <c r="CZ217" s="14">
        <f>ROUND(IF(CE217=0,0,HLOOKUP(CE$14,Villagers!$B$1:$V$33,CE217+3,FALSE)),)</f>
        <v>5</v>
      </c>
      <c r="DA217" s="14">
        <f>ROUND(IF(CF217=0,0,HLOOKUP(CF$14,Villagers!$B$1:$V$33,CF217+3,FALSE)),)</f>
        <v>10</v>
      </c>
      <c r="DB217" s="14">
        <f>ROUND(IF(CG217=0,0,HLOOKUP(CG$14,Villagers!$B$1:$V$33,CG217+3,FALSE)),)</f>
        <v>10</v>
      </c>
      <c r="DC217" s="14">
        <f>ROUND(IF(CH217=0,0,HLOOKUP(CH$14,Villagers!$B$1:$V$33,CH217+3,FALSE)),)</f>
        <v>0</v>
      </c>
      <c r="DD217" s="14">
        <f>ROUND(IF(CI217=0,0,HLOOKUP(CI$14,Villagers!$B$1:$V$33,CI217+3,FALSE)),)</f>
        <v>0</v>
      </c>
      <c r="DE217" s="14">
        <f>ROUND(IF(CJ217=0,0,HLOOKUP(CJ$14,Villagers!$B$1:$V$33,CJ217+3,FALSE)),)</f>
        <v>2</v>
      </c>
      <c r="DF217" s="370">
        <f>ROUND(IF(CK217=0,0,HLOOKUP(CK$14,Villagers!$B$1:$V$33,CK217+3,FALSE)),)</f>
        <v>0</v>
      </c>
      <c r="DG217" s="370">
        <f>ROUND(IF(CL217=0,0,HLOOKUP(CL$14,Villagers!$B$1:$V$33,CL217+3,FALSE)),)</f>
        <v>0</v>
      </c>
      <c r="DH217" s="34">
        <f>ROUND(IF(CM217=0,0,HLOOKUP(CM$14,Villagers!$B$1:$V$33,CM217+3,FALSE)),)</f>
        <v>0</v>
      </c>
      <c r="DI217" s="109">
        <f t="shared" si="526"/>
        <v>0</v>
      </c>
      <c r="DJ217" s="50">
        <f t="shared" si="527"/>
        <v>0</v>
      </c>
      <c r="DK217" s="50">
        <f t="shared" si="528"/>
        <v>0</v>
      </c>
      <c r="DL217" s="50">
        <f t="shared" si="529"/>
        <v>0</v>
      </c>
      <c r="DM217" s="50">
        <f t="shared" si="530"/>
        <v>0</v>
      </c>
      <c r="DN217" s="50">
        <f t="shared" si="531"/>
        <v>0</v>
      </c>
      <c r="DO217" s="50">
        <f t="shared" si="532"/>
        <v>0</v>
      </c>
      <c r="DP217" s="50">
        <f t="shared" si="533"/>
        <v>0</v>
      </c>
      <c r="DQ217" s="50">
        <f t="shared" si="510"/>
        <v>0</v>
      </c>
      <c r="DR217" s="50">
        <f t="shared" si="511"/>
        <v>0</v>
      </c>
      <c r="DS217" s="96">
        <f>Miscelaneous!$D$4*Miscelaneous!$D$2^($CI217-1)</f>
        <v>1000</v>
      </c>
      <c r="DT217" s="333">
        <f t="shared" si="490"/>
        <v>1</v>
      </c>
      <c r="DU217" s="81">
        <v>1</v>
      </c>
      <c r="DV217" s="79">
        <f t="shared" si="512"/>
        <v>0</v>
      </c>
      <c r="DW217" s="79">
        <f t="shared" si="513"/>
        <v>0</v>
      </c>
      <c r="DX217" s="79">
        <f t="shared" si="514"/>
        <v>0</v>
      </c>
      <c r="DY217" s="79">
        <v>1</v>
      </c>
      <c r="DZ217" s="79">
        <f t="shared" si="515"/>
        <v>0</v>
      </c>
      <c r="EA217" s="79">
        <f t="shared" si="516"/>
        <v>0</v>
      </c>
      <c r="EB217" s="79">
        <f t="shared" si="517"/>
        <v>0</v>
      </c>
      <c r="EC217" s="79">
        <f t="shared" si="518"/>
        <v>0</v>
      </c>
      <c r="ED217" s="79">
        <v>1</v>
      </c>
      <c r="EE217" s="79">
        <v>1</v>
      </c>
      <c r="EF217" s="79">
        <f t="shared" si="519"/>
        <v>0</v>
      </c>
      <c r="EG217" s="79">
        <v>1</v>
      </c>
      <c r="EH217" s="79">
        <v>1</v>
      </c>
      <c r="EI217" s="79">
        <v>1</v>
      </c>
      <c r="EJ217" s="79">
        <v>1</v>
      </c>
      <c r="EK217" s="79">
        <v>1</v>
      </c>
      <c r="EL217" s="79">
        <v>1</v>
      </c>
      <c r="EM217" s="143">
        <f t="shared" si="520"/>
        <v>0</v>
      </c>
      <c r="EN217" s="143">
        <f t="shared" si="521"/>
        <v>0</v>
      </c>
      <c r="EO217" s="82">
        <f t="shared" si="522"/>
        <v>0</v>
      </c>
    </row>
    <row r="218" spans="1:145" x14ac:dyDescent="0.25">
      <c r="A218">
        <v>204</v>
      </c>
      <c r="B218" s="172" t="e">
        <f t="shared" si="491"/>
        <v>#N/A</v>
      </c>
      <c r="C218" s="121" t="e">
        <f t="shared" ref="C218:E218" si="548">AJ218-SUM(AB218:AB222)</f>
        <v>#N/A</v>
      </c>
      <c r="D218" s="122" t="e">
        <f t="shared" si="548"/>
        <v>#N/A</v>
      </c>
      <c r="E218" s="122" t="e">
        <f t="shared" si="548"/>
        <v>#N/A</v>
      </c>
      <c r="F218" s="176" t="e">
        <f t="shared" si="473"/>
        <v>#N/A</v>
      </c>
      <c r="G218" s="121">
        <f t="shared" si="493"/>
        <v>208</v>
      </c>
      <c r="H218" s="176" t="e">
        <f t="shared" si="494"/>
        <v>#N/A</v>
      </c>
      <c r="I218" s="48">
        <v>1</v>
      </c>
      <c r="J218" s="39"/>
      <c r="K218" s="350">
        <v>1</v>
      </c>
      <c r="L218" s="34" t="e">
        <f t="shared" si="474"/>
        <v>#N/A</v>
      </c>
      <c r="M218" s="38" t="e">
        <f>(HLOOKUP(J218,'Construction Times'!$B$3:$W$34,L218+2,FALSE)*HLOOKUP("hq modifier",'Construction Times'!$W$3:$W$34,BS218+2,FALSE))*(1-$H$9)</f>
        <v>#N/A</v>
      </c>
      <c r="N218" s="426" t="e">
        <f t="shared" si="495"/>
        <v>#N/A</v>
      </c>
      <c r="O218" s="427"/>
      <c r="P218" s="430" t="e">
        <f t="shared" si="496"/>
        <v>#N/A</v>
      </c>
      <c r="Q218" s="431"/>
      <c r="R218" s="103">
        <f t="shared" si="524"/>
        <v>0</v>
      </c>
      <c r="S218" s="104">
        <f t="shared" si="524"/>
        <v>0</v>
      </c>
      <c r="T218" s="104">
        <f t="shared" si="525"/>
        <v>0</v>
      </c>
      <c r="U218" s="104">
        <f t="shared" si="525"/>
        <v>0</v>
      </c>
      <c r="V218" s="104">
        <f t="shared" si="525"/>
        <v>9.9999999999999995E-8</v>
      </c>
      <c r="W218" s="104">
        <f t="shared" si="525"/>
        <v>0</v>
      </c>
      <c r="X218" s="104">
        <f t="shared" si="429"/>
        <v>0</v>
      </c>
      <c r="Y218" s="104">
        <f t="shared" si="429"/>
        <v>9.9999999999999995E-8</v>
      </c>
      <c r="Z218" s="104">
        <f t="shared" si="429"/>
        <v>9.9999999999999995E-8</v>
      </c>
      <c r="AA218" s="105">
        <f t="shared" si="429"/>
        <v>9.9999999999999995E-8</v>
      </c>
      <c r="AB218" s="101" t="e">
        <f>$DT218*HLOOKUP($J218,'Construction Costs (timber)'!$B$1:$V$32,'Construction Planner'!$L218+2,FALSE)</f>
        <v>#N/A</v>
      </c>
      <c r="AC218" s="14" t="e">
        <f>$DT218*HLOOKUP($J218,'Construction Costs (clay)'!$B$1:$V$32,'Construction Planner'!$L218+2,FALSE)</f>
        <v>#N/A</v>
      </c>
      <c r="AD218" s="14" t="e">
        <f>$DT218*HLOOKUP($J218,'Construction Costs (iron)'!$B$1:$V$32,'Construction Planner'!$L218+2,FALSE)</f>
        <v>#N/A</v>
      </c>
      <c r="AE218" s="34" t="e">
        <f t="shared" si="537"/>
        <v>#N/A</v>
      </c>
      <c r="AF218" s="33" t="e">
        <f t="shared" si="475"/>
        <v>#N/A</v>
      </c>
      <c r="AG218" s="14" t="e">
        <f t="shared" si="476"/>
        <v>#N/A</v>
      </c>
      <c r="AH218" s="14" t="e">
        <f t="shared" si="477"/>
        <v>#N/A</v>
      </c>
      <c r="AI218" s="34" t="e">
        <f t="shared" si="538"/>
        <v>#N/A</v>
      </c>
      <c r="AJ218" s="49" t="e">
        <f t="shared" si="498"/>
        <v>#N/A</v>
      </c>
      <c r="AK218" s="49" t="e">
        <f t="shared" si="499"/>
        <v>#N/A</v>
      </c>
      <c r="AL218" s="49" t="e">
        <f t="shared" si="500"/>
        <v>#N/A</v>
      </c>
      <c r="AM218" s="25">
        <f t="shared" si="478"/>
        <v>30</v>
      </c>
      <c r="AN218" s="25">
        <f t="shared" si="479"/>
        <v>30</v>
      </c>
      <c r="AO218" s="25">
        <f t="shared" si="480"/>
        <v>30</v>
      </c>
      <c r="AP218" s="52" t="e">
        <f t="shared" si="501"/>
        <v>#N/A</v>
      </c>
      <c r="AQ218" s="53" t="e">
        <f t="shared" si="501"/>
        <v>#N/A</v>
      </c>
      <c r="AR218" s="54" t="e">
        <f t="shared" si="501"/>
        <v>#N/A</v>
      </c>
      <c r="AS218" s="316">
        <f t="shared" si="539"/>
        <v>0</v>
      </c>
      <c r="AT218" s="106">
        <f>_xlfn.IFNA($M218/VLOOKUP($BT218,'Unit information'!$A$2:$K$29,2,FALSE)*R218,0)*(1+$E$9)</f>
        <v>0</v>
      </c>
      <c r="AU218" s="107">
        <f>_xlfn.IFNA($M218/VLOOKUP($BT218,'Unit information'!$A$2:$K$29,3,FALSE)*S218,0)*(1+$E$9)</f>
        <v>0</v>
      </c>
      <c r="AV218" s="107">
        <f>_xlfn.IFNA($M218/VLOOKUP($BT218,'Unit information'!$A$2:$K$29,4,FALSE)*T218,0)*(1+$E$9)</f>
        <v>0</v>
      </c>
      <c r="AW218" s="107">
        <f>_xlfn.IFNA($M218/VLOOKUP($BT218,'Unit information'!$A$2:$K$29,5,FALSE)*U218,0)*(1+$E$9)</f>
        <v>0</v>
      </c>
      <c r="AX218" s="107">
        <f>_xlfn.IFNA($M218/VLOOKUP($BU218,'Unit information'!$A$2:$K$29,6,FALSE)*V218,0)*(1+$E$9)</f>
        <v>0</v>
      </c>
      <c r="AY218" s="107">
        <f>_xlfn.IFNA($M218/VLOOKUP($BU218,'Unit information'!$A$2:$K$29,7,FALSE)*W218,0)*(1+$E$9)</f>
        <v>0</v>
      </c>
      <c r="AZ218" s="107">
        <f>_xlfn.IFNA($M218/VLOOKUP($BU218,'Unit information'!$A$2:$K$29,8,FALSE)*X218,0)*(1+$E$9)</f>
        <v>0</v>
      </c>
      <c r="BA218" s="107">
        <f>_xlfn.IFNA($M218/VLOOKUP($BU218,'Unit information'!$A$2:$K$29,9,FALSE)*Y218,0)*(1+$E$9)</f>
        <v>0</v>
      </c>
      <c r="BB218" s="107">
        <f>_xlfn.IFNA($M218/VLOOKUP($BV218,'Unit information'!$A$2:$K$29,10,FALSE)*Z218,0)*(1+$E$9)</f>
        <v>0</v>
      </c>
      <c r="BC218" s="108">
        <f>_xlfn.IFNA($M218/VLOOKUP($BV218,'Unit information'!$A$2:$K$29,11,FALSE)*AA218,0)*(1+$E$9)</f>
        <v>0</v>
      </c>
      <c r="BD218" s="106">
        <f t="shared" si="481"/>
        <v>0</v>
      </c>
      <c r="BE218" s="107">
        <f t="shared" si="482"/>
        <v>0</v>
      </c>
      <c r="BF218" s="108">
        <f t="shared" si="483"/>
        <v>0</v>
      </c>
      <c r="BG218" s="25" t="e">
        <f t="shared" si="484"/>
        <v>#N/A</v>
      </c>
      <c r="BH218" s="25" t="e">
        <f t="shared" si="485"/>
        <v>#N/A</v>
      </c>
      <c r="BI218" s="25" t="e">
        <f t="shared" si="486"/>
        <v>#N/A</v>
      </c>
      <c r="BJ218" s="27" t="e">
        <f t="shared" si="487"/>
        <v>#N/A</v>
      </c>
      <c r="BK218" s="18" t="e">
        <f t="shared" si="488"/>
        <v>#N/A</v>
      </c>
      <c r="BL218" s="18" t="e">
        <f t="shared" si="489"/>
        <v>#N/A</v>
      </c>
      <c r="BM218" s="28" t="e">
        <f t="shared" si="540"/>
        <v>#N/A</v>
      </c>
      <c r="BN218" s="33">
        <f>HLOOKUP("maximum population",Miscelaneous!$C$1:$C$33,CH218+3,FALSE)</f>
        <v>240</v>
      </c>
      <c r="BO218" s="14">
        <f t="shared" si="502"/>
        <v>32</v>
      </c>
      <c r="BP218" s="14">
        <f t="shared" si="503"/>
        <v>0</v>
      </c>
      <c r="BQ218" s="14">
        <f t="shared" si="504"/>
        <v>208</v>
      </c>
      <c r="BR218" s="34" t="e">
        <f>HLOOKUP(J218,Villagers!$B$1:$V$33,L218+3,FALSE)-HLOOKUP(J218,Villagers!$B$1:$V$33,L218+2,FALSE)</f>
        <v>#N/A</v>
      </c>
      <c r="BS218" s="49">
        <f t="shared" si="505"/>
        <v>1</v>
      </c>
      <c r="BT218" s="50">
        <f t="shared" si="506"/>
        <v>0</v>
      </c>
      <c r="BU218" s="50">
        <f t="shared" si="507"/>
        <v>0</v>
      </c>
      <c r="BV218" s="50">
        <f t="shared" si="508"/>
        <v>0</v>
      </c>
      <c r="BW218" s="50">
        <f t="shared" si="546"/>
        <v>0</v>
      </c>
      <c r="BX218" s="50">
        <f t="shared" si="544"/>
        <v>0</v>
      </c>
      <c r="BY218" s="50">
        <f t="shared" si="544"/>
        <v>0</v>
      </c>
      <c r="BZ218" s="50">
        <f t="shared" si="401"/>
        <v>0</v>
      </c>
      <c r="CA218" s="50">
        <f t="shared" si="402"/>
        <v>0</v>
      </c>
      <c r="CB218" s="50">
        <f t="shared" si="403"/>
        <v>1</v>
      </c>
      <c r="CC218" s="50">
        <f t="shared" si="404"/>
        <v>0</v>
      </c>
      <c r="CD218" s="50">
        <f t="shared" si="405"/>
        <v>0</v>
      </c>
      <c r="CE218" s="50">
        <f t="shared" si="406"/>
        <v>1</v>
      </c>
      <c r="CF218" s="50">
        <f t="shared" si="407"/>
        <v>1</v>
      </c>
      <c r="CG218" s="50">
        <f t="shared" si="408"/>
        <v>1</v>
      </c>
      <c r="CH218" s="50">
        <f t="shared" si="409"/>
        <v>1</v>
      </c>
      <c r="CI218" s="50">
        <f t="shared" si="410"/>
        <v>1</v>
      </c>
      <c r="CJ218" s="50">
        <f t="shared" si="411"/>
        <v>1</v>
      </c>
      <c r="CK218" s="50">
        <f t="shared" si="411"/>
        <v>0</v>
      </c>
      <c r="CL218" s="50">
        <f t="shared" si="411"/>
        <v>0</v>
      </c>
      <c r="CM218" s="51">
        <f t="shared" si="432"/>
        <v>0</v>
      </c>
      <c r="CN218" s="33">
        <f>ROUND(IF(BS218=0,0,HLOOKUP(BS$14,Villagers!$B$1:$V$33,BS218+3,FALSE)),)</f>
        <v>5</v>
      </c>
      <c r="CO218" s="14">
        <f>ROUND(IF(BT218=0,0,HLOOKUP(BT$14,Villagers!$B$1:$V$33,BT218+3,FALSE)),)</f>
        <v>0</v>
      </c>
      <c r="CP218" s="14">
        <f>ROUND(IF(BU218=0,0,HLOOKUP(BU$14,Villagers!$B$1:$V$33,BU218+3,FALSE)),)</f>
        <v>0</v>
      </c>
      <c r="CQ218" s="14">
        <f>ROUND(IF(BV218=0,0,HLOOKUP(BV$14,Villagers!$B$1:$V$33,BV218+3,FALSE)),)</f>
        <v>0</v>
      </c>
      <c r="CR218" s="14">
        <f>ROUND(IF(BW218=0,0,HLOOKUP(BW$14,Villagers!$B$1:$V$33,BW218+3,FALSE)),)</f>
        <v>0</v>
      </c>
      <c r="CS218" s="14">
        <f>ROUND(IF(BX218=0,0,HLOOKUP(BX$14,Villagers!$B$1:$V$33,BX218+3,FALSE)),)</f>
        <v>0</v>
      </c>
      <c r="CT218" s="14">
        <f>ROUND(IF(BY218=0,0,HLOOKUP(BY$14,Villagers!$B$1:$V$33,BY218+3,FALSE)),)</f>
        <v>0</v>
      </c>
      <c r="CU218" s="14">
        <f>ROUND(IF(BZ218=0,0,HLOOKUP(BZ$14,Villagers!$B$1:$V$33,BZ218+3,FALSE)),)</f>
        <v>0</v>
      </c>
      <c r="CV218" s="14">
        <f>ROUND(IF(CA218=0,0,HLOOKUP(CA$14,Villagers!$B$1:$V$33,CA218+3,FALSE)),)</f>
        <v>0</v>
      </c>
      <c r="CW218" s="14">
        <f>ROUND(IF(CB218=0,0,HLOOKUP(CB$14,Villagers!$B$1:$V$33,CB218+3,FALSE)),)</f>
        <v>0</v>
      </c>
      <c r="CX218" s="14">
        <f>ROUND(IF(CC218=0,0,HLOOKUP(CC$14,Villagers!$B$1:$V$33,CC218+3,FALSE)),)</f>
        <v>0</v>
      </c>
      <c r="CY218" s="14">
        <f>ROUND(IF(CD218=0,0,HLOOKUP(CD$14,Villagers!$B$1:$V$33,CD218+3,FALSE)),)</f>
        <v>0</v>
      </c>
      <c r="CZ218" s="14">
        <f>ROUND(IF(CE218=0,0,HLOOKUP(CE$14,Villagers!$B$1:$V$33,CE218+3,FALSE)),)</f>
        <v>5</v>
      </c>
      <c r="DA218" s="14">
        <f>ROUND(IF(CF218=0,0,HLOOKUP(CF$14,Villagers!$B$1:$V$33,CF218+3,FALSE)),)</f>
        <v>10</v>
      </c>
      <c r="DB218" s="14">
        <f>ROUND(IF(CG218=0,0,HLOOKUP(CG$14,Villagers!$B$1:$V$33,CG218+3,FALSE)),)</f>
        <v>10</v>
      </c>
      <c r="DC218" s="14">
        <f>ROUND(IF(CH218=0,0,HLOOKUP(CH$14,Villagers!$B$1:$V$33,CH218+3,FALSE)),)</f>
        <v>0</v>
      </c>
      <c r="DD218" s="14">
        <f>ROUND(IF(CI218=0,0,HLOOKUP(CI$14,Villagers!$B$1:$V$33,CI218+3,FALSE)),)</f>
        <v>0</v>
      </c>
      <c r="DE218" s="14">
        <f>ROUND(IF(CJ218=0,0,HLOOKUP(CJ$14,Villagers!$B$1:$V$33,CJ218+3,FALSE)),)</f>
        <v>2</v>
      </c>
      <c r="DF218" s="370">
        <f>ROUND(IF(CK218=0,0,HLOOKUP(CK$14,Villagers!$B$1:$V$33,CK218+3,FALSE)),)</f>
        <v>0</v>
      </c>
      <c r="DG218" s="370">
        <f>ROUND(IF(CL218=0,0,HLOOKUP(CL$14,Villagers!$B$1:$V$33,CL218+3,FALSE)),)</f>
        <v>0</v>
      </c>
      <c r="DH218" s="34">
        <f>ROUND(IF(CM218=0,0,HLOOKUP(CM$14,Villagers!$B$1:$V$33,CM218+3,FALSE)),)</f>
        <v>0</v>
      </c>
      <c r="DI218" s="109">
        <f t="shared" si="526"/>
        <v>0</v>
      </c>
      <c r="DJ218" s="50">
        <f t="shared" si="527"/>
        <v>0</v>
      </c>
      <c r="DK218" s="50">
        <f t="shared" si="528"/>
        <v>0</v>
      </c>
      <c r="DL218" s="50">
        <f t="shared" si="529"/>
        <v>0</v>
      </c>
      <c r="DM218" s="50">
        <f t="shared" si="530"/>
        <v>0</v>
      </c>
      <c r="DN218" s="50">
        <f t="shared" si="531"/>
        <v>0</v>
      </c>
      <c r="DO218" s="50">
        <f t="shared" si="532"/>
        <v>0</v>
      </c>
      <c r="DP218" s="50">
        <f t="shared" si="533"/>
        <v>0</v>
      </c>
      <c r="DQ218" s="50">
        <f t="shared" si="510"/>
        <v>0</v>
      </c>
      <c r="DR218" s="50">
        <f t="shared" si="511"/>
        <v>0</v>
      </c>
      <c r="DS218" s="96">
        <f>Miscelaneous!$D$4*Miscelaneous!$D$2^($CI218-1)</f>
        <v>1000</v>
      </c>
      <c r="DT218" s="333">
        <f t="shared" si="490"/>
        <v>1</v>
      </c>
      <c r="DU218" s="81">
        <v>1</v>
      </c>
      <c r="DV218" s="79">
        <f t="shared" si="512"/>
        <v>0</v>
      </c>
      <c r="DW218" s="79">
        <f t="shared" si="513"/>
        <v>0</v>
      </c>
      <c r="DX218" s="79">
        <f t="shared" si="514"/>
        <v>0</v>
      </c>
      <c r="DY218" s="79">
        <v>1</v>
      </c>
      <c r="DZ218" s="79">
        <f t="shared" si="515"/>
        <v>0</v>
      </c>
      <c r="EA218" s="79">
        <f t="shared" si="516"/>
        <v>0</v>
      </c>
      <c r="EB218" s="79">
        <f t="shared" si="517"/>
        <v>0</v>
      </c>
      <c r="EC218" s="79">
        <f t="shared" si="518"/>
        <v>0</v>
      </c>
      <c r="ED218" s="79">
        <v>1</v>
      </c>
      <c r="EE218" s="79">
        <v>1</v>
      </c>
      <c r="EF218" s="79">
        <f t="shared" si="519"/>
        <v>0</v>
      </c>
      <c r="EG218" s="79">
        <v>1</v>
      </c>
      <c r="EH218" s="79">
        <v>1</v>
      </c>
      <c r="EI218" s="79">
        <v>1</v>
      </c>
      <c r="EJ218" s="79">
        <v>1</v>
      </c>
      <c r="EK218" s="79">
        <v>1</v>
      </c>
      <c r="EL218" s="79">
        <v>1</v>
      </c>
      <c r="EM218" s="143">
        <f t="shared" si="520"/>
        <v>0</v>
      </c>
      <c r="EN218" s="143">
        <f t="shared" si="521"/>
        <v>0</v>
      </c>
      <c r="EO218" s="82">
        <f t="shared" si="522"/>
        <v>0</v>
      </c>
    </row>
    <row r="219" spans="1:145" x14ac:dyDescent="0.25">
      <c r="A219">
        <v>205</v>
      </c>
      <c r="B219" s="172" t="e">
        <f t="shared" si="491"/>
        <v>#N/A</v>
      </c>
      <c r="C219" s="121" t="e">
        <f t="shared" ref="C219:E219" si="549">AJ219-SUM(AB219:AB223)</f>
        <v>#N/A</v>
      </c>
      <c r="D219" s="122" t="e">
        <f t="shared" si="549"/>
        <v>#N/A</v>
      </c>
      <c r="E219" s="122" t="e">
        <f t="shared" si="549"/>
        <v>#N/A</v>
      </c>
      <c r="F219" s="176" t="e">
        <f t="shared" si="473"/>
        <v>#N/A</v>
      </c>
      <c r="G219" s="121">
        <f t="shared" si="493"/>
        <v>208</v>
      </c>
      <c r="H219" s="176" t="e">
        <f t="shared" si="494"/>
        <v>#N/A</v>
      </c>
      <c r="I219" s="48">
        <v>1</v>
      </c>
      <c r="J219" s="39"/>
      <c r="K219" s="350">
        <v>1</v>
      </c>
      <c r="L219" s="34" t="e">
        <f t="shared" si="474"/>
        <v>#N/A</v>
      </c>
      <c r="M219" s="38" t="e">
        <f>(HLOOKUP(J219,'Construction Times'!$B$3:$W$34,L219+2,FALSE)*HLOOKUP("hq modifier",'Construction Times'!$W$3:$W$34,BS219+2,FALSE))*(1-$H$9)</f>
        <v>#N/A</v>
      </c>
      <c r="N219" s="426" t="e">
        <f t="shared" si="495"/>
        <v>#N/A</v>
      </c>
      <c r="O219" s="427"/>
      <c r="P219" s="430" t="e">
        <f t="shared" si="496"/>
        <v>#N/A</v>
      </c>
      <c r="Q219" s="431"/>
      <c r="R219" s="103">
        <f t="shared" si="524"/>
        <v>0</v>
      </c>
      <c r="S219" s="104">
        <f t="shared" si="524"/>
        <v>0</v>
      </c>
      <c r="T219" s="104">
        <f t="shared" si="525"/>
        <v>0</v>
      </c>
      <c r="U219" s="104">
        <f t="shared" si="525"/>
        <v>0</v>
      </c>
      <c r="V219" s="104">
        <f t="shared" si="525"/>
        <v>9.9999999999999995E-8</v>
      </c>
      <c r="W219" s="104">
        <f t="shared" si="525"/>
        <v>0</v>
      </c>
      <c r="X219" s="104">
        <f t="shared" si="429"/>
        <v>0</v>
      </c>
      <c r="Y219" s="104">
        <f t="shared" si="429"/>
        <v>9.9999999999999995E-8</v>
      </c>
      <c r="Z219" s="104">
        <f t="shared" si="429"/>
        <v>9.9999999999999995E-8</v>
      </c>
      <c r="AA219" s="105">
        <f t="shared" si="429"/>
        <v>9.9999999999999995E-8</v>
      </c>
      <c r="AB219" s="101" t="e">
        <f>$DT219*HLOOKUP($J219,'Construction Costs (timber)'!$B$1:$V$32,'Construction Planner'!$L219+2,FALSE)</f>
        <v>#N/A</v>
      </c>
      <c r="AC219" s="14" t="e">
        <f>$DT219*HLOOKUP($J219,'Construction Costs (clay)'!$B$1:$V$32,'Construction Planner'!$L219+2,FALSE)</f>
        <v>#N/A</v>
      </c>
      <c r="AD219" s="14" t="e">
        <f>$DT219*HLOOKUP($J219,'Construction Costs (iron)'!$B$1:$V$32,'Construction Planner'!$L219+2,FALSE)</f>
        <v>#N/A</v>
      </c>
      <c r="AE219" s="34" t="e">
        <f t="shared" si="537"/>
        <v>#N/A</v>
      </c>
      <c r="AF219" s="33" t="e">
        <f t="shared" si="475"/>
        <v>#N/A</v>
      </c>
      <c r="AG219" s="14" t="e">
        <f t="shared" si="476"/>
        <v>#N/A</v>
      </c>
      <c r="AH219" s="14" t="e">
        <f t="shared" si="477"/>
        <v>#N/A</v>
      </c>
      <c r="AI219" s="34" t="e">
        <f t="shared" si="538"/>
        <v>#N/A</v>
      </c>
      <c r="AJ219" s="49" t="e">
        <f t="shared" si="498"/>
        <v>#N/A</v>
      </c>
      <c r="AK219" s="49" t="e">
        <f t="shared" si="499"/>
        <v>#N/A</v>
      </c>
      <c r="AL219" s="49" t="e">
        <f t="shared" si="500"/>
        <v>#N/A</v>
      </c>
      <c r="AM219" s="25">
        <f t="shared" si="478"/>
        <v>30</v>
      </c>
      <c r="AN219" s="25">
        <f t="shared" si="479"/>
        <v>30</v>
      </c>
      <c r="AO219" s="25">
        <f t="shared" si="480"/>
        <v>30</v>
      </c>
      <c r="AP219" s="52" t="e">
        <f t="shared" si="501"/>
        <v>#N/A</v>
      </c>
      <c r="AQ219" s="53" t="e">
        <f t="shared" si="501"/>
        <v>#N/A</v>
      </c>
      <c r="AR219" s="54" t="e">
        <f t="shared" si="501"/>
        <v>#N/A</v>
      </c>
      <c r="AS219" s="316">
        <f t="shared" si="539"/>
        <v>0</v>
      </c>
      <c r="AT219" s="106">
        <f>_xlfn.IFNA($M219/VLOOKUP($BT219,'Unit information'!$A$2:$K$29,2,FALSE)*R219,0)*(1+$E$9)</f>
        <v>0</v>
      </c>
      <c r="AU219" s="107">
        <f>_xlfn.IFNA($M219/VLOOKUP($BT219,'Unit information'!$A$2:$K$29,3,FALSE)*S219,0)*(1+$E$9)</f>
        <v>0</v>
      </c>
      <c r="AV219" s="107">
        <f>_xlfn.IFNA($M219/VLOOKUP($BT219,'Unit information'!$A$2:$K$29,4,FALSE)*T219,0)*(1+$E$9)</f>
        <v>0</v>
      </c>
      <c r="AW219" s="107">
        <f>_xlfn.IFNA($M219/VLOOKUP($BT219,'Unit information'!$A$2:$K$29,5,FALSE)*U219,0)*(1+$E$9)</f>
        <v>0</v>
      </c>
      <c r="AX219" s="107">
        <f>_xlfn.IFNA($M219/VLOOKUP($BU219,'Unit information'!$A$2:$K$29,6,FALSE)*V219,0)*(1+$E$9)</f>
        <v>0</v>
      </c>
      <c r="AY219" s="107">
        <f>_xlfn.IFNA($M219/VLOOKUP($BU219,'Unit information'!$A$2:$K$29,7,FALSE)*W219,0)*(1+$E$9)</f>
        <v>0</v>
      </c>
      <c r="AZ219" s="107">
        <f>_xlfn.IFNA($M219/VLOOKUP($BU219,'Unit information'!$A$2:$K$29,8,FALSE)*X219,0)*(1+$E$9)</f>
        <v>0</v>
      </c>
      <c r="BA219" s="107">
        <f>_xlfn.IFNA($M219/VLOOKUP($BU219,'Unit information'!$A$2:$K$29,9,FALSE)*Y219,0)*(1+$E$9)</f>
        <v>0</v>
      </c>
      <c r="BB219" s="107">
        <f>_xlfn.IFNA($M219/VLOOKUP($BV219,'Unit information'!$A$2:$K$29,10,FALSE)*Z219,0)*(1+$E$9)</f>
        <v>0</v>
      </c>
      <c r="BC219" s="108">
        <f>_xlfn.IFNA($M219/VLOOKUP($BV219,'Unit information'!$A$2:$K$29,11,FALSE)*AA219,0)*(1+$E$9)</f>
        <v>0</v>
      </c>
      <c r="BD219" s="106">
        <f t="shared" si="481"/>
        <v>0</v>
      </c>
      <c r="BE219" s="107">
        <f t="shared" si="482"/>
        <v>0</v>
      </c>
      <c r="BF219" s="108">
        <f t="shared" si="483"/>
        <v>0</v>
      </c>
      <c r="BG219" s="25" t="e">
        <f t="shared" si="484"/>
        <v>#N/A</v>
      </c>
      <c r="BH219" s="25" t="e">
        <f t="shared" si="485"/>
        <v>#N/A</v>
      </c>
      <c r="BI219" s="25" t="e">
        <f t="shared" si="486"/>
        <v>#N/A</v>
      </c>
      <c r="BJ219" s="27" t="e">
        <f t="shared" si="487"/>
        <v>#N/A</v>
      </c>
      <c r="BK219" s="18" t="e">
        <f t="shared" si="488"/>
        <v>#N/A</v>
      </c>
      <c r="BL219" s="18" t="e">
        <f t="shared" si="489"/>
        <v>#N/A</v>
      </c>
      <c r="BM219" s="28" t="e">
        <f t="shared" si="540"/>
        <v>#N/A</v>
      </c>
      <c r="BN219" s="33">
        <f>HLOOKUP("maximum population",Miscelaneous!$C$1:$C$33,CH219+3,FALSE)</f>
        <v>240</v>
      </c>
      <c r="BO219" s="14">
        <f t="shared" si="502"/>
        <v>32</v>
      </c>
      <c r="BP219" s="14">
        <f t="shared" si="503"/>
        <v>0</v>
      </c>
      <c r="BQ219" s="14">
        <f t="shared" si="504"/>
        <v>208</v>
      </c>
      <c r="BR219" s="34" t="e">
        <f>HLOOKUP(J219,Villagers!$B$1:$V$33,L219+3,FALSE)-HLOOKUP(J219,Villagers!$B$1:$V$33,L219+2,FALSE)</f>
        <v>#N/A</v>
      </c>
      <c r="BS219" s="49">
        <f t="shared" si="505"/>
        <v>1</v>
      </c>
      <c r="BT219" s="50">
        <f t="shared" si="506"/>
        <v>0</v>
      </c>
      <c r="BU219" s="50">
        <f t="shared" si="507"/>
        <v>0</v>
      </c>
      <c r="BV219" s="50">
        <f t="shared" si="508"/>
        <v>0</v>
      </c>
      <c r="BW219" s="50">
        <f t="shared" si="546"/>
        <v>0</v>
      </c>
      <c r="BX219" s="50">
        <f t="shared" si="544"/>
        <v>0</v>
      </c>
      <c r="BY219" s="50">
        <f t="shared" si="544"/>
        <v>0</v>
      </c>
      <c r="BZ219" s="50">
        <f t="shared" si="401"/>
        <v>0</v>
      </c>
      <c r="CA219" s="50">
        <f t="shared" si="402"/>
        <v>0</v>
      </c>
      <c r="CB219" s="50">
        <f t="shared" si="403"/>
        <v>1</v>
      </c>
      <c r="CC219" s="50">
        <f t="shared" si="404"/>
        <v>0</v>
      </c>
      <c r="CD219" s="50">
        <f t="shared" si="405"/>
        <v>0</v>
      </c>
      <c r="CE219" s="50">
        <f t="shared" si="406"/>
        <v>1</v>
      </c>
      <c r="CF219" s="50">
        <f t="shared" si="407"/>
        <v>1</v>
      </c>
      <c r="CG219" s="50">
        <f t="shared" si="408"/>
        <v>1</v>
      </c>
      <c r="CH219" s="50">
        <f t="shared" si="409"/>
        <v>1</v>
      </c>
      <c r="CI219" s="50">
        <f t="shared" si="410"/>
        <v>1</v>
      </c>
      <c r="CJ219" s="50">
        <f t="shared" si="411"/>
        <v>1</v>
      </c>
      <c r="CK219" s="50">
        <f t="shared" si="411"/>
        <v>0</v>
      </c>
      <c r="CL219" s="50">
        <f t="shared" si="411"/>
        <v>0</v>
      </c>
      <c r="CM219" s="51">
        <f t="shared" si="432"/>
        <v>0</v>
      </c>
      <c r="CN219" s="33">
        <f>ROUND(IF(BS219=0,0,HLOOKUP(BS$14,Villagers!$B$1:$V$33,BS219+3,FALSE)),)</f>
        <v>5</v>
      </c>
      <c r="CO219" s="14">
        <f>ROUND(IF(BT219=0,0,HLOOKUP(BT$14,Villagers!$B$1:$V$33,BT219+3,FALSE)),)</f>
        <v>0</v>
      </c>
      <c r="CP219" s="14">
        <f>ROUND(IF(BU219=0,0,HLOOKUP(BU$14,Villagers!$B$1:$V$33,BU219+3,FALSE)),)</f>
        <v>0</v>
      </c>
      <c r="CQ219" s="14">
        <f>ROUND(IF(BV219=0,0,HLOOKUP(BV$14,Villagers!$B$1:$V$33,BV219+3,FALSE)),)</f>
        <v>0</v>
      </c>
      <c r="CR219" s="14">
        <f>ROUND(IF(BW219=0,0,HLOOKUP(BW$14,Villagers!$B$1:$V$33,BW219+3,FALSE)),)</f>
        <v>0</v>
      </c>
      <c r="CS219" s="14">
        <f>ROUND(IF(BX219=0,0,HLOOKUP(BX$14,Villagers!$B$1:$V$33,BX219+3,FALSE)),)</f>
        <v>0</v>
      </c>
      <c r="CT219" s="14">
        <f>ROUND(IF(BY219=0,0,HLOOKUP(BY$14,Villagers!$B$1:$V$33,BY219+3,FALSE)),)</f>
        <v>0</v>
      </c>
      <c r="CU219" s="14">
        <f>ROUND(IF(BZ219=0,0,HLOOKUP(BZ$14,Villagers!$B$1:$V$33,BZ219+3,FALSE)),)</f>
        <v>0</v>
      </c>
      <c r="CV219" s="14">
        <f>ROUND(IF(CA219=0,0,HLOOKUP(CA$14,Villagers!$B$1:$V$33,CA219+3,FALSE)),)</f>
        <v>0</v>
      </c>
      <c r="CW219" s="14">
        <f>ROUND(IF(CB219=0,0,HLOOKUP(CB$14,Villagers!$B$1:$V$33,CB219+3,FALSE)),)</f>
        <v>0</v>
      </c>
      <c r="CX219" s="14">
        <f>ROUND(IF(CC219=0,0,HLOOKUP(CC$14,Villagers!$B$1:$V$33,CC219+3,FALSE)),)</f>
        <v>0</v>
      </c>
      <c r="CY219" s="14">
        <f>ROUND(IF(CD219=0,0,HLOOKUP(CD$14,Villagers!$B$1:$V$33,CD219+3,FALSE)),)</f>
        <v>0</v>
      </c>
      <c r="CZ219" s="14">
        <f>ROUND(IF(CE219=0,0,HLOOKUP(CE$14,Villagers!$B$1:$V$33,CE219+3,FALSE)),)</f>
        <v>5</v>
      </c>
      <c r="DA219" s="14">
        <f>ROUND(IF(CF219=0,0,HLOOKUP(CF$14,Villagers!$B$1:$V$33,CF219+3,FALSE)),)</f>
        <v>10</v>
      </c>
      <c r="DB219" s="14">
        <f>ROUND(IF(CG219=0,0,HLOOKUP(CG$14,Villagers!$B$1:$V$33,CG219+3,FALSE)),)</f>
        <v>10</v>
      </c>
      <c r="DC219" s="14">
        <f>ROUND(IF(CH219=0,0,HLOOKUP(CH$14,Villagers!$B$1:$V$33,CH219+3,FALSE)),)</f>
        <v>0</v>
      </c>
      <c r="DD219" s="14">
        <f>ROUND(IF(CI219=0,0,HLOOKUP(CI$14,Villagers!$B$1:$V$33,CI219+3,FALSE)),)</f>
        <v>0</v>
      </c>
      <c r="DE219" s="14">
        <f>ROUND(IF(CJ219=0,0,HLOOKUP(CJ$14,Villagers!$B$1:$V$33,CJ219+3,FALSE)),)</f>
        <v>2</v>
      </c>
      <c r="DF219" s="370">
        <f>ROUND(IF(CK219=0,0,HLOOKUP(CK$14,Villagers!$B$1:$V$33,CK219+3,FALSE)),)</f>
        <v>0</v>
      </c>
      <c r="DG219" s="370">
        <f>ROUND(IF(CL219=0,0,HLOOKUP(CL$14,Villagers!$B$1:$V$33,CL219+3,FALSE)),)</f>
        <v>0</v>
      </c>
      <c r="DH219" s="34">
        <f>ROUND(IF(CM219=0,0,HLOOKUP(CM$14,Villagers!$B$1:$V$33,CM219+3,FALSE)),)</f>
        <v>0</v>
      </c>
      <c r="DI219" s="109">
        <f t="shared" si="526"/>
        <v>0</v>
      </c>
      <c r="DJ219" s="50">
        <f t="shared" si="527"/>
        <v>0</v>
      </c>
      <c r="DK219" s="50">
        <f t="shared" si="528"/>
        <v>0</v>
      </c>
      <c r="DL219" s="50">
        <f t="shared" si="529"/>
        <v>0</v>
      </c>
      <c r="DM219" s="50">
        <f t="shared" si="530"/>
        <v>0</v>
      </c>
      <c r="DN219" s="50">
        <f t="shared" si="531"/>
        <v>0</v>
      </c>
      <c r="DO219" s="50">
        <f t="shared" si="532"/>
        <v>0</v>
      </c>
      <c r="DP219" s="50">
        <f t="shared" si="533"/>
        <v>0</v>
      </c>
      <c r="DQ219" s="50">
        <f t="shared" si="510"/>
        <v>0</v>
      </c>
      <c r="DR219" s="50">
        <f t="shared" si="511"/>
        <v>0</v>
      </c>
      <c r="DS219" s="96">
        <f>Miscelaneous!$D$4*Miscelaneous!$D$2^($CI219-1)</f>
        <v>1000</v>
      </c>
      <c r="DT219" s="333">
        <f t="shared" si="490"/>
        <v>1</v>
      </c>
      <c r="DU219" s="81">
        <v>1</v>
      </c>
      <c r="DV219" s="79">
        <f t="shared" si="512"/>
        <v>0</v>
      </c>
      <c r="DW219" s="79">
        <f t="shared" si="513"/>
        <v>0</v>
      </c>
      <c r="DX219" s="79">
        <f t="shared" si="514"/>
        <v>0</v>
      </c>
      <c r="DY219" s="79">
        <v>1</v>
      </c>
      <c r="DZ219" s="79">
        <f t="shared" si="515"/>
        <v>0</v>
      </c>
      <c r="EA219" s="79">
        <f t="shared" si="516"/>
        <v>0</v>
      </c>
      <c r="EB219" s="79">
        <f t="shared" si="517"/>
        <v>0</v>
      </c>
      <c r="EC219" s="79">
        <f t="shared" si="518"/>
        <v>0</v>
      </c>
      <c r="ED219" s="79">
        <v>1</v>
      </c>
      <c r="EE219" s="79">
        <v>1</v>
      </c>
      <c r="EF219" s="79">
        <f t="shared" si="519"/>
        <v>0</v>
      </c>
      <c r="EG219" s="79">
        <v>1</v>
      </c>
      <c r="EH219" s="79">
        <v>1</v>
      </c>
      <c r="EI219" s="79">
        <v>1</v>
      </c>
      <c r="EJ219" s="79">
        <v>1</v>
      </c>
      <c r="EK219" s="79">
        <v>1</v>
      </c>
      <c r="EL219" s="79">
        <v>1</v>
      </c>
      <c r="EM219" s="143">
        <f t="shared" si="520"/>
        <v>0</v>
      </c>
      <c r="EN219" s="143">
        <f t="shared" si="521"/>
        <v>0</v>
      </c>
      <c r="EO219" s="82">
        <f t="shared" si="522"/>
        <v>0</v>
      </c>
    </row>
    <row r="220" spans="1:145" x14ac:dyDescent="0.25">
      <c r="A220">
        <v>206</v>
      </c>
      <c r="B220" s="172" t="e">
        <f t="shared" si="491"/>
        <v>#N/A</v>
      </c>
      <c r="C220" s="121" t="e">
        <f t="shared" ref="C220:E220" si="550">AJ220-SUM(AB220:AB224)</f>
        <v>#N/A</v>
      </c>
      <c r="D220" s="122" t="e">
        <f t="shared" si="550"/>
        <v>#N/A</v>
      </c>
      <c r="E220" s="122" t="e">
        <f t="shared" si="550"/>
        <v>#N/A</v>
      </c>
      <c r="F220" s="176" t="e">
        <f t="shared" si="473"/>
        <v>#N/A</v>
      </c>
      <c r="G220" s="121">
        <f t="shared" si="493"/>
        <v>208</v>
      </c>
      <c r="H220" s="176" t="e">
        <f t="shared" si="494"/>
        <v>#N/A</v>
      </c>
      <c r="I220" s="48">
        <v>1</v>
      </c>
      <c r="J220" s="39"/>
      <c r="K220" s="350">
        <v>1</v>
      </c>
      <c r="L220" s="34" t="e">
        <f t="shared" si="474"/>
        <v>#N/A</v>
      </c>
      <c r="M220" s="38" t="e">
        <f>(HLOOKUP(J220,'Construction Times'!$B$3:$W$34,L220+2,FALSE)*HLOOKUP("hq modifier",'Construction Times'!$W$3:$W$34,BS220+2,FALSE))*(1-$H$9)</f>
        <v>#N/A</v>
      </c>
      <c r="N220" s="426" t="e">
        <f t="shared" si="495"/>
        <v>#N/A</v>
      </c>
      <c r="O220" s="427"/>
      <c r="P220" s="430" t="e">
        <f t="shared" si="496"/>
        <v>#N/A</v>
      </c>
      <c r="Q220" s="431"/>
      <c r="R220" s="103">
        <f t="shared" si="524"/>
        <v>0</v>
      </c>
      <c r="S220" s="104">
        <f t="shared" si="524"/>
        <v>0</v>
      </c>
      <c r="T220" s="104">
        <f t="shared" si="525"/>
        <v>0</v>
      </c>
      <c r="U220" s="104">
        <f t="shared" si="525"/>
        <v>0</v>
      </c>
      <c r="V220" s="104">
        <f t="shared" si="525"/>
        <v>9.9999999999999995E-8</v>
      </c>
      <c r="W220" s="104">
        <f t="shared" si="525"/>
        <v>0</v>
      </c>
      <c r="X220" s="104">
        <f t="shared" si="429"/>
        <v>0</v>
      </c>
      <c r="Y220" s="104">
        <f t="shared" si="429"/>
        <v>9.9999999999999995E-8</v>
      </c>
      <c r="Z220" s="104">
        <f t="shared" si="429"/>
        <v>9.9999999999999995E-8</v>
      </c>
      <c r="AA220" s="105">
        <f t="shared" si="429"/>
        <v>9.9999999999999995E-8</v>
      </c>
      <c r="AB220" s="101" t="e">
        <f>$DT220*HLOOKUP($J220,'Construction Costs (timber)'!$B$1:$V$32,'Construction Planner'!$L220+2,FALSE)</f>
        <v>#N/A</v>
      </c>
      <c r="AC220" s="14" t="e">
        <f>$DT220*HLOOKUP($J220,'Construction Costs (clay)'!$B$1:$V$32,'Construction Planner'!$L220+2,FALSE)</f>
        <v>#N/A</v>
      </c>
      <c r="AD220" s="14" t="e">
        <f>$DT220*HLOOKUP($J220,'Construction Costs (iron)'!$B$1:$V$32,'Construction Planner'!$L220+2,FALSE)</f>
        <v>#N/A</v>
      </c>
      <c r="AE220" s="34" t="e">
        <f t="shared" si="537"/>
        <v>#N/A</v>
      </c>
      <c r="AF220" s="33" t="e">
        <f t="shared" si="475"/>
        <v>#N/A</v>
      </c>
      <c r="AG220" s="14" t="e">
        <f t="shared" si="476"/>
        <v>#N/A</v>
      </c>
      <c r="AH220" s="14" t="e">
        <f t="shared" si="477"/>
        <v>#N/A</v>
      </c>
      <c r="AI220" s="34" t="e">
        <f t="shared" si="538"/>
        <v>#N/A</v>
      </c>
      <c r="AJ220" s="49" t="e">
        <f t="shared" si="498"/>
        <v>#N/A</v>
      </c>
      <c r="AK220" s="49" t="e">
        <f t="shared" si="499"/>
        <v>#N/A</v>
      </c>
      <c r="AL220" s="49" t="e">
        <f t="shared" si="500"/>
        <v>#N/A</v>
      </c>
      <c r="AM220" s="25">
        <f t="shared" si="478"/>
        <v>30</v>
      </c>
      <c r="AN220" s="25">
        <f t="shared" si="479"/>
        <v>30</v>
      </c>
      <c r="AO220" s="25">
        <f t="shared" si="480"/>
        <v>30</v>
      </c>
      <c r="AP220" s="52" t="e">
        <f t="shared" si="501"/>
        <v>#N/A</v>
      </c>
      <c r="AQ220" s="53" t="e">
        <f t="shared" si="501"/>
        <v>#N/A</v>
      </c>
      <c r="AR220" s="54" t="e">
        <f t="shared" si="501"/>
        <v>#N/A</v>
      </c>
      <c r="AS220" s="316">
        <f t="shared" si="539"/>
        <v>0</v>
      </c>
      <c r="AT220" s="106">
        <f>_xlfn.IFNA($M220/VLOOKUP($BT220,'Unit information'!$A$2:$K$29,2,FALSE)*R220,0)*(1+$E$9)</f>
        <v>0</v>
      </c>
      <c r="AU220" s="107">
        <f>_xlfn.IFNA($M220/VLOOKUP($BT220,'Unit information'!$A$2:$K$29,3,FALSE)*S220,0)*(1+$E$9)</f>
        <v>0</v>
      </c>
      <c r="AV220" s="107">
        <f>_xlfn.IFNA($M220/VLOOKUP($BT220,'Unit information'!$A$2:$K$29,4,FALSE)*T220,0)*(1+$E$9)</f>
        <v>0</v>
      </c>
      <c r="AW220" s="107">
        <f>_xlfn.IFNA($M220/VLOOKUP($BT220,'Unit information'!$A$2:$K$29,5,FALSE)*U220,0)*(1+$E$9)</f>
        <v>0</v>
      </c>
      <c r="AX220" s="107">
        <f>_xlfn.IFNA($M220/VLOOKUP($BU220,'Unit information'!$A$2:$K$29,6,FALSE)*V220,0)*(1+$E$9)</f>
        <v>0</v>
      </c>
      <c r="AY220" s="107">
        <f>_xlfn.IFNA($M220/VLOOKUP($BU220,'Unit information'!$A$2:$K$29,7,FALSE)*W220,0)*(1+$E$9)</f>
        <v>0</v>
      </c>
      <c r="AZ220" s="107">
        <f>_xlfn.IFNA($M220/VLOOKUP($BU220,'Unit information'!$A$2:$K$29,8,FALSE)*X220,0)*(1+$E$9)</f>
        <v>0</v>
      </c>
      <c r="BA220" s="107">
        <f>_xlfn.IFNA($M220/VLOOKUP($BU220,'Unit information'!$A$2:$K$29,9,FALSE)*Y220,0)*(1+$E$9)</f>
        <v>0</v>
      </c>
      <c r="BB220" s="107">
        <f>_xlfn.IFNA($M220/VLOOKUP($BV220,'Unit information'!$A$2:$K$29,10,FALSE)*Z220,0)*(1+$E$9)</f>
        <v>0</v>
      </c>
      <c r="BC220" s="108">
        <f>_xlfn.IFNA($M220/VLOOKUP($BV220,'Unit information'!$A$2:$K$29,11,FALSE)*AA220,0)*(1+$E$9)</f>
        <v>0</v>
      </c>
      <c r="BD220" s="106">
        <f t="shared" si="481"/>
        <v>0</v>
      </c>
      <c r="BE220" s="107">
        <f t="shared" si="482"/>
        <v>0</v>
      </c>
      <c r="BF220" s="108">
        <f t="shared" si="483"/>
        <v>0</v>
      </c>
      <c r="BG220" s="25" t="e">
        <f t="shared" si="484"/>
        <v>#N/A</v>
      </c>
      <c r="BH220" s="25" t="e">
        <f t="shared" si="485"/>
        <v>#N/A</v>
      </c>
      <c r="BI220" s="25" t="e">
        <f t="shared" si="486"/>
        <v>#N/A</v>
      </c>
      <c r="BJ220" s="27" t="e">
        <f t="shared" si="487"/>
        <v>#N/A</v>
      </c>
      <c r="BK220" s="18" t="e">
        <f t="shared" si="488"/>
        <v>#N/A</v>
      </c>
      <c r="BL220" s="18" t="e">
        <f t="shared" si="489"/>
        <v>#N/A</v>
      </c>
      <c r="BM220" s="28" t="e">
        <f t="shared" si="540"/>
        <v>#N/A</v>
      </c>
      <c r="BN220" s="33">
        <f>HLOOKUP("maximum population",Miscelaneous!$C$1:$C$33,CH220+3,FALSE)</f>
        <v>240</v>
      </c>
      <c r="BO220" s="14">
        <f t="shared" si="502"/>
        <v>32</v>
      </c>
      <c r="BP220" s="14">
        <f t="shared" si="503"/>
        <v>0</v>
      </c>
      <c r="BQ220" s="14">
        <f t="shared" si="504"/>
        <v>208</v>
      </c>
      <c r="BR220" s="34" t="e">
        <f>HLOOKUP(J220,Villagers!$B$1:$V$33,L220+3,FALSE)-HLOOKUP(J220,Villagers!$B$1:$V$33,L220+2,FALSE)</f>
        <v>#N/A</v>
      </c>
      <c r="BS220" s="49">
        <f t="shared" si="505"/>
        <v>1</v>
      </c>
      <c r="BT220" s="50">
        <f t="shared" si="506"/>
        <v>0</v>
      </c>
      <c r="BU220" s="50">
        <f t="shared" si="507"/>
        <v>0</v>
      </c>
      <c r="BV220" s="50">
        <f t="shared" si="508"/>
        <v>0</v>
      </c>
      <c r="BW220" s="50">
        <f t="shared" si="546"/>
        <v>0</v>
      </c>
      <c r="BX220" s="50">
        <f t="shared" si="544"/>
        <v>0</v>
      </c>
      <c r="BY220" s="50">
        <f t="shared" si="544"/>
        <v>0</v>
      </c>
      <c r="BZ220" s="50">
        <f t="shared" si="401"/>
        <v>0</v>
      </c>
      <c r="CA220" s="50">
        <f t="shared" si="402"/>
        <v>0</v>
      </c>
      <c r="CB220" s="50">
        <f t="shared" si="403"/>
        <v>1</v>
      </c>
      <c r="CC220" s="50">
        <f t="shared" si="404"/>
        <v>0</v>
      </c>
      <c r="CD220" s="50">
        <f t="shared" si="405"/>
        <v>0</v>
      </c>
      <c r="CE220" s="50">
        <f t="shared" si="406"/>
        <v>1</v>
      </c>
      <c r="CF220" s="50">
        <f t="shared" si="407"/>
        <v>1</v>
      </c>
      <c r="CG220" s="50">
        <f t="shared" si="408"/>
        <v>1</v>
      </c>
      <c r="CH220" s="50">
        <f t="shared" si="409"/>
        <v>1</v>
      </c>
      <c r="CI220" s="50">
        <f t="shared" si="410"/>
        <v>1</v>
      </c>
      <c r="CJ220" s="50">
        <f t="shared" si="411"/>
        <v>1</v>
      </c>
      <c r="CK220" s="50">
        <f t="shared" si="411"/>
        <v>0</v>
      </c>
      <c r="CL220" s="50">
        <f t="shared" si="411"/>
        <v>0</v>
      </c>
      <c r="CM220" s="51">
        <f t="shared" si="432"/>
        <v>0</v>
      </c>
      <c r="CN220" s="33">
        <f>ROUND(IF(BS220=0,0,HLOOKUP(BS$14,Villagers!$B$1:$V$33,BS220+3,FALSE)),)</f>
        <v>5</v>
      </c>
      <c r="CO220" s="14">
        <f>ROUND(IF(BT220=0,0,HLOOKUP(BT$14,Villagers!$B$1:$V$33,BT220+3,FALSE)),)</f>
        <v>0</v>
      </c>
      <c r="CP220" s="14">
        <f>ROUND(IF(BU220=0,0,HLOOKUP(BU$14,Villagers!$B$1:$V$33,BU220+3,FALSE)),)</f>
        <v>0</v>
      </c>
      <c r="CQ220" s="14">
        <f>ROUND(IF(BV220=0,0,HLOOKUP(BV$14,Villagers!$B$1:$V$33,BV220+3,FALSE)),)</f>
        <v>0</v>
      </c>
      <c r="CR220" s="14">
        <f>ROUND(IF(BW220=0,0,HLOOKUP(BW$14,Villagers!$B$1:$V$33,BW220+3,FALSE)),)</f>
        <v>0</v>
      </c>
      <c r="CS220" s="14">
        <f>ROUND(IF(BX220=0,0,HLOOKUP(BX$14,Villagers!$B$1:$V$33,BX220+3,FALSE)),)</f>
        <v>0</v>
      </c>
      <c r="CT220" s="14">
        <f>ROUND(IF(BY220=0,0,HLOOKUP(BY$14,Villagers!$B$1:$V$33,BY220+3,FALSE)),)</f>
        <v>0</v>
      </c>
      <c r="CU220" s="14">
        <f>ROUND(IF(BZ220=0,0,HLOOKUP(BZ$14,Villagers!$B$1:$V$33,BZ220+3,FALSE)),)</f>
        <v>0</v>
      </c>
      <c r="CV220" s="14">
        <f>ROUND(IF(CA220=0,0,HLOOKUP(CA$14,Villagers!$B$1:$V$33,CA220+3,FALSE)),)</f>
        <v>0</v>
      </c>
      <c r="CW220" s="14">
        <f>ROUND(IF(CB220=0,0,HLOOKUP(CB$14,Villagers!$B$1:$V$33,CB220+3,FALSE)),)</f>
        <v>0</v>
      </c>
      <c r="CX220" s="14">
        <f>ROUND(IF(CC220=0,0,HLOOKUP(CC$14,Villagers!$B$1:$V$33,CC220+3,FALSE)),)</f>
        <v>0</v>
      </c>
      <c r="CY220" s="14">
        <f>ROUND(IF(CD220=0,0,HLOOKUP(CD$14,Villagers!$B$1:$V$33,CD220+3,FALSE)),)</f>
        <v>0</v>
      </c>
      <c r="CZ220" s="14">
        <f>ROUND(IF(CE220=0,0,HLOOKUP(CE$14,Villagers!$B$1:$V$33,CE220+3,FALSE)),)</f>
        <v>5</v>
      </c>
      <c r="DA220" s="14">
        <f>ROUND(IF(CF220=0,0,HLOOKUP(CF$14,Villagers!$B$1:$V$33,CF220+3,FALSE)),)</f>
        <v>10</v>
      </c>
      <c r="DB220" s="14">
        <f>ROUND(IF(CG220=0,0,HLOOKUP(CG$14,Villagers!$B$1:$V$33,CG220+3,FALSE)),)</f>
        <v>10</v>
      </c>
      <c r="DC220" s="14">
        <f>ROUND(IF(CH220=0,0,HLOOKUP(CH$14,Villagers!$B$1:$V$33,CH220+3,FALSE)),)</f>
        <v>0</v>
      </c>
      <c r="DD220" s="14">
        <f>ROUND(IF(CI220=0,0,HLOOKUP(CI$14,Villagers!$B$1:$V$33,CI220+3,FALSE)),)</f>
        <v>0</v>
      </c>
      <c r="DE220" s="14">
        <f>ROUND(IF(CJ220=0,0,HLOOKUP(CJ$14,Villagers!$B$1:$V$33,CJ220+3,FALSE)),)</f>
        <v>2</v>
      </c>
      <c r="DF220" s="370">
        <f>ROUND(IF(CK220=0,0,HLOOKUP(CK$14,Villagers!$B$1:$V$33,CK220+3,FALSE)),)</f>
        <v>0</v>
      </c>
      <c r="DG220" s="370">
        <f>ROUND(IF(CL220=0,0,HLOOKUP(CL$14,Villagers!$B$1:$V$33,CL220+3,FALSE)),)</f>
        <v>0</v>
      </c>
      <c r="DH220" s="34">
        <f>ROUND(IF(CM220=0,0,HLOOKUP(CM$14,Villagers!$B$1:$V$33,CM220+3,FALSE)),)</f>
        <v>0</v>
      </c>
      <c r="DI220" s="109">
        <f t="shared" si="526"/>
        <v>0</v>
      </c>
      <c r="DJ220" s="50">
        <f t="shared" si="527"/>
        <v>0</v>
      </c>
      <c r="DK220" s="50">
        <f t="shared" si="528"/>
        <v>0</v>
      </c>
      <c r="DL220" s="50">
        <f t="shared" si="529"/>
        <v>0</v>
      </c>
      <c r="DM220" s="50">
        <f t="shared" si="530"/>
        <v>0</v>
      </c>
      <c r="DN220" s="50">
        <f t="shared" si="531"/>
        <v>0</v>
      </c>
      <c r="DO220" s="50">
        <f t="shared" si="532"/>
        <v>0</v>
      </c>
      <c r="DP220" s="50">
        <f t="shared" si="533"/>
        <v>0</v>
      </c>
      <c r="DQ220" s="50">
        <f t="shared" si="510"/>
        <v>0</v>
      </c>
      <c r="DR220" s="50">
        <f t="shared" si="511"/>
        <v>0</v>
      </c>
      <c r="DS220" s="96">
        <f>Miscelaneous!$D$4*Miscelaneous!$D$2^($CI220-1)</f>
        <v>1000</v>
      </c>
      <c r="DT220" s="333">
        <f t="shared" si="490"/>
        <v>1</v>
      </c>
      <c r="DU220" s="81">
        <v>1</v>
      </c>
      <c r="DV220" s="79">
        <f t="shared" si="512"/>
        <v>0</v>
      </c>
      <c r="DW220" s="79">
        <f t="shared" si="513"/>
        <v>0</v>
      </c>
      <c r="DX220" s="79">
        <f t="shared" si="514"/>
        <v>0</v>
      </c>
      <c r="DY220" s="79">
        <v>1</v>
      </c>
      <c r="DZ220" s="79">
        <f t="shared" si="515"/>
        <v>0</v>
      </c>
      <c r="EA220" s="79">
        <f t="shared" si="516"/>
        <v>0</v>
      </c>
      <c r="EB220" s="79">
        <f t="shared" si="517"/>
        <v>0</v>
      </c>
      <c r="EC220" s="79">
        <f t="shared" si="518"/>
        <v>0</v>
      </c>
      <c r="ED220" s="79">
        <v>1</v>
      </c>
      <c r="EE220" s="79">
        <v>1</v>
      </c>
      <c r="EF220" s="79">
        <f t="shared" si="519"/>
        <v>0</v>
      </c>
      <c r="EG220" s="79">
        <v>1</v>
      </c>
      <c r="EH220" s="79">
        <v>1</v>
      </c>
      <c r="EI220" s="79">
        <v>1</v>
      </c>
      <c r="EJ220" s="79">
        <v>1</v>
      </c>
      <c r="EK220" s="79">
        <v>1</v>
      </c>
      <c r="EL220" s="79">
        <v>1</v>
      </c>
      <c r="EM220" s="143">
        <f t="shared" si="520"/>
        <v>0</v>
      </c>
      <c r="EN220" s="143">
        <f t="shared" si="521"/>
        <v>0</v>
      </c>
      <c r="EO220" s="82">
        <f t="shared" si="522"/>
        <v>0</v>
      </c>
    </row>
    <row r="221" spans="1:145" x14ac:dyDescent="0.25">
      <c r="A221">
        <v>207</v>
      </c>
      <c r="B221" s="172" t="e">
        <f t="shared" si="491"/>
        <v>#N/A</v>
      </c>
      <c r="C221" s="121" t="e">
        <f t="shared" ref="C221:E221" si="551">AJ221-SUM(AB221:AB225)</f>
        <v>#N/A</v>
      </c>
      <c r="D221" s="122" t="e">
        <f t="shared" si="551"/>
        <v>#N/A</v>
      </c>
      <c r="E221" s="122" t="e">
        <f t="shared" si="551"/>
        <v>#N/A</v>
      </c>
      <c r="F221" s="176" t="e">
        <f t="shared" si="473"/>
        <v>#N/A</v>
      </c>
      <c r="G221" s="121">
        <f t="shared" si="493"/>
        <v>208</v>
      </c>
      <c r="H221" s="176" t="e">
        <f t="shared" si="494"/>
        <v>#N/A</v>
      </c>
      <c r="I221" s="48">
        <v>1</v>
      </c>
      <c r="J221" s="39"/>
      <c r="K221" s="350">
        <v>1</v>
      </c>
      <c r="L221" s="34" t="e">
        <f t="shared" si="474"/>
        <v>#N/A</v>
      </c>
      <c r="M221" s="38" t="e">
        <f>(HLOOKUP(J221,'Construction Times'!$B$3:$W$34,L221+2,FALSE)*HLOOKUP("hq modifier",'Construction Times'!$W$3:$W$34,BS221+2,FALSE))*(1-$H$9)</f>
        <v>#N/A</v>
      </c>
      <c r="N221" s="426" t="e">
        <f t="shared" si="495"/>
        <v>#N/A</v>
      </c>
      <c r="O221" s="427"/>
      <c r="P221" s="430" t="e">
        <f t="shared" si="496"/>
        <v>#N/A</v>
      </c>
      <c r="Q221" s="431"/>
      <c r="R221" s="103">
        <f t="shared" si="524"/>
        <v>0</v>
      </c>
      <c r="S221" s="104">
        <f t="shared" si="524"/>
        <v>0</v>
      </c>
      <c r="T221" s="104">
        <f t="shared" si="525"/>
        <v>0</v>
      </c>
      <c r="U221" s="104">
        <f t="shared" si="525"/>
        <v>0</v>
      </c>
      <c r="V221" s="104">
        <f t="shared" si="525"/>
        <v>9.9999999999999995E-8</v>
      </c>
      <c r="W221" s="104">
        <f t="shared" si="525"/>
        <v>0</v>
      </c>
      <c r="X221" s="104">
        <f t="shared" si="429"/>
        <v>0</v>
      </c>
      <c r="Y221" s="104">
        <f t="shared" si="429"/>
        <v>9.9999999999999995E-8</v>
      </c>
      <c r="Z221" s="104">
        <f t="shared" si="429"/>
        <v>9.9999999999999995E-8</v>
      </c>
      <c r="AA221" s="105">
        <f t="shared" si="429"/>
        <v>9.9999999999999995E-8</v>
      </c>
      <c r="AB221" s="101" t="e">
        <f>$DT221*HLOOKUP($J221,'Construction Costs (timber)'!$B$1:$V$32,'Construction Planner'!$L221+2,FALSE)</f>
        <v>#N/A</v>
      </c>
      <c r="AC221" s="14" t="e">
        <f>$DT221*HLOOKUP($J221,'Construction Costs (clay)'!$B$1:$V$32,'Construction Planner'!$L221+2,FALSE)</f>
        <v>#N/A</v>
      </c>
      <c r="AD221" s="14" t="e">
        <f>$DT221*HLOOKUP($J221,'Construction Costs (iron)'!$B$1:$V$32,'Construction Planner'!$L221+2,FALSE)</f>
        <v>#N/A</v>
      </c>
      <c r="AE221" s="34" t="e">
        <f t="shared" si="537"/>
        <v>#N/A</v>
      </c>
      <c r="AF221" s="33" t="e">
        <f t="shared" si="475"/>
        <v>#N/A</v>
      </c>
      <c r="AG221" s="14" t="e">
        <f t="shared" si="476"/>
        <v>#N/A</v>
      </c>
      <c r="AH221" s="14" t="e">
        <f t="shared" si="477"/>
        <v>#N/A</v>
      </c>
      <c r="AI221" s="34" t="e">
        <f t="shared" si="538"/>
        <v>#N/A</v>
      </c>
      <c r="AJ221" s="49" t="e">
        <f t="shared" si="498"/>
        <v>#N/A</v>
      </c>
      <c r="AK221" s="49" t="e">
        <f t="shared" si="499"/>
        <v>#N/A</v>
      </c>
      <c r="AL221" s="49" t="e">
        <f t="shared" si="500"/>
        <v>#N/A</v>
      </c>
      <c r="AM221" s="25">
        <f t="shared" si="478"/>
        <v>30</v>
      </c>
      <c r="AN221" s="25">
        <f t="shared" si="479"/>
        <v>30</v>
      </c>
      <c r="AO221" s="25">
        <f t="shared" si="480"/>
        <v>30</v>
      </c>
      <c r="AP221" s="52" t="e">
        <f t="shared" si="501"/>
        <v>#N/A</v>
      </c>
      <c r="AQ221" s="53" t="e">
        <f t="shared" si="501"/>
        <v>#N/A</v>
      </c>
      <c r="AR221" s="54" t="e">
        <f t="shared" si="501"/>
        <v>#N/A</v>
      </c>
      <c r="AS221" s="316">
        <f t="shared" si="539"/>
        <v>0</v>
      </c>
      <c r="AT221" s="106">
        <f>_xlfn.IFNA($M221/VLOOKUP($BT221,'Unit information'!$A$2:$K$29,2,FALSE)*R221,0)*(1+$E$9)</f>
        <v>0</v>
      </c>
      <c r="AU221" s="107">
        <f>_xlfn.IFNA($M221/VLOOKUP($BT221,'Unit information'!$A$2:$K$29,3,FALSE)*S221,0)*(1+$E$9)</f>
        <v>0</v>
      </c>
      <c r="AV221" s="107">
        <f>_xlfn.IFNA($M221/VLOOKUP($BT221,'Unit information'!$A$2:$K$29,4,FALSE)*T221,0)*(1+$E$9)</f>
        <v>0</v>
      </c>
      <c r="AW221" s="107">
        <f>_xlfn.IFNA($M221/VLOOKUP($BT221,'Unit information'!$A$2:$K$29,5,FALSE)*U221,0)*(1+$E$9)</f>
        <v>0</v>
      </c>
      <c r="AX221" s="107">
        <f>_xlfn.IFNA($M221/VLOOKUP($BU221,'Unit information'!$A$2:$K$29,6,FALSE)*V221,0)*(1+$E$9)</f>
        <v>0</v>
      </c>
      <c r="AY221" s="107">
        <f>_xlfn.IFNA($M221/VLOOKUP($BU221,'Unit information'!$A$2:$K$29,7,FALSE)*W221,0)*(1+$E$9)</f>
        <v>0</v>
      </c>
      <c r="AZ221" s="107">
        <f>_xlfn.IFNA($M221/VLOOKUP($BU221,'Unit information'!$A$2:$K$29,8,FALSE)*X221,0)*(1+$E$9)</f>
        <v>0</v>
      </c>
      <c r="BA221" s="107">
        <f>_xlfn.IFNA($M221/VLOOKUP($BU221,'Unit information'!$A$2:$K$29,9,FALSE)*Y221,0)*(1+$E$9)</f>
        <v>0</v>
      </c>
      <c r="BB221" s="107">
        <f>_xlfn.IFNA($M221/VLOOKUP($BV221,'Unit information'!$A$2:$K$29,10,FALSE)*Z221,0)*(1+$E$9)</f>
        <v>0</v>
      </c>
      <c r="BC221" s="108">
        <f>_xlfn.IFNA($M221/VLOOKUP($BV221,'Unit information'!$A$2:$K$29,11,FALSE)*AA221,0)*(1+$E$9)</f>
        <v>0</v>
      </c>
      <c r="BD221" s="106">
        <f t="shared" si="481"/>
        <v>0</v>
      </c>
      <c r="BE221" s="107">
        <f t="shared" si="482"/>
        <v>0</v>
      </c>
      <c r="BF221" s="108">
        <f t="shared" si="483"/>
        <v>0</v>
      </c>
      <c r="BG221" s="25" t="e">
        <f t="shared" si="484"/>
        <v>#N/A</v>
      </c>
      <c r="BH221" s="25" t="e">
        <f t="shared" si="485"/>
        <v>#N/A</v>
      </c>
      <c r="BI221" s="25" t="e">
        <f t="shared" si="486"/>
        <v>#N/A</v>
      </c>
      <c r="BJ221" s="27" t="e">
        <f t="shared" si="487"/>
        <v>#N/A</v>
      </c>
      <c r="BK221" s="18" t="e">
        <f t="shared" si="488"/>
        <v>#N/A</v>
      </c>
      <c r="BL221" s="18" t="e">
        <f t="shared" si="489"/>
        <v>#N/A</v>
      </c>
      <c r="BM221" s="28" t="e">
        <f t="shared" si="540"/>
        <v>#N/A</v>
      </c>
      <c r="BN221" s="33">
        <f>HLOOKUP("maximum population",Miscelaneous!$C$1:$C$33,CH221+3,FALSE)</f>
        <v>240</v>
      </c>
      <c r="BO221" s="14">
        <f t="shared" si="502"/>
        <v>32</v>
      </c>
      <c r="BP221" s="14">
        <f t="shared" si="503"/>
        <v>0</v>
      </c>
      <c r="BQ221" s="14">
        <f t="shared" si="504"/>
        <v>208</v>
      </c>
      <c r="BR221" s="34" t="e">
        <f>HLOOKUP(J221,Villagers!$B$1:$V$33,L221+3,FALSE)-HLOOKUP(J221,Villagers!$B$1:$V$33,L221+2,FALSE)</f>
        <v>#N/A</v>
      </c>
      <c r="BS221" s="49">
        <f t="shared" si="505"/>
        <v>1</v>
      </c>
      <c r="BT221" s="50">
        <f t="shared" si="506"/>
        <v>0</v>
      </c>
      <c r="BU221" s="50">
        <f t="shared" si="507"/>
        <v>0</v>
      </c>
      <c r="BV221" s="50">
        <f t="shared" si="508"/>
        <v>0</v>
      </c>
      <c r="BW221" s="50">
        <f t="shared" si="546"/>
        <v>0</v>
      </c>
      <c r="BX221" s="50">
        <f t="shared" si="544"/>
        <v>0</v>
      </c>
      <c r="BY221" s="50">
        <f t="shared" si="544"/>
        <v>0</v>
      </c>
      <c r="BZ221" s="50">
        <f t="shared" si="401"/>
        <v>0</v>
      </c>
      <c r="CA221" s="50">
        <f t="shared" si="402"/>
        <v>0</v>
      </c>
      <c r="CB221" s="50">
        <f t="shared" si="403"/>
        <v>1</v>
      </c>
      <c r="CC221" s="50">
        <f t="shared" si="404"/>
        <v>0</v>
      </c>
      <c r="CD221" s="50">
        <f t="shared" si="405"/>
        <v>0</v>
      </c>
      <c r="CE221" s="50">
        <f t="shared" si="406"/>
        <v>1</v>
      </c>
      <c r="CF221" s="50">
        <f t="shared" si="407"/>
        <v>1</v>
      </c>
      <c r="CG221" s="50">
        <f t="shared" si="408"/>
        <v>1</v>
      </c>
      <c r="CH221" s="50">
        <f t="shared" si="409"/>
        <v>1</v>
      </c>
      <c r="CI221" s="50">
        <f t="shared" si="410"/>
        <v>1</v>
      </c>
      <c r="CJ221" s="50">
        <f t="shared" si="411"/>
        <v>1</v>
      </c>
      <c r="CK221" s="50">
        <f t="shared" si="411"/>
        <v>0</v>
      </c>
      <c r="CL221" s="50">
        <f t="shared" si="411"/>
        <v>0</v>
      </c>
      <c r="CM221" s="51">
        <f t="shared" si="432"/>
        <v>0</v>
      </c>
      <c r="CN221" s="33">
        <f>ROUND(IF(BS221=0,0,HLOOKUP(BS$14,Villagers!$B$1:$V$33,BS221+3,FALSE)),)</f>
        <v>5</v>
      </c>
      <c r="CO221" s="14">
        <f>ROUND(IF(BT221=0,0,HLOOKUP(BT$14,Villagers!$B$1:$V$33,BT221+3,FALSE)),)</f>
        <v>0</v>
      </c>
      <c r="CP221" s="14">
        <f>ROUND(IF(BU221=0,0,HLOOKUP(BU$14,Villagers!$B$1:$V$33,BU221+3,FALSE)),)</f>
        <v>0</v>
      </c>
      <c r="CQ221" s="14">
        <f>ROUND(IF(BV221=0,0,HLOOKUP(BV$14,Villagers!$B$1:$V$33,BV221+3,FALSE)),)</f>
        <v>0</v>
      </c>
      <c r="CR221" s="14">
        <f>ROUND(IF(BW221=0,0,HLOOKUP(BW$14,Villagers!$B$1:$V$33,BW221+3,FALSE)),)</f>
        <v>0</v>
      </c>
      <c r="CS221" s="14">
        <f>ROUND(IF(BX221=0,0,HLOOKUP(BX$14,Villagers!$B$1:$V$33,BX221+3,FALSE)),)</f>
        <v>0</v>
      </c>
      <c r="CT221" s="14">
        <f>ROUND(IF(BY221=0,0,HLOOKUP(BY$14,Villagers!$B$1:$V$33,BY221+3,FALSE)),)</f>
        <v>0</v>
      </c>
      <c r="CU221" s="14">
        <f>ROUND(IF(BZ221=0,0,HLOOKUP(BZ$14,Villagers!$B$1:$V$33,BZ221+3,FALSE)),)</f>
        <v>0</v>
      </c>
      <c r="CV221" s="14">
        <f>ROUND(IF(CA221=0,0,HLOOKUP(CA$14,Villagers!$B$1:$V$33,CA221+3,FALSE)),)</f>
        <v>0</v>
      </c>
      <c r="CW221" s="14">
        <f>ROUND(IF(CB221=0,0,HLOOKUP(CB$14,Villagers!$B$1:$V$33,CB221+3,FALSE)),)</f>
        <v>0</v>
      </c>
      <c r="CX221" s="14">
        <f>ROUND(IF(CC221=0,0,HLOOKUP(CC$14,Villagers!$B$1:$V$33,CC221+3,FALSE)),)</f>
        <v>0</v>
      </c>
      <c r="CY221" s="14">
        <f>ROUND(IF(CD221=0,0,HLOOKUP(CD$14,Villagers!$B$1:$V$33,CD221+3,FALSE)),)</f>
        <v>0</v>
      </c>
      <c r="CZ221" s="14">
        <f>ROUND(IF(CE221=0,0,HLOOKUP(CE$14,Villagers!$B$1:$V$33,CE221+3,FALSE)),)</f>
        <v>5</v>
      </c>
      <c r="DA221" s="14">
        <f>ROUND(IF(CF221=0,0,HLOOKUP(CF$14,Villagers!$B$1:$V$33,CF221+3,FALSE)),)</f>
        <v>10</v>
      </c>
      <c r="DB221" s="14">
        <f>ROUND(IF(CG221=0,0,HLOOKUP(CG$14,Villagers!$B$1:$V$33,CG221+3,FALSE)),)</f>
        <v>10</v>
      </c>
      <c r="DC221" s="14">
        <f>ROUND(IF(CH221=0,0,HLOOKUP(CH$14,Villagers!$B$1:$V$33,CH221+3,FALSE)),)</f>
        <v>0</v>
      </c>
      <c r="DD221" s="14">
        <f>ROUND(IF(CI221=0,0,HLOOKUP(CI$14,Villagers!$B$1:$V$33,CI221+3,FALSE)),)</f>
        <v>0</v>
      </c>
      <c r="DE221" s="14">
        <f>ROUND(IF(CJ221=0,0,HLOOKUP(CJ$14,Villagers!$B$1:$V$33,CJ221+3,FALSE)),)</f>
        <v>2</v>
      </c>
      <c r="DF221" s="370">
        <f>ROUND(IF(CK221=0,0,HLOOKUP(CK$14,Villagers!$B$1:$V$33,CK221+3,FALSE)),)</f>
        <v>0</v>
      </c>
      <c r="DG221" s="370">
        <f>ROUND(IF(CL221=0,0,HLOOKUP(CL$14,Villagers!$B$1:$V$33,CL221+3,FALSE)),)</f>
        <v>0</v>
      </c>
      <c r="DH221" s="34">
        <f>ROUND(IF(CM221=0,0,HLOOKUP(CM$14,Villagers!$B$1:$V$33,CM221+3,FALSE)),)</f>
        <v>0</v>
      </c>
      <c r="DI221" s="109">
        <f t="shared" si="526"/>
        <v>0</v>
      </c>
      <c r="DJ221" s="50">
        <f t="shared" si="527"/>
        <v>0</v>
      </c>
      <c r="DK221" s="50">
        <f t="shared" si="528"/>
        <v>0</v>
      </c>
      <c r="DL221" s="50">
        <f t="shared" si="529"/>
        <v>0</v>
      </c>
      <c r="DM221" s="50">
        <f t="shared" si="530"/>
        <v>0</v>
      </c>
      <c r="DN221" s="50">
        <f t="shared" si="531"/>
        <v>0</v>
      </c>
      <c r="DO221" s="50">
        <f t="shared" si="532"/>
        <v>0</v>
      </c>
      <c r="DP221" s="50">
        <f t="shared" si="533"/>
        <v>0</v>
      </c>
      <c r="DQ221" s="50">
        <f t="shared" si="510"/>
        <v>0</v>
      </c>
      <c r="DR221" s="50">
        <f t="shared" si="511"/>
        <v>0</v>
      </c>
      <c r="DS221" s="96">
        <f>Miscelaneous!$D$4*Miscelaneous!$D$2^($CI221-1)</f>
        <v>1000</v>
      </c>
      <c r="DT221" s="333">
        <f t="shared" si="490"/>
        <v>1</v>
      </c>
      <c r="DU221" s="81">
        <v>1</v>
      </c>
      <c r="DV221" s="79">
        <f t="shared" si="512"/>
        <v>0</v>
      </c>
      <c r="DW221" s="79">
        <f t="shared" si="513"/>
        <v>0</v>
      </c>
      <c r="DX221" s="79">
        <f t="shared" si="514"/>
        <v>0</v>
      </c>
      <c r="DY221" s="79">
        <v>1</v>
      </c>
      <c r="DZ221" s="79">
        <f t="shared" si="515"/>
        <v>0</v>
      </c>
      <c r="EA221" s="79">
        <f t="shared" si="516"/>
        <v>0</v>
      </c>
      <c r="EB221" s="79">
        <f t="shared" si="517"/>
        <v>0</v>
      </c>
      <c r="EC221" s="79">
        <f t="shared" si="518"/>
        <v>0</v>
      </c>
      <c r="ED221" s="79">
        <v>1</v>
      </c>
      <c r="EE221" s="79">
        <v>1</v>
      </c>
      <c r="EF221" s="79">
        <f t="shared" si="519"/>
        <v>0</v>
      </c>
      <c r="EG221" s="79">
        <v>1</v>
      </c>
      <c r="EH221" s="79">
        <v>1</v>
      </c>
      <c r="EI221" s="79">
        <v>1</v>
      </c>
      <c r="EJ221" s="79">
        <v>1</v>
      </c>
      <c r="EK221" s="79">
        <v>1</v>
      </c>
      <c r="EL221" s="79">
        <v>1</v>
      </c>
      <c r="EM221" s="143">
        <f t="shared" si="520"/>
        <v>0</v>
      </c>
      <c r="EN221" s="143">
        <f t="shared" si="521"/>
        <v>0</v>
      </c>
      <c r="EO221" s="82">
        <f t="shared" si="522"/>
        <v>0</v>
      </c>
    </row>
    <row r="222" spans="1:145" x14ac:dyDescent="0.25">
      <c r="A222">
        <v>208</v>
      </c>
      <c r="B222" s="172" t="e">
        <f t="shared" si="491"/>
        <v>#N/A</v>
      </c>
      <c r="C222" s="121" t="e">
        <f t="shared" ref="C222:E222" si="552">AJ222-SUM(AB222:AB226)</f>
        <v>#N/A</v>
      </c>
      <c r="D222" s="122" t="e">
        <f t="shared" si="552"/>
        <v>#N/A</v>
      </c>
      <c r="E222" s="122" t="e">
        <f t="shared" si="552"/>
        <v>#N/A</v>
      </c>
      <c r="F222" s="176" t="e">
        <f t="shared" si="473"/>
        <v>#N/A</v>
      </c>
      <c r="G222" s="121">
        <f t="shared" si="493"/>
        <v>208</v>
      </c>
      <c r="H222" s="176" t="e">
        <f t="shared" si="494"/>
        <v>#N/A</v>
      </c>
      <c r="I222" s="48">
        <v>1</v>
      </c>
      <c r="J222" s="39"/>
      <c r="K222" s="350">
        <v>1</v>
      </c>
      <c r="L222" s="34" t="e">
        <f t="shared" si="474"/>
        <v>#N/A</v>
      </c>
      <c r="M222" s="38" t="e">
        <f>(HLOOKUP(J222,'Construction Times'!$B$3:$W$34,L222+2,FALSE)*HLOOKUP("hq modifier",'Construction Times'!$W$3:$W$34,BS222+2,FALSE))*(1-$H$9)</f>
        <v>#N/A</v>
      </c>
      <c r="N222" s="426" t="e">
        <f t="shared" si="495"/>
        <v>#N/A</v>
      </c>
      <c r="O222" s="427"/>
      <c r="P222" s="430" t="e">
        <f t="shared" si="496"/>
        <v>#N/A</v>
      </c>
      <c r="Q222" s="431"/>
      <c r="R222" s="103">
        <f t="shared" si="524"/>
        <v>0</v>
      </c>
      <c r="S222" s="104">
        <f t="shared" si="524"/>
        <v>0</v>
      </c>
      <c r="T222" s="104">
        <f t="shared" si="525"/>
        <v>0</v>
      </c>
      <c r="U222" s="104">
        <f t="shared" si="525"/>
        <v>0</v>
      </c>
      <c r="V222" s="104">
        <f t="shared" si="525"/>
        <v>9.9999999999999995E-8</v>
      </c>
      <c r="W222" s="104">
        <f t="shared" si="525"/>
        <v>0</v>
      </c>
      <c r="X222" s="104">
        <f t="shared" si="429"/>
        <v>0</v>
      </c>
      <c r="Y222" s="104">
        <f t="shared" si="429"/>
        <v>9.9999999999999995E-8</v>
      </c>
      <c r="Z222" s="104">
        <f t="shared" si="429"/>
        <v>9.9999999999999995E-8</v>
      </c>
      <c r="AA222" s="105">
        <f t="shared" si="429"/>
        <v>9.9999999999999995E-8</v>
      </c>
      <c r="AB222" s="101" t="e">
        <f>$DT222*HLOOKUP($J222,'Construction Costs (timber)'!$B$1:$V$32,'Construction Planner'!$L222+2,FALSE)</f>
        <v>#N/A</v>
      </c>
      <c r="AC222" s="14" t="e">
        <f>$DT222*HLOOKUP($J222,'Construction Costs (clay)'!$B$1:$V$32,'Construction Planner'!$L222+2,FALSE)</f>
        <v>#N/A</v>
      </c>
      <c r="AD222" s="14" t="e">
        <f>$DT222*HLOOKUP($J222,'Construction Costs (iron)'!$B$1:$V$32,'Construction Planner'!$L222+2,FALSE)</f>
        <v>#N/A</v>
      </c>
      <c r="AE222" s="34" t="e">
        <f t="shared" si="537"/>
        <v>#N/A</v>
      </c>
      <c r="AF222" s="33" t="e">
        <f t="shared" si="475"/>
        <v>#N/A</v>
      </c>
      <c r="AG222" s="14" t="e">
        <f t="shared" si="476"/>
        <v>#N/A</v>
      </c>
      <c r="AH222" s="14" t="e">
        <f t="shared" si="477"/>
        <v>#N/A</v>
      </c>
      <c r="AI222" s="34" t="e">
        <f t="shared" si="538"/>
        <v>#N/A</v>
      </c>
      <c r="AJ222" s="49" t="e">
        <f t="shared" si="498"/>
        <v>#N/A</v>
      </c>
      <c r="AK222" s="49" t="e">
        <f t="shared" si="499"/>
        <v>#N/A</v>
      </c>
      <c r="AL222" s="49" t="e">
        <f t="shared" si="500"/>
        <v>#N/A</v>
      </c>
      <c r="AM222" s="25">
        <f t="shared" si="478"/>
        <v>30</v>
      </c>
      <c r="AN222" s="25">
        <f t="shared" si="479"/>
        <v>30</v>
      </c>
      <c r="AO222" s="25">
        <f t="shared" si="480"/>
        <v>30</v>
      </c>
      <c r="AP222" s="52" t="e">
        <f t="shared" si="501"/>
        <v>#N/A</v>
      </c>
      <c r="AQ222" s="53" t="e">
        <f t="shared" si="501"/>
        <v>#N/A</v>
      </c>
      <c r="AR222" s="54" t="e">
        <f t="shared" si="501"/>
        <v>#N/A</v>
      </c>
      <c r="AS222" s="316">
        <f t="shared" si="539"/>
        <v>0</v>
      </c>
      <c r="AT222" s="106">
        <f>_xlfn.IFNA($M222/VLOOKUP($BT222,'Unit information'!$A$2:$K$29,2,FALSE)*R222,0)*(1+$E$9)</f>
        <v>0</v>
      </c>
      <c r="AU222" s="107">
        <f>_xlfn.IFNA($M222/VLOOKUP($BT222,'Unit information'!$A$2:$K$29,3,FALSE)*S222,0)*(1+$E$9)</f>
        <v>0</v>
      </c>
      <c r="AV222" s="107">
        <f>_xlfn.IFNA($M222/VLOOKUP($BT222,'Unit information'!$A$2:$K$29,4,FALSE)*T222,0)*(1+$E$9)</f>
        <v>0</v>
      </c>
      <c r="AW222" s="107">
        <f>_xlfn.IFNA($M222/VLOOKUP($BT222,'Unit information'!$A$2:$K$29,5,FALSE)*U222,0)*(1+$E$9)</f>
        <v>0</v>
      </c>
      <c r="AX222" s="107">
        <f>_xlfn.IFNA($M222/VLOOKUP($BU222,'Unit information'!$A$2:$K$29,6,FALSE)*V222,0)*(1+$E$9)</f>
        <v>0</v>
      </c>
      <c r="AY222" s="107">
        <f>_xlfn.IFNA($M222/VLOOKUP($BU222,'Unit information'!$A$2:$K$29,7,FALSE)*W222,0)*(1+$E$9)</f>
        <v>0</v>
      </c>
      <c r="AZ222" s="107">
        <f>_xlfn.IFNA($M222/VLOOKUP($BU222,'Unit information'!$A$2:$K$29,8,FALSE)*X222,0)*(1+$E$9)</f>
        <v>0</v>
      </c>
      <c r="BA222" s="107">
        <f>_xlfn.IFNA($M222/VLOOKUP($BU222,'Unit information'!$A$2:$K$29,9,FALSE)*Y222,0)*(1+$E$9)</f>
        <v>0</v>
      </c>
      <c r="BB222" s="107">
        <f>_xlfn.IFNA($M222/VLOOKUP($BV222,'Unit information'!$A$2:$K$29,10,FALSE)*Z222,0)*(1+$E$9)</f>
        <v>0</v>
      </c>
      <c r="BC222" s="108">
        <f>_xlfn.IFNA($M222/VLOOKUP($BV222,'Unit information'!$A$2:$K$29,11,FALSE)*AA222,0)*(1+$E$9)</f>
        <v>0</v>
      </c>
      <c r="BD222" s="106">
        <f t="shared" si="481"/>
        <v>0</v>
      </c>
      <c r="BE222" s="107">
        <f t="shared" si="482"/>
        <v>0</v>
      </c>
      <c r="BF222" s="108">
        <f t="shared" si="483"/>
        <v>0</v>
      </c>
      <c r="BG222" s="25" t="e">
        <f t="shared" si="484"/>
        <v>#N/A</v>
      </c>
      <c r="BH222" s="25" t="e">
        <f t="shared" si="485"/>
        <v>#N/A</v>
      </c>
      <c r="BI222" s="25" t="e">
        <f t="shared" si="486"/>
        <v>#N/A</v>
      </c>
      <c r="BJ222" s="27" t="e">
        <f t="shared" si="487"/>
        <v>#N/A</v>
      </c>
      <c r="BK222" s="18" t="e">
        <f t="shared" si="488"/>
        <v>#N/A</v>
      </c>
      <c r="BL222" s="18" t="e">
        <f t="shared" si="489"/>
        <v>#N/A</v>
      </c>
      <c r="BM222" s="28" t="e">
        <f t="shared" si="540"/>
        <v>#N/A</v>
      </c>
      <c r="BN222" s="33">
        <f>HLOOKUP("maximum population",Miscelaneous!$C$1:$C$33,CH222+3,FALSE)</f>
        <v>240</v>
      </c>
      <c r="BO222" s="14">
        <f t="shared" si="502"/>
        <v>32</v>
      </c>
      <c r="BP222" s="14">
        <f t="shared" si="503"/>
        <v>0</v>
      </c>
      <c r="BQ222" s="14">
        <f t="shared" si="504"/>
        <v>208</v>
      </c>
      <c r="BR222" s="34" t="e">
        <f>HLOOKUP(J222,Villagers!$B$1:$V$33,L222+3,FALSE)-HLOOKUP(J222,Villagers!$B$1:$V$33,L222+2,FALSE)</f>
        <v>#N/A</v>
      </c>
      <c r="BS222" s="49">
        <f t="shared" si="505"/>
        <v>1</v>
      </c>
      <c r="BT222" s="50">
        <f t="shared" si="506"/>
        <v>0</v>
      </c>
      <c r="BU222" s="50">
        <f t="shared" si="507"/>
        <v>0</v>
      </c>
      <c r="BV222" s="50">
        <f t="shared" si="508"/>
        <v>0</v>
      </c>
      <c r="BW222" s="50">
        <f t="shared" si="546"/>
        <v>0</v>
      </c>
      <c r="BX222" s="50">
        <f t="shared" si="544"/>
        <v>0</v>
      </c>
      <c r="BY222" s="50">
        <f t="shared" si="544"/>
        <v>0</v>
      </c>
      <c r="BZ222" s="50">
        <f t="shared" si="401"/>
        <v>0</v>
      </c>
      <c r="CA222" s="50">
        <f t="shared" si="402"/>
        <v>0</v>
      </c>
      <c r="CB222" s="50">
        <f t="shared" si="403"/>
        <v>1</v>
      </c>
      <c r="CC222" s="50">
        <f t="shared" si="404"/>
        <v>0</v>
      </c>
      <c r="CD222" s="50">
        <f t="shared" si="405"/>
        <v>0</v>
      </c>
      <c r="CE222" s="50">
        <f t="shared" si="406"/>
        <v>1</v>
      </c>
      <c r="CF222" s="50">
        <f t="shared" si="407"/>
        <v>1</v>
      </c>
      <c r="CG222" s="50">
        <f t="shared" si="408"/>
        <v>1</v>
      </c>
      <c r="CH222" s="50">
        <f t="shared" si="409"/>
        <v>1</v>
      </c>
      <c r="CI222" s="50">
        <f t="shared" si="410"/>
        <v>1</v>
      </c>
      <c r="CJ222" s="50">
        <f t="shared" si="411"/>
        <v>1</v>
      </c>
      <c r="CK222" s="50">
        <f t="shared" si="411"/>
        <v>0</v>
      </c>
      <c r="CL222" s="50">
        <f t="shared" si="411"/>
        <v>0</v>
      </c>
      <c r="CM222" s="51">
        <f t="shared" si="432"/>
        <v>0</v>
      </c>
      <c r="CN222" s="33">
        <f>ROUND(IF(BS222=0,0,HLOOKUP(BS$14,Villagers!$B$1:$V$33,BS222+3,FALSE)),)</f>
        <v>5</v>
      </c>
      <c r="CO222" s="14">
        <f>ROUND(IF(BT222=0,0,HLOOKUP(BT$14,Villagers!$B$1:$V$33,BT222+3,FALSE)),)</f>
        <v>0</v>
      </c>
      <c r="CP222" s="14">
        <f>ROUND(IF(BU222=0,0,HLOOKUP(BU$14,Villagers!$B$1:$V$33,BU222+3,FALSE)),)</f>
        <v>0</v>
      </c>
      <c r="CQ222" s="14">
        <f>ROUND(IF(BV222=0,0,HLOOKUP(BV$14,Villagers!$B$1:$V$33,BV222+3,FALSE)),)</f>
        <v>0</v>
      </c>
      <c r="CR222" s="14">
        <f>ROUND(IF(BW222=0,0,HLOOKUP(BW$14,Villagers!$B$1:$V$33,BW222+3,FALSE)),)</f>
        <v>0</v>
      </c>
      <c r="CS222" s="14">
        <f>ROUND(IF(BX222=0,0,HLOOKUP(BX$14,Villagers!$B$1:$V$33,BX222+3,FALSE)),)</f>
        <v>0</v>
      </c>
      <c r="CT222" s="14">
        <f>ROUND(IF(BY222=0,0,HLOOKUP(BY$14,Villagers!$B$1:$V$33,BY222+3,FALSE)),)</f>
        <v>0</v>
      </c>
      <c r="CU222" s="14">
        <f>ROUND(IF(BZ222=0,0,HLOOKUP(BZ$14,Villagers!$B$1:$V$33,BZ222+3,FALSE)),)</f>
        <v>0</v>
      </c>
      <c r="CV222" s="14">
        <f>ROUND(IF(CA222=0,0,HLOOKUP(CA$14,Villagers!$B$1:$V$33,CA222+3,FALSE)),)</f>
        <v>0</v>
      </c>
      <c r="CW222" s="14">
        <f>ROUND(IF(CB222=0,0,HLOOKUP(CB$14,Villagers!$B$1:$V$33,CB222+3,FALSE)),)</f>
        <v>0</v>
      </c>
      <c r="CX222" s="14">
        <f>ROUND(IF(CC222=0,0,HLOOKUP(CC$14,Villagers!$B$1:$V$33,CC222+3,FALSE)),)</f>
        <v>0</v>
      </c>
      <c r="CY222" s="14">
        <f>ROUND(IF(CD222=0,0,HLOOKUP(CD$14,Villagers!$B$1:$V$33,CD222+3,FALSE)),)</f>
        <v>0</v>
      </c>
      <c r="CZ222" s="14">
        <f>ROUND(IF(CE222=0,0,HLOOKUP(CE$14,Villagers!$B$1:$V$33,CE222+3,FALSE)),)</f>
        <v>5</v>
      </c>
      <c r="DA222" s="14">
        <f>ROUND(IF(CF222=0,0,HLOOKUP(CF$14,Villagers!$B$1:$V$33,CF222+3,FALSE)),)</f>
        <v>10</v>
      </c>
      <c r="DB222" s="14">
        <f>ROUND(IF(CG222=0,0,HLOOKUP(CG$14,Villagers!$B$1:$V$33,CG222+3,FALSE)),)</f>
        <v>10</v>
      </c>
      <c r="DC222" s="14">
        <f>ROUND(IF(CH222=0,0,HLOOKUP(CH$14,Villagers!$B$1:$V$33,CH222+3,FALSE)),)</f>
        <v>0</v>
      </c>
      <c r="DD222" s="14">
        <f>ROUND(IF(CI222=0,0,HLOOKUP(CI$14,Villagers!$B$1:$V$33,CI222+3,FALSE)),)</f>
        <v>0</v>
      </c>
      <c r="DE222" s="14">
        <f>ROUND(IF(CJ222=0,0,HLOOKUP(CJ$14,Villagers!$B$1:$V$33,CJ222+3,FALSE)),)</f>
        <v>2</v>
      </c>
      <c r="DF222" s="370">
        <f>ROUND(IF(CK222=0,0,HLOOKUP(CK$14,Villagers!$B$1:$V$33,CK222+3,FALSE)),)</f>
        <v>0</v>
      </c>
      <c r="DG222" s="370">
        <f>ROUND(IF(CL222=0,0,HLOOKUP(CL$14,Villagers!$B$1:$V$33,CL222+3,FALSE)),)</f>
        <v>0</v>
      </c>
      <c r="DH222" s="34">
        <f>ROUND(IF(CM222=0,0,HLOOKUP(CM$14,Villagers!$B$1:$V$33,CM222+3,FALSE)),)</f>
        <v>0</v>
      </c>
      <c r="DI222" s="109">
        <f t="shared" si="526"/>
        <v>0</v>
      </c>
      <c r="DJ222" s="50">
        <f t="shared" si="527"/>
        <v>0</v>
      </c>
      <c r="DK222" s="50">
        <f t="shared" si="528"/>
        <v>0</v>
      </c>
      <c r="DL222" s="50">
        <f t="shared" si="529"/>
        <v>0</v>
      </c>
      <c r="DM222" s="50">
        <f t="shared" si="530"/>
        <v>0</v>
      </c>
      <c r="DN222" s="50">
        <f t="shared" si="531"/>
        <v>0</v>
      </c>
      <c r="DO222" s="50">
        <f t="shared" si="532"/>
        <v>0</v>
      </c>
      <c r="DP222" s="50">
        <f t="shared" si="533"/>
        <v>0</v>
      </c>
      <c r="DQ222" s="50">
        <f t="shared" si="510"/>
        <v>0</v>
      </c>
      <c r="DR222" s="50">
        <f t="shared" si="511"/>
        <v>0</v>
      </c>
      <c r="DS222" s="96">
        <f>Miscelaneous!$D$4*Miscelaneous!$D$2^($CI222-1)</f>
        <v>1000</v>
      </c>
      <c r="DT222" s="333">
        <f t="shared" si="490"/>
        <v>1</v>
      </c>
      <c r="DU222" s="81">
        <v>1</v>
      </c>
      <c r="DV222" s="79">
        <f t="shared" si="512"/>
        <v>0</v>
      </c>
      <c r="DW222" s="79">
        <f t="shared" si="513"/>
        <v>0</v>
      </c>
      <c r="DX222" s="79">
        <f t="shared" si="514"/>
        <v>0</v>
      </c>
      <c r="DY222" s="79">
        <v>1</v>
      </c>
      <c r="DZ222" s="79">
        <f t="shared" si="515"/>
        <v>0</v>
      </c>
      <c r="EA222" s="79">
        <f t="shared" si="516"/>
        <v>0</v>
      </c>
      <c r="EB222" s="79">
        <f t="shared" si="517"/>
        <v>0</v>
      </c>
      <c r="EC222" s="79">
        <f t="shared" si="518"/>
        <v>0</v>
      </c>
      <c r="ED222" s="79">
        <v>1</v>
      </c>
      <c r="EE222" s="79">
        <v>1</v>
      </c>
      <c r="EF222" s="79">
        <f t="shared" si="519"/>
        <v>0</v>
      </c>
      <c r="EG222" s="79">
        <v>1</v>
      </c>
      <c r="EH222" s="79">
        <v>1</v>
      </c>
      <c r="EI222" s="79">
        <v>1</v>
      </c>
      <c r="EJ222" s="79">
        <v>1</v>
      </c>
      <c r="EK222" s="79">
        <v>1</v>
      </c>
      <c r="EL222" s="79">
        <v>1</v>
      </c>
      <c r="EM222" s="143">
        <f t="shared" si="520"/>
        <v>0</v>
      </c>
      <c r="EN222" s="143">
        <f t="shared" si="521"/>
        <v>0</v>
      </c>
      <c r="EO222" s="82">
        <f t="shared" si="522"/>
        <v>0</v>
      </c>
    </row>
    <row r="223" spans="1:145" x14ac:dyDescent="0.25">
      <c r="A223">
        <v>209</v>
      </c>
      <c r="B223" s="172" t="e">
        <f t="shared" si="491"/>
        <v>#N/A</v>
      </c>
      <c r="C223" s="121" t="e">
        <f t="shared" ref="C223:E223" si="553">AJ223-SUM(AB223:AB227)</f>
        <v>#N/A</v>
      </c>
      <c r="D223" s="122" t="e">
        <f t="shared" si="553"/>
        <v>#N/A</v>
      </c>
      <c r="E223" s="122" t="e">
        <f t="shared" si="553"/>
        <v>#N/A</v>
      </c>
      <c r="F223" s="176" t="e">
        <f t="shared" si="473"/>
        <v>#N/A</v>
      </c>
      <c r="G223" s="121">
        <f t="shared" si="493"/>
        <v>208</v>
      </c>
      <c r="H223" s="176" t="e">
        <f t="shared" si="494"/>
        <v>#N/A</v>
      </c>
      <c r="I223" s="48">
        <v>1</v>
      </c>
      <c r="J223" s="39"/>
      <c r="K223" s="350">
        <v>1</v>
      </c>
      <c r="L223" s="34" t="e">
        <f t="shared" si="474"/>
        <v>#N/A</v>
      </c>
      <c r="M223" s="38" t="e">
        <f>(HLOOKUP(J223,'Construction Times'!$B$3:$W$34,L223+2,FALSE)*HLOOKUP("hq modifier",'Construction Times'!$W$3:$W$34,BS223+2,FALSE))*(1-$H$9)</f>
        <v>#N/A</v>
      </c>
      <c r="N223" s="426" t="e">
        <f t="shared" si="495"/>
        <v>#N/A</v>
      </c>
      <c r="O223" s="427"/>
      <c r="P223" s="430" t="e">
        <f t="shared" si="496"/>
        <v>#N/A</v>
      </c>
      <c r="Q223" s="431"/>
      <c r="R223" s="103">
        <f t="shared" si="524"/>
        <v>0</v>
      </c>
      <c r="S223" s="104">
        <f t="shared" si="524"/>
        <v>0</v>
      </c>
      <c r="T223" s="104">
        <f t="shared" si="525"/>
        <v>0</v>
      </c>
      <c r="U223" s="104">
        <f t="shared" si="525"/>
        <v>0</v>
      </c>
      <c r="V223" s="104">
        <f t="shared" si="525"/>
        <v>9.9999999999999995E-8</v>
      </c>
      <c r="W223" s="104">
        <f t="shared" si="525"/>
        <v>0</v>
      </c>
      <c r="X223" s="104">
        <f t="shared" si="429"/>
        <v>0</v>
      </c>
      <c r="Y223" s="104">
        <f t="shared" si="429"/>
        <v>9.9999999999999995E-8</v>
      </c>
      <c r="Z223" s="104">
        <f t="shared" si="429"/>
        <v>9.9999999999999995E-8</v>
      </c>
      <c r="AA223" s="105">
        <f t="shared" si="429"/>
        <v>9.9999999999999995E-8</v>
      </c>
      <c r="AB223" s="101" t="e">
        <f>$DT223*HLOOKUP($J223,'Construction Costs (timber)'!$B$1:$V$32,'Construction Planner'!$L223+2,FALSE)</f>
        <v>#N/A</v>
      </c>
      <c r="AC223" s="14" t="e">
        <f>$DT223*HLOOKUP($J223,'Construction Costs (clay)'!$B$1:$V$32,'Construction Planner'!$L223+2,FALSE)</f>
        <v>#N/A</v>
      </c>
      <c r="AD223" s="14" t="e">
        <f>$DT223*HLOOKUP($J223,'Construction Costs (iron)'!$B$1:$V$32,'Construction Planner'!$L223+2,FALSE)</f>
        <v>#N/A</v>
      </c>
      <c r="AE223" s="34" t="e">
        <f t="shared" si="537"/>
        <v>#N/A</v>
      </c>
      <c r="AF223" s="33" t="e">
        <f t="shared" si="475"/>
        <v>#N/A</v>
      </c>
      <c r="AG223" s="14" t="e">
        <f t="shared" si="476"/>
        <v>#N/A</v>
      </c>
      <c r="AH223" s="14" t="e">
        <f t="shared" si="477"/>
        <v>#N/A</v>
      </c>
      <c r="AI223" s="34" t="e">
        <f t="shared" si="538"/>
        <v>#N/A</v>
      </c>
      <c r="AJ223" s="49" t="e">
        <f t="shared" si="498"/>
        <v>#N/A</v>
      </c>
      <c r="AK223" s="49" t="e">
        <f t="shared" si="499"/>
        <v>#N/A</v>
      </c>
      <c r="AL223" s="49" t="e">
        <f t="shared" si="500"/>
        <v>#N/A</v>
      </c>
      <c r="AM223" s="25">
        <f t="shared" si="478"/>
        <v>30</v>
      </c>
      <c r="AN223" s="25">
        <f t="shared" si="479"/>
        <v>30</v>
      </c>
      <c r="AO223" s="25">
        <f t="shared" si="480"/>
        <v>30</v>
      </c>
      <c r="AP223" s="52" t="e">
        <f t="shared" si="501"/>
        <v>#N/A</v>
      </c>
      <c r="AQ223" s="53" t="e">
        <f t="shared" si="501"/>
        <v>#N/A</v>
      </c>
      <c r="AR223" s="54" t="e">
        <f t="shared" si="501"/>
        <v>#N/A</v>
      </c>
      <c r="AS223" s="316">
        <f t="shared" si="539"/>
        <v>0</v>
      </c>
      <c r="AT223" s="106">
        <f>_xlfn.IFNA($M223/VLOOKUP($BT223,'Unit information'!$A$2:$K$29,2,FALSE)*R223,0)*(1+$E$9)</f>
        <v>0</v>
      </c>
      <c r="AU223" s="107">
        <f>_xlfn.IFNA($M223/VLOOKUP($BT223,'Unit information'!$A$2:$K$29,3,FALSE)*S223,0)*(1+$E$9)</f>
        <v>0</v>
      </c>
      <c r="AV223" s="107">
        <f>_xlfn.IFNA($M223/VLOOKUP($BT223,'Unit information'!$A$2:$K$29,4,FALSE)*T223,0)*(1+$E$9)</f>
        <v>0</v>
      </c>
      <c r="AW223" s="107">
        <f>_xlfn.IFNA($M223/VLOOKUP($BT223,'Unit information'!$A$2:$K$29,5,FALSE)*U223,0)*(1+$E$9)</f>
        <v>0</v>
      </c>
      <c r="AX223" s="107">
        <f>_xlfn.IFNA($M223/VLOOKUP($BU223,'Unit information'!$A$2:$K$29,6,FALSE)*V223,0)*(1+$E$9)</f>
        <v>0</v>
      </c>
      <c r="AY223" s="107">
        <f>_xlfn.IFNA($M223/VLOOKUP($BU223,'Unit information'!$A$2:$K$29,7,FALSE)*W223,0)*(1+$E$9)</f>
        <v>0</v>
      </c>
      <c r="AZ223" s="107">
        <f>_xlfn.IFNA($M223/VLOOKUP($BU223,'Unit information'!$A$2:$K$29,8,FALSE)*X223,0)*(1+$E$9)</f>
        <v>0</v>
      </c>
      <c r="BA223" s="107">
        <f>_xlfn.IFNA($M223/VLOOKUP($BU223,'Unit information'!$A$2:$K$29,9,FALSE)*Y223,0)*(1+$E$9)</f>
        <v>0</v>
      </c>
      <c r="BB223" s="107">
        <f>_xlfn.IFNA($M223/VLOOKUP($BV223,'Unit information'!$A$2:$K$29,10,FALSE)*Z223,0)*(1+$E$9)</f>
        <v>0</v>
      </c>
      <c r="BC223" s="108">
        <f>_xlfn.IFNA($M223/VLOOKUP($BV223,'Unit information'!$A$2:$K$29,11,FALSE)*AA223,0)*(1+$E$9)</f>
        <v>0</v>
      </c>
      <c r="BD223" s="106">
        <f t="shared" si="481"/>
        <v>0</v>
      </c>
      <c r="BE223" s="107">
        <f t="shared" si="482"/>
        <v>0</v>
      </c>
      <c r="BF223" s="108">
        <f t="shared" si="483"/>
        <v>0</v>
      </c>
      <c r="BG223" s="25" t="e">
        <f t="shared" si="484"/>
        <v>#N/A</v>
      </c>
      <c r="BH223" s="25" t="e">
        <f t="shared" si="485"/>
        <v>#N/A</v>
      </c>
      <c r="BI223" s="25" t="e">
        <f t="shared" si="486"/>
        <v>#N/A</v>
      </c>
      <c r="BJ223" s="27" t="e">
        <f t="shared" si="487"/>
        <v>#N/A</v>
      </c>
      <c r="BK223" s="18" t="e">
        <f t="shared" si="488"/>
        <v>#N/A</v>
      </c>
      <c r="BL223" s="18" t="e">
        <f t="shared" si="489"/>
        <v>#N/A</v>
      </c>
      <c r="BM223" s="28" t="e">
        <f t="shared" si="540"/>
        <v>#N/A</v>
      </c>
      <c r="BN223" s="33">
        <f>HLOOKUP("maximum population",Miscelaneous!$C$1:$C$33,CH223+3,FALSE)</f>
        <v>240</v>
      </c>
      <c r="BO223" s="14">
        <f t="shared" si="502"/>
        <v>32</v>
      </c>
      <c r="BP223" s="14">
        <f t="shared" si="503"/>
        <v>0</v>
      </c>
      <c r="BQ223" s="14">
        <f t="shared" si="504"/>
        <v>208</v>
      </c>
      <c r="BR223" s="34" t="e">
        <f>HLOOKUP(J223,Villagers!$B$1:$V$33,L223+3,FALSE)-HLOOKUP(J223,Villagers!$B$1:$V$33,L223+2,FALSE)</f>
        <v>#N/A</v>
      </c>
      <c r="BS223" s="49">
        <f t="shared" si="505"/>
        <v>1</v>
      </c>
      <c r="BT223" s="50">
        <f t="shared" si="506"/>
        <v>0</v>
      </c>
      <c r="BU223" s="50">
        <f t="shared" si="507"/>
        <v>0</v>
      </c>
      <c r="BV223" s="50">
        <f t="shared" si="508"/>
        <v>0</v>
      </c>
      <c r="BW223" s="50">
        <f t="shared" si="546"/>
        <v>0</v>
      </c>
      <c r="BX223" s="50">
        <f t="shared" si="544"/>
        <v>0</v>
      </c>
      <c r="BY223" s="50">
        <f t="shared" si="544"/>
        <v>0</v>
      </c>
      <c r="BZ223" s="50">
        <f t="shared" ref="BZ223:BZ286" si="554">IF($J222=BZ$14,$L222,BZ222)</f>
        <v>0</v>
      </c>
      <c r="CA223" s="50">
        <f t="shared" ref="CA223:CA286" si="555">IF($J222=CA$14,$L222,CA222)</f>
        <v>0</v>
      </c>
      <c r="CB223" s="50">
        <f t="shared" ref="CB223:CB286" si="556">IF($J222=CB$14,$L222,CB222)</f>
        <v>1</v>
      </c>
      <c r="CC223" s="50">
        <f t="shared" ref="CC223:CC286" si="557">IF($J222=CC$14,$L222,CC222)</f>
        <v>0</v>
      </c>
      <c r="CD223" s="50">
        <f t="shared" ref="CD223:CD286" si="558">IF($J222=CD$14,$L222,CD222)</f>
        <v>0</v>
      </c>
      <c r="CE223" s="50">
        <f t="shared" ref="CE223:CE286" si="559">IF($J222=CE$14,$L222,CE222)</f>
        <v>1</v>
      </c>
      <c r="CF223" s="50">
        <f t="shared" ref="CF223:CF286" si="560">IF($J222=CF$14,$L222,CF222)</f>
        <v>1</v>
      </c>
      <c r="CG223" s="50">
        <f t="shared" ref="CG223:CG286" si="561">IF($J222=CG$14,$L222,CG222)</f>
        <v>1</v>
      </c>
      <c r="CH223" s="50">
        <f t="shared" ref="CH223:CH286" si="562">IF($J222=CH$14,$L222,CH222)</f>
        <v>1</v>
      </c>
      <c r="CI223" s="50">
        <f t="shared" ref="CI223:CI286" si="563">IF($J222=CI$14,$L222,CI222)</f>
        <v>1</v>
      </c>
      <c r="CJ223" s="50">
        <f t="shared" ref="CJ223:CL286" si="564">IF($J222=CJ$14,$L222,CJ222)</f>
        <v>1</v>
      </c>
      <c r="CK223" s="50">
        <f t="shared" si="564"/>
        <v>0</v>
      </c>
      <c r="CL223" s="50">
        <f t="shared" si="564"/>
        <v>0</v>
      </c>
      <c r="CM223" s="51">
        <f t="shared" si="432"/>
        <v>0</v>
      </c>
      <c r="CN223" s="33">
        <f>ROUND(IF(BS223=0,0,HLOOKUP(BS$14,Villagers!$B$1:$V$33,BS223+3,FALSE)),)</f>
        <v>5</v>
      </c>
      <c r="CO223" s="14">
        <f>ROUND(IF(BT223=0,0,HLOOKUP(BT$14,Villagers!$B$1:$V$33,BT223+3,FALSE)),)</f>
        <v>0</v>
      </c>
      <c r="CP223" s="14">
        <f>ROUND(IF(BU223=0,0,HLOOKUP(BU$14,Villagers!$B$1:$V$33,BU223+3,FALSE)),)</f>
        <v>0</v>
      </c>
      <c r="CQ223" s="14">
        <f>ROUND(IF(BV223=0,0,HLOOKUP(BV$14,Villagers!$B$1:$V$33,BV223+3,FALSE)),)</f>
        <v>0</v>
      </c>
      <c r="CR223" s="14">
        <f>ROUND(IF(BW223=0,0,HLOOKUP(BW$14,Villagers!$B$1:$V$33,BW223+3,FALSE)),)</f>
        <v>0</v>
      </c>
      <c r="CS223" s="14">
        <f>ROUND(IF(BX223=0,0,HLOOKUP(BX$14,Villagers!$B$1:$V$33,BX223+3,FALSE)),)</f>
        <v>0</v>
      </c>
      <c r="CT223" s="14">
        <f>ROUND(IF(BY223=0,0,HLOOKUP(BY$14,Villagers!$B$1:$V$33,BY223+3,FALSE)),)</f>
        <v>0</v>
      </c>
      <c r="CU223" s="14">
        <f>ROUND(IF(BZ223=0,0,HLOOKUP(BZ$14,Villagers!$B$1:$V$33,BZ223+3,FALSE)),)</f>
        <v>0</v>
      </c>
      <c r="CV223" s="14">
        <f>ROUND(IF(CA223=0,0,HLOOKUP(CA$14,Villagers!$B$1:$V$33,CA223+3,FALSE)),)</f>
        <v>0</v>
      </c>
      <c r="CW223" s="14">
        <f>ROUND(IF(CB223=0,0,HLOOKUP(CB$14,Villagers!$B$1:$V$33,CB223+3,FALSE)),)</f>
        <v>0</v>
      </c>
      <c r="CX223" s="14">
        <f>ROUND(IF(CC223=0,0,HLOOKUP(CC$14,Villagers!$B$1:$V$33,CC223+3,FALSE)),)</f>
        <v>0</v>
      </c>
      <c r="CY223" s="14">
        <f>ROUND(IF(CD223=0,0,HLOOKUP(CD$14,Villagers!$B$1:$V$33,CD223+3,FALSE)),)</f>
        <v>0</v>
      </c>
      <c r="CZ223" s="14">
        <f>ROUND(IF(CE223=0,0,HLOOKUP(CE$14,Villagers!$B$1:$V$33,CE223+3,FALSE)),)</f>
        <v>5</v>
      </c>
      <c r="DA223" s="14">
        <f>ROUND(IF(CF223=0,0,HLOOKUP(CF$14,Villagers!$B$1:$V$33,CF223+3,FALSE)),)</f>
        <v>10</v>
      </c>
      <c r="DB223" s="14">
        <f>ROUND(IF(CG223=0,0,HLOOKUP(CG$14,Villagers!$B$1:$V$33,CG223+3,FALSE)),)</f>
        <v>10</v>
      </c>
      <c r="DC223" s="14">
        <f>ROUND(IF(CH223=0,0,HLOOKUP(CH$14,Villagers!$B$1:$V$33,CH223+3,FALSE)),)</f>
        <v>0</v>
      </c>
      <c r="DD223" s="14">
        <f>ROUND(IF(CI223=0,0,HLOOKUP(CI$14,Villagers!$B$1:$V$33,CI223+3,FALSE)),)</f>
        <v>0</v>
      </c>
      <c r="DE223" s="14">
        <f>ROUND(IF(CJ223=0,0,HLOOKUP(CJ$14,Villagers!$B$1:$V$33,CJ223+3,FALSE)),)</f>
        <v>2</v>
      </c>
      <c r="DF223" s="370">
        <f>ROUND(IF(CK223=0,0,HLOOKUP(CK$14,Villagers!$B$1:$V$33,CK223+3,FALSE)),)</f>
        <v>0</v>
      </c>
      <c r="DG223" s="370">
        <f>ROUND(IF(CL223=0,0,HLOOKUP(CL$14,Villagers!$B$1:$V$33,CL223+3,FALSE)),)</f>
        <v>0</v>
      </c>
      <c r="DH223" s="34">
        <f>ROUND(IF(CM223=0,0,HLOOKUP(CM$14,Villagers!$B$1:$V$33,CM223+3,FALSE)),)</f>
        <v>0</v>
      </c>
      <c r="DI223" s="109">
        <f t="shared" si="526"/>
        <v>0</v>
      </c>
      <c r="DJ223" s="50">
        <f t="shared" si="527"/>
        <v>0</v>
      </c>
      <c r="DK223" s="50">
        <f t="shared" si="528"/>
        <v>0</v>
      </c>
      <c r="DL223" s="50">
        <f t="shared" si="529"/>
        <v>0</v>
      </c>
      <c r="DM223" s="50">
        <f t="shared" si="530"/>
        <v>0</v>
      </c>
      <c r="DN223" s="50">
        <f t="shared" si="531"/>
        <v>0</v>
      </c>
      <c r="DO223" s="50">
        <f t="shared" si="532"/>
        <v>0</v>
      </c>
      <c r="DP223" s="50">
        <f t="shared" si="533"/>
        <v>0</v>
      </c>
      <c r="DQ223" s="50">
        <f t="shared" si="510"/>
        <v>0</v>
      </c>
      <c r="DR223" s="50">
        <f t="shared" si="511"/>
        <v>0</v>
      </c>
      <c r="DS223" s="96">
        <f>Miscelaneous!$D$4*Miscelaneous!$D$2^($CI223-1)</f>
        <v>1000</v>
      </c>
      <c r="DT223" s="333">
        <f t="shared" si="490"/>
        <v>1</v>
      </c>
      <c r="DU223" s="81">
        <v>1</v>
      </c>
      <c r="DV223" s="79">
        <f t="shared" si="512"/>
        <v>0</v>
      </c>
      <c r="DW223" s="79">
        <f t="shared" si="513"/>
        <v>0</v>
      </c>
      <c r="DX223" s="79">
        <f t="shared" si="514"/>
        <v>0</v>
      </c>
      <c r="DY223" s="79">
        <v>1</v>
      </c>
      <c r="DZ223" s="79">
        <f t="shared" si="515"/>
        <v>0</v>
      </c>
      <c r="EA223" s="79">
        <f t="shared" si="516"/>
        <v>0</v>
      </c>
      <c r="EB223" s="79">
        <f t="shared" si="517"/>
        <v>0</v>
      </c>
      <c r="EC223" s="79">
        <f t="shared" si="518"/>
        <v>0</v>
      </c>
      <c r="ED223" s="79">
        <v>1</v>
      </c>
      <c r="EE223" s="79">
        <v>1</v>
      </c>
      <c r="EF223" s="79">
        <f t="shared" si="519"/>
        <v>0</v>
      </c>
      <c r="EG223" s="79">
        <v>1</v>
      </c>
      <c r="EH223" s="79">
        <v>1</v>
      </c>
      <c r="EI223" s="79">
        <v>1</v>
      </c>
      <c r="EJ223" s="79">
        <v>1</v>
      </c>
      <c r="EK223" s="79">
        <v>1</v>
      </c>
      <c r="EL223" s="79">
        <v>1</v>
      </c>
      <c r="EM223" s="143">
        <f t="shared" si="520"/>
        <v>0</v>
      </c>
      <c r="EN223" s="143">
        <f t="shared" si="521"/>
        <v>0</v>
      </c>
      <c r="EO223" s="82">
        <f t="shared" si="522"/>
        <v>0</v>
      </c>
    </row>
    <row r="224" spans="1:145" x14ac:dyDescent="0.25">
      <c r="A224">
        <v>210</v>
      </c>
      <c r="B224" s="172" t="e">
        <f t="shared" si="491"/>
        <v>#N/A</v>
      </c>
      <c r="C224" s="121" t="e">
        <f t="shared" ref="C224:E224" si="565">AJ224-SUM(AB224:AB228)</f>
        <v>#N/A</v>
      </c>
      <c r="D224" s="122" t="e">
        <f t="shared" si="565"/>
        <v>#N/A</v>
      </c>
      <c r="E224" s="122" t="e">
        <f t="shared" si="565"/>
        <v>#N/A</v>
      </c>
      <c r="F224" s="176" t="e">
        <f t="shared" si="473"/>
        <v>#N/A</v>
      </c>
      <c r="G224" s="121">
        <f t="shared" si="493"/>
        <v>208</v>
      </c>
      <c r="H224" s="176" t="e">
        <f t="shared" si="494"/>
        <v>#N/A</v>
      </c>
      <c r="I224" s="48">
        <v>1</v>
      </c>
      <c r="J224" s="39"/>
      <c r="K224" s="350">
        <v>1</v>
      </c>
      <c r="L224" s="34" t="e">
        <f t="shared" si="474"/>
        <v>#N/A</v>
      </c>
      <c r="M224" s="38" t="e">
        <f>(HLOOKUP(J224,'Construction Times'!$B$3:$W$34,L224+2,FALSE)*HLOOKUP("hq modifier",'Construction Times'!$W$3:$W$34,BS224+2,FALSE))*(1-$H$9)</f>
        <v>#N/A</v>
      </c>
      <c r="N224" s="426" t="e">
        <f t="shared" si="495"/>
        <v>#N/A</v>
      </c>
      <c r="O224" s="427"/>
      <c r="P224" s="430" t="e">
        <f t="shared" si="496"/>
        <v>#N/A</v>
      </c>
      <c r="Q224" s="431"/>
      <c r="R224" s="103">
        <f t="shared" si="524"/>
        <v>0</v>
      </c>
      <c r="S224" s="104">
        <f t="shared" si="524"/>
        <v>0</v>
      </c>
      <c r="T224" s="104">
        <f t="shared" si="525"/>
        <v>0</v>
      </c>
      <c r="U224" s="104">
        <f t="shared" si="525"/>
        <v>0</v>
      </c>
      <c r="V224" s="104">
        <f t="shared" si="525"/>
        <v>9.9999999999999995E-8</v>
      </c>
      <c r="W224" s="104">
        <f t="shared" si="525"/>
        <v>0</v>
      </c>
      <c r="X224" s="104">
        <f t="shared" si="429"/>
        <v>0</v>
      </c>
      <c r="Y224" s="104">
        <f t="shared" si="429"/>
        <v>9.9999999999999995E-8</v>
      </c>
      <c r="Z224" s="104">
        <f t="shared" si="429"/>
        <v>9.9999999999999995E-8</v>
      </c>
      <c r="AA224" s="105">
        <f t="shared" si="429"/>
        <v>9.9999999999999995E-8</v>
      </c>
      <c r="AB224" s="101" t="e">
        <f>$DT224*HLOOKUP($J224,'Construction Costs (timber)'!$B$1:$V$32,'Construction Planner'!$L224+2,FALSE)</f>
        <v>#N/A</v>
      </c>
      <c r="AC224" s="14" t="e">
        <f>$DT224*HLOOKUP($J224,'Construction Costs (clay)'!$B$1:$V$32,'Construction Planner'!$L224+2,FALSE)</f>
        <v>#N/A</v>
      </c>
      <c r="AD224" s="14" t="e">
        <f>$DT224*HLOOKUP($J224,'Construction Costs (iron)'!$B$1:$V$32,'Construction Planner'!$L224+2,FALSE)</f>
        <v>#N/A</v>
      </c>
      <c r="AE224" s="34" t="e">
        <f t="shared" si="537"/>
        <v>#N/A</v>
      </c>
      <c r="AF224" s="33" t="e">
        <f t="shared" si="475"/>
        <v>#N/A</v>
      </c>
      <c r="AG224" s="14" t="e">
        <f t="shared" si="476"/>
        <v>#N/A</v>
      </c>
      <c r="AH224" s="14" t="e">
        <f t="shared" si="477"/>
        <v>#N/A</v>
      </c>
      <c r="AI224" s="34" t="e">
        <f t="shared" si="538"/>
        <v>#N/A</v>
      </c>
      <c r="AJ224" s="49" t="e">
        <f t="shared" si="498"/>
        <v>#N/A</v>
      </c>
      <c r="AK224" s="49" t="e">
        <f t="shared" si="499"/>
        <v>#N/A</v>
      </c>
      <c r="AL224" s="49" t="e">
        <f t="shared" si="500"/>
        <v>#N/A</v>
      </c>
      <c r="AM224" s="25">
        <f t="shared" si="478"/>
        <v>30</v>
      </c>
      <c r="AN224" s="25">
        <f t="shared" si="479"/>
        <v>30</v>
      </c>
      <c r="AO224" s="25">
        <f t="shared" si="480"/>
        <v>30</v>
      </c>
      <c r="AP224" s="52" t="e">
        <f t="shared" si="501"/>
        <v>#N/A</v>
      </c>
      <c r="AQ224" s="53" t="e">
        <f t="shared" si="501"/>
        <v>#N/A</v>
      </c>
      <c r="AR224" s="54" t="e">
        <f t="shared" si="501"/>
        <v>#N/A</v>
      </c>
      <c r="AS224" s="316">
        <f t="shared" si="539"/>
        <v>0</v>
      </c>
      <c r="AT224" s="106">
        <f>_xlfn.IFNA($M224/VLOOKUP($BT224,'Unit information'!$A$2:$K$29,2,FALSE)*R224,0)*(1+$E$9)</f>
        <v>0</v>
      </c>
      <c r="AU224" s="107">
        <f>_xlfn.IFNA($M224/VLOOKUP($BT224,'Unit information'!$A$2:$K$29,3,FALSE)*S224,0)*(1+$E$9)</f>
        <v>0</v>
      </c>
      <c r="AV224" s="107">
        <f>_xlfn.IFNA($M224/VLOOKUP($BT224,'Unit information'!$A$2:$K$29,4,FALSE)*T224,0)*(1+$E$9)</f>
        <v>0</v>
      </c>
      <c r="AW224" s="107">
        <f>_xlfn.IFNA($M224/VLOOKUP($BT224,'Unit information'!$A$2:$K$29,5,FALSE)*U224,0)*(1+$E$9)</f>
        <v>0</v>
      </c>
      <c r="AX224" s="107">
        <f>_xlfn.IFNA($M224/VLOOKUP($BU224,'Unit information'!$A$2:$K$29,6,FALSE)*V224,0)*(1+$E$9)</f>
        <v>0</v>
      </c>
      <c r="AY224" s="107">
        <f>_xlfn.IFNA($M224/VLOOKUP($BU224,'Unit information'!$A$2:$K$29,7,FALSE)*W224,0)*(1+$E$9)</f>
        <v>0</v>
      </c>
      <c r="AZ224" s="107">
        <f>_xlfn.IFNA($M224/VLOOKUP($BU224,'Unit information'!$A$2:$K$29,8,FALSE)*X224,0)*(1+$E$9)</f>
        <v>0</v>
      </c>
      <c r="BA224" s="107">
        <f>_xlfn.IFNA($M224/VLOOKUP($BU224,'Unit information'!$A$2:$K$29,9,FALSE)*Y224,0)*(1+$E$9)</f>
        <v>0</v>
      </c>
      <c r="BB224" s="107">
        <f>_xlfn.IFNA($M224/VLOOKUP($BV224,'Unit information'!$A$2:$K$29,10,FALSE)*Z224,0)*(1+$E$9)</f>
        <v>0</v>
      </c>
      <c r="BC224" s="108">
        <f>_xlfn.IFNA($M224/VLOOKUP($BV224,'Unit information'!$A$2:$K$29,11,FALSE)*AA224,0)*(1+$E$9)</f>
        <v>0</v>
      </c>
      <c r="BD224" s="106">
        <f t="shared" si="481"/>
        <v>0</v>
      </c>
      <c r="BE224" s="107">
        <f t="shared" si="482"/>
        <v>0</v>
      </c>
      <c r="BF224" s="108">
        <f t="shared" si="483"/>
        <v>0</v>
      </c>
      <c r="BG224" s="25" t="e">
        <f t="shared" si="484"/>
        <v>#N/A</v>
      </c>
      <c r="BH224" s="25" t="e">
        <f t="shared" si="485"/>
        <v>#N/A</v>
      </c>
      <c r="BI224" s="25" t="e">
        <f t="shared" si="486"/>
        <v>#N/A</v>
      </c>
      <c r="BJ224" s="27" t="e">
        <f t="shared" si="487"/>
        <v>#N/A</v>
      </c>
      <c r="BK224" s="18" t="e">
        <f t="shared" si="488"/>
        <v>#N/A</v>
      </c>
      <c r="BL224" s="18" t="e">
        <f t="shared" si="489"/>
        <v>#N/A</v>
      </c>
      <c r="BM224" s="28" t="e">
        <f t="shared" si="540"/>
        <v>#N/A</v>
      </c>
      <c r="BN224" s="33">
        <f>HLOOKUP("maximum population",Miscelaneous!$C$1:$C$33,CH224+3,FALSE)</f>
        <v>240</v>
      </c>
      <c r="BO224" s="14">
        <f t="shared" si="502"/>
        <v>32</v>
      </c>
      <c r="BP224" s="14">
        <f t="shared" si="503"/>
        <v>0</v>
      </c>
      <c r="BQ224" s="14">
        <f t="shared" si="504"/>
        <v>208</v>
      </c>
      <c r="BR224" s="34" t="e">
        <f>HLOOKUP(J224,Villagers!$B$1:$V$33,L224+3,FALSE)-HLOOKUP(J224,Villagers!$B$1:$V$33,L224+2,FALSE)</f>
        <v>#N/A</v>
      </c>
      <c r="BS224" s="49">
        <f t="shared" si="505"/>
        <v>1</v>
      </c>
      <c r="BT224" s="50">
        <f t="shared" si="506"/>
        <v>0</v>
      </c>
      <c r="BU224" s="50">
        <f t="shared" si="507"/>
        <v>0</v>
      </c>
      <c r="BV224" s="50">
        <f t="shared" si="508"/>
        <v>0</v>
      </c>
      <c r="BW224" s="50">
        <f t="shared" ref="BW224:BY230" si="566">IF($J223=BW$14,$L223,BW223)</f>
        <v>0</v>
      </c>
      <c r="BX224" s="50">
        <f t="shared" si="566"/>
        <v>0</v>
      </c>
      <c r="BY224" s="50">
        <f t="shared" si="566"/>
        <v>0</v>
      </c>
      <c r="BZ224" s="50">
        <f t="shared" si="554"/>
        <v>0</v>
      </c>
      <c r="CA224" s="50">
        <f t="shared" si="555"/>
        <v>0</v>
      </c>
      <c r="CB224" s="50">
        <f t="shared" si="556"/>
        <v>1</v>
      </c>
      <c r="CC224" s="50">
        <f t="shared" si="557"/>
        <v>0</v>
      </c>
      <c r="CD224" s="50">
        <f t="shared" si="558"/>
        <v>0</v>
      </c>
      <c r="CE224" s="50">
        <f t="shared" si="559"/>
        <v>1</v>
      </c>
      <c r="CF224" s="50">
        <f t="shared" si="560"/>
        <v>1</v>
      </c>
      <c r="CG224" s="50">
        <f t="shared" si="561"/>
        <v>1</v>
      </c>
      <c r="CH224" s="50">
        <f t="shared" si="562"/>
        <v>1</v>
      </c>
      <c r="CI224" s="50">
        <f t="shared" si="563"/>
        <v>1</v>
      </c>
      <c r="CJ224" s="50">
        <f t="shared" si="564"/>
        <v>1</v>
      </c>
      <c r="CK224" s="50">
        <f t="shared" si="564"/>
        <v>0</v>
      </c>
      <c r="CL224" s="50">
        <f t="shared" si="564"/>
        <v>0</v>
      </c>
      <c r="CM224" s="51">
        <f t="shared" si="432"/>
        <v>0</v>
      </c>
      <c r="CN224" s="33">
        <f>ROUND(IF(BS224=0,0,HLOOKUP(BS$14,Villagers!$B$1:$V$33,BS224+3,FALSE)),)</f>
        <v>5</v>
      </c>
      <c r="CO224" s="14">
        <f>ROUND(IF(BT224=0,0,HLOOKUP(BT$14,Villagers!$B$1:$V$33,BT224+3,FALSE)),)</f>
        <v>0</v>
      </c>
      <c r="CP224" s="14">
        <f>ROUND(IF(BU224=0,0,HLOOKUP(BU$14,Villagers!$B$1:$V$33,BU224+3,FALSE)),)</f>
        <v>0</v>
      </c>
      <c r="CQ224" s="14">
        <f>ROUND(IF(BV224=0,0,HLOOKUP(BV$14,Villagers!$B$1:$V$33,BV224+3,FALSE)),)</f>
        <v>0</v>
      </c>
      <c r="CR224" s="14">
        <f>ROUND(IF(BW224=0,0,HLOOKUP(BW$14,Villagers!$B$1:$V$33,BW224+3,FALSE)),)</f>
        <v>0</v>
      </c>
      <c r="CS224" s="14">
        <f>ROUND(IF(BX224=0,0,HLOOKUP(BX$14,Villagers!$B$1:$V$33,BX224+3,FALSE)),)</f>
        <v>0</v>
      </c>
      <c r="CT224" s="14">
        <f>ROUND(IF(BY224=0,0,HLOOKUP(BY$14,Villagers!$B$1:$V$33,BY224+3,FALSE)),)</f>
        <v>0</v>
      </c>
      <c r="CU224" s="14">
        <f>ROUND(IF(BZ224=0,0,HLOOKUP(BZ$14,Villagers!$B$1:$V$33,BZ224+3,FALSE)),)</f>
        <v>0</v>
      </c>
      <c r="CV224" s="14">
        <f>ROUND(IF(CA224=0,0,HLOOKUP(CA$14,Villagers!$B$1:$V$33,CA224+3,FALSE)),)</f>
        <v>0</v>
      </c>
      <c r="CW224" s="14">
        <f>ROUND(IF(CB224=0,0,HLOOKUP(CB$14,Villagers!$B$1:$V$33,CB224+3,FALSE)),)</f>
        <v>0</v>
      </c>
      <c r="CX224" s="14">
        <f>ROUND(IF(CC224=0,0,HLOOKUP(CC$14,Villagers!$B$1:$V$33,CC224+3,FALSE)),)</f>
        <v>0</v>
      </c>
      <c r="CY224" s="14">
        <f>ROUND(IF(CD224=0,0,HLOOKUP(CD$14,Villagers!$B$1:$V$33,CD224+3,FALSE)),)</f>
        <v>0</v>
      </c>
      <c r="CZ224" s="14">
        <f>ROUND(IF(CE224=0,0,HLOOKUP(CE$14,Villagers!$B$1:$V$33,CE224+3,FALSE)),)</f>
        <v>5</v>
      </c>
      <c r="DA224" s="14">
        <f>ROUND(IF(CF224=0,0,HLOOKUP(CF$14,Villagers!$B$1:$V$33,CF224+3,FALSE)),)</f>
        <v>10</v>
      </c>
      <c r="DB224" s="14">
        <f>ROUND(IF(CG224=0,0,HLOOKUP(CG$14,Villagers!$B$1:$V$33,CG224+3,FALSE)),)</f>
        <v>10</v>
      </c>
      <c r="DC224" s="14">
        <f>ROUND(IF(CH224=0,0,HLOOKUP(CH$14,Villagers!$B$1:$V$33,CH224+3,FALSE)),)</f>
        <v>0</v>
      </c>
      <c r="DD224" s="14">
        <f>ROUND(IF(CI224=0,0,HLOOKUP(CI$14,Villagers!$B$1:$V$33,CI224+3,FALSE)),)</f>
        <v>0</v>
      </c>
      <c r="DE224" s="14">
        <f>ROUND(IF(CJ224=0,0,HLOOKUP(CJ$14,Villagers!$B$1:$V$33,CJ224+3,FALSE)),)</f>
        <v>2</v>
      </c>
      <c r="DF224" s="370">
        <f>ROUND(IF(CK224=0,0,HLOOKUP(CK$14,Villagers!$B$1:$V$33,CK224+3,FALSE)),)</f>
        <v>0</v>
      </c>
      <c r="DG224" s="370">
        <f>ROUND(IF(CL224=0,0,HLOOKUP(CL$14,Villagers!$B$1:$V$33,CL224+3,FALSE)),)</f>
        <v>0</v>
      </c>
      <c r="DH224" s="34">
        <f>ROUND(IF(CM224=0,0,HLOOKUP(CM$14,Villagers!$B$1:$V$33,CM224+3,FALSE)),)</f>
        <v>0</v>
      </c>
      <c r="DI224" s="109">
        <f t="shared" si="526"/>
        <v>0</v>
      </c>
      <c r="DJ224" s="50">
        <f t="shared" si="527"/>
        <v>0</v>
      </c>
      <c r="DK224" s="50">
        <f t="shared" si="528"/>
        <v>0</v>
      </c>
      <c r="DL224" s="50">
        <f t="shared" si="529"/>
        <v>0</v>
      </c>
      <c r="DM224" s="50">
        <f t="shared" si="530"/>
        <v>0</v>
      </c>
      <c r="DN224" s="50">
        <f t="shared" si="531"/>
        <v>0</v>
      </c>
      <c r="DO224" s="50">
        <f t="shared" si="532"/>
        <v>0</v>
      </c>
      <c r="DP224" s="50">
        <f t="shared" si="533"/>
        <v>0</v>
      </c>
      <c r="DQ224" s="50">
        <f t="shared" si="510"/>
        <v>0</v>
      </c>
      <c r="DR224" s="50">
        <f t="shared" si="511"/>
        <v>0</v>
      </c>
      <c r="DS224" s="96">
        <f>Miscelaneous!$D$4*Miscelaneous!$D$2^($CI224-1)</f>
        <v>1000</v>
      </c>
      <c r="DT224" s="333">
        <f t="shared" si="490"/>
        <v>1</v>
      </c>
      <c r="DU224" s="81">
        <v>1</v>
      </c>
      <c r="DV224" s="79">
        <f t="shared" si="512"/>
        <v>0</v>
      </c>
      <c r="DW224" s="79">
        <f t="shared" si="513"/>
        <v>0</v>
      </c>
      <c r="DX224" s="79">
        <f t="shared" si="514"/>
        <v>0</v>
      </c>
      <c r="DY224" s="79">
        <v>1</v>
      </c>
      <c r="DZ224" s="79">
        <f t="shared" si="515"/>
        <v>0</v>
      </c>
      <c r="EA224" s="79">
        <f t="shared" si="516"/>
        <v>0</v>
      </c>
      <c r="EB224" s="79">
        <f t="shared" si="517"/>
        <v>0</v>
      </c>
      <c r="EC224" s="79">
        <f t="shared" si="518"/>
        <v>0</v>
      </c>
      <c r="ED224" s="79">
        <v>1</v>
      </c>
      <c r="EE224" s="79">
        <v>1</v>
      </c>
      <c r="EF224" s="79">
        <f t="shared" si="519"/>
        <v>0</v>
      </c>
      <c r="EG224" s="79">
        <v>1</v>
      </c>
      <c r="EH224" s="79">
        <v>1</v>
      </c>
      <c r="EI224" s="79">
        <v>1</v>
      </c>
      <c r="EJ224" s="79">
        <v>1</v>
      </c>
      <c r="EK224" s="79">
        <v>1</v>
      </c>
      <c r="EL224" s="79">
        <v>1</v>
      </c>
      <c r="EM224" s="143">
        <f t="shared" si="520"/>
        <v>0</v>
      </c>
      <c r="EN224" s="143">
        <f t="shared" si="521"/>
        <v>0</v>
      </c>
      <c r="EO224" s="82">
        <f t="shared" si="522"/>
        <v>0</v>
      </c>
    </row>
    <row r="225" spans="1:145" x14ac:dyDescent="0.25">
      <c r="A225">
        <v>211</v>
      </c>
      <c r="B225" s="172" t="e">
        <f t="shared" si="491"/>
        <v>#N/A</v>
      </c>
      <c r="C225" s="121" t="e">
        <f t="shared" ref="C225:E225" si="567">AJ225-SUM(AB225:AB229)</f>
        <v>#N/A</v>
      </c>
      <c r="D225" s="122" t="e">
        <f t="shared" si="567"/>
        <v>#N/A</v>
      </c>
      <c r="E225" s="122" t="e">
        <f t="shared" si="567"/>
        <v>#N/A</v>
      </c>
      <c r="F225" s="176" t="e">
        <f t="shared" si="473"/>
        <v>#N/A</v>
      </c>
      <c r="G225" s="121">
        <f t="shared" si="493"/>
        <v>208</v>
      </c>
      <c r="H225" s="176" t="e">
        <f t="shared" si="494"/>
        <v>#N/A</v>
      </c>
      <c r="I225" s="48">
        <v>1</v>
      </c>
      <c r="J225" s="39"/>
      <c r="K225" s="350">
        <v>1</v>
      </c>
      <c r="L225" s="34" t="e">
        <f t="shared" si="474"/>
        <v>#N/A</v>
      </c>
      <c r="M225" s="38" t="e">
        <f>(HLOOKUP(J225,'Construction Times'!$B$3:$W$34,L225+2,FALSE)*HLOOKUP("hq modifier",'Construction Times'!$W$3:$W$34,BS225+2,FALSE))*(1-$H$9)</f>
        <v>#N/A</v>
      </c>
      <c r="N225" s="426" t="e">
        <f t="shared" si="495"/>
        <v>#N/A</v>
      </c>
      <c r="O225" s="427"/>
      <c r="P225" s="430" t="e">
        <f t="shared" si="496"/>
        <v>#N/A</v>
      </c>
      <c r="Q225" s="431"/>
      <c r="R225" s="103">
        <f t="shared" si="524"/>
        <v>0</v>
      </c>
      <c r="S225" s="104">
        <f t="shared" si="524"/>
        <v>0</v>
      </c>
      <c r="T225" s="104">
        <f t="shared" si="525"/>
        <v>0</v>
      </c>
      <c r="U225" s="104">
        <f t="shared" si="525"/>
        <v>0</v>
      </c>
      <c r="V225" s="104">
        <f t="shared" si="525"/>
        <v>9.9999999999999995E-8</v>
      </c>
      <c r="W225" s="104">
        <f t="shared" si="525"/>
        <v>0</v>
      </c>
      <c r="X225" s="104">
        <f t="shared" si="429"/>
        <v>0</v>
      </c>
      <c r="Y225" s="104">
        <f t="shared" si="429"/>
        <v>9.9999999999999995E-8</v>
      </c>
      <c r="Z225" s="104">
        <f t="shared" si="429"/>
        <v>9.9999999999999995E-8</v>
      </c>
      <c r="AA225" s="105">
        <f t="shared" si="429"/>
        <v>9.9999999999999995E-8</v>
      </c>
      <c r="AB225" s="101" t="e">
        <f>$DT225*HLOOKUP($J225,'Construction Costs (timber)'!$B$1:$V$32,'Construction Planner'!$L225+2,FALSE)</f>
        <v>#N/A</v>
      </c>
      <c r="AC225" s="14" t="e">
        <f>$DT225*HLOOKUP($J225,'Construction Costs (clay)'!$B$1:$V$32,'Construction Planner'!$L225+2,FALSE)</f>
        <v>#N/A</v>
      </c>
      <c r="AD225" s="14" t="e">
        <f>$DT225*HLOOKUP($J225,'Construction Costs (iron)'!$B$1:$V$32,'Construction Planner'!$L225+2,FALSE)</f>
        <v>#N/A</v>
      </c>
      <c r="AE225" s="34" t="e">
        <f t="shared" si="537"/>
        <v>#N/A</v>
      </c>
      <c r="AF225" s="33" t="e">
        <f t="shared" si="475"/>
        <v>#N/A</v>
      </c>
      <c r="AG225" s="14" t="e">
        <f t="shared" si="476"/>
        <v>#N/A</v>
      </c>
      <c r="AH225" s="14" t="e">
        <f t="shared" si="477"/>
        <v>#N/A</v>
      </c>
      <c r="AI225" s="34" t="e">
        <f t="shared" si="538"/>
        <v>#N/A</v>
      </c>
      <c r="AJ225" s="49" t="e">
        <f t="shared" si="498"/>
        <v>#N/A</v>
      </c>
      <c r="AK225" s="49" t="e">
        <f t="shared" si="499"/>
        <v>#N/A</v>
      </c>
      <c r="AL225" s="49" t="e">
        <f t="shared" si="500"/>
        <v>#N/A</v>
      </c>
      <c r="AM225" s="25">
        <f t="shared" si="478"/>
        <v>30</v>
      </c>
      <c r="AN225" s="25">
        <f t="shared" si="479"/>
        <v>30</v>
      </c>
      <c r="AO225" s="25">
        <f t="shared" si="480"/>
        <v>30</v>
      </c>
      <c r="AP225" s="52" t="e">
        <f t="shared" si="501"/>
        <v>#N/A</v>
      </c>
      <c r="AQ225" s="53" t="e">
        <f t="shared" si="501"/>
        <v>#N/A</v>
      </c>
      <c r="AR225" s="54" t="e">
        <f t="shared" si="501"/>
        <v>#N/A</v>
      </c>
      <c r="AS225" s="316">
        <f t="shared" si="539"/>
        <v>0</v>
      </c>
      <c r="AT225" s="106">
        <f>_xlfn.IFNA($M225/VLOOKUP($BT225,'Unit information'!$A$2:$K$29,2,FALSE)*R225,0)*(1+$E$9)</f>
        <v>0</v>
      </c>
      <c r="AU225" s="107">
        <f>_xlfn.IFNA($M225/VLOOKUP($BT225,'Unit information'!$A$2:$K$29,3,FALSE)*S225,0)*(1+$E$9)</f>
        <v>0</v>
      </c>
      <c r="AV225" s="107">
        <f>_xlfn.IFNA($M225/VLOOKUP($BT225,'Unit information'!$A$2:$K$29,4,FALSE)*T225,0)*(1+$E$9)</f>
        <v>0</v>
      </c>
      <c r="AW225" s="107">
        <f>_xlfn.IFNA($M225/VLOOKUP($BT225,'Unit information'!$A$2:$K$29,5,FALSE)*U225,0)*(1+$E$9)</f>
        <v>0</v>
      </c>
      <c r="AX225" s="107">
        <f>_xlfn.IFNA($M225/VLOOKUP($BU225,'Unit information'!$A$2:$K$29,6,FALSE)*V225,0)*(1+$E$9)</f>
        <v>0</v>
      </c>
      <c r="AY225" s="107">
        <f>_xlfn.IFNA($M225/VLOOKUP($BU225,'Unit information'!$A$2:$K$29,7,FALSE)*W225,0)*(1+$E$9)</f>
        <v>0</v>
      </c>
      <c r="AZ225" s="107">
        <f>_xlfn.IFNA($M225/VLOOKUP($BU225,'Unit information'!$A$2:$K$29,8,FALSE)*X225,0)*(1+$E$9)</f>
        <v>0</v>
      </c>
      <c r="BA225" s="107">
        <f>_xlfn.IFNA($M225/VLOOKUP($BU225,'Unit information'!$A$2:$K$29,9,FALSE)*Y225,0)*(1+$E$9)</f>
        <v>0</v>
      </c>
      <c r="BB225" s="107">
        <f>_xlfn.IFNA($M225/VLOOKUP($BV225,'Unit information'!$A$2:$K$29,10,FALSE)*Z225,0)*(1+$E$9)</f>
        <v>0</v>
      </c>
      <c r="BC225" s="108">
        <f>_xlfn.IFNA($M225/VLOOKUP($BV225,'Unit information'!$A$2:$K$29,11,FALSE)*AA225,0)*(1+$E$9)</f>
        <v>0</v>
      </c>
      <c r="BD225" s="106">
        <f t="shared" si="481"/>
        <v>0</v>
      </c>
      <c r="BE225" s="107">
        <f t="shared" si="482"/>
        <v>0</v>
      </c>
      <c r="BF225" s="108">
        <f t="shared" si="483"/>
        <v>0</v>
      </c>
      <c r="BG225" s="25" t="e">
        <f t="shared" si="484"/>
        <v>#N/A</v>
      </c>
      <c r="BH225" s="25" t="e">
        <f t="shared" si="485"/>
        <v>#N/A</v>
      </c>
      <c r="BI225" s="25" t="e">
        <f t="shared" si="486"/>
        <v>#N/A</v>
      </c>
      <c r="BJ225" s="27" t="e">
        <f t="shared" si="487"/>
        <v>#N/A</v>
      </c>
      <c r="BK225" s="18" t="e">
        <f t="shared" si="488"/>
        <v>#N/A</v>
      </c>
      <c r="BL225" s="18" t="e">
        <f t="shared" si="489"/>
        <v>#N/A</v>
      </c>
      <c r="BM225" s="28" t="e">
        <f t="shared" si="540"/>
        <v>#N/A</v>
      </c>
      <c r="BN225" s="33">
        <f>HLOOKUP("maximum population",Miscelaneous!$C$1:$C$33,CH225+3,FALSE)</f>
        <v>240</v>
      </c>
      <c r="BO225" s="14">
        <f t="shared" si="502"/>
        <v>32</v>
      </c>
      <c r="BP225" s="14">
        <f t="shared" si="503"/>
        <v>0</v>
      </c>
      <c r="BQ225" s="14">
        <f t="shared" si="504"/>
        <v>208</v>
      </c>
      <c r="BR225" s="34" t="e">
        <f>HLOOKUP(J225,Villagers!$B$1:$V$33,L225+3,FALSE)-HLOOKUP(J225,Villagers!$B$1:$V$33,L225+2,FALSE)</f>
        <v>#N/A</v>
      </c>
      <c r="BS225" s="49">
        <f t="shared" si="505"/>
        <v>1</v>
      </c>
      <c r="BT225" s="50">
        <f t="shared" si="506"/>
        <v>0</v>
      </c>
      <c r="BU225" s="50">
        <f t="shared" si="507"/>
        <v>0</v>
      </c>
      <c r="BV225" s="50">
        <f t="shared" si="508"/>
        <v>0</v>
      </c>
      <c r="BW225" s="50">
        <f t="shared" si="566"/>
        <v>0</v>
      </c>
      <c r="BX225" s="50">
        <f t="shared" si="566"/>
        <v>0</v>
      </c>
      <c r="BY225" s="50">
        <f t="shared" si="566"/>
        <v>0</v>
      </c>
      <c r="BZ225" s="50">
        <f t="shared" si="554"/>
        <v>0</v>
      </c>
      <c r="CA225" s="50">
        <f t="shared" si="555"/>
        <v>0</v>
      </c>
      <c r="CB225" s="50">
        <f t="shared" si="556"/>
        <v>1</v>
      </c>
      <c r="CC225" s="50">
        <f t="shared" si="557"/>
        <v>0</v>
      </c>
      <c r="CD225" s="50">
        <f t="shared" si="558"/>
        <v>0</v>
      </c>
      <c r="CE225" s="50">
        <f t="shared" si="559"/>
        <v>1</v>
      </c>
      <c r="CF225" s="50">
        <f t="shared" si="560"/>
        <v>1</v>
      </c>
      <c r="CG225" s="50">
        <f t="shared" si="561"/>
        <v>1</v>
      </c>
      <c r="CH225" s="50">
        <f t="shared" si="562"/>
        <v>1</v>
      </c>
      <c r="CI225" s="50">
        <f t="shared" si="563"/>
        <v>1</v>
      </c>
      <c r="CJ225" s="50">
        <f t="shared" si="564"/>
        <v>1</v>
      </c>
      <c r="CK225" s="50">
        <f t="shared" si="564"/>
        <v>0</v>
      </c>
      <c r="CL225" s="50">
        <f t="shared" si="564"/>
        <v>0</v>
      </c>
      <c r="CM225" s="51">
        <f t="shared" si="432"/>
        <v>0</v>
      </c>
      <c r="CN225" s="33">
        <f>ROUND(IF(BS225=0,0,HLOOKUP(BS$14,Villagers!$B$1:$V$33,BS225+3,FALSE)),)</f>
        <v>5</v>
      </c>
      <c r="CO225" s="14">
        <f>ROUND(IF(BT225=0,0,HLOOKUP(BT$14,Villagers!$B$1:$V$33,BT225+3,FALSE)),)</f>
        <v>0</v>
      </c>
      <c r="CP225" s="14">
        <f>ROUND(IF(BU225=0,0,HLOOKUP(BU$14,Villagers!$B$1:$V$33,BU225+3,FALSE)),)</f>
        <v>0</v>
      </c>
      <c r="CQ225" s="14">
        <f>ROUND(IF(BV225=0,0,HLOOKUP(BV$14,Villagers!$B$1:$V$33,BV225+3,FALSE)),)</f>
        <v>0</v>
      </c>
      <c r="CR225" s="14">
        <f>ROUND(IF(BW225=0,0,HLOOKUP(BW$14,Villagers!$B$1:$V$33,BW225+3,FALSE)),)</f>
        <v>0</v>
      </c>
      <c r="CS225" s="14">
        <f>ROUND(IF(BX225=0,0,HLOOKUP(BX$14,Villagers!$B$1:$V$33,BX225+3,FALSE)),)</f>
        <v>0</v>
      </c>
      <c r="CT225" s="14">
        <f>ROUND(IF(BY225=0,0,HLOOKUP(BY$14,Villagers!$B$1:$V$33,BY225+3,FALSE)),)</f>
        <v>0</v>
      </c>
      <c r="CU225" s="14">
        <f>ROUND(IF(BZ225=0,0,HLOOKUP(BZ$14,Villagers!$B$1:$V$33,BZ225+3,FALSE)),)</f>
        <v>0</v>
      </c>
      <c r="CV225" s="14">
        <f>ROUND(IF(CA225=0,0,HLOOKUP(CA$14,Villagers!$B$1:$V$33,CA225+3,FALSE)),)</f>
        <v>0</v>
      </c>
      <c r="CW225" s="14">
        <f>ROUND(IF(CB225=0,0,HLOOKUP(CB$14,Villagers!$B$1:$V$33,CB225+3,FALSE)),)</f>
        <v>0</v>
      </c>
      <c r="CX225" s="14">
        <f>ROUND(IF(CC225=0,0,HLOOKUP(CC$14,Villagers!$B$1:$V$33,CC225+3,FALSE)),)</f>
        <v>0</v>
      </c>
      <c r="CY225" s="14">
        <f>ROUND(IF(CD225=0,0,HLOOKUP(CD$14,Villagers!$B$1:$V$33,CD225+3,FALSE)),)</f>
        <v>0</v>
      </c>
      <c r="CZ225" s="14">
        <f>ROUND(IF(CE225=0,0,HLOOKUP(CE$14,Villagers!$B$1:$V$33,CE225+3,FALSE)),)</f>
        <v>5</v>
      </c>
      <c r="DA225" s="14">
        <f>ROUND(IF(CF225=0,0,HLOOKUP(CF$14,Villagers!$B$1:$V$33,CF225+3,FALSE)),)</f>
        <v>10</v>
      </c>
      <c r="DB225" s="14">
        <f>ROUND(IF(CG225=0,0,HLOOKUP(CG$14,Villagers!$B$1:$V$33,CG225+3,FALSE)),)</f>
        <v>10</v>
      </c>
      <c r="DC225" s="14">
        <f>ROUND(IF(CH225=0,0,HLOOKUP(CH$14,Villagers!$B$1:$V$33,CH225+3,FALSE)),)</f>
        <v>0</v>
      </c>
      <c r="DD225" s="14">
        <f>ROUND(IF(CI225=0,0,HLOOKUP(CI$14,Villagers!$B$1:$V$33,CI225+3,FALSE)),)</f>
        <v>0</v>
      </c>
      <c r="DE225" s="14">
        <f>ROUND(IF(CJ225=0,0,HLOOKUP(CJ$14,Villagers!$B$1:$V$33,CJ225+3,FALSE)),)</f>
        <v>2</v>
      </c>
      <c r="DF225" s="370">
        <f>ROUND(IF(CK225=0,0,HLOOKUP(CK$14,Villagers!$B$1:$V$33,CK225+3,FALSE)),)</f>
        <v>0</v>
      </c>
      <c r="DG225" s="370">
        <f>ROUND(IF(CL225=0,0,HLOOKUP(CL$14,Villagers!$B$1:$V$33,CL225+3,FALSE)),)</f>
        <v>0</v>
      </c>
      <c r="DH225" s="34">
        <f>ROUND(IF(CM225=0,0,HLOOKUP(CM$14,Villagers!$B$1:$V$33,CM225+3,FALSE)),)</f>
        <v>0</v>
      </c>
      <c r="DI225" s="109">
        <f t="shared" si="526"/>
        <v>0</v>
      </c>
      <c r="DJ225" s="50">
        <f t="shared" si="527"/>
        <v>0</v>
      </c>
      <c r="DK225" s="50">
        <f t="shared" si="528"/>
        <v>0</v>
      </c>
      <c r="DL225" s="50">
        <f t="shared" si="529"/>
        <v>0</v>
      </c>
      <c r="DM225" s="50">
        <f t="shared" si="530"/>
        <v>0</v>
      </c>
      <c r="DN225" s="50">
        <f t="shared" si="531"/>
        <v>0</v>
      </c>
      <c r="DO225" s="50">
        <f t="shared" si="532"/>
        <v>0</v>
      </c>
      <c r="DP225" s="50">
        <f t="shared" si="533"/>
        <v>0</v>
      </c>
      <c r="DQ225" s="50">
        <f t="shared" si="510"/>
        <v>0</v>
      </c>
      <c r="DR225" s="50">
        <f t="shared" si="511"/>
        <v>0</v>
      </c>
      <c r="DS225" s="96">
        <f>Miscelaneous!$D$4*Miscelaneous!$D$2^($CI225-1)</f>
        <v>1000</v>
      </c>
      <c r="DT225" s="333">
        <f t="shared" si="490"/>
        <v>1</v>
      </c>
      <c r="DU225" s="81">
        <v>1</v>
      </c>
      <c r="DV225" s="79">
        <f t="shared" si="512"/>
        <v>0</v>
      </c>
      <c r="DW225" s="79">
        <f t="shared" si="513"/>
        <v>0</v>
      </c>
      <c r="DX225" s="79">
        <f t="shared" si="514"/>
        <v>0</v>
      </c>
      <c r="DY225" s="79">
        <v>1</v>
      </c>
      <c r="DZ225" s="79">
        <f t="shared" si="515"/>
        <v>0</v>
      </c>
      <c r="EA225" s="79">
        <f t="shared" si="516"/>
        <v>0</v>
      </c>
      <c r="EB225" s="79">
        <f t="shared" si="517"/>
        <v>0</v>
      </c>
      <c r="EC225" s="79">
        <f t="shared" si="518"/>
        <v>0</v>
      </c>
      <c r="ED225" s="79">
        <v>1</v>
      </c>
      <c r="EE225" s="79">
        <v>1</v>
      </c>
      <c r="EF225" s="79">
        <f t="shared" si="519"/>
        <v>0</v>
      </c>
      <c r="EG225" s="79">
        <v>1</v>
      </c>
      <c r="EH225" s="79">
        <v>1</v>
      </c>
      <c r="EI225" s="79">
        <v>1</v>
      </c>
      <c r="EJ225" s="79">
        <v>1</v>
      </c>
      <c r="EK225" s="79">
        <v>1</v>
      </c>
      <c r="EL225" s="79">
        <v>1</v>
      </c>
      <c r="EM225" s="143">
        <f t="shared" si="520"/>
        <v>0</v>
      </c>
      <c r="EN225" s="143">
        <f t="shared" si="521"/>
        <v>0</v>
      </c>
      <c r="EO225" s="82">
        <f t="shared" si="522"/>
        <v>0</v>
      </c>
    </row>
    <row r="226" spans="1:145" x14ac:dyDescent="0.25">
      <c r="A226">
        <v>212</v>
      </c>
      <c r="B226" s="172" t="e">
        <f t="shared" si="491"/>
        <v>#N/A</v>
      </c>
      <c r="C226" s="121" t="e">
        <f t="shared" ref="C226:E226" si="568">AJ226-SUM(AB226:AB230)</f>
        <v>#N/A</v>
      </c>
      <c r="D226" s="122" t="e">
        <f t="shared" si="568"/>
        <v>#N/A</v>
      </c>
      <c r="E226" s="122" t="e">
        <f t="shared" si="568"/>
        <v>#N/A</v>
      </c>
      <c r="F226" s="176" t="e">
        <f t="shared" si="473"/>
        <v>#N/A</v>
      </c>
      <c r="G226" s="121">
        <f t="shared" si="493"/>
        <v>208</v>
      </c>
      <c r="H226" s="176" t="e">
        <f t="shared" si="494"/>
        <v>#N/A</v>
      </c>
      <c r="I226" s="48">
        <v>1</v>
      </c>
      <c r="J226" s="39"/>
      <c r="K226" s="350">
        <v>1</v>
      </c>
      <c r="L226" s="34" t="e">
        <f t="shared" si="474"/>
        <v>#N/A</v>
      </c>
      <c r="M226" s="38" t="e">
        <f>(HLOOKUP(J226,'Construction Times'!$B$3:$W$34,L226+2,FALSE)*HLOOKUP("hq modifier",'Construction Times'!$W$3:$W$34,BS226+2,FALSE))*(1-$H$9)</f>
        <v>#N/A</v>
      </c>
      <c r="N226" s="426" t="e">
        <f t="shared" si="495"/>
        <v>#N/A</v>
      </c>
      <c r="O226" s="427"/>
      <c r="P226" s="430" t="e">
        <f t="shared" si="496"/>
        <v>#N/A</v>
      </c>
      <c r="Q226" s="431"/>
      <c r="R226" s="103">
        <f t="shared" si="524"/>
        <v>0</v>
      </c>
      <c r="S226" s="104">
        <f t="shared" si="524"/>
        <v>0</v>
      </c>
      <c r="T226" s="104">
        <f t="shared" si="525"/>
        <v>0</v>
      </c>
      <c r="U226" s="104">
        <f t="shared" si="525"/>
        <v>0</v>
      </c>
      <c r="V226" s="104">
        <f t="shared" si="525"/>
        <v>9.9999999999999995E-8</v>
      </c>
      <c r="W226" s="104">
        <f t="shared" si="525"/>
        <v>0</v>
      </c>
      <c r="X226" s="104">
        <f t="shared" si="429"/>
        <v>0</v>
      </c>
      <c r="Y226" s="104">
        <f t="shared" si="429"/>
        <v>9.9999999999999995E-8</v>
      </c>
      <c r="Z226" s="104">
        <f t="shared" si="429"/>
        <v>9.9999999999999995E-8</v>
      </c>
      <c r="AA226" s="105">
        <f t="shared" si="429"/>
        <v>9.9999999999999995E-8</v>
      </c>
      <c r="AB226" s="101" t="e">
        <f>$DT226*HLOOKUP($J226,'Construction Costs (timber)'!$B$1:$V$32,'Construction Planner'!$L226+2,FALSE)</f>
        <v>#N/A</v>
      </c>
      <c r="AC226" s="14" t="e">
        <f>$DT226*HLOOKUP($J226,'Construction Costs (clay)'!$B$1:$V$32,'Construction Planner'!$L226+2,FALSE)</f>
        <v>#N/A</v>
      </c>
      <c r="AD226" s="14" t="e">
        <f>$DT226*HLOOKUP($J226,'Construction Costs (iron)'!$B$1:$V$32,'Construction Planner'!$L226+2,FALSE)</f>
        <v>#N/A</v>
      </c>
      <c r="AE226" s="34" t="e">
        <f t="shared" si="537"/>
        <v>#N/A</v>
      </c>
      <c r="AF226" s="33" t="e">
        <f t="shared" si="475"/>
        <v>#N/A</v>
      </c>
      <c r="AG226" s="14" t="e">
        <f t="shared" si="476"/>
        <v>#N/A</v>
      </c>
      <c r="AH226" s="14" t="e">
        <f t="shared" si="477"/>
        <v>#N/A</v>
      </c>
      <c r="AI226" s="34" t="e">
        <f t="shared" si="538"/>
        <v>#N/A</v>
      </c>
      <c r="AJ226" s="49" t="e">
        <f t="shared" si="498"/>
        <v>#N/A</v>
      </c>
      <c r="AK226" s="49" t="e">
        <f t="shared" si="499"/>
        <v>#N/A</v>
      </c>
      <c r="AL226" s="49" t="e">
        <f t="shared" si="500"/>
        <v>#N/A</v>
      </c>
      <c r="AM226" s="25">
        <f t="shared" si="478"/>
        <v>30</v>
      </c>
      <c r="AN226" s="25">
        <f t="shared" si="479"/>
        <v>30</v>
      </c>
      <c r="AO226" s="25">
        <f t="shared" si="480"/>
        <v>30</v>
      </c>
      <c r="AP226" s="52" t="e">
        <f t="shared" si="501"/>
        <v>#N/A</v>
      </c>
      <c r="AQ226" s="53" t="e">
        <f t="shared" si="501"/>
        <v>#N/A</v>
      </c>
      <c r="AR226" s="54" t="e">
        <f t="shared" si="501"/>
        <v>#N/A</v>
      </c>
      <c r="AS226" s="316">
        <f t="shared" si="539"/>
        <v>0</v>
      </c>
      <c r="AT226" s="106">
        <f>_xlfn.IFNA($M226/VLOOKUP($BT226,'Unit information'!$A$2:$K$29,2,FALSE)*R226,0)*(1+$E$9)</f>
        <v>0</v>
      </c>
      <c r="AU226" s="107">
        <f>_xlfn.IFNA($M226/VLOOKUP($BT226,'Unit information'!$A$2:$K$29,3,FALSE)*S226,0)*(1+$E$9)</f>
        <v>0</v>
      </c>
      <c r="AV226" s="107">
        <f>_xlfn.IFNA($M226/VLOOKUP($BT226,'Unit information'!$A$2:$K$29,4,FALSE)*T226,0)*(1+$E$9)</f>
        <v>0</v>
      </c>
      <c r="AW226" s="107">
        <f>_xlfn.IFNA($M226/VLOOKUP($BT226,'Unit information'!$A$2:$K$29,5,FALSE)*U226,0)*(1+$E$9)</f>
        <v>0</v>
      </c>
      <c r="AX226" s="107">
        <f>_xlfn.IFNA($M226/VLOOKUP($BU226,'Unit information'!$A$2:$K$29,6,FALSE)*V226,0)*(1+$E$9)</f>
        <v>0</v>
      </c>
      <c r="AY226" s="107">
        <f>_xlfn.IFNA($M226/VLOOKUP($BU226,'Unit information'!$A$2:$K$29,7,FALSE)*W226,0)*(1+$E$9)</f>
        <v>0</v>
      </c>
      <c r="AZ226" s="107">
        <f>_xlfn.IFNA($M226/VLOOKUP($BU226,'Unit information'!$A$2:$K$29,8,FALSE)*X226,0)*(1+$E$9)</f>
        <v>0</v>
      </c>
      <c r="BA226" s="107">
        <f>_xlfn.IFNA($M226/VLOOKUP($BU226,'Unit information'!$A$2:$K$29,9,FALSE)*Y226,0)*(1+$E$9)</f>
        <v>0</v>
      </c>
      <c r="BB226" s="107">
        <f>_xlfn.IFNA($M226/VLOOKUP($BV226,'Unit information'!$A$2:$K$29,10,FALSE)*Z226,0)*(1+$E$9)</f>
        <v>0</v>
      </c>
      <c r="BC226" s="108">
        <f>_xlfn.IFNA($M226/VLOOKUP($BV226,'Unit information'!$A$2:$K$29,11,FALSE)*AA226,0)*(1+$E$9)</f>
        <v>0</v>
      </c>
      <c r="BD226" s="106">
        <f t="shared" si="481"/>
        <v>0</v>
      </c>
      <c r="BE226" s="107">
        <f t="shared" si="482"/>
        <v>0</v>
      </c>
      <c r="BF226" s="108">
        <f t="shared" si="483"/>
        <v>0</v>
      </c>
      <c r="BG226" s="25" t="e">
        <f t="shared" si="484"/>
        <v>#N/A</v>
      </c>
      <c r="BH226" s="25" t="e">
        <f t="shared" si="485"/>
        <v>#N/A</v>
      </c>
      <c r="BI226" s="25" t="e">
        <f t="shared" si="486"/>
        <v>#N/A</v>
      </c>
      <c r="BJ226" s="27" t="e">
        <f t="shared" si="487"/>
        <v>#N/A</v>
      </c>
      <c r="BK226" s="18" t="e">
        <f t="shared" si="488"/>
        <v>#N/A</v>
      </c>
      <c r="BL226" s="18" t="e">
        <f t="shared" si="489"/>
        <v>#N/A</v>
      </c>
      <c r="BM226" s="28" t="e">
        <f t="shared" si="540"/>
        <v>#N/A</v>
      </c>
      <c r="BN226" s="33">
        <f>HLOOKUP("maximum population",Miscelaneous!$C$1:$C$33,CH226+3,FALSE)</f>
        <v>240</v>
      </c>
      <c r="BO226" s="14">
        <f t="shared" si="502"/>
        <v>32</v>
      </c>
      <c r="BP226" s="14">
        <f t="shared" si="503"/>
        <v>0</v>
      </c>
      <c r="BQ226" s="14">
        <f t="shared" si="504"/>
        <v>208</v>
      </c>
      <c r="BR226" s="34" t="e">
        <f>HLOOKUP(J226,Villagers!$B$1:$V$33,L226+3,FALSE)-HLOOKUP(J226,Villagers!$B$1:$V$33,L226+2,FALSE)</f>
        <v>#N/A</v>
      </c>
      <c r="BS226" s="49">
        <f t="shared" si="505"/>
        <v>1</v>
      </c>
      <c r="BT226" s="50">
        <f t="shared" si="506"/>
        <v>0</v>
      </c>
      <c r="BU226" s="50">
        <f t="shared" si="507"/>
        <v>0</v>
      </c>
      <c r="BV226" s="50">
        <f t="shared" si="508"/>
        <v>0</v>
      </c>
      <c r="BW226" s="50">
        <f t="shared" si="566"/>
        <v>0</v>
      </c>
      <c r="BX226" s="50">
        <f t="shared" si="566"/>
        <v>0</v>
      </c>
      <c r="BY226" s="50">
        <f t="shared" si="566"/>
        <v>0</v>
      </c>
      <c r="BZ226" s="50">
        <f t="shared" si="554"/>
        <v>0</v>
      </c>
      <c r="CA226" s="50">
        <f t="shared" si="555"/>
        <v>0</v>
      </c>
      <c r="CB226" s="50">
        <f t="shared" si="556"/>
        <v>1</v>
      </c>
      <c r="CC226" s="50">
        <f t="shared" si="557"/>
        <v>0</v>
      </c>
      <c r="CD226" s="50">
        <f t="shared" si="558"/>
        <v>0</v>
      </c>
      <c r="CE226" s="50">
        <f t="shared" si="559"/>
        <v>1</v>
      </c>
      <c r="CF226" s="50">
        <f t="shared" si="560"/>
        <v>1</v>
      </c>
      <c r="CG226" s="50">
        <f t="shared" si="561"/>
        <v>1</v>
      </c>
      <c r="CH226" s="50">
        <f t="shared" si="562"/>
        <v>1</v>
      </c>
      <c r="CI226" s="50">
        <f t="shared" si="563"/>
        <v>1</v>
      </c>
      <c r="CJ226" s="50">
        <f t="shared" si="564"/>
        <v>1</v>
      </c>
      <c r="CK226" s="50">
        <f t="shared" si="564"/>
        <v>0</v>
      </c>
      <c r="CL226" s="50">
        <f t="shared" si="564"/>
        <v>0</v>
      </c>
      <c r="CM226" s="51">
        <f t="shared" si="432"/>
        <v>0</v>
      </c>
      <c r="CN226" s="33">
        <f>ROUND(IF(BS226=0,0,HLOOKUP(BS$14,Villagers!$B$1:$V$33,BS226+3,FALSE)),)</f>
        <v>5</v>
      </c>
      <c r="CO226" s="14">
        <f>ROUND(IF(BT226=0,0,HLOOKUP(BT$14,Villagers!$B$1:$V$33,BT226+3,FALSE)),)</f>
        <v>0</v>
      </c>
      <c r="CP226" s="14">
        <f>ROUND(IF(BU226=0,0,HLOOKUP(BU$14,Villagers!$B$1:$V$33,BU226+3,FALSE)),)</f>
        <v>0</v>
      </c>
      <c r="CQ226" s="14">
        <f>ROUND(IF(BV226=0,0,HLOOKUP(BV$14,Villagers!$B$1:$V$33,BV226+3,FALSE)),)</f>
        <v>0</v>
      </c>
      <c r="CR226" s="14">
        <f>ROUND(IF(BW226=0,0,HLOOKUP(BW$14,Villagers!$B$1:$V$33,BW226+3,FALSE)),)</f>
        <v>0</v>
      </c>
      <c r="CS226" s="14">
        <f>ROUND(IF(BX226=0,0,HLOOKUP(BX$14,Villagers!$B$1:$V$33,BX226+3,FALSE)),)</f>
        <v>0</v>
      </c>
      <c r="CT226" s="14">
        <f>ROUND(IF(BY226=0,0,HLOOKUP(BY$14,Villagers!$B$1:$V$33,BY226+3,FALSE)),)</f>
        <v>0</v>
      </c>
      <c r="CU226" s="14">
        <f>ROUND(IF(BZ226=0,0,HLOOKUP(BZ$14,Villagers!$B$1:$V$33,BZ226+3,FALSE)),)</f>
        <v>0</v>
      </c>
      <c r="CV226" s="14">
        <f>ROUND(IF(CA226=0,0,HLOOKUP(CA$14,Villagers!$B$1:$V$33,CA226+3,FALSE)),)</f>
        <v>0</v>
      </c>
      <c r="CW226" s="14">
        <f>ROUND(IF(CB226=0,0,HLOOKUP(CB$14,Villagers!$B$1:$V$33,CB226+3,FALSE)),)</f>
        <v>0</v>
      </c>
      <c r="CX226" s="14">
        <f>ROUND(IF(CC226=0,0,HLOOKUP(CC$14,Villagers!$B$1:$V$33,CC226+3,FALSE)),)</f>
        <v>0</v>
      </c>
      <c r="CY226" s="14">
        <f>ROUND(IF(CD226=0,0,HLOOKUP(CD$14,Villagers!$B$1:$V$33,CD226+3,FALSE)),)</f>
        <v>0</v>
      </c>
      <c r="CZ226" s="14">
        <f>ROUND(IF(CE226=0,0,HLOOKUP(CE$14,Villagers!$B$1:$V$33,CE226+3,FALSE)),)</f>
        <v>5</v>
      </c>
      <c r="DA226" s="14">
        <f>ROUND(IF(CF226=0,0,HLOOKUP(CF$14,Villagers!$B$1:$V$33,CF226+3,FALSE)),)</f>
        <v>10</v>
      </c>
      <c r="DB226" s="14">
        <f>ROUND(IF(CG226=0,0,HLOOKUP(CG$14,Villagers!$B$1:$V$33,CG226+3,FALSE)),)</f>
        <v>10</v>
      </c>
      <c r="DC226" s="14">
        <f>ROUND(IF(CH226=0,0,HLOOKUP(CH$14,Villagers!$B$1:$V$33,CH226+3,FALSE)),)</f>
        <v>0</v>
      </c>
      <c r="DD226" s="14">
        <f>ROUND(IF(CI226=0,0,HLOOKUP(CI$14,Villagers!$B$1:$V$33,CI226+3,FALSE)),)</f>
        <v>0</v>
      </c>
      <c r="DE226" s="14">
        <f>ROUND(IF(CJ226=0,0,HLOOKUP(CJ$14,Villagers!$B$1:$V$33,CJ226+3,FALSE)),)</f>
        <v>2</v>
      </c>
      <c r="DF226" s="370">
        <f>ROUND(IF(CK226=0,0,HLOOKUP(CK$14,Villagers!$B$1:$V$33,CK226+3,FALSE)),)</f>
        <v>0</v>
      </c>
      <c r="DG226" s="370">
        <f>ROUND(IF(CL226=0,0,HLOOKUP(CL$14,Villagers!$B$1:$V$33,CL226+3,FALSE)),)</f>
        <v>0</v>
      </c>
      <c r="DH226" s="34">
        <f>ROUND(IF(CM226=0,0,HLOOKUP(CM$14,Villagers!$B$1:$V$33,CM226+3,FALSE)),)</f>
        <v>0</v>
      </c>
      <c r="DI226" s="109">
        <f t="shared" si="526"/>
        <v>0</v>
      </c>
      <c r="DJ226" s="50">
        <f t="shared" si="527"/>
        <v>0</v>
      </c>
      <c r="DK226" s="50">
        <f t="shared" si="528"/>
        <v>0</v>
      </c>
      <c r="DL226" s="50">
        <f t="shared" si="529"/>
        <v>0</v>
      </c>
      <c r="DM226" s="50">
        <f t="shared" si="530"/>
        <v>0</v>
      </c>
      <c r="DN226" s="50">
        <f t="shared" si="531"/>
        <v>0</v>
      </c>
      <c r="DO226" s="50">
        <f t="shared" si="532"/>
        <v>0</v>
      </c>
      <c r="DP226" s="50">
        <f t="shared" si="533"/>
        <v>0</v>
      </c>
      <c r="DQ226" s="50">
        <f t="shared" si="510"/>
        <v>0</v>
      </c>
      <c r="DR226" s="50">
        <f t="shared" si="511"/>
        <v>0</v>
      </c>
      <c r="DS226" s="96">
        <f>Miscelaneous!$D$4*Miscelaneous!$D$2^($CI226-1)</f>
        <v>1000</v>
      </c>
      <c r="DT226" s="333">
        <f t="shared" si="490"/>
        <v>1</v>
      </c>
      <c r="DU226" s="81">
        <v>1</v>
      </c>
      <c r="DV226" s="79">
        <f t="shared" si="512"/>
        <v>0</v>
      </c>
      <c r="DW226" s="79">
        <f t="shared" si="513"/>
        <v>0</v>
      </c>
      <c r="DX226" s="79">
        <f t="shared" si="514"/>
        <v>0</v>
      </c>
      <c r="DY226" s="79">
        <v>1</v>
      </c>
      <c r="DZ226" s="79">
        <f t="shared" si="515"/>
        <v>0</v>
      </c>
      <c r="EA226" s="79">
        <f t="shared" si="516"/>
        <v>0</v>
      </c>
      <c r="EB226" s="79">
        <f t="shared" si="517"/>
        <v>0</v>
      </c>
      <c r="EC226" s="79">
        <f t="shared" si="518"/>
        <v>0</v>
      </c>
      <c r="ED226" s="79">
        <v>1</v>
      </c>
      <c r="EE226" s="79">
        <v>1</v>
      </c>
      <c r="EF226" s="79">
        <f t="shared" si="519"/>
        <v>0</v>
      </c>
      <c r="EG226" s="79">
        <v>1</v>
      </c>
      <c r="EH226" s="79">
        <v>1</v>
      </c>
      <c r="EI226" s="79">
        <v>1</v>
      </c>
      <c r="EJ226" s="79">
        <v>1</v>
      </c>
      <c r="EK226" s="79">
        <v>1</v>
      </c>
      <c r="EL226" s="79">
        <v>1</v>
      </c>
      <c r="EM226" s="143">
        <f t="shared" si="520"/>
        <v>0</v>
      </c>
      <c r="EN226" s="143">
        <f t="shared" si="521"/>
        <v>0</v>
      </c>
      <c r="EO226" s="82">
        <f t="shared" si="522"/>
        <v>0</v>
      </c>
    </row>
    <row r="227" spans="1:145" x14ac:dyDescent="0.25">
      <c r="A227">
        <v>213</v>
      </c>
      <c r="B227" s="172" t="e">
        <f t="shared" si="491"/>
        <v>#N/A</v>
      </c>
      <c r="C227" s="121" t="e">
        <f t="shared" ref="C227:E227" si="569">AJ227-SUM(AB227:AB231)</f>
        <v>#N/A</v>
      </c>
      <c r="D227" s="122" t="e">
        <f t="shared" si="569"/>
        <v>#N/A</v>
      </c>
      <c r="E227" s="122" t="e">
        <f t="shared" si="569"/>
        <v>#N/A</v>
      </c>
      <c r="F227" s="176" t="e">
        <f t="shared" si="473"/>
        <v>#N/A</v>
      </c>
      <c r="G227" s="121">
        <f t="shared" si="493"/>
        <v>208</v>
      </c>
      <c r="H227" s="176" t="e">
        <f t="shared" si="494"/>
        <v>#N/A</v>
      </c>
      <c r="I227" s="48">
        <v>1</v>
      </c>
      <c r="J227" s="39"/>
      <c r="K227" s="350">
        <v>1</v>
      </c>
      <c r="L227" s="34" t="e">
        <f t="shared" si="474"/>
        <v>#N/A</v>
      </c>
      <c r="M227" s="38" t="e">
        <f>(HLOOKUP(J227,'Construction Times'!$B$3:$W$34,L227+2,FALSE)*HLOOKUP("hq modifier",'Construction Times'!$W$3:$W$34,BS227+2,FALSE))*(1-$H$9)</f>
        <v>#N/A</v>
      </c>
      <c r="N227" s="426" t="e">
        <f t="shared" si="495"/>
        <v>#N/A</v>
      </c>
      <c r="O227" s="427"/>
      <c r="P227" s="430" t="e">
        <f t="shared" si="496"/>
        <v>#N/A</v>
      </c>
      <c r="Q227" s="431"/>
      <c r="R227" s="103">
        <f t="shared" si="524"/>
        <v>0</v>
      </c>
      <c r="S227" s="104">
        <f t="shared" si="524"/>
        <v>0</v>
      </c>
      <c r="T227" s="104">
        <f t="shared" si="525"/>
        <v>0</v>
      </c>
      <c r="U227" s="104">
        <f t="shared" si="525"/>
        <v>0</v>
      </c>
      <c r="V227" s="104">
        <f t="shared" si="525"/>
        <v>9.9999999999999995E-8</v>
      </c>
      <c r="W227" s="104">
        <f t="shared" si="525"/>
        <v>0</v>
      </c>
      <c r="X227" s="104">
        <f t="shared" si="429"/>
        <v>0</v>
      </c>
      <c r="Y227" s="104">
        <f t="shared" si="429"/>
        <v>9.9999999999999995E-8</v>
      </c>
      <c r="Z227" s="104">
        <f t="shared" si="429"/>
        <v>9.9999999999999995E-8</v>
      </c>
      <c r="AA227" s="105">
        <f t="shared" si="429"/>
        <v>9.9999999999999995E-8</v>
      </c>
      <c r="AB227" s="101" t="e">
        <f>$DT227*HLOOKUP($J227,'Construction Costs (timber)'!$B$1:$V$32,'Construction Planner'!$L227+2,FALSE)</f>
        <v>#N/A</v>
      </c>
      <c r="AC227" s="14" t="e">
        <f>$DT227*HLOOKUP($J227,'Construction Costs (clay)'!$B$1:$V$32,'Construction Planner'!$L227+2,FALSE)</f>
        <v>#N/A</v>
      </c>
      <c r="AD227" s="14" t="e">
        <f>$DT227*HLOOKUP($J227,'Construction Costs (iron)'!$B$1:$V$32,'Construction Planner'!$L227+2,FALSE)</f>
        <v>#N/A</v>
      </c>
      <c r="AE227" s="34" t="e">
        <f t="shared" si="537"/>
        <v>#N/A</v>
      </c>
      <c r="AF227" s="33" t="e">
        <f t="shared" si="475"/>
        <v>#N/A</v>
      </c>
      <c r="AG227" s="14" t="e">
        <f t="shared" si="476"/>
        <v>#N/A</v>
      </c>
      <c r="AH227" s="14" t="e">
        <f t="shared" si="477"/>
        <v>#N/A</v>
      </c>
      <c r="AI227" s="34" t="e">
        <f t="shared" si="538"/>
        <v>#N/A</v>
      </c>
      <c r="AJ227" s="49" t="e">
        <f t="shared" si="498"/>
        <v>#N/A</v>
      </c>
      <c r="AK227" s="49" t="e">
        <f t="shared" si="499"/>
        <v>#N/A</v>
      </c>
      <c r="AL227" s="49" t="e">
        <f t="shared" si="500"/>
        <v>#N/A</v>
      </c>
      <c r="AM227" s="25">
        <f t="shared" si="478"/>
        <v>30</v>
      </c>
      <c r="AN227" s="25">
        <f t="shared" si="479"/>
        <v>30</v>
      </c>
      <c r="AO227" s="25">
        <f t="shared" si="480"/>
        <v>30</v>
      </c>
      <c r="AP227" s="52" t="e">
        <f t="shared" si="501"/>
        <v>#N/A</v>
      </c>
      <c r="AQ227" s="53" t="e">
        <f t="shared" si="501"/>
        <v>#N/A</v>
      </c>
      <c r="AR227" s="54" t="e">
        <f t="shared" si="501"/>
        <v>#N/A</v>
      </c>
      <c r="AS227" s="316">
        <f t="shared" si="539"/>
        <v>0</v>
      </c>
      <c r="AT227" s="106">
        <f>_xlfn.IFNA($M227/VLOOKUP($BT227,'Unit information'!$A$2:$K$29,2,FALSE)*R227,0)*(1+$E$9)</f>
        <v>0</v>
      </c>
      <c r="AU227" s="107">
        <f>_xlfn.IFNA($M227/VLOOKUP($BT227,'Unit information'!$A$2:$K$29,3,FALSE)*S227,0)*(1+$E$9)</f>
        <v>0</v>
      </c>
      <c r="AV227" s="107">
        <f>_xlfn.IFNA($M227/VLOOKUP($BT227,'Unit information'!$A$2:$K$29,4,FALSE)*T227,0)*(1+$E$9)</f>
        <v>0</v>
      </c>
      <c r="AW227" s="107">
        <f>_xlfn.IFNA($M227/VLOOKUP($BT227,'Unit information'!$A$2:$K$29,5,FALSE)*U227,0)*(1+$E$9)</f>
        <v>0</v>
      </c>
      <c r="AX227" s="107">
        <f>_xlfn.IFNA($M227/VLOOKUP($BU227,'Unit information'!$A$2:$K$29,6,FALSE)*V227,0)*(1+$E$9)</f>
        <v>0</v>
      </c>
      <c r="AY227" s="107">
        <f>_xlfn.IFNA($M227/VLOOKUP($BU227,'Unit information'!$A$2:$K$29,7,FALSE)*W227,0)*(1+$E$9)</f>
        <v>0</v>
      </c>
      <c r="AZ227" s="107">
        <f>_xlfn.IFNA($M227/VLOOKUP($BU227,'Unit information'!$A$2:$K$29,8,FALSE)*X227,0)*(1+$E$9)</f>
        <v>0</v>
      </c>
      <c r="BA227" s="107">
        <f>_xlfn.IFNA($M227/VLOOKUP($BU227,'Unit information'!$A$2:$K$29,9,FALSE)*Y227,0)*(1+$E$9)</f>
        <v>0</v>
      </c>
      <c r="BB227" s="107">
        <f>_xlfn.IFNA($M227/VLOOKUP($BV227,'Unit information'!$A$2:$K$29,10,FALSE)*Z227,0)*(1+$E$9)</f>
        <v>0</v>
      </c>
      <c r="BC227" s="108">
        <f>_xlfn.IFNA($M227/VLOOKUP($BV227,'Unit information'!$A$2:$K$29,11,FALSE)*AA227,0)*(1+$E$9)</f>
        <v>0</v>
      </c>
      <c r="BD227" s="106">
        <f t="shared" si="481"/>
        <v>0</v>
      </c>
      <c r="BE227" s="107">
        <f t="shared" si="482"/>
        <v>0</v>
      </c>
      <c r="BF227" s="108">
        <f t="shared" si="483"/>
        <v>0</v>
      </c>
      <c r="BG227" s="25" t="e">
        <f t="shared" si="484"/>
        <v>#N/A</v>
      </c>
      <c r="BH227" s="25" t="e">
        <f t="shared" si="485"/>
        <v>#N/A</v>
      </c>
      <c r="BI227" s="25" t="e">
        <f t="shared" si="486"/>
        <v>#N/A</v>
      </c>
      <c r="BJ227" s="27" t="e">
        <f t="shared" si="487"/>
        <v>#N/A</v>
      </c>
      <c r="BK227" s="18" t="e">
        <f t="shared" si="488"/>
        <v>#N/A</v>
      </c>
      <c r="BL227" s="18" t="e">
        <f t="shared" si="489"/>
        <v>#N/A</v>
      </c>
      <c r="BM227" s="28" t="e">
        <f t="shared" si="540"/>
        <v>#N/A</v>
      </c>
      <c r="BN227" s="33">
        <f>HLOOKUP("maximum population",Miscelaneous!$C$1:$C$33,CH227+3,FALSE)</f>
        <v>240</v>
      </c>
      <c r="BO227" s="14">
        <f t="shared" si="502"/>
        <v>32</v>
      </c>
      <c r="BP227" s="14">
        <f t="shared" si="503"/>
        <v>0</v>
      </c>
      <c r="BQ227" s="14">
        <f t="shared" si="504"/>
        <v>208</v>
      </c>
      <c r="BR227" s="34" t="e">
        <f>HLOOKUP(J227,Villagers!$B$1:$V$33,L227+3,FALSE)-HLOOKUP(J227,Villagers!$B$1:$V$33,L227+2,FALSE)</f>
        <v>#N/A</v>
      </c>
      <c r="BS227" s="49">
        <f t="shared" si="505"/>
        <v>1</v>
      </c>
      <c r="BT227" s="50">
        <f t="shared" si="506"/>
        <v>0</v>
      </c>
      <c r="BU227" s="50">
        <f t="shared" si="507"/>
        <v>0</v>
      </c>
      <c r="BV227" s="50">
        <f t="shared" si="508"/>
        <v>0</v>
      </c>
      <c r="BW227" s="50">
        <f t="shared" si="566"/>
        <v>0</v>
      </c>
      <c r="BX227" s="50">
        <f t="shared" si="566"/>
        <v>0</v>
      </c>
      <c r="BY227" s="50">
        <f t="shared" si="566"/>
        <v>0</v>
      </c>
      <c r="BZ227" s="50">
        <f t="shared" si="554"/>
        <v>0</v>
      </c>
      <c r="CA227" s="50">
        <f t="shared" si="555"/>
        <v>0</v>
      </c>
      <c r="CB227" s="50">
        <f t="shared" si="556"/>
        <v>1</v>
      </c>
      <c r="CC227" s="50">
        <f t="shared" si="557"/>
        <v>0</v>
      </c>
      <c r="CD227" s="50">
        <f t="shared" si="558"/>
        <v>0</v>
      </c>
      <c r="CE227" s="50">
        <f t="shared" si="559"/>
        <v>1</v>
      </c>
      <c r="CF227" s="50">
        <f t="shared" si="560"/>
        <v>1</v>
      </c>
      <c r="CG227" s="50">
        <f t="shared" si="561"/>
        <v>1</v>
      </c>
      <c r="CH227" s="50">
        <f t="shared" si="562"/>
        <v>1</v>
      </c>
      <c r="CI227" s="50">
        <f t="shared" si="563"/>
        <v>1</v>
      </c>
      <c r="CJ227" s="50">
        <f t="shared" si="564"/>
        <v>1</v>
      </c>
      <c r="CK227" s="50">
        <f t="shared" si="564"/>
        <v>0</v>
      </c>
      <c r="CL227" s="50">
        <f t="shared" si="564"/>
        <v>0</v>
      </c>
      <c r="CM227" s="51">
        <f t="shared" si="432"/>
        <v>0</v>
      </c>
      <c r="CN227" s="33">
        <f>ROUND(IF(BS227=0,0,HLOOKUP(BS$14,Villagers!$B$1:$V$33,BS227+3,FALSE)),)</f>
        <v>5</v>
      </c>
      <c r="CO227" s="14">
        <f>ROUND(IF(BT227=0,0,HLOOKUP(BT$14,Villagers!$B$1:$V$33,BT227+3,FALSE)),)</f>
        <v>0</v>
      </c>
      <c r="CP227" s="14">
        <f>ROUND(IF(BU227=0,0,HLOOKUP(BU$14,Villagers!$B$1:$V$33,BU227+3,FALSE)),)</f>
        <v>0</v>
      </c>
      <c r="CQ227" s="14">
        <f>ROUND(IF(BV227=0,0,HLOOKUP(BV$14,Villagers!$B$1:$V$33,BV227+3,FALSE)),)</f>
        <v>0</v>
      </c>
      <c r="CR227" s="14">
        <f>ROUND(IF(BW227=0,0,HLOOKUP(BW$14,Villagers!$B$1:$V$33,BW227+3,FALSE)),)</f>
        <v>0</v>
      </c>
      <c r="CS227" s="14">
        <f>ROUND(IF(BX227=0,0,HLOOKUP(BX$14,Villagers!$B$1:$V$33,BX227+3,FALSE)),)</f>
        <v>0</v>
      </c>
      <c r="CT227" s="14">
        <f>ROUND(IF(BY227=0,0,HLOOKUP(BY$14,Villagers!$B$1:$V$33,BY227+3,FALSE)),)</f>
        <v>0</v>
      </c>
      <c r="CU227" s="14">
        <f>ROUND(IF(BZ227=0,0,HLOOKUP(BZ$14,Villagers!$B$1:$V$33,BZ227+3,FALSE)),)</f>
        <v>0</v>
      </c>
      <c r="CV227" s="14">
        <f>ROUND(IF(CA227=0,0,HLOOKUP(CA$14,Villagers!$B$1:$V$33,CA227+3,FALSE)),)</f>
        <v>0</v>
      </c>
      <c r="CW227" s="14">
        <f>ROUND(IF(CB227=0,0,HLOOKUP(CB$14,Villagers!$B$1:$V$33,CB227+3,FALSE)),)</f>
        <v>0</v>
      </c>
      <c r="CX227" s="14">
        <f>ROUND(IF(CC227=0,0,HLOOKUP(CC$14,Villagers!$B$1:$V$33,CC227+3,FALSE)),)</f>
        <v>0</v>
      </c>
      <c r="CY227" s="14">
        <f>ROUND(IF(CD227=0,0,HLOOKUP(CD$14,Villagers!$B$1:$V$33,CD227+3,FALSE)),)</f>
        <v>0</v>
      </c>
      <c r="CZ227" s="14">
        <f>ROUND(IF(CE227=0,0,HLOOKUP(CE$14,Villagers!$B$1:$V$33,CE227+3,FALSE)),)</f>
        <v>5</v>
      </c>
      <c r="DA227" s="14">
        <f>ROUND(IF(CF227=0,0,HLOOKUP(CF$14,Villagers!$B$1:$V$33,CF227+3,FALSE)),)</f>
        <v>10</v>
      </c>
      <c r="DB227" s="14">
        <f>ROUND(IF(CG227=0,0,HLOOKUP(CG$14,Villagers!$B$1:$V$33,CG227+3,FALSE)),)</f>
        <v>10</v>
      </c>
      <c r="DC227" s="14">
        <f>ROUND(IF(CH227=0,0,HLOOKUP(CH$14,Villagers!$B$1:$V$33,CH227+3,FALSE)),)</f>
        <v>0</v>
      </c>
      <c r="DD227" s="14">
        <f>ROUND(IF(CI227=0,0,HLOOKUP(CI$14,Villagers!$B$1:$V$33,CI227+3,FALSE)),)</f>
        <v>0</v>
      </c>
      <c r="DE227" s="14">
        <f>ROUND(IF(CJ227=0,0,HLOOKUP(CJ$14,Villagers!$B$1:$V$33,CJ227+3,FALSE)),)</f>
        <v>2</v>
      </c>
      <c r="DF227" s="370">
        <f>ROUND(IF(CK227=0,0,HLOOKUP(CK$14,Villagers!$B$1:$V$33,CK227+3,FALSE)),)</f>
        <v>0</v>
      </c>
      <c r="DG227" s="370">
        <f>ROUND(IF(CL227=0,0,HLOOKUP(CL$14,Villagers!$B$1:$V$33,CL227+3,FALSE)),)</f>
        <v>0</v>
      </c>
      <c r="DH227" s="34">
        <f>ROUND(IF(CM227=0,0,HLOOKUP(CM$14,Villagers!$B$1:$V$33,CM227+3,FALSE)),)</f>
        <v>0</v>
      </c>
      <c r="DI227" s="109">
        <f t="shared" si="526"/>
        <v>0</v>
      </c>
      <c r="DJ227" s="50">
        <f t="shared" si="527"/>
        <v>0</v>
      </c>
      <c r="DK227" s="50">
        <f t="shared" si="528"/>
        <v>0</v>
      </c>
      <c r="DL227" s="50">
        <f t="shared" si="529"/>
        <v>0</v>
      </c>
      <c r="DM227" s="50">
        <f t="shared" si="530"/>
        <v>0</v>
      </c>
      <c r="DN227" s="50">
        <f t="shared" si="531"/>
        <v>0</v>
      </c>
      <c r="DO227" s="50">
        <f t="shared" si="532"/>
        <v>0</v>
      </c>
      <c r="DP227" s="50">
        <f t="shared" si="533"/>
        <v>0</v>
      </c>
      <c r="DQ227" s="50">
        <f t="shared" si="510"/>
        <v>0</v>
      </c>
      <c r="DR227" s="50">
        <f t="shared" si="511"/>
        <v>0</v>
      </c>
      <c r="DS227" s="96">
        <f>Miscelaneous!$D$4*Miscelaneous!$D$2^($CI227-1)</f>
        <v>1000</v>
      </c>
      <c r="DT227" s="333">
        <f t="shared" si="490"/>
        <v>1</v>
      </c>
      <c r="DU227" s="81">
        <v>1</v>
      </c>
      <c r="DV227" s="79">
        <f t="shared" si="512"/>
        <v>0</v>
      </c>
      <c r="DW227" s="79">
        <f t="shared" si="513"/>
        <v>0</v>
      </c>
      <c r="DX227" s="79">
        <f t="shared" si="514"/>
        <v>0</v>
      </c>
      <c r="DY227" s="79">
        <v>1</v>
      </c>
      <c r="DZ227" s="79">
        <f t="shared" si="515"/>
        <v>0</v>
      </c>
      <c r="EA227" s="79">
        <f t="shared" si="516"/>
        <v>0</v>
      </c>
      <c r="EB227" s="79">
        <f t="shared" si="517"/>
        <v>0</v>
      </c>
      <c r="EC227" s="79">
        <f t="shared" si="518"/>
        <v>0</v>
      </c>
      <c r="ED227" s="79">
        <v>1</v>
      </c>
      <c r="EE227" s="79">
        <v>1</v>
      </c>
      <c r="EF227" s="79">
        <f t="shared" si="519"/>
        <v>0</v>
      </c>
      <c r="EG227" s="79">
        <v>1</v>
      </c>
      <c r="EH227" s="79">
        <v>1</v>
      </c>
      <c r="EI227" s="79">
        <v>1</v>
      </c>
      <c r="EJ227" s="79">
        <v>1</v>
      </c>
      <c r="EK227" s="79">
        <v>1</v>
      </c>
      <c r="EL227" s="79">
        <v>1</v>
      </c>
      <c r="EM227" s="143">
        <f t="shared" si="520"/>
        <v>0</v>
      </c>
      <c r="EN227" s="143">
        <f t="shared" si="521"/>
        <v>0</v>
      </c>
      <c r="EO227" s="82">
        <f t="shared" si="522"/>
        <v>0</v>
      </c>
    </row>
    <row r="228" spans="1:145" x14ac:dyDescent="0.25">
      <c r="A228">
        <v>214</v>
      </c>
      <c r="B228" s="172" t="e">
        <f t="shared" si="491"/>
        <v>#N/A</v>
      </c>
      <c r="C228" s="121" t="e">
        <f t="shared" ref="C228:E228" si="570">AJ228-SUM(AB228:AB232)</f>
        <v>#N/A</v>
      </c>
      <c r="D228" s="122" t="e">
        <f t="shared" si="570"/>
        <v>#N/A</v>
      </c>
      <c r="E228" s="122" t="e">
        <f t="shared" si="570"/>
        <v>#N/A</v>
      </c>
      <c r="F228" s="176" t="e">
        <f t="shared" si="473"/>
        <v>#N/A</v>
      </c>
      <c r="G228" s="121">
        <f t="shared" si="493"/>
        <v>208</v>
      </c>
      <c r="H228" s="176" t="e">
        <f t="shared" si="494"/>
        <v>#N/A</v>
      </c>
      <c r="I228" s="48">
        <v>1</v>
      </c>
      <c r="J228" s="39"/>
      <c r="K228" s="350">
        <v>1</v>
      </c>
      <c r="L228" s="34" t="e">
        <f t="shared" si="474"/>
        <v>#N/A</v>
      </c>
      <c r="M228" s="38" t="e">
        <f>(HLOOKUP(J228,'Construction Times'!$B$3:$W$34,L228+2,FALSE)*HLOOKUP("hq modifier",'Construction Times'!$W$3:$W$34,BS228+2,FALSE))*(1-$H$9)</f>
        <v>#N/A</v>
      </c>
      <c r="N228" s="426" t="e">
        <f t="shared" si="495"/>
        <v>#N/A</v>
      </c>
      <c r="O228" s="427"/>
      <c r="P228" s="430" t="e">
        <f t="shared" si="496"/>
        <v>#N/A</v>
      </c>
      <c r="Q228" s="431"/>
      <c r="R228" s="103">
        <f t="shared" si="524"/>
        <v>0</v>
      </c>
      <c r="S228" s="104">
        <f t="shared" si="524"/>
        <v>0</v>
      </c>
      <c r="T228" s="104">
        <f t="shared" si="525"/>
        <v>0</v>
      </c>
      <c r="U228" s="104">
        <f t="shared" si="525"/>
        <v>0</v>
      </c>
      <c r="V228" s="104">
        <f t="shared" si="525"/>
        <v>9.9999999999999995E-8</v>
      </c>
      <c r="W228" s="104">
        <f t="shared" si="525"/>
        <v>0</v>
      </c>
      <c r="X228" s="104">
        <f t="shared" si="429"/>
        <v>0</v>
      </c>
      <c r="Y228" s="104">
        <f t="shared" si="429"/>
        <v>9.9999999999999995E-8</v>
      </c>
      <c r="Z228" s="104">
        <f t="shared" si="429"/>
        <v>9.9999999999999995E-8</v>
      </c>
      <c r="AA228" s="105">
        <f t="shared" si="429"/>
        <v>9.9999999999999995E-8</v>
      </c>
      <c r="AB228" s="101" t="e">
        <f>$DT228*HLOOKUP($J228,'Construction Costs (timber)'!$B$1:$V$32,'Construction Planner'!$L228+2,FALSE)</f>
        <v>#N/A</v>
      </c>
      <c r="AC228" s="14" t="e">
        <f>$DT228*HLOOKUP($J228,'Construction Costs (clay)'!$B$1:$V$32,'Construction Planner'!$L228+2,FALSE)</f>
        <v>#N/A</v>
      </c>
      <c r="AD228" s="14" t="e">
        <f>$DT228*HLOOKUP($J228,'Construction Costs (iron)'!$B$1:$V$32,'Construction Planner'!$L228+2,FALSE)</f>
        <v>#N/A</v>
      </c>
      <c r="AE228" s="34" t="e">
        <f t="shared" si="537"/>
        <v>#N/A</v>
      </c>
      <c r="AF228" s="33" t="e">
        <f t="shared" si="475"/>
        <v>#N/A</v>
      </c>
      <c r="AG228" s="14" t="e">
        <f t="shared" si="476"/>
        <v>#N/A</v>
      </c>
      <c r="AH228" s="14" t="e">
        <f t="shared" si="477"/>
        <v>#N/A</v>
      </c>
      <c r="AI228" s="34" t="e">
        <f t="shared" si="538"/>
        <v>#N/A</v>
      </c>
      <c r="AJ228" s="49" t="e">
        <f t="shared" si="498"/>
        <v>#N/A</v>
      </c>
      <c r="AK228" s="49" t="e">
        <f t="shared" si="499"/>
        <v>#N/A</v>
      </c>
      <c r="AL228" s="49" t="e">
        <f t="shared" si="500"/>
        <v>#N/A</v>
      </c>
      <c r="AM228" s="25">
        <f t="shared" si="478"/>
        <v>30</v>
      </c>
      <c r="AN228" s="25">
        <f t="shared" si="479"/>
        <v>30</v>
      </c>
      <c r="AO228" s="25">
        <f t="shared" si="480"/>
        <v>30</v>
      </c>
      <c r="AP228" s="52" t="e">
        <f t="shared" si="501"/>
        <v>#N/A</v>
      </c>
      <c r="AQ228" s="53" t="e">
        <f t="shared" si="501"/>
        <v>#N/A</v>
      </c>
      <c r="AR228" s="54" t="e">
        <f t="shared" si="501"/>
        <v>#N/A</v>
      </c>
      <c r="AS228" s="316">
        <f t="shared" ref="AS228:AS243" si="571">AS227</f>
        <v>0</v>
      </c>
      <c r="AT228" s="106">
        <f>_xlfn.IFNA($M228/VLOOKUP($BT228,'Unit information'!$A$2:$K$29,2,FALSE)*R228,0)*(1+$E$9)</f>
        <v>0</v>
      </c>
      <c r="AU228" s="107">
        <f>_xlfn.IFNA($M228/VLOOKUP($BT228,'Unit information'!$A$2:$K$29,3,FALSE)*S228,0)*(1+$E$9)</f>
        <v>0</v>
      </c>
      <c r="AV228" s="107">
        <f>_xlfn.IFNA($M228/VLOOKUP($BT228,'Unit information'!$A$2:$K$29,4,FALSE)*T228,0)*(1+$E$9)</f>
        <v>0</v>
      </c>
      <c r="AW228" s="107">
        <f>_xlfn.IFNA($M228/VLOOKUP($BT228,'Unit information'!$A$2:$K$29,5,FALSE)*U228,0)*(1+$E$9)</f>
        <v>0</v>
      </c>
      <c r="AX228" s="107">
        <f>_xlfn.IFNA($M228/VLOOKUP($BU228,'Unit information'!$A$2:$K$29,6,FALSE)*V228,0)*(1+$E$9)</f>
        <v>0</v>
      </c>
      <c r="AY228" s="107">
        <f>_xlfn.IFNA($M228/VLOOKUP($BU228,'Unit information'!$A$2:$K$29,7,FALSE)*W228,0)*(1+$E$9)</f>
        <v>0</v>
      </c>
      <c r="AZ228" s="107">
        <f>_xlfn.IFNA($M228/VLOOKUP($BU228,'Unit information'!$A$2:$K$29,8,FALSE)*X228,0)*(1+$E$9)</f>
        <v>0</v>
      </c>
      <c r="BA228" s="107">
        <f>_xlfn.IFNA($M228/VLOOKUP($BU228,'Unit information'!$A$2:$K$29,9,FALSE)*Y228,0)*(1+$E$9)</f>
        <v>0</v>
      </c>
      <c r="BB228" s="107">
        <f>_xlfn.IFNA($M228/VLOOKUP($BV228,'Unit information'!$A$2:$K$29,10,FALSE)*Z228,0)*(1+$E$9)</f>
        <v>0</v>
      </c>
      <c r="BC228" s="108">
        <f>_xlfn.IFNA($M228/VLOOKUP($BV228,'Unit information'!$A$2:$K$29,11,FALSE)*AA228,0)*(1+$E$9)</f>
        <v>0</v>
      </c>
      <c r="BD228" s="106">
        <f t="shared" si="481"/>
        <v>0</v>
      </c>
      <c r="BE228" s="107">
        <f t="shared" si="482"/>
        <v>0</v>
      </c>
      <c r="BF228" s="108">
        <f t="shared" si="483"/>
        <v>0</v>
      </c>
      <c r="BG228" s="25" t="e">
        <f t="shared" si="484"/>
        <v>#N/A</v>
      </c>
      <c r="BH228" s="25" t="e">
        <f t="shared" si="485"/>
        <v>#N/A</v>
      </c>
      <c r="BI228" s="25" t="e">
        <f t="shared" si="486"/>
        <v>#N/A</v>
      </c>
      <c r="BJ228" s="27" t="e">
        <f t="shared" si="487"/>
        <v>#N/A</v>
      </c>
      <c r="BK228" s="18" t="e">
        <f t="shared" si="488"/>
        <v>#N/A</v>
      </c>
      <c r="BL228" s="18" t="e">
        <f t="shared" si="489"/>
        <v>#N/A</v>
      </c>
      <c r="BM228" s="28" t="e">
        <f t="shared" si="540"/>
        <v>#N/A</v>
      </c>
      <c r="BN228" s="33">
        <f>HLOOKUP("maximum population",Miscelaneous!$C$1:$C$33,CH228+3,FALSE)</f>
        <v>240</v>
      </c>
      <c r="BO228" s="14">
        <f t="shared" si="502"/>
        <v>32</v>
      </c>
      <c r="BP228" s="14">
        <f t="shared" si="503"/>
        <v>0</v>
      </c>
      <c r="BQ228" s="14">
        <f t="shared" si="504"/>
        <v>208</v>
      </c>
      <c r="BR228" s="34" t="e">
        <f>HLOOKUP(J228,Villagers!$B$1:$V$33,L228+3,FALSE)-HLOOKUP(J228,Villagers!$B$1:$V$33,L228+2,FALSE)</f>
        <v>#N/A</v>
      </c>
      <c r="BS228" s="49">
        <f t="shared" si="505"/>
        <v>1</v>
      </c>
      <c r="BT228" s="50">
        <f t="shared" si="506"/>
        <v>0</v>
      </c>
      <c r="BU228" s="50">
        <f t="shared" si="507"/>
        <v>0</v>
      </c>
      <c r="BV228" s="50">
        <f t="shared" si="508"/>
        <v>0</v>
      </c>
      <c r="BW228" s="50">
        <f t="shared" si="566"/>
        <v>0</v>
      </c>
      <c r="BX228" s="50">
        <f t="shared" si="566"/>
        <v>0</v>
      </c>
      <c r="BY228" s="50">
        <f t="shared" si="566"/>
        <v>0</v>
      </c>
      <c r="BZ228" s="50">
        <f t="shared" si="554"/>
        <v>0</v>
      </c>
      <c r="CA228" s="50">
        <f t="shared" si="555"/>
        <v>0</v>
      </c>
      <c r="CB228" s="50">
        <f t="shared" si="556"/>
        <v>1</v>
      </c>
      <c r="CC228" s="50">
        <f t="shared" si="557"/>
        <v>0</v>
      </c>
      <c r="CD228" s="50">
        <f t="shared" si="558"/>
        <v>0</v>
      </c>
      <c r="CE228" s="50">
        <f t="shared" si="559"/>
        <v>1</v>
      </c>
      <c r="CF228" s="50">
        <f t="shared" si="560"/>
        <v>1</v>
      </c>
      <c r="CG228" s="50">
        <f t="shared" si="561"/>
        <v>1</v>
      </c>
      <c r="CH228" s="50">
        <f t="shared" si="562"/>
        <v>1</v>
      </c>
      <c r="CI228" s="50">
        <f t="shared" si="563"/>
        <v>1</v>
      </c>
      <c r="CJ228" s="50">
        <f t="shared" si="564"/>
        <v>1</v>
      </c>
      <c r="CK228" s="50">
        <f t="shared" si="564"/>
        <v>0</v>
      </c>
      <c r="CL228" s="50">
        <f t="shared" si="564"/>
        <v>0</v>
      </c>
      <c r="CM228" s="51">
        <f t="shared" si="432"/>
        <v>0</v>
      </c>
      <c r="CN228" s="33">
        <f>ROUND(IF(BS228=0,0,HLOOKUP(BS$14,Villagers!$B$1:$V$33,BS228+3,FALSE)),)</f>
        <v>5</v>
      </c>
      <c r="CO228" s="14">
        <f>ROUND(IF(BT228=0,0,HLOOKUP(BT$14,Villagers!$B$1:$V$33,BT228+3,FALSE)),)</f>
        <v>0</v>
      </c>
      <c r="CP228" s="14">
        <f>ROUND(IF(BU228=0,0,HLOOKUP(BU$14,Villagers!$B$1:$V$33,BU228+3,FALSE)),)</f>
        <v>0</v>
      </c>
      <c r="CQ228" s="14">
        <f>ROUND(IF(BV228=0,0,HLOOKUP(BV$14,Villagers!$B$1:$V$33,BV228+3,FALSE)),)</f>
        <v>0</v>
      </c>
      <c r="CR228" s="14">
        <f>ROUND(IF(BW228=0,0,HLOOKUP(BW$14,Villagers!$B$1:$V$33,BW228+3,FALSE)),)</f>
        <v>0</v>
      </c>
      <c r="CS228" s="14">
        <f>ROUND(IF(BX228=0,0,HLOOKUP(BX$14,Villagers!$B$1:$V$33,BX228+3,FALSE)),)</f>
        <v>0</v>
      </c>
      <c r="CT228" s="14">
        <f>ROUND(IF(BY228=0,0,HLOOKUP(BY$14,Villagers!$B$1:$V$33,BY228+3,FALSE)),)</f>
        <v>0</v>
      </c>
      <c r="CU228" s="14">
        <f>ROUND(IF(BZ228=0,0,HLOOKUP(BZ$14,Villagers!$B$1:$V$33,BZ228+3,FALSE)),)</f>
        <v>0</v>
      </c>
      <c r="CV228" s="14">
        <f>ROUND(IF(CA228=0,0,HLOOKUP(CA$14,Villagers!$B$1:$V$33,CA228+3,FALSE)),)</f>
        <v>0</v>
      </c>
      <c r="CW228" s="14">
        <f>ROUND(IF(CB228=0,0,HLOOKUP(CB$14,Villagers!$B$1:$V$33,CB228+3,FALSE)),)</f>
        <v>0</v>
      </c>
      <c r="CX228" s="14">
        <f>ROUND(IF(CC228=0,0,HLOOKUP(CC$14,Villagers!$B$1:$V$33,CC228+3,FALSE)),)</f>
        <v>0</v>
      </c>
      <c r="CY228" s="14">
        <f>ROUND(IF(CD228=0,0,HLOOKUP(CD$14,Villagers!$B$1:$V$33,CD228+3,FALSE)),)</f>
        <v>0</v>
      </c>
      <c r="CZ228" s="14">
        <f>ROUND(IF(CE228=0,0,HLOOKUP(CE$14,Villagers!$B$1:$V$33,CE228+3,FALSE)),)</f>
        <v>5</v>
      </c>
      <c r="DA228" s="14">
        <f>ROUND(IF(CF228=0,0,HLOOKUP(CF$14,Villagers!$B$1:$V$33,CF228+3,FALSE)),)</f>
        <v>10</v>
      </c>
      <c r="DB228" s="14">
        <f>ROUND(IF(CG228=0,0,HLOOKUP(CG$14,Villagers!$B$1:$V$33,CG228+3,FALSE)),)</f>
        <v>10</v>
      </c>
      <c r="DC228" s="14">
        <f>ROUND(IF(CH228=0,0,HLOOKUP(CH$14,Villagers!$B$1:$V$33,CH228+3,FALSE)),)</f>
        <v>0</v>
      </c>
      <c r="DD228" s="14">
        <f>ROUND(IF(CI228=0,0,HLOOKUP(CI$14,Villagers!$B$1:$V$33,CI228+3,FALSE)),)</f>
        <v>0</v>
      </c>
      <c r="DE228" s="14">
        <f>ROUND(IF(CJ228=0,0,HLOOKUP(CJ$14,Villagers!$B$1:$V$33,CJ228+3,FALSE)),)</f>
        <v>2</v>
      </c>
      <c r="DF228" s="370">
        <f>ROUND(IF(CK228=0,0,HLOOKUP(CK$14,Villagers!$B$1:$V$33,CK228+3,FALSE)),)</f>
        <v>0</v>
      </c>
      <c r="DG228" s="370">
        <f>ROUND(IF(CL228=0,0,HLOOKUP(CL$14,Villagers!$B$1:$V$33,CL228+3,FALSE)),)</f>
        <v>0</v>
      </c>
      <c r="DH228" s="34">
        <f>ROUND(IF(CM228=0,0,HLOOKUP(CM$14,Villagers!$B$1:$V$33,CM228+3,FALSE)),)</f>
        <v>0</v>
      </c>
      <c r="DI228" s="109">
        <f t="shared" si="526"/>
        <v>0</v>
      </c>
      <c r="DJ228" s="50">
        <f t="shared" si="527"/>
        <v>0</v>
      </c>
      <c r="DK228" s="50">
        <f t="shared" si="528"/>
        <v>0</v>
      </c>
      <c r="DL228" s="50">
        <f t="shared" si="529"/>
        <v>0</v>
      </c>
      <c r="DM228" s="50">
        <f t="shared" si="530"/>
        <v>0</v>
      </c>
      <c r="DN228" s="50">
        <f t="shared" si="531"/>
        <v>0</v>
      </c>
      <c r="DO228" s="50">
        <f t="shared" si="532"/>
        <v>0</v>
      </c>
      <c r="DP228" s="50">
        <f t="shared" si="533"/>
        <v>0</v>
      </c>
      <c r="DQ228" s="50">
        <f t="shared" si="510"/>
        <v>0</v>
      </c>
      <c r="DR228" s="50">
        <f t="shared" si="511"/>
        <v>0</v>
      </c>
      <c r="DS228" s="96">
        <f>Miscelaneous!$D$4*Miscelaneous!$D$2^($CI228-1)</f>
        <v>1000</v>
      </c>
      <c r="DT228" s="333">
        <f t="shared" si="490"/>
        <v>1</v>
      </c>
      <c r="DU228" s="81">
        <v>1</v>
      </c>
      <c r="DV228" s="79">
        <f t="shared" si="512"/>
        <v>0</v>
      </c>
      <c r="DW228" s="79">
        <f t="shared" si="513"/>
        <v>0</v>
      </c>
      <c r="DX228" s="79">
        <f t="shared" si="514"/>
        <v>0</v>
      </c>
      <c r="DY228" s="79">
        <v>1</v>
      </c>
      <c r="DZ228" s="79">
        <f t="shared" si="515"/>
        <v>0</v>
      </c>
      <c r="EA228" s="79">
        <f t="shared" si="516"/>
        <v>0</v>
      </c>
      <c r="EB228" s="79">
        <f t="shared" si="517"/>
        <v>0</v>
      </c>
      <c r="EC228" s="79">
        <f t="shared" si="518"/>
        <v>0</v>
      </c>
      <c r="ED228" s="79">
        <v>1</v>
      </c>
      <c r="EE228" s="79">
        <v>1</v>
      </c>
      <c r="EF228" s="79">
        <f t="shared" si="519"/>
        <v>0</v>
      </c>
      <c r="EG228" s="79">
        <v>1</v>
      </c>
      <c r="EH228" s="79">
        <v>1</v>
      </c>
      <c r="EI228" s="79">
        <v>1</v>
      </c>
      <c r="EJ228" s="79">
        <v>1</v>
      </c>
      <c r="EK228" s="79">
        <v>1</v>
      </c>
      <c r="EL228" s="79">
        <v>1</v>
      </c>
      <c r="EM228" s="143">
        <f t="shared" si="520"/>
        <v>0</v>
      </c>
      <c r="EN228" s="143">
        <f t="shared" si="521"/>
        <v>0</v>
      </c>
      <c r="EO228" s="82">
        <f t="shared" si="522"/>
        <v>0</v>
      </c>
    </row>
    <row r="229" spans="1:145" x14ac:dyDescent="0.25">
      <c r="A229">
        <v>215</v>
      </c>
      <c r="B229" s="172" t="e">
        <f t="shared" si="491"/>
        <v>#N/A</v>
      </c>
      <c r="C229" s="121" t="e">
        <f t="shared" ref="C229:E229" si="572">AJ229-SUM(AB229:AB233)</f>
        <v>#N/A</v>
      </c>
      <c r="D229" s="122" t="e">
        <f t="shared" si="572"/>
        <v>#N/A</v>
      </c>
      <c r="E229" s="122" t="e">
        <f t="shared" si="572"/>
        <v>#N/A</v>
      </c>
      <c r="F229" s="176" t="e">
        <f t="shared" si="473"/>
        <v>#N/A</v>
      </c>
      <c r="G229" s="121">
        <f t="shared" si="493"/>
        <v>208</v>
      </c>
      <c r="H229" s="176" t="e">
        <f t="shared" si="494"/>
        <v>#N/A</v>
      </c>
      <c r="I229" s="48">
        <v>1</v>
      </c>
      <c r="J229" s="39"/>
      <c r="K229" s="350">
        <v>1</v>
      </c>
      <c r="L229" s="34" t="e">
        <f t="shared" si="474"/>
        <v>#N/A</v>
      </c>
      <c r="M229" s="38" t="e">
        <f>(HLOOKUP(J229,'Construction Times'!$B$3:$W$34,L229+2,FALSE)*HLOOKUP("hq modifier",'Construction Times'!$W$3:$W$34,BS229+2,FALSE))*(1-$H$9)</f>
        <v>#N/A</v>
      </c>
      <c r="N229" s="426" t="e">
        <f t="shared" si="495"/>
        <v>#N/A</v>
      </c>
      <c r="O229" s="427"/>
      <c r="P229" s="430" t="e">
        <f t="shared" si="496"/>
        <v>#N/A</v>
      </c>
      <c r="Q229" s="431"/>
      <c r="R229" s="103">
        <f t="shared" si="524"/>
        <v>0</v>
      </c>
      <c r="S229" s="104">
        <f t="shared" si="524"/>
        <v>0</v>
      </c>
      <c r="T229" s="104">
        <f t="shared" si="525"/>
        <v>0</v>
      </c>
      <c r="U229" s="104">
        <f t="shared" si="525"/>
        <v>0</v>
      </c>
      <c r="V229" s="104">
        <f t="shared" si="525"/>
        <v>9.9999999999999995E-8</v>
      </c>
      <c r="W229" s="104">
        <f t="shared" si="525"/>
        <v>0</v>
      </c>
      <c r="X229" s="104">
        <f t="shared" si="429"/>
        <v>0</v>
      </c>
      <c r="Y229" s="104">
        <f t="shared" si="429"/>
        <v>9.9999999999999995E-8</v>
      </c>
      <c r="Z229" s="104">
        <f t="shared" si="429"/>
        <v>9.9999999999999995E-8</v>
      </c>
      <c r="AA229" s="105">
        <f t="shared" si="429"/>
        <v>9.9999999999999995E-8</v>
      </c>
      <c r="AB229" s="101" t="e">
        <f>$DT229*HLOOKUP($J229,'Construction Costs (timber)'!$B$1:$V$32,'Construction Planner'!$L229+2,FALSE)</f>
        <v>#N/A</v>
      </c>
      <c r="AC229" s="14" t="e">
        <f>$DT229*HLOOKUP($J229,'Construction Costs (clay)'!$B$1:$V$32,'Construction Planner'!$L229+2,FALSE)</f>
        <v>#N/A</v>
      </c>
      <c r="AD229" s="14" t="e">
        <f>$DT229*HLOOKUP($J229,'Construction Costs (iron)'!$B$1:$V$32,'Construction Planner'!$L229+2,FALSE)</f>
        <v>#N/A</v>
      </c>
      <c r="AE229" s="34" t="e">
        <f t="shared" si="537"/>
        <v>#N/A</v>
      </c>
      <c r="AF229" s="33" t="e">
        <f t="shared" si="475"/>
        <v>#N/A</v>
      </c>
      <c r="AG229" s="14" t="e">
        <f t="shared" si="476"/>
        <v>#N/A</v>
      </c>
      <c r="AH229" s="14" t="e">
        <f t="shared" si="477"/>
        <v>#N/A</v>
      </c>
      <c r="AI229" s="34" t="e">
        <f t="shared" si="538"/>
        <v>#N/A</v>
      </c>
      <c r="AJ229" s="49" t="e">
        <f t="shared" si="498"/>
        <v>#N/A</v>
      </c>
      <c r="AK229" s="49" t="e">
        <f t="shared" si="499"/>
        <v>#N/A</v>
      </c>
      <c r="AL229" s="49" t="e">
        <f t="shared" si="500"/>
        <v>#N/A</v>
      </c>
      <c r="AM229" s="25">
        <f t="shared" si="478"/>
        <v>30</v>
      </c>
      <c r="AN229" s="25">
        <f t="shared" si="479"/>
        <v>30</v>
      </c>
      <c r="AO229" s="25">
        <f t="shared" si="480"/>
        <v>30</v>
      </c>
      <c r="AP229" s="52" t="e">
        <f t="shared" si="501"/>
        <v>#N/A</v>
      </c>
      <c r="AQ229" s="53" t="e">
        <f t="shared" si="501"/>
        <v>#N/A</v>
      </c>
      <c r="AR229" s="54" t="e">
        <f t="shared" si="501"/>
        <v>#N/A</v>
      </c>
      <c r="AS229" s="316">
        <f t="shared" si="571"/>
        <v>0</v>
      </c>
      <c r="AT229" s="106">
        <f>_xlfn.IFNA($M229/VLOOKUP($BT229,'Unit information'!$A$2:$K$29,2,FALSE)*R229,0)*(1+$E$9)</f>
        <v>0</v>
      </c>
      <c r="AU229" s="107">
        <f>_xlfn.IFNA($M229/VLOOKUP($BT229,'Unit information'!$A$2:$K$29,3,FALSE)*S229,0)*(1+$E$9)</f>
        <v>0</v>
      </c>
      <c r="AV229" s="107">
        <f>_xlfn.IFNA($M229/VLOOKUP($BT229,'Unit information'!$A$2:$K$29,4,FALSE)*T229,0)*(1+$E$9)</f>
        <v>0</v>
      </c>
      <c r="AW229" s="107">
        <f>_xlfn.IFNA($M229/VLOOKUP($BT229,'Unit information'!$A$2:$K$29,5,FALSE)*U229,0)*(1+$E$9)</f>
        <v>0</v>
      </c>
      <c r="AX229" s="107">
        <f>_xlfn.IFNA($M229/VLOOKUP($BU229,'Unit information'!$A$2:$K$29,6,FALSE)*V229,0)*(1+$E$9)</f>
        <v>0</v>
      </c>
      <c r="AY229" s="107">
        <f>_xlfn.IFNA($M229/VLOOKUP($BU229,'Unit information'!$A$2:$K$29,7,FALSE)*W229,0)*(1+$E$9)</f>
        <v>0</v>
      </c>
      <c r="AZ229" s="107">
        <f>_xlfn.IFNA($M229/VLOOKUP($BU229,'Unit information'!$A$2:$K$29,8,FALSE)*X229,0)*(1+$E$9)</f>
        <v>0</v>
      </c>
      <c r="BA229" s="107">
        <f>_xlfn.IFNA($M229/VLOOKUP($BU229,'Unit information'!$A$2:$K$29,9,FALSE)*Y229,0)*(1+$E$9)</f>
        <v>0</v>
      </c>
      <c r="BB229" s="107">
        <f>_xlfn.IFNA($M229/VLOOKUP($BV229,'Unit information'!$A$2:$K$29,10,FALSE)*Z229,0)*(1+$E$9)</f>
        <v>0</v>
      </c>
      <c r="BC229" s="108">
        <f>_xlfn.IFNA($M229/VLOOKUP($BV229,'Unit information'!$A$2:$K$29,11,FALSE)*AA229,0)*(1+$E$9)</f>
        <v>0</v>
      </c>
      <c r="BD229" s="106">
        <f t="shared" si="481"/>
        <v>0</v>
      </c>
      <c r="BE229" s="107">
        <f t="shared" si="482"/>
        <v>0</v>
      </c>
      <c r="BF229" s="108">
        <f t="shared" si="483"/>
        <v>0</v>
      </c>
      <c r="BG229" s="25" t="e">
        <f t="shared" si="484"/>
        <v>#N/A</v>
      </c>
      <c r="BH229" s="25" t="e">
        <f t="shared" si="485"/>
        <v>#N/A</v>
      </c>
      <c r="BI229" s="25" t="e">
        <f t="shared" si="486"/>
        <v>#N/A</v>
      </c>
      <c r="BJ229" s="27" t="e">
        <f t="shared" si="487"/>
        <v>#N/A</v>
      </c>
      <c r="BK229" s="18" t="e">
        <f t="shared" si="488"/>
        <v>#N/A</v>
      </c>
      <c r="BL229" s="18" t="e">
        <f t="shared" si="489"/>
        <v>#N/A</v>
      </c>
      <c r="BM229" s="28" t="e">
        <f t="shared" si="540"/>
        <v>#N/A</v>
      </c>
      <c r="BN229" s="33">
        <f>HLOOKUP("maximum population",Miscelaneous!$C$1:$C$33,CH229+3,FALSE)</f>
        <v>240</v>
      </c>
      <c r="BO229" s="14">
        <f t="shared" si="502"/>
        <v>32</v>
      </c>
      <c r="BP229" s="14">
        <f t="shared" si="503"/>
        <v>0</v>
      </c>
      <c r="BQ229" s="14">
        <f t="shared" si="504"/>
        <v>208</v>
      </c>
      <c r="BR229" s="34" t="e">
        <f>HLOOKUP(J229,Villagers!$B$1:$V$33,L229+3,FALSE)-HLOOKUP(J229,Villagers!$B$1:$V$33,L229+2,FALSE)</f>
        <v>#N/A</v>
      </c>
      <c r="BS229" s="49">
        <f t="shared" si="505"/>
        <v>1</v>
      </c>
      <c r="BT229" s="50">
        <f t="shared" si="506"/>
        <v>0</v>
      </c>
      <c r="BU229" s="50">
        <f t="shared" si="507"/>
        <v>0</v>
      </c>
      <c r="BV229" s="50">
        <f t="shared" si="508"/>
        <v>0</v>
      </c>
      <c r="BW229" s="50">
        <f t="shared" si="566"/>
        <v>0</v>
      </c>
      <c r="BX229" s="50">
        <f t="shared" si="566"/>
        <v>0</v>
      </c>
      <c r="BY229" s="50">
        <f t="shared" si="566"/>
        <v>0</v>
      </c>
      <c r="BZ229" s="50">
        <f t="shared" si="554"/>
        <v>0</v>
      </c>
      <c r="CA229" s="50">
        <f t="shared" si="555"/>
        <v>0</v>
      </c>
      <c r="CB229" s="50">
        <f t="shared" si="556"/>
        <v>1</v>
      </c>
      <c r="CC229" s="50">
        <f t="shared" si="557"/>
        <v>0</v>
      </c>
      <c r="CD229" s="50">
        <f t="shared" si="558"/>
        <v>0</v>
      </c>
      <c r="CE229" s="50">
        <f t="shared" si="559"/>
        <v>1</v>
      </c>
      <c r="CF229" s="50">
        <f t="shared" si="560"/>
        <v>1</v>
      </c>
      <c r="CG229" s="50">
        <f t="shared" si="561"/>
        <v>1</v>
      </c>
      <c r="CH229" s="50">
        <f t="shared" si="562"/>
        <v>1</v>
      </c>
      <c r="CI229" s="50">
        <f t="shared" si="563"/>
        <v>1</v>
      </c>
      <c r="CJ229" s="50">
        <f t="shared" si="564"/>
        <v>1</v>
      </c>
      <c r="CK229" s="50">
        <f t="shared" si="564"/>
        <v>0</v>
      </c>
      <c r="CL229" s="50">
        <f t="shared" si="564"/>
        <v>0</v>
      </c>
      <c r="CM229" s="51">
        <f t="shared" si="432"/>
        <v>0</v>
      </c>
      <c r="CN229" s="33">
        <f>ROUND(IF(BS229=0,0,HLOOKUP(BS$14,Villagers!$B$1:$V$33,BS229+3,FALSE)),)</f>
        <v>5</v>
      </c>
      <c r="CO229" s="14">
        <f>ROUND(IF(BT229=0,0,HLOOKUP(BT$14,Villagers!$B$1:$V$33,BT229+3,FALSE)),)</f>
        <v>0</v>
      </c>
      <c r="CP229" s="14">
        <f>ROUND(IF(BU229=0,0,HLOOKUP(BU$14,Villagers!$B$1:$V$33,BU229+3,FALSE)),)</f>
        <v>0</v>
      </c>
      <c r="CQ229" s="14">
        <f>ROUND(IF(BV229=0,0,HLOOKUP(BV$14,Villagers!$B$1:$V$33,BV229+3,FALSE)),)</f>
        <v>0</v>
      </c>
      <c r="CR229" s="14">
        <f>ROUND(IF(BW229=0,0,HLOOKUP(BW$14,Villagers!$B$1:$V$33,BW229+3,FALSE)),)</f>
        <v>0</v>
      </c>
      <c r="CS229" s="14">
        <f>ROUND(IF(BX229=0,0,HLOOKUP(BX$14,Villagers!$B$1:$V$33,BX229+3,FALSE)),)</f>
        <v>0</v>
      </c>
      <c r="CT229" s="14">
        <f>ROUND(IF(BY229=0,0,HLOOKUP(BY$14,Villagers!$B$1:$V$33,BY229+3,FALSE)),)</f>
        <v>0</v>
      </c>
      <c r="CU229" s="14">
        <f>ROUND(IF(BZ229=0,0,HLOOKUP(BZ$14,Villagers!$B$1:$V$33,BZ229+3,FALSE)),)</f>
        <v>0</v>
      </c>
      <c r="CV229" s="14">
        <f>ROUND(IF(CA229=0,0,HLOOKUP(CA$14,Villagers!$B$1:$V$33,CA229+3,FALSE)),)</f>
        <v>0</v>
      </c>
      <c r="CW229" s="14">
        <f>ROUND(IF(CB229=0,0,HLOOKUP(CB$14,Villagers!$B$1:$V$33,CB229+3,FALSE)),)</f>
        <v>0</v>
      </c>
      <c r="CX229" s="14">
        <f>ROUND(IF(CC229=0,0,HLOOKUP(CC$14,Villagers!$B$1:$V$33,CC229+3,FALSE)),)</f>
        <v>0</v>
      </c>
      <c r="CY229" s="14">
        <f>ROUND(IF(CD229=0,0,HLOOKUP(CD$14,Villagers!$B$1:$V$33,CD229+3,FALSE)),)</f>
        <v>0</v>
      </c>
      <c r="CZ229" s="14">
        <f>ROUND(IF(CE229=0,0,HLOOKUP(CE$14,Villagers!$B$1:$V$33,CE229+3,FALSE)),)</f>
        <v>5</v>
      </c>
      <c r="DA229" s="14">
        <f>ROUND(IF(CF229=0,0,HLOOKUP(CF$14,Villagers!$B$1:$V$33,CF229+3,FALSE)),)</f>
        <v>10</v>
      </c>
      <c r="DB229" s="14">
        <f>ROUND(IF(CG229=0,0,HLOOKUP(CG$14,Villagers!$B$1:$V$33,CG229+3,FALSE)),)</f>
        <v>10</v>
      </c>
      <c r="DC229" s="14">
        <f>ROUND(IF(CH229=0,0,HLOOKUP(CH$14,Villagers!$B$1:$V$33,CH229+3,FALSE)),)</f>
        <v>0</v>
      </c>
      <c r="DD229" s="14">
        <f>ROUND(IF(CI229=0,0,HLOOKUP(CI$14,Villagers!$B$1:$V$33,CI229+3,FALSE)),)</f>
        <v>0</v>
      </c>
      <c r="DE229" s="14">
        <f>ROUND(IF(CJ229=0,0,HLOOKUP(CJ$14,Villagers!$B$1:$V$33,CJ229+3,FALSE)),)</f>
        <v>2</v>
      </c>
      <c r="DF229" s="370">
        <f>ROUND(IF(CK229=0,0,HLOOKUP(CK$14,Villagers!$B$1:$V$33,CK229+3,FALSE)),)</f>
        <v>0</v>
      </c>
      <c r="DG229" s="370">
        <f>ROUND(IF(CL229=0,0,HLOOKUP(CL$14,Villagers!$B$1:$V$33,CL229+3,FALSE)),)</f>
        <v>0</v>
      </c>
      <c r="DH229" s="34">
        <f>ROUND(IF(CM229=0,0,HLOOKUP(CM$14,Villagers!$B$1:$V$33,CM229+3,FALSE)),)</f>
        <v>0</v>
      </c>
      <c r="DI229" s="109">
        <f t="shared" si="526"/>
        <v>0</v>
      </c>
      <c r="DJ229" s="50">
        <f t="shared" si="527"/>
        <v>0</v>
      </c>
      <c r="DK229" s="50">
        <f t="shared" si="528"/>
        <v>0</v>
      </c>
      <c r="DL229" s="50">
        <f t="shared" si="529"/>
        <v>0</v>
      </c>
      <c r="DM229" s="50">
        <f t="shared" si="530"/>
        <v>0</v>
      </c>
      <c r="DN229" s="50">
        <f t="shared" si="531"/>
        <v>0</v>
      </c>
      <c r="DO229" s="50">
        <f t="shared" si="532"/>
        <v>0</v>
      </c>
      <c r="DP229" s="50">
        <f t="shared" si="533"/>
        <v>0</v>
      </c>
      <c r="DQ229" s="50">
        <f t="shared" si="510"/>
        <v>0</v>
      </c>
      <c r="DR229" s="50">
        <f t="shared" si="511"/>
        <v>0</v>
      </c>
      <c r="DS229" s="96">
        <f>Miscelaneous!$D$4*Miscelaneous!$D$2^($CI229-1)</f>
        <v>1000</v>
      </c>
      <c r="DT229" s="333">
        <f t="shared" si="490"/>
        <v>1</v>
      </c>
      <c r="DU229" s="81">
        <v>1</v>
      </c>
      <c r="DV229" s="79">
        <f t="shared" si="512"/>
        <v>0</v>
      </c>
      <c r="DW229" s="79">
        <f t="shared" si="513"/>
        <v>0</v>
      </c>
      <c r="DX229" s="79">
        <f t="shared" si="514"/>
        <v>0</v>
      </c>
      <c r="DY229" s="79">
        <v>1</v>
      </c>
      <c r="DZ229" s="79">
        <f t="shared" si="515"/>
        <v>0</v>
      </c>
      <c r="EA229" s="79">
        <f t="shared" si="516"/>
        <v>0</v>
      </c>
      <c r="EB229" s="79">
        <f t="shared" si="517"/>
        <v>0</v>
      </c>
      <c r="EC229" s="79">
        <f t="shared" si="518"/>
        <v>0</v>
      </c>
      <c r="ED229" s="79">
        <v>1</v>
      </c>
      <c r="EE229" s="79">
        <v>1</v>
      </c>
      <c r="EF229" s="79">
        <f t="shared" si="519"/>
        <v>0</v>
      </c>
      <c r="EG229" s="79">
        <v>1</v>
      </c>
      <c r="EH229" s="79">
        <v>1</v>
      </c>
      <c r="EI229" s="79">
        <v>1</v>
      </c>
      <c r="EJ229" s="79">
        <v>1</v>
      </c>
      <c r="EK229" s="79">
        <v>1</v>
      </c>
      <c r="EL229" s="79">
        <v>1</v>
      </c>
      <c r="EM229" s="143">
        <f t="shared" si="520"/>
        <v>0</v>
      </c>
      <c r="EN229" s="143">
        <f t="shared" si="521"/>
        <v>0</v>
      </c>
      <c r="EO229" s="82">
        <f t="shared" si="522"/>
        <v>0</v>
      </c>
    </row>
    <row r="230" spans="1:145" x14ac:dyDescent="0.25">
      <c r="A230">
        <v>216</v>
      </c>
      <c r="B230" s="172" t="e">
        <f t="shared" si="491"/>
        <v>#N/A</v>
      </c>
      <c r="C230" s="121" t="e">
        <f t="shared" ref="C230:E230" si="573">AJ230-SUM(AB230:AB234)</f>
        <v>#N/A</v>
      </c>
      <c r="D230" s="122" t="e">
        <f t="shared" si="573"/>
        <v>#N/A</v>
      </c>
      <c r="E230" s="122" t="e">
        <f t="shared" si="573"/>
        <v>#N/A</v>
      </c>
      <c r="F230" s="176" t="e">
        <f t="shared" si="473"/>
        <v>#N/A</v>
      </c>
      <c r="G230" s="121">
        <f t="shared" si="493"/>
        <v>208</v>
      </c>
      <c r="H230" s="176" t="e">
        <f t="shared" si="494"/>
        <v>#N/A</v>
      </c>
      <c r="I230" s="48">
        <v>1</v>
      </c>
      <c r="J230" s="39"/>
      <c r="K230" s="350">
        <v>1</v>
      </c>
      <c r="L230" s="34" t="e">
        <f t="shared" si="474"/>
        <v>#N/A</v>
      </c>
      <c r="M230" s="38" t="e">
        <f>(HLOOKUP(J230,'Construction Times'!$B$3:$W$34,L230+2,FALSE)*HLOOKUP("hq modifier",'Construction Times'!$W$3:$W$34,BS230+2,FALSE))*(1-$H$9)</f>
        <v>#N/A</v>
      </c>
      <c r="N230" s="426" t="e">
        <f t="shared" si="495"/>
        <v>#N/A</v>
      </c>
      <c r="O230" s="427"/>
      <c r="P230" s="430" t="e">
        <f t="shared" si="496"/>
        <v>#N/A</v>
      </c>
      <c r="Q230" s="431"/>
      <c r="R230" s="103">
        <f t="shared" si="524"/>
        <v>0</v>
      </c>
      <c r="S230" s="104">
        <f t="shared" si="524"/>
        <v>0</v>
      </c>
      <c r="T230" s="104">
        <f t="shared" si="525"/>
        <v>0</v>
      </c>
      <c r="U230" s="104">
        <f t="shared" si="525"/>
        <v>0</v>
      </c>
      <c r="V230" s="104">
        <f t="shared" si="525"/>
        <v>9.9999999999999995E-8</v>
      </c>
      <c r="W230" s="104">
        <f t="shared" si="525"/>
        <v>0</v>
      </c>
      <c r="X230" s="104">
        <f t="shared" si="429"/>
        <v>0</v>
      </c>
      <c r="Y230" s="104">
        <f t="shared" si="429"/>
        <v>9.9999999999999995E-8</v>
      </c>
      <c r="Z230" s="104">
        <f t="shared" si="429"/>
        <v>9.9999999999999995E-8</v>
      </c>
      <c r="AA230" s="105">
        <f t="shared" si="429"/>
        <v>9.9999999999999995E-8</v>
      </c>
      <c r="AB230" s="101" t="e">
        <f>$DT230*HLOOKUP($J230,'Construction Costs (timber)'!$B$1:$V$32,'Construction Planner'!$L230+2,FALSE)</f>
        <v>#N/A</v>
      </c>
      <c r="AC230" s="14" t="e">
        <f>$DT230*HLOOKUP($J230,'Construction Costs (clay)'!$B$1:$V$32,'Construction Planner'!$L230+2,FALSE)</f>
        <v>#N/A</v>
      </c>
      <c r="AD230" s="14" t="e">
        <f>$DT230*HLOOKUP($J230,'Construction Costs (iron)'!$B$1:$V$32,'Construction Planner'!$L230+2,FALSE)</f>
        <v>#N/A</v>
      </c>
      <c r="AE230" s="34" t="e">
        <f t="shared" si="537"/>
        <v>#N/A</v>
      </c>
      <c r="AF230" s="33" t="e">
        <f t="shared" si="475"/>
        <v>#N/A</v>
      </c>
      <c r="AG230" s="14" t="e">
        <f t="shared" si="476"/>
        <v>#N/A</v>
      </c>
      <c r="AH230" s="14" t="e">
        <f t="shared" si="477"/>
        <v>#N/A</v>
      </c>
      <c r="AI230" s="34" t="e">
        <f t="shared" si="538"/>
        <v>#N/A</v>
      </c>
      <c r="AJ230" s="49" t="e">
        <f t="shared" si="498"/>
        <v>#N/A</v>
      </c>
      <c r="AK230" s="49" t="e">
        <f t="shared" si="499"/>
        <v>#N/A</v>
      </c>
      <c r="AL230" s="49" t="e">
        <f t="shared" si="500"/>
        <v>#N/A</v>
      </c>
      <c r="AM230" s="25">
        <f t="shared" si="478"/>
        <v>30</v>
      </c>
      <c r="AN230" s="25">
        <f t="shared" si="479"/>
        <v>30</v>
      </c>
      <c r="AO230" s="25">
        <f t="shared" si="480"/>
        <v>30</v>
      </c>
      <c r="AP230" s="52" t="e">
        <f t="shared" si="501"/>
        <v>#N/A</v>
      </c>
      <c r="AQ230" s="53" t="e">
        <f t="shared" si="501"/>
        <v>#N/A</v>
      </c>
      <c r="AR230" s="54" t="e">
        <f t="shared" si="501"/>
        <v>#N/A</v>
      </c>
      <c r="AS230" s="316">
        <f t="shared" si="571"/>
        <v>0</v>
      </c>
      <c r="AT230" s="106">
        <f>_xlfn.IFNA($M230/VLOOKUP($BT230,'Unit information'!$A$2:$K$29,2,FALSE)*R230,0)*(1+$E$9)</f>
        <v>0</v>
      </c>
      <c r="AU230" s="107">
        <f>_xlfn.IFNA($M230/VLOOKUP($BT230,'Unit information'!$A$2:$K$29,3,FALSE)*S230,0)*(1+$E$9)</f>
        <v>0</v>
      </c>
      <c r="AV230" s="107">
        <f>_xlfn.IFNA($M230/VLOOKUP($BT230,'Unit information'!$A$2:$K$29,4,FALSE)*T230,0)*(1+$E$9)</f>
        <v>0</v>
      </c>
      <c r="AW230" s="107">
        <f>_xlfn.IFNA($M230/VLOOKUP($BT230,'Unit information'!$A$2:$K$29,5,FALSE)*U230,0)*(1+$E$9)</f>
        <v>0</v>
      </c>
      <c r="AX230" s="107">
        <f>_xlfn.IFNA($M230/VLOOKUP($BU230,'Unit information'!$A$2:$K$29,6,FALSE)*V230,0)*(1+$E$9)</f>
        <v>0</v>
      </c>
      <c r="AY230" s="107">
        <f>_xlfn.IFNA($M230/VLOOKUP($BU230,'Unit information'!$A$2:$K$29,7,FALSE)*W230,0)*(1+$E$9)</f>
        <v>0</v>
      </c>
      <c r="AZ230" s="107">
        <f>_xlfn.IFNA($M230/VLOOKUP($BU230,'Unit information'!$A$2:$K$29,8,FALSE)*X230,0)*(1+$E$9)</f>
        <v>0</v>
      </c>
      <c r="BA230" s="107">
        <f>_xlfn.IFNA($M230/VLOOKUP($BU230,'Unit information'!$A$2:$K$29,9,FALSE)*Y230,0)*(1+$E$9)</f>
        <v>0</v>
      </c>
      <c r="BB230" s="107">
        <f>_xlfn.IFNA($M230/VLOOKUP($BV230,'Unit information'!$A$2:$K$29,10,FALSE)*Z230,0)*(1+$E$9)</f>
        <v>0</v>
      </c>
      <c r="BC230" s="108">
        <f>_xlfn.IFNA($M230/VLOOKUP($BV230,'Unit information'!$A$2:$K$29,11,FALSE)*AA230,0)*(1+$E$9)</f>
        <v>0</v>
      </c>
      <c r="BD230" s="106">
        <f t="shared" si="481"/>
        <v>0</v>
      </c>
      <c r="BE230" s="107">
        <f t="shared" si="482"/>
        <v>0</v>
      </c>
      <c r="BF230" s="108">
        <f t="shared" si="483"/>
        <v>0</v>
      </c>
      <c r="BG230" s="25" t="e">
        <f t="shared" si="484"/>
        <v>#N/A</v>
      </c>
      <c r="BH230" s="25" t="e">
        <f t="shared" si="485"/>
        <v>#N/A</v>
      </c>
      <c r="BI230" s="25" t="e">
        <f t="shared" si="486"/>
        <v>#N/A</v>
      </c>
      <c r="BJ230" s="27" t="e">
        <f t="shared" si="487"/>
        <v>#N/A</v>
      </c>
      <c r="BK230" s="18" t="e">
        <f t="shared" si="488"/>
        <v>#N/A</v>
      </c>
      <c r="BL230" s="18" t="e">
        <f t="shared" si="489"/>
        <v>#N/A</v>
      </c>
      <c r="BM230" s="28" t="e">
        <f t="shared" si="540"/>
        <v>#N/A</v>
      </c>
      <c r="BN230" s="33">
        <f>HLOOKUP("maximum population",Miscelaneous!$C$1:$C$33,CH230+3,FALSE)</f>
        <v>240</v>
      </c>
      <c r="BO230" s="14">
        <f t="shared" si="502"/>
        <v>32</v>
      </c>
      <c r="BP230" s="14">
        <f t="shared" si="503"/>
        <v>0</v>
      </c>
      <c r="BQ230" s="14">
        <f t="shared" si="504"/>
        <v>208</v>
      </c>
      <c r="BR230" s="34" t="e">
        <f>HLOOKUP(J230,Villagers!$B$1:$V$33,L230+3,FALSE)-HLOOKUP(J230,Villagers!$B$1:$V$33,L230+2,FALSE)</f>
        <v>#N/A</v>
      </c>
      <c r="BS230" s="49">
        <f t="shared" si="505"/>
        <v>1</v>
      </c>
      <c r="BT230" s="50">
        <f t="shared" si="506"/>
        <v>0</v>
      </c>
      <c r="BU230" s="50">
        <f t="shared" si="507"/>
        <v>0</v>
      </c>
      <c r="BV230" s="50">
        <f t="shared" si="508"/>
        <v>0</v>
      </c>
      <c r="BW230" s="50">
        <f t="shared" si="566"/>
        <v>0</v>
      </c>
      <c r="BX230" s="50">
        <f t="shared" si="566"/>
        <v>0</v>
      </c>
      <c r="BY230" s="50">
        <f t="shared" si="566"/>
        <v>0</v>
      </c>
      <c r="BZ230" s="50">
        <f t="shared" si="554"/>
        <v>0</v>
      </c>
      <c r="CA230" s="50">
        <f t="shared" si="555"/>
        <v>0</v>
      </c>
      <c r="CB230" s="50">
        <f t="shared" si="556"/>
        <v>1</v>
      </c>
      <c r="CC230" s="50">
        <f t="shared" si="557"/>
        <v>0</v>
      </c>
      <c r="CD230" s="50">
        <f t="shared" si="558"/>
        <v>0</v>
      </c>
      <c r="CE230" s="50">
        <f t="shared" si="559"/>
        <v>1</v>
      </c>
      <c r="CF230" s="50">
        <f t="shared" si="560"/>
        <v>1</v>
      </c>
      <c r="CG230" s="50">
        <f t="shared" si="561"/>
        <v>1</v>
      </c>
      <c r="CH230" s="50">
        <f t="shared" si="562"/>
        <v>1</v>
      </c>
      <c r="CI230" s="50">
        <f t="shared" si="563"/>
        <v>1</v>
      </c>
      <c r="CJ230" s="50">
        <f t="shared" si="564"/>
        <v>1</v>
      </c>
      <c r="CK230" s="50">
        <f t="shared" si="564"/>
        <v>0</v>
      </c>
      <c r="CL230" s="50">
        <f t="shared" si="564"/>
        <v>0</v>
      </c>
      <c r="CM230" s="51">
        <f t="shared" si="432"/>
        <v>0</v>
      </c>
      <c r="CN230" s="33">
        <f>ROUND(IF(BS230=0,0,HLOOKUP(BS$14,Villagers!$B$1:$V$33,BS230+3,FALSE)),)</f>
        <v>5</v>
      </c>
      <c r="CO230" s="14">
        <f>ROUND(IF(BT230=0,0,HLOOKUP(BT$14,Villagers!$B$1:$V$33,BT230+3,FALSE)),)</f>
        <v>0</v>
      </c>
      <c r="CP230" s="14">
        <f>ROUND(IF(BU230=0,0,HLOOKUP(BU$14,Villagers!$B$1:$V$33,BU230+3,FALSE)),)</f>
        <v>0</v>
      </c>
      <c r="CQ230" s="14">
        <f>ROUND(IF(BV230=0,0,HLOOKUP(BV$14,Villagers!$B$1:$V$33,BV230+3,FALSE)),)</f>
        <v>0</v>
      </c>
      <c r="CR230" s="14">
        <f>ROUND(IF(BW230=0,0,HLOOKUP(BW$14,Villagers!$B$1:$V$33,BW230+3,FALSE)),)</f>
        <v>0</v>
      </c>
      <c r="CS230" s="14">
        <f>ROUND(IF(BX230=0,0,HLOOKUP(BX$14,Villagers!$B$1:$V$33,BX230+3,FALSE)),)</f>
        <v>0</v>
      </c>
      <c r="CT230" s="14">
        <f>ROUND(IF(BY230=0,0,HLOOKUP(BY$14,Villagers!$B$1:$V$33,BY230+3,FALSE)),)</f>
        <v>0</v>
      </c>
      <c r="CU230" s="14">
        <f>ROUND(IF(BZ230=0,0,HLOOKUP(BZ$14,Villagers!$B$1:$V$33,BZ230+3,FALSE)),)</f>
        <v>0</v>
      </c>
      <c r="CV230" s="14">
        <f>ROUND(IF(CA230=0,0,HLOOKUP(CA$14,Villagers!$B$1:$V$33,CA230+3,FALSE)),)</f>
        <v>0</v>
      </c>
      <c r="CW230" s="14">
        <f>ROUND(IF(CB230=0,0,HLOOKUP(CB$14,Villagers!$B$1:$V$33,CB230+3,FALSE)),)</f>
        <v>0</v>
      </c>
      <c r="CX230" s="14">
        <f>ROUND(IF(CC230=0,0,HLOOKUP(CC$14,Villagers!$B$1:$V$33,CC230+3,FALSE)),)</f>
        <v>0</v>
      </c>
      <c r="CY230" s="14">
        <f>ROUND(IF(CD230=0,0,HLOOKUP(CD$14,Villagers!$B$1:$V$33,CD230+3,FALSE)),)</f>
        <v>0</v>
      </c>
      <c r="CZ230" s="14">
        <f>ROUND(IF(CE230=0,0,HLOOKUP(CE$14,Villagers!$B$1:$V$33,CE230+3,FALSE)),)</f>
        <v>5</v>
      </c>
      <c r="DA230" s="14">
        <f>ROUND(IF(CF230=0,0,HLOOKUP(CF$14,Villagers!$B$1:$V$33,CF230+3,FALSE)),)</f>
        <v>10</v>
      </c>
      <c r="DB230" s="14">
        <f>ROUND(IF(CG230=0,0,HLOOKUP(CG$14,Villagers!$B$1:$V$33,CG230+3,FALSE)),)</f>
        <v>10</v>
      </c>
      <c r="DC230" s="14">
        <f>ROUND(IF(CH230=0,0,HLOOKUP(CH$14,Villagers!$B$1:$V$33,CH230+3,FALSE)),)</f>
        <v>0</v>
      </c>
      <c r="DD230" s="14">
        <f>ROUND(IF(CI230=0,0,HLOOKUP(CI$14,Villagers!$B$1:$V$33,CI230+3,FALSE)),)</f>
        <v>0</v>
      </c>
      <c r="DE230" s="14">
        <f>ROUND(IF(CJ230=0,0,HLOOKUP(CJ$14,Villagers!$B$1:$V$33,CJ230+3,FALSE)),)</f>
        <v>2</v>
      </c>
      <c r="DF230" s="370">
        <f>ROUND(IF(CK230=0,0,HLOOKUP(CK$14,Villagers!$B$1:$V$33,CK230+3,FALSE)),)</f>
        <v>0</v>
      </c>
      <c r="DG230" s="370">
        <f>ROUND(IF(CL230=0,0,HLOOKUP(CL$14,Villagers!$B$1:$V$33,CL230+3,FALSE)),)</f>
        <v>0</v>
      </c>
      <c r="DH230" s="34">
        <f>ROUND(IF(CM230=0,0,HLOOKUP(CM$14,Villagers!$B$1:$V$33,CM230+3,FALSE)),)</f>
        <v>0</v>
      </c>
      <c r="DI230" s="109">
        <f t="shared" si="526"/>
        <v>0</v>
      </c>
      <c r="DJ230" s="50">
        <f t="shared" si="527"/>
        <v>0</v>
      </c>
      <c r="DK230" s="50">
        <f t="shared" si="528"/>
        <v>0</v>
      </c>
      <c r="DL230" s="50">
        <f t="shared" si="529"/>
        <v>0</v>
      </c>
      <c r="DM230" s="50">
        <f t="shared" si="530"/>
        <v>0</v>
      </c>
      <c r="DN230" s="50">
        <f t="shared" si="531"/>
        <v>0</v>
      </c>
      <c r="DO230" s="50">
        <f t="shared" si="532"/>
        <v>0</v>
      </c>
      <c r="DP230" s="50">
        <f t="shared" si="533"/>
        <v>0</v>
      </c>
      <c r="DQ230" s="50">
        <f t="shared" si="510"/>
        <v>0</v>
      </c>
      <c r="DR230" s="50">
        <f t="shared" si="511"/>
        <v>0</v>
      </c>
      <c r="DS230" s="96">
        <f>Miscelaneous!$D$4*Miscelaneous!$D$2^($CI230-1)</f>
        <v>1000</v>
      </c>
      <c r="DT230" s="333">
        <f t="shared" si="490"/>
        <v>1</v>
      </c>
      <c r="DU230" s="81">
        <v>1</v>
      </c>
      <c r="DV230" s="79">
        <f t="shared" si="512"/>
        <v>0</v>
      </c>
      <c r="DW230" s="79">
        <f t="shared" si="513"/>
        <v>0</v>
      </c>
      <c r="DX230" s="79">
        <f t="shared" si="514"/>
        <v>0</v>
      </c>
      <c r="DY230" s="79">
        <v>1</v>
      </c>
      <c r="DZ230" s="79">
        <f t="shared" si="515"/>
        <v>0</v>
      </c>
      <c r="EA230" s="79">
        <f t="shared" si="516"/>
        <v>0</v>
      </c>
      <c r="EB230" s="79">
        <f t="shared" si="517"/>
        <v>0</v>
      </c>
      <c r="EC230" s="79">
        <f t="shared" si="518"/>
        <v>0</v>
      </c>
      <c r="ED230" s="79">
        <v>1</v>
      </c>
      <c r="EE230" s="79">
        <v>1</v>
      </c>
      <c r="EF230" s="79">
        <f t="shared" si="519"/>
        <v>0</v>
      </c>
      <c r="EG230" s="79">
        <v>1</v>
      </c>
      <c r="EH230" s="79">
        <v>1</v>
      </c>
      <c r="EI230" s="79">
        <v>1</v>
      </c>
      <c r="EJ230" s="79">
        <v>1</v>
      </c>
      <c r="EK230" s="79">
        <v>1</v>
      </c>
      <c r="EL230" s="79">
        <v>1</v>
      </c>
      <c r="EM230" s="143">
        <f t="shared" si="520"/>
        <v>0</v>
      </c>
      <c r="EN230" s="143">
        <f t="shared" si="521"/>
        <v>0</v>
      </c>
      <c r="EO230" s="82">
        <f t="shared" si="522"/>
        <v>0</v>
      </c>
    </row>
    <row r="231" spans="1:145" x14ac:dyDescent="0.25">
      <c r="A231">
        <v>217</v>
      </c>
      <c r="B231" s="172" t="e">
        <f t="shared" si="491"/>
        <v>#N/A</v>
      </c>
      <c r="C231" s="121" t="e">
        <f t="shared" ref="C231:E231" si="574">AJ231-SUM(AB231:AB235)</f>
        <v>#N/A</v>
      </c>
      <c r="D231" s="122" t="e">
        <f t="shared" si="574"/>
        <v>#N/A</v>
      </c>
      <c r="E231" s="122" t="e">
        <f t="shared" si="574"/>
        <v>#N/A</v>
      </c>
      <c r="F231" s="176" t="e">
        <f t="shared" si="473"/>
        <v>#N/A</v>
      </c>
      <c r="G231" s="121">
        <f t="shared" si="493"/>
        <v>208</v>
      </c>
      <c r="H231" s="176" t="e">
        <f t="shared" si="494"/>
        <v>#N/A</v>
      </c>
      <c r="I231" s="48">
        <v>1</v>
      </c>
      <c r="J231" s="39"/>
      <c r="K231" s="350">
        <v>1</v>
      </c>
      <c r="L231" s="34" t="e">
        <f t="shared" si="474"/>
        <v>#N/A</v>
      </c>
      <c r="M231" s="38" t="e">
        <f>(HLOOKUP(J231,'Construction Times'!$B$3:$W$34,L231+2,FALSE)*HLOOKUP("hq modifier",'Construction Times'!$W$3:$W$34,BS231+2,FALSE))*(1-$H$9)</f>
        <v>#N/A</v>
      </c>
      <c r="N231" s="426" t="e">
        <f t="shared" si="495"/>
        <v>#N/A</v>
      </c>
      <c r="O231" s="427"/>
      <c r="P231" s="430" t="e">
        <f t="shared" si="496"/>
        <v>#N/A</v>
      </c>
      <c r="Q231" s="431"/>
      <c r="R231" s="103">
        <f t="shared" si="524"/>
        <v>0</v>
      </c>
      <c r="S231" s="104">
        <f t="shared" si="524"/>
        <v>0</v>
      </c>
      <c r="T231" s="104">
        <f t="shared" si="525"/>
        <v>0</v>
      </c>
      <c r="U231" s="104">
        <f t="shared" si="525"/>
        <v>0</v>
      </c>
      <c r="V231" s="104">
        <f t="shared" si="525"/>
        <v>9.9999999999999995E-8</v>
      </c>
      <c r="W231" s="104">
        <f t="shared" si="525"/>
        <v>0</v>
      </c>
      <c r="X231" s="104">
        <f t="shared" si="429"/>
        <v>0</v>
      </c>
      <c r="Y231" s="104">
        <f t="shared" si="429"/>
        <v>9.9999999999999995E-8</v>
      </c>
      <c r="Z231" s="104">
        <f t="shared" si="429"/>
        <v>9.9999999999999995E-8</v>
      </c>
      <c r="AA231" s="105">
        <f t="shared" si="429"/>
        <v>9.9999999999999995E-8</v>
      </c>
      <c r="AB231" s="101" t="e">
        <f>$DT231*HLOOKUP($J231,'Construction Costs (timber)'!$B$1:$V$32,'Construction Planner'!$L231+2,FALSE)</f>
        <v>#N/A</v>
      </c>
      <c r="AC231" s="14" t="e">
        <f>$DT231*HLOOKUP($J231,'Construction Costs (clay)'!$B$1:$V$32,'Construction Planner'!$L231+2,FALSE)</f>
        <v>#N/A</v>
      </c>
      <c r="AD231" s="14" t="e">
        <f>$DT231*HLOOKUP($J231,'Construction Costs (iron)'!$B$1:$V$32,'Construction Planner'!$L231+2,FALSE)</f>
        <v>#N/A</v>
      </c>
      <c r="AE231" s="34" t="e">
        <f t="shared" si="537"/>
        <v>#N/A</v>
      </c>
      <c r="AF231" s="33" t="e">
        <f t="shared" si="475"/>
        <v>#N/A</v>
      </c>
      <c r="AG231" s="14" t="e">
        <f t="shared" si="476"/>
        <v>#N/A</v>
      </c>
      <c r="AH231" s="14" t="e">
        <f t="shared" si="477"/>
        <v>#N/A</v>
      </c>
      <c r="AI231" s="34" t="e">
        <f t="shared" si="538"/>
        <v>#N/A</v>
      </c>
      <c r="AJ231" s="49" t="e">
        <f t="shared" si="498"/>
        <v>#N/A</v>
      </c>
      <c r="AK231" s="49" t="e">
        <f t="shared" si="499"/>
        <v>#N/A</v>
      </c>
      <c r="AL231" s="49" t="e">
        <f t="shared" si="500"/>
        <v>#N/A</v>
      </c>
      <c r="AM231" s="25">
        <f t="shared" si="478"/>
        <v>30</v>
      </c>
      <c r="AN231" s="25">
        <f t="shared" si="479"/>
        <v>30</v>
      </c>
      <c r="AO231" s="25">
        <f t="shared" si="480"/>
        <v>30</v>
      </c>
      <c r="AP231" s="52" t="e">
        <f t="shared" si="501"/>
        <v>#N/A</v>
      </c>
      <c r="AQ231" s="53" t="e">
        <f t="shared" si="501"/>
        <v>#N/A</v>
      </c>
      <c r="AR231" s="54" t="e">
        <f t="shared" si="501"/>
        <v>#N/A</v>
      </c>
      <c r="AS231" s="316">
        <f t="shared" si="571"/>
        <v>0</v>
      </c>
      <c r="AT231" s="106">
        <f>_xlfn.IFNA($M231/VLOOKUP($BT231,'Unit information'!$A$2:$K$29,2,FALSE)*R231,0)*(1+$E$9)</f>
        <v>0</v>
      </c>
      <c r="AU231" s="107">
        <f>_xlfn.IFNA($M231/VLOOKUP($BT231,'Unit information'!$A$2:$K$29,3,FALSE)*S231,0)*(1+$E$9)</f>
        <v>0</v>
      </c>
      <c r="AV231" s="107">
        <f>_xlfn.IFNA($M231/VLOOKUP($BT231,'Unit information'!$A$2:$K$29,4,FALSE)*T231,0)*(1+$E$9)</f>
        <v>0</v>
      </c>
      <c r="AW231" s="107">
        <f>_xlfn.IFNA($M231/VLOOKUP($BT231,'Unit information'!$A$2:$K$29,5,FALSE)*U231,0)*(1+$E$9)</f>
        <v>0</v>
      </c>
      <c r="AX231" s="107">
        <f>_xlfn.IFNA($M231/VLOOKUP($BU231,'Unit information'!$A$2:$K$29,6,FALSE)*V231,0)*(1+$E$9)</f>
        <v>0</v>
      </c>
      <c r="AY231" s="107">
        <f>_xlfn.IFNA($M231/VLOOKUP($BU231,'Unit information'!$A$2:$K$29,7,FALSE)*W231,0)*(1+$E$9)</f>
        <v>0</v>
      </c>
      <c r="AZ231" s="107">
        <f>_xlfn.IFNA($M231/VLOOKUP($BU231,'Unit information'!$A$2:$K$29,8,FALSE)*X231,0)*(1+$E$9)</f>
        <v>0</v>
      </c>
      <c r="BA231" s="107">
        <f>_xlfn.IFNA($M231/VLOOKUP($BU231,'Unit information'!$A$2:$K$29,9,FALSE)*Y231,0)*(1+$E$9)</f>
        <v>0</v>
      </c>
      <c r="BB231" s="107">
        <f>_xlfn.IFNA($M231/VLOOKUP($BV231,'Unit information'!$A$2:$K$29,10,FALSE)*Z231,0)*(1+$E$9)</f>
        <v>0</v>
      </c>
      <c r="BC231" s="108">
        <f>_xlfn.IFNA($M231/VLOOKUP($BV231,'Unit information'!$A$2:$K$29,11,FALSE)*AA231,0)*(1+$E$9)</f>
        <v>0</v>
      </c>
      <c r="BD231" s="106">
        <f t="shared" si="481"/>
        <v>0</v>
      </c>
      <c r="BE231" s="107">
        <f t="shared" si="482"/>
        <v>0</v>
      </c>
      <c r="BF231" s="108">
        <f t="shared" si="483"/>
        <v>0</v>
      </c>
      <c r="BG231" s="25" t="e">
        <f t="shared" si="484"/>
        <v>#N/A</v>
      </c>
      <c r="BH231" s="25" t="e">
        <f t="shared" si="485"/>
        <v>#N/A</v>
      </c>
      <c r="BI231" s="25" t="e">
        <f t="shared" si="486"/>
        <v>#N/A</v>
      </c>
      <c r="BJ231" s="27" t="e">
        <f t="shared" si="487"/>
        <v>#N/A</v>
      </c>
      <c r="BK231" s="18" t="e">
        <f t="shared" si="488"/>
        <v>#N/A</v>
      </c>
      <c r="BL231" s="18" t="e">
        <f t="shared" si="489"/>
        <v>#N/A</v>
      </c>
      <c r="BM231" s="28" t="e">
        <f t="shared" si="540"/>
        <v>#N/A</v>
      </c>
      <c r="BN231" s="33">
        <f>HLOOKUP("maximum population",Miscelaneous!$C$1:$C$33,CH231+3,FALSE)</f>
        <v>240</v>
      </c>
      <c r="BO231" s="14">
        <f t="shared" si="502"/>
        <v>32</v>
      </c>
      <c r="BP231" s="14">
        <f t="shared" si="503"/>
        <v>0</v>
      </c>
      <c r="BQ231" s="14">
        <f t="shared" si="504"/>
        <v>208</v>
      </c>
      <c r="BR231" s="34" t="e">
        <f>HLOOKUP(J231,Villagers!$B$1:$V$33,L231+3,FALSE)-HLOOKUP(J231,Villagers!$B$1:$V$33,L231+2,FALSE)</f>
        <v>#N/A</v>
      </c>
      <c r="BS231" s="49">
        <f t="shared" si="505"/>
        <v>1</v>
      </c>
      <c r="BT231" s="50">
        <f t="shared" si="506"/>
        <v>0</v>
      </c>
      <c r="BU231" s="50">
        <f t="shared" si="507"/>
        <v>0</v>
      </c>
      <c r="BV231" s="50">
        <f t="shared" si="508"/>
        <v>0</v>
      </c>
      <c r="BW231" s="50">
        <f t="shared" ref="BW231:BW255" si="575">IF($J230=BW$14,$L230,BW230)</f>
        <v>0</v>
      </c>
      <c r="BX231" s="50">
        <f t="shared" ref="BX231:BY255" si="576">IF($J230=BX$14,$L230,BX230)</f>
        <v>0</v>
      </c>
      <c r="BY231" s="50">
        <f t="shared" si="576"/>
        <v>0</v>
      </c>
      <c r="BZ231" s="50">
        <f t="shared" si="554"/>
        <v>0</v>
      </c>
      <c r="CA231" s="50">
        <f t="shared" si="555"/>
        <v>0</v>
      </c>
      <c r="CB231" s="50">
        <f t="shared" si="556"/>
        <v>1</v>
      </c>
      <c r="CC231" s="50">
        <f t="shared" si="557"/>
        <v>0</v>
      </c>
      <c r="CD231" s="50">
        <f t="shared" si="558"/>
        <v>0</v>
      </c>
      <c r="CE231" s="50">
        <f t="shared" si="559"/>
        <v>1</v>
      </c>
      <c r="CF231" s="50">
        <f t="shared" si="560"/>
        <v>1</v>
      </c>
      <c r="CG231" s="50">
        <f t="shared" si="561"/>
        <v>1</v>
      </c>
      <c r="CH231" s="50">
        <f t="shared" si="562"/>
        <v>1</v>
      </c>
      <c r="CI231" s="50">
        <f t="shared" si="563"/>
        <v>1</v>
      </c>
      <c r="CJ231" s="50">
        <f t="shared" si="564"/>
        <v>1</v>
      </c>
      <c r="CK231" s="50">
        <f t="shared" si="564"/>
        <v>0</v>
      </c>
      <c r="CL231" s="50">
        <f t="shared" si="564"/>
        <v>0</v>
      </c>
      <c r="CM231" s="51">
        <f t="shared" si="432"/>
        <v>0</v>
      </c>
      <c r="CN231" s="33">
        <f>ROUND(IF(BS231=0,0,HLOOKUP(BS$14,Villagers!$B$1:$V$33,BS231+3,FALSE)),)</f>
        <v>5</v>
      </c>
      <c r="CO231" s="14">
        <f>ROUND(IF(BT231=0,0,HLOOKUP(BT$14,Villagers!$B$1:$V$33,BT231+3,FALSE)),)</f>
        <v>0</v>
      </c>
      <c r="CP231" s="14">
        <f>ROUND(IF(BU231=0,0,HLOOKUP(BU$14,Villagers!$B$1:$V$33,BU231+3,FALSE)),)</f>
        <v>0</v>
      </c>
      <c r="CQ231" s="14">
        <f>ROUND(IF(BV231=0,0,HLOOKUP(BV$14,Villagers!$B$1:$V$33,BV231+3,FALSE)),)</f>
        <v>0</v>
      </c>
      <c r="CR231" s="14">
        <f>ROUND(IF(BW231=0,0,HLOOKUP(BW$14,Villagers!$B$1:$V$33,BW231+3,FALSE)),)</f>
        <v>0</v>
      </c>
      <c r="CS231" s="14">
        <f>ROUND(IF(BX231=0,0,HLOOKUP(BX$14,Villagers!$B$1:$V$33,BX231+3,FALSE)),)</f>
        <v>0</v>
      </c>
      <c r="CT231" s="14">
        <f>ROUND(IF(BY231=0,0,HLOOKUP(BY$14,Villagers!$B$1:$V$33,BY231+3,FALSE)),)</f>
        <v>0</v>
      </c>
      <c r="CU231" s="14">
        <f>ROUND(IF(BZ231=0,0,HLOOKUP(BZ$14,Villagers!$B$1:$V$33,BZ231+3,FALSE)),)</f>
        <v>0</v>
      </c>
      <c r="CV231" s="14">
        <f>ROUND(IF(CA231=0,0,HLOOKUP(CA$14,Villagers!$B$1:$V$33,CA231+3,FALSE)),)</f>
        <v>0</v>
      </c>
      <c r="CW231" s="14">
        <f>ROUND(IF(CB231=0,0,HLOOKUP(CB$14,Villagers!$B$1:$V$33,CB231+3,FALSE)),)</f>
        <v>0</v>
      </c>
      <c r="CX231" s="14">
        <f>ROUND(IF(CC231=0,0,HLOOKUP(CC$14,Villagers!$B$1:$V$33,CC231+3,FALSE)),)</f>
        <v>0</v>
      </c>
      <c r="CY231" s="14">
        <f>ROUND(IF(CD231=0,0,HLOOKUP(CD$14,Villagers!$B$1:$V$33,CD231+3,FALSE)),)</f>
        <v>0</v>
      </c>
      <c r="CZ231" s="14">
        <f>ROUND(IF(CE231=0,0,HLOOKUP(CE$14,Villagers!$B$1:$V$33,CE231+3,FALSE)),)</f>
        <v>5</v>
      </c>
      <c r="DA231" s="14">
        <f>ROUND(IF(CF231=0,0,HLOOKUP(CF$14,Villagers!$B$1:$V$33,CF231+3,FALSE)),)</f>
        <v>10</v>
      </c>
      <c r="DB231" s="14">
        <f>ROUND(IF(CG231=0,0,HLOOKUP(CG$14,Villagers!$B$1:$V$33,CG231+3,FALSE)),)</f>
        <v>10</v>
      </c>
      <c r="DC231" s="14">
        <f>ROUND(IF(CH231=0,0,HLOOKUP(CH$14,Villagers!$B$1:$V$33,CH231+3,FALSE)),)</f>
        <v>0</v>
      </c>
      <c r="DD231" s="14">
        <f>ROUND(IF(CI231=0,0,HLOOKUP(CI$14,Villagers!$B$1:$V$33,CI231+3,FALSE)),)</f>
        <v>0</v>
      </c>
      <c r="DE231" s="14">
        <f>ROUND(IF(CJ231=0,0,HLOOKUP(CJ$14,Villagers!$B$1:$V$33,CJ231+3,FALSE)),)</f>
        <v>2</v>
      </c>
      <c r="DF231" s="370">
        <f>ROUND(IF(CK231=0,0,HLOOKUP(CK$14,Villagers!$B$1:$V$33,CK231+3,FALSE)),)</f>
        <v>0</v>
      </c>
      <c r="DG231" s="370">
        <f>ROUND(IF(CL231=0,0,HLOOKUP(CL$14,Villagers!$B$1:$V$33,CL231+3,FALSE)),)</f>
        <v>0</v>
      </c>
      <c r="DH231" s="34">
        <f>ROUND(IF(CM231=0,0,HLOOKUP(CM$14,Villagers!$B$1:$V$33,CM231+3,FALSE)),)</f>
        <v>0</v>
      </c>
      <c r="DI231" s="109">
        <f t="shared" si="526"/>
        <v>0</v>
      </c>
      <c r="DJ231" s="50">
        <f t="shared" si="527"/>
        <v>0</v>
      </c>
      <c r="DK231" s="50">
        <f t="shared" si="528"/>
        <v>0</v>
      </c>
      <c r="DL231" s="50">
        <f t="shared" si="529"/>
        <v>0</v>
      </c>
      <c r="DM231" s="50">
        <f t="shared" si="530"/>
        <v>0</v>
      </c>
      <c r="DN231" s="50">
        <f t="shared" si="531"/>
        <v>0</v>
      </c>
      <c r="DO231" s="50">
        <f t="shared" si="532"/>
        <v>0</v>
      </c>
      <c r="DP231" s="50">
        <f t="shared" si="533"/>
        <v>0</v>
      </c>
      <c r="DQ231" s="50">
        <f t="shared" si="510"/>
        <v>0</v>
      </c>
      <c r="DR231" s="50">
        <f t="shared" si="511"/>
        <v>0</v>
      </c>
      <c r="DS231" s="96">
        <f>Miscelaneous!$D$4*Miscelaneous!$D$2^($CI231-1)</f>
        <v>1000</v>
      </c>
      <c r="DT231" s="333">
        <f t="shared" si="490"/>
        <v>1</v>
      </c>
      <c r="DU231" s="81">
        <v>1</v>
      </c>
      <c r="DV231" s="79">
        <f t="shared" si="512"/>
        <v>0</v>
      </c>
      <c r="DW231" s="79">
        <f t="shared" si="513"/>
        <v>0</v>
      </c>
      <c r="DX231" s="79">
        <f t="shared" si="514"/>
        <v>0</v>
      </c>
      <c r="DY231" s="79">
        <v>1</v>
      </c>
      <c r="DZ231" s="79">
        <f t="shared" si="515"/>
        <v>0</v>
      </c>
      <c r="EA231" s="79">
        <f t="shared" si="516"/>
        <v>0</v>
      </c>
      <c r="EB231" s="79">
        <f t="shared" si="517"/>
        <v>0</v>
      </c>
      <c r="EC231" s="79">
        <f t="shared" si="518"/>
        <v>0</v>
      </c>
      <c r="ED231" s="79">
        <v>1</v>
      </c>
      <c r="EE231" s="79">
        <v>1</v>
      </c>
      <c r="EF231" s="79">
        <f t="shared" si="519"/>
        <v>0</v>
      </c>
      <c r="EG231" s="79">
        <v>1</v>
      </c>
      <c r="EH231" s="79">
        <v>1</v>
      </c>
      <c r="EI231" s="79">
        <v>1</v>
      </c>
      <c r="EJ231" s="79">
        <v>1</v>
      </c>
      <c r="EK231" s="79">
        <v>1</v>
      </c>
      <c r="EL231" s="79">
        <v>1</v>
      </c>
      <c r="EM231" s="143">
        <f t="shared" si="520"/>
        <v>0</v>
      </c>
      <c r="EN231" s="143">
        <f t="shared" si="521"/>
        <v>0</v>
      </c>
      <c r="EO231" s="82">
        <f t="shared" si="522"/>
        <v>0</v>
      </c>
    </row>
    <row r="232" spans="1:145" x14ac:dyDescent="0.25">
      <c r="A232">
        <v>218</v>
      </c>
      <c r="B232" s="172" t="e">
        <f t="shared" si="491"/>
        <v>#N/A</v>
      </c>
      <c r="C232" s="121" t="e">
        <f t="shared" ref="C232:E232" si="577">AJ232-SUM(AB232:AB236)</f>
        <v>#N/A</v>
      </c>
      <c r="D232" s="122" t="e">
        <f t="shared" si="577"/>
        <v>#N/A</v>
      </c>
      <c r="E232" s="122" t="e">
        <f t="shared" si="577"/>
        <v>#N/A</v>
      </c>
      <c r="F232" s="176" t="e">
        <f t="shared" si="473"/>
        <v>#N/A</v>
      </c>
      <c r="G232" s="121">
        <f t="shared" si="493"/>
        <v>208</v>
      </c>
      <c r="H232" s="176" t="e">
        <f t="shared" si="494"/>
        <v>#N/A</v>
      </c>
      <c r="I232" s="48">
        <v>1</v>
      </c>
      <c r="J232" s="39"/>
      <c r="K232" s="350">
        <v>1</v>
      </c>
      <c r="L232" s="34" t="e">
        <f t="shared" si="474"/>
        <v>#N/A</v>
      </c>
      <c r="M232" s="38" t="e">
        <f>(HLOOKUP(J232,'Construction Times'!$B$3:$W$34,L232+2,FALSE)*HLOOKUP("hq modifier",'Construction Times'!$W$3:$W$34,BS232+2,FALSE))*(1-$H$9)</f>
        <v>#N/A</v>
      </c>
      <c r="N232" s="426" t="e">
        <f t="shared" si="495"/>
        <v>#N/A</v>
      </c>
      <c r="O232" s="427"/>
      <c r="P232" s="430" t="e">
        <f t="shared" si="496"/>
        <v>#N/A</v>
      </c>
      <c r="Q232" s="431"/>
      <c r="R232" s="103">
        <f t="shared" si="524"/>
        <v>0</v>
      </c>
      <c r="S232" s="104">
        <f t="shared" si="524"/>
        <v>0</v>
      </c>
      <c r="T232" s="104">
        <f t="shared" si="525"/>
        <v>0</v>
      </c>
      <c r="U232" s="104">
        <f t="shared" si="525"/>
        <v>0</v>
      </c>
      <c r="V232" s="104">
        <f t="shared" si="525"/>
        <v>9.9999999999999995E-8</v>
      </c>
      <c r="W232" s="104">
        <f t="shared" si="525"/>
        <v>0</v>
      </c>
      <c r="X232" s="104">
        <f t="shared" si="429"/>
        <v>0</v>
      </c>
      <c r="Y232" s="104">
        <f t="shared" si="429"/>
        <v>9.9999999999999995E-8</v>
      </c>
      <c r="Z232" s="104">
        <f t="shared" si="429"/>
        <v>9.9999999999999995E-8</v>
      </c>
      <c r="AA232" s="105">
        <f t="shared" si="429"/>
        <v>9.9999999999999995E-8</v>
      </c>
      <c r="AB232" s="101" t="e">
        <f>$DT232*HLOOKUP($J232,'Construction Costs (timber)'!$B$1:$V$32,'Construction Planner'!$L232+2,FALSE)</f>
        <v>#N/A</v>
      </c>
      <c r="AC232" s="14" t="e">
        <f>$DT232*HLOOKUP($J232,'Construction Costs (clay)'!$B$1:$V$32,'Construction Planner'!$L232+2,FALSE)</f>
        <v>#N/A</v>
      </c>
      <c r="AD232" s="14" t="e">
        <f>$DT232*HLOOKUP($J232,'Construction Costs (iron)'!$B$1:$V$32,'Construction Planner'!$L232+2,FALSE)</f>
        <v>#N/A</v>
      </c>
      <c r="AE232" s="34" t="e">
        <f t="shared" si="537"/>
        <v>#N/A</v>
      </c>
      <c r="AF232" s="33" t="e">
        <f t="shared" si="475"/>
        <v>#N/A</v>
      </c>
      <c r="AG232" s="14" t="e">
        <f t="shared" si="476"/>
        <v>#N/A</v>
      </c>
      <c r="AH232" s="14" t="e">
        <f t="shared" si="477"/>
        <v>#N/A</v>
      </c>
      <c r="AI232" s="34" t="e">
        <f t="shared" si="538"/>
        <v>#N/A</v>
      </c>
      <c r="AJ232" s="49" t="e">
        <f t="shared" si="498"/>
        <v>#N/A</v>
      </c>
      <c r="AK232" s="49" t="e">
        <f t="shared" si="499"/>
        <v>#N/A</v>
      </c>
      <c r="AL232" s="49" t="e">
        <f t="shared" si="500"/>
        <v>#N/A</v>
      </c>
      <c r="AM232" s="25">
        <f t="shared" si="478"/>
        <v>30</v>
      </c>
      <c r="AN232" s="25">
        <f t="shared" si="479"/>
        <v>30</v>
      </c>
      <c r="AO232" s="25">
        <f t="shared" si="480"/>
        <v>30</v>
      </c>
      <c r="AP232" s="52" t="e">
        <f t="shared" si="501"/>
        <v>#N/A</v>
      </c>
      <c r="AQ232" s="53" t="e">
        <f t="shared" si="501"/>
        <v>#N/A</v>
      </c>
      <c r="AR232" s="54" t="e">
        <f t="shared" si="501"/>
        <v>#N/A</v>
      </c>
      <c r="AS232" s="316">
        <f t="shared" si="571"/>
        <v>0</v>
      </c>
      <c r="AT232" s="106">
        <f>_xlfn.IFNA($M232/VLOOKUP($BT232,'Unit information'!$A$2:$K$29,2,FALSE)*R232,0)*(1+$E$9)</f>
        <v>0</v>
      </c>
      <c r="AU232" s="107">
        <f>_xlfn.IFNA($M232/VLOOKUP($BT232,'Unit information'!$A$2:$K$29,3,FALSE)*S232,0)*(1+$E$9)</f>
        <v>0</v>
      </c>
      <c r="AV232" s="107">
        <f>_xlfn.IFNA($M232/VLOOKUP($BT232,'Unit information'!$A$2:$K$29,4,FALSE)*T232,0)*(1+$E$9)</f>
        <v>0</v>
      </c>
      <c r="AW232" s="107">
        <f>_xlfn.IFNA($M232/VLOOKUP($BT232,'Unit information'!$A$2:$K$29,5,FALSE)*U232,0)*(1+$E$9)</f>
        <v>0</v>
      </c>
      <c r="AX232" s="107">
        <f>_xlfn.IFNA($M232/VLOOKUP($BU232,'Unit information'!$A$2:$K$29,6,FALSE)*V232,0)*(1+$E$9)</f>
        <v>0</v>
      </c>
      <c r="AY232" s="107">
        <f>_xlfn.IFNA($M232/VLOOKUP($BU232,'Unit information'!$A$2:$K$29,7,FALSE)*W232,0)*(1+$E$9)</f>
        <v>0</v>
      </c>
      <c r="AZ232" s="107">
        <f>_xlfn.IFNA($M232/VLOOKUP($BU232,'Unit information'!$A$2:$K$29,8,FALSE)*X232,0)*(1+$E$9)</f>
        <v>0</v>
      </c>
      <c r="BA232" s="107">
        <f>_xlfn.IFNA($M232/VLOOKUP($BU232,'Unit information'!$A$2:$K$29,9,FALSE)*Y232,0)*(1+$E$9)</f>
        <v>0</v>
      </c>
      <c r="BB232" s="107">
        <f>_xlfn.IFNA($M232/VLOOKUP($BV232,'Unit information'!$A$2:$K$29,10,FALSE)*Z232,0)*(1+$E$9)</f>
        <v>0</v>
      </c>
      <c r="BC232" s="108">
        <f>_xlfn.IFNA($M232/VLOOKUP($BV232,'Unit information'!$A$2:$K$29,11,FALSE)*AA232,0)*(1+$E$9)</f>
        <v>0</v>
      </c>
      <c r="BD232" s="106">
        <f t="shared" si="481"/>
        <v>0</v>
      </c>
      <c r="BE232" s="107">
        <f t="shared" si="482"/>
        <v>0</v>
      </c>
      <c r="BF232" s="108">
        <f t="shared" si="483"/>
        <v>0</v>
      </c>
      <c r="BG232" s="25" t="e">
        <f t="shared" si="484"/>
        <v>#N/A</v>
      </c>
      <c r="BH232" s="25" t="e">
        <f t="shared" si="485"/>
        <v>#N/A</v>
      </c>
      <c r="BI232" s="25" t="e">
        <f t="shared" si="486"/>
        <v>#N/A</v>
      </c>
      <c r="BJ232" s="27" t="e">
        <f t="shared" si="487"/>
        <v>#N/A</v>
      </c>
      <c r="BK232" s="18" t="e">
        <f t="shared" si="488"/>
        <v>#N/A</v>
      </c>
      <c r="BL232" s="18" t="e">
        <f t="shared" si="489"/>
        <v>#N/A</v>
      </c>
      <c r="BM232" s="28" t="e">
        <f t="shared" si="540"/>
        <v>#N/A</v>
      </c>
      <c r="BN232" s="33">
        <f>HLOOKUP("maximum population",Miscelaneous!$C$1:$C$33,CH232+3,FALSE)</f>
        <v>240</v>
      </c>
      <c r="BO232" s="14">
        <f t="shared" si="502"/>
        <v>32</v>
      </c>
      <c r="BP232" s="14">
        <f t="shared" si="503"/>
        <v>0</v>
      </c>
      <c r="BQ232" s="14">
        <f t="shared" si="504"/>
        <v>208</v>
      </c>
      <c r="BR232" s="34" t="e">
        <f>HLOOKUP(J232,Villagers!$B$1:$V$33,L232+3,FALSE)-HLOOKUP(J232,Villagers!$B$1:$V$33,L232+2,FALSE)</f>
        <v>#N/A</v>
      </c>
      <c r="BS232" s="49">
        <f t="shared" si="505"/>
        <v>1</v>
      </c>
      <c r="BT232" s="50">
        <f t="shared" si="506"/>
        <v>0</v>
      </c>
      <c r="BU232" s="50">
        <f t="shared" si="507"/>
        <v>0</v>
      </c>
      <c r="BV232" s="50">
        <f t="shared" si="508"/>
        <v>0</v>
      </c>
      <c r="BW232" s="50">
        <f t="shared" si="575"/>
        <v>0</v>
      </c>
      <c r="BX232" s="50">
        <f t="shared" si="576"/>
        <v>0</v>
      </c>
      <c r="BY232" s="50">
        <f t="shared" si="576"/>
        <v>0</v>
      </c>
      <c r="BZ232" s="50">
        <f t="shared" si="554"/>
        <v>0</v>
      </c>
      <c r="CA232" s="50">
        <f t="shared" si="555"/>
        <v>0</v>
      </c>
      <c r="CB232" s="50">
        <f t="shared" si="556"/>
        <v>1</v>
      </c>
      <c r="CC232" s="50">
        <f t="shared" si="557"/>
        <v>0</v>
      </c>
      <c r="CD232" s="50">
        <f t="shared" si="558"/>
        <v>0</v>
      </c>
      <c r="CE232" s="50">
        <f t="shared" si="559"/>
        <v>1</v>
      </c>
      <c r="CF232" s="50">
        <f t="shared" si="560"/>
        <v>1</v>
      </c>
      <c r="CG232" s="50">
        <f t="shared" si="561"/>
        <v>1</v>
      </c>
      <c r="CH232" s="50">
        <f t="shared" si="562"/>
        <v>1</v>
      </c>
      <c r="CI232" s="50">
        <f t="shared" si="563"/>
        <v>1</v>
      </c>
      <c r="CJ232" s="50">
        <f t="shared" si="564"/>
        <v>1</v>
      </c>
      <c r="CK232" s="50">
        <f t="shared" si="564"/>
        <v>0</v>
      </c>
      <c r="CL232" s="50">
        <f t="shared" si="564"/>
        <v>0</v>
      </c>
      <c r="CM232" s="51">
        <f t="shared" si="432"/>
        <v>0</v>
      </c>
      <c r="CN232" s="33">
        <f>ROUND(IF(BS232=0,0,HLOOKUP(BS$14,Villagers!$B$1:$V$33,BS232+3,FALSE)),)</f>
        <v>5</v>
      </c>
      <c r="CO232" s="14">
        <f>ROUND(IF(BT232=0,0,HLOOKUP(BT$14,Villagers!$B$1:$V$33,BT232+3,FALSE)),)</f>
        <v>0</v>
      </c>
      <c r="CP232" s="14">
        <f>ROUND(IF(BU232=0,0,HLOOKUP(BU$14,Villagers!$B$1:$V$33,BU232+3,FALSE)),)</f>
        <v>0</v>
      </c>
      <c r="CQ232" s="14">
        <f>ROUND(IF(BV232=0,0,HLOOKUP(BV$14,Villagers!$B$1:$V$33,BV232+3,FALSE)),)</f>
        <v>0</v>
      </c>
      <c r="CR232" s="14">
        <f>ROUND(IF(BW232=0,0,HLOOKUP(BW$14,Villagers!$B$1:$V$33,BW232+3,FALSE)),)</f>
        <v>0</v>
      </c>
      <c r="CS232" s="14">
        <f>ROUND(IF(BX232=0,0,HLOOKUP(BX$14,Villagers!$B$1:$V$33,BX232+3,FALSE)),)</f>
        <v>0</v>
      </c>
      <c r="CT232" s="14">
        <f>ROUND(IF(BY232=0,0,HLOOKUP(BY$14,Villagers!$B$1:$V$33,BY232+3,FALSE)),)</f>
        <v>0</v>
      </c>
      <c r="CU232" s="14">
        <f>ROUND(IF(BZ232=0,0,HLOOKUP(BZ$14,Villagers!$B$1:$V$33,BZ232+3,FALSE)),)</f>
        <v>0</v>
      </c>
      <c r="CV232" s="14">
        <f>ROUND(IF(CA232=0,0,HLOOKUP(CA$14,Villagers!$B$1:$V$33,CA232+3,FALSE)),)</f>
        <v>0</v>
      </c>
      <c r="CW232" s="14">
        <f>ROUND(IF(CB232=0,0,HLOOKUP(CB$14,Villagers!$B$1:$V$33,CB232+3,FALSE)),)</f>
        <v>0</v>
      </c>
      <c r="CX232" s="14">
        <f>ROUND(IF(CC232=0,0,HLOOKUP(CC$14,Villagers!$B$1:$V$33,CC232+3,FALSE)),)</f>
        <v>0</v>
      </c>
      <c r="CY232" s="14">
        <f>ROUND(IF(CD232=0,0,HLOOKUP(CD$14,Villagers!$B$1:$V$33,CD232+3,FALSE)),)</f>
        <v>0</v>
      </c>
      <c r="CZ232" s="14">
        <f>ROUND(IF(CE232=0,0,HLOOKUP(CE$14,Villagers!$B$1:$V$33,CE232+3,FALSE)),)</f>
        <v>5</v>
      </c>
      <c r="DA232" s="14">
        <f>ROUND(IF(CF232=0,0,HLOOKUP(CF$14,Villagers!$B$1:$V$33,CF232+3,FALSE)),)</f>
        <v>10</v>
      </c>
      <c r="DB232" s="14">
        <f>ROUND(IF(CG232=0,0,HLOOKUP(CG$14,Villagers!$B$1:$V$33,CG232+3,FALSE)),)</f>
        <v>10</v>
      </c>
      <c r="DC232" s="14">
        <f>ROUND(IF(CH232=0,0,HLOOKUP(CH$14,Villagers!$B$1:$V$33,CH232+3,FALSE)),)</f>
        <v>0</v>
      </c>
      <c r="DD232" s="14">
        <f>ROUND(IF(CI232=0,0,HLOOKUP(CI$14,Villagers!$B$1:$V$33,CI232+3,FALSE)),)</f>
        <v>0</v>
      </c>
      <c r="DE232" s="14">
        <f>ROUND(IF(CJ232=0,0,HLOOKUP(CJ$14,Villagers!$B$1:$V$33,CJ232+3,FALSE)),)</f>
        <v>2</v>
      </c>
      <c r="DF232" s="370">
        <f>ROUND(IF(CK232=0,0,HLOOKUP(CK$14,Villagers!$B$1:$V$33,CK232+3,FALSE)),)</f>
        <v>0</v>
      </c>
      <c r="DG232" s="370">
        <f>ROUND(IF(CL232=0,0,HLOOKUP(CL$14,Villagers!$B$1:$V$33,CL232+3,FALSE)),)</f>
        <v>0</v>
      </c>
      <c r="DH232" s="34">
        <f>ROUND(IF(CM232=0,0,HLOOKUP(CM$14,Villagers!$B$1:$V$33,CM232+3,FALSE)),)</f>
        <v>0</v>
      </c>
      <c r="DI232" s="109">
        <f t="shared" si="526"/>
        <v>0</v>
      </c>
      <c r="DJ232" s="50">
        <f t="shared" si="527"/>
        <v>0</v>
      </c>
      <c r="DK232" s="50">
        <f t="shared" si="528"/>
        <v>0</v>
      </c>
      <c r="DL232" s="50">
        <f t="shared" si="529"/>
        <v>0</v>
      </c>
      <c r="DM232" s="50">
        <f t="shared" si="530"/>
        <v>0</v>
      </c>
      <c r="DN232" s="50">
        <f t="shared" si="531"/>
        <v>0</v>
      </c>
      <c r="DO232" s="50">
        <f t="shared" si="532"/>
        <v>0</v>
      </c>
      <c r="DP232" s="50">
        <f t="shared" si="533"/>
        <v>0</v>
      </c>
      <c r="DQ232" s="50">
        <f t="shared" si="510"/>
        <v>0</v>
      </c>
      <c r="DR232" s="50">
        <f t="shared" si="511"/>
        <v>0</v>
      </c>
      <c r="DS232" s="96">
        <f>Miscelaneous!$D$4*Miscelaneous!$D$2^($CI232-1)</f>
        <v>1000</v>
      </c>
      <c r="DT232" s="333">
        <f t="shared" si="490"/>
        <v>1</v>
      </c>
      <c r="DU232" s="81">
        <v>1</v>
      </c>
      <c r="DV232" s="79">
        <f t="shared" si="512"/>
        <v>0</v>
      </c>
      <c r="DW232" s="79">
        <f t="shared" si="513"/>
        <v>0</v>
      </c>
      <c r="DX232" s="79">
        <f t="shared" si="514"/>
        <v>0</v>
      </c>
      <c r="DY232" s="79">
        <v>1</v>
      </c>
      <c r="DZ232" s="79">
        <f t="shared" si="515"/>
        <v>0</v>
      </c>
      <c r="EA232" s="79">
        <f t="shared" si="516"/>
        <v>0</v>
      </c>
      <c r="EB232" s="79">
        <f t="shared" si="517"/>
        <v>0</v>
      </c>
      <c r="EC232" s="79">
        <f t="shared" si="518"/>
        <v>0</v>
      </c>
      <c r="ED232" s="79">
        <v>1</v>
      </c>
      <c r="EE232" s="79">
        <v>1</v>
      </c>
      <c r="EF232" s="79">
        <f t="shared" si="519"/>
        <v>0</v>
      </c>
      <c r="EG232" s="79">
        <v>1</v>
      </c>
      <c r="EH232" s="79">
        <v>1</v>
      </c>
      <c r="EI232" s="79">
        <v>1</v>
      </c>
      <c r="EJ232" s="79">
        <v>1</v>
      </c>
      <c r="EK232" s="79">
        <v>1</v>
      </c>
      <c r="EL232" s="79">
        <v>1</v>
      </c>
      <c r="EM232" s="143">
        <f t="shared" si="520"/>
        <v>0</v>
      </c>
      <c r="EN232" s="143">
        <f t="shared" si="521"/>
        <v>0</v>
      </c>
      <c r="EO232" s="82">
        <f t="shared" si="522"/>
        <v>0</v>
      </c>
    </row>
    <row r="233" spans="1:145" x14ac:dyDescent="0.25">
      <c r="A233">
        <v>219</v>
      </c>
      <c r="B233" s="172" t="e">
        <f t="shared" si="491"/>
        <v>#N/A</v>
      </c>
      <c r="C233" s="121" t="e">
        <f t="shared" ref="C233:E233" si="578">AJ233-SUM(AB233:AB237)</f>
        <v>#N/A</v>
      </c>
      <c r="D233" s="122" t="e">
        <f t="shared" si="578"/>
        <v>#N/A</v>
      </c>
      <c r="E233" s="122" t="e">
        <f t="shared" si="578"/>
        <v>#N/A</v>
      </c>
      <c r="F233" s="176" t="e">
        <f t="shared" si="473"/>
        <v>#N/A</v>
      </c>
      <c r="G233" s="121">
        <f t="shared" si="493"/>
        <v>208</v>
      </c>
      <c r="H233" s="176" t="e">
        <f t="shared" si="494"/>
        <v>#N/A</v>
      </c>
      <c r="I233" s="48">
        <v>1</v>
      </c>
      <c r="J233" s="39"/>
      <c r="K233" s="350">
        <v>1</v>
      </c>
      <c r="L233" s="34" t="e">
        <f t="shared" si="474"/>
        <v>#N/A</v>
      </c>
      <c r="M233" s="38" t="e">
        <f>(HLOOKUP(J233,'Construction Times'!$B$3:$W$34,L233+2,FALSE)*HLOOKUP("hq modifier",'Construction Times'!$W$3:$W$34,BS233+2,FALSE))*(1-$H$9)</f>
        <v>#N/A</v>
      </c>
      <c r="N233" s="426" t="e">
        <f t="shared" si="495"/>
        <v>#N/A</v>
      </c>
      <c r="O233" s="427"/>
      <c r="P233" s="430" t="e">
        <f t="shared" si="496"/>
        <v>#N/A</v>
      </c>
      <c r="Q233" s="431"/>
      <c r="R233" s="103">
        <f t="shared" si="524"/>
        <v>0</v>
      </c>
      <c r="S233" s="104">
        <f t="shared" si="524"/>
        <v>0</v>
      </c>
      <c r="T233" s="104">
        <f t="shared" si="525"/>
        <v>0</v>
      </c>
      <c r="U233" s="104">
        <f t="shared" si="525"/>
        <v>0</v>
      </c>
      <c r="V233" s="104">
        <f t="shared" si="525"/>
        <v>9.9999999999999995E-8</v>
      </c>
      <c r="W233" s="104">
        <f t="shared" si="525"/>
        <v>0</v>
      </c>
      <c r="X233" s="104">
        <f t="shared" si="429"/>
        <v>0</v>
      </c>
      <c r="Y233" s="104">
        <f t="shared" si="429"/>
        <v>9.9999999999999995E-8</v>
      </c>
      <c r="Z233" s="104">
        <f t="shared" si="429"/>
        <v>9.9999999999999995E-8</v>
      </c>
      <c r="AA233" s="105">
        <f t="shared" si="429"/>
        <v>9.9999999999999995E-8</v>
      </c>
      <c r="AB233" s="101" t="e">
        <f>$DT233*HLOOKUP($J233,'Construction Costs (timber)'!$B$1:$V$32,'Construction Planner'!$L233+2,FALSE)</f>
        <v>#N/A</v>
      </c>
      <c r="AC233" s="14" t="e">
        <f>$DT233*HLOOKUP($J233,'Construction Costs (clay)'!$B$1:$V$32,'Construction Planner'!$L233+2,FALSE)</f>
        <v>#N/A</v>
      </c>
      <c r="AD233" s="14" t="e">
        <f>$DT233*HLOOKUP($J233,'Construction Costs (iron)'!$B$1:$V$32,'Construction Planner'!$L233+2,FALSE)</f>
        <v>#N/A</v>
      </c>
      <c r="AE233" s="34" t="e">
        <f t="shared" si="537"/>
        <v>#N/A</v>
      </c>
      <c r="AF233" s="33" t="e">
        <f t="shared" si="475"/>
        <v>#N/A</v>
      </c>
      <c r="AG233" s="14" t="e">
        <f t="shared" si="476"/>
        <v>#N/A</v>
      </c>
      <c r="AH233" s="14" t="e">
        <f t="shared" si="477"/>
        <v>#N/A</v>
      </c>
      <c r="AI233" s="34" t="e">
        <f t="shared" si="538"/>
        <v>#N/A</v>
      </c>
      <c r="AJ233" s="49" t="e">
        <f t="shared" si="498"/>
        <v>#N/A</v>
      </c>
      <c r="AK233" s="49" t="e">
        <f t="shared" si="499"/>
        <v>#N/A</v>
      </c>
      <c r="AL233" s="49" t="e">
        <f t="shared" si="500"/>
        <v>#N/A</v>
      </c>
      <c r="AM233" s="25">
        <f t="shared" si="478"/>
        <v>30</v>
      </c>
      <c r="AN233" s="25">
        <f t="shared" si="479"/>
        <v>30</v>
      </c>
      <c r="AO233" s="25">
        <f t="shared" si="480"/>
        <v>30</v>
      </c>
      <c r="AP233" s="52" t="e">
        <f t="shared" si="501"/>
        <v>#N/A</v>
      </c>
      <c r="AQ233" s="53" t="e">
        <f t="shared" si="501"/>
        <v>#N/A</v>
      </c>
      <c r="AR233" s="54" t="e">
        <f t="shared" si="501"/>
        <v>#N/A</v>
      </c>
      <c r="AS233" s="316">
        <f t="shared" si="571"/>
        <v>0</v>
      </c>
      <c r="AT233" s="106">
        <f>_xlfn.IFNA($M233/VLOOKUP($BT233,'Unit information'!$A$2:$K$29,2,FALSE)*R233,0)*(1+$E$9)</f>
        <v>0</v>
      </c>
      <c r="AU233" s="107">
        <f>_xlfn.IFNA($M233/VLOOKUP($BT233,'Unit information'!$A$2:$K$29,3,FALSE)*S233,0)*(1+$E$9)</f>
        <v>0</v>
      </c>
      <c r="AV233" s="107">
        <f>_xlfn.IFNA($M233/VLOOKUP($BT233,'Unit information'!$A$2:$K$29,4,FALSE)*T233,0)*(1+$E$9)</f>
        <v>0</v>
      </c>
      <c r="AW233" s="107">
        <f>_xlfn.IFNA($M233/VLOOKUP($BT233,'Unit information'!$A$2:$K$29,5,FALSE)*U233,0)*(1+$E$9)</f>
        <v>0</v>
      </c>
      <c r="AX233" s="107">
        <f>_xlfn.IFNA($M233/VLOOKUP($BU233,'Unit information'!$A$2:$K$29,6,FALSE)*V233,0)*(1+$E$9)</f>
        <v>0</v>
      </c>
      <c r="AY233" s="107">
        <f>_xlfn.IFNA($M233/VLOOKUP($BU233,'Unit information'!$A$2:$K$29,7,FALSE)*W233,0)*(1+$E$9)</f>
        <v>0</v>
      </c>
      <c r="AZ233" s="107">
        <f>_xlfn.IFNA($M233/VLOOKUP($BU233,'Unit information'!$A$2:$K$29,8,FALSE)*X233,0)*(1+$E$9)</f>
        <v>0</v>
      </c>
      <c r="BA233" s="107">
        <f>_xlfn.IFNA($M233/VLOOKUP($BU233,'Unit information'!$A$2:$K$29,9,FALSE)*Y233,0)*(1+$E$9)</f>
        <v>0</v>
      </c>
      <c r="BB233" s="107">
        <f>_xlfn.IFNA($M233/VLOOKUP($BV233,'Unit information'!$A$2:$K$29,10,FALSE)*Z233,0)*(1+$E$9)</f>
        <v>0</v>
      </c>
      <c r="BC233" s="108">
        <f>_xlfn.IFNA($M233/VLOOKUP($BV233,'Unit information'!$A$2:$K$29,11,FALSE)*AA233,0)*(1+$E$9)</f>
        <v>0</v>
      </c>
      <c r="BD233" s="106">
        <f t="shared" si="481"/>
        <v>0</v>
      </c>
      <c r="BE233" s="107">
        <f t="shared" si="482"/>
        <v>0</v>
      </c>
      <c r="BF233" s="108">
        <f t="shared" si="483"/>
        <v>0</v>
      </c>
      <c r="BG233" s="25" t="e">
        <f t="shared" si="484"/>
        <v>#N/A</v>
      </c>
      <c r="BH233" s="25" t="e">
        <f t="shared" si="485"/>
        <v>#N/A</v>
      </c>
      <c r="BI233" s="25" t="e">
        <f t="shared" si="486"/>
        <v>#N/A</v>
      </c>
      <c r="BJ233" s="27" t="e">
        <f t="shared" si="487"/>
        <v>#N/A</v>
      </c>
      <c r="BK233" s="18" t="e">
        <f t="shared" si="488"/>
        <v>#N/A</v>
      </c>
      <c r="BL233" s="18" t="e">
        <f t="shared" si="489"/>
        <v>#N/A</v>
      </c>
      <c r="BM233" s="28" t="e">
        <f t="shared" si="540"/>
        <v>#N/A</v>
      </c>
      <c r="BN233" s="33">
        <f>HLOOKUP("maximum population",Miscelaneous!$C$1:$C$33,CH233+3,FALSE)</f>
        <v>240</v>
      </c>
      <c r="BO233" s="14">
        <f t="shared" si="502"/>
        <v>32</v>
      </c>
      <c r="BP233" s="14">
        <f t="shared" si="503"/>
        <v>0</v>
      </c>
      <c r="BQ233" s="14">
        <f t="shared" si="504"/>
        <v>208</v>
      </c>
      <c r="BR233" s="34" t="e">
        <f>HLOOKUP(J233,Villagers!$B$1:$V$33,L233+3,FALSE)-HLOOKUP(J233,Villagers!$B$1:$V$33,L233+2,FALSE)</f>
        <v>#N/A</v>
      </c>
      <c r="BS233" s="49">
        <f t="shared" si="505"/>
        <v>1</v>
      </c>
      <c r="BT233" s="50">
        <f t="shared" si="506"/>
        <v>0</v>
      </c>
      <c r="BU233" s="50">
        <f t="shared" si="507"/>
        <v>0</v>
      </c>
      <c r="BV233" s="50">
        <f t="shared" si="508"/>
        <v>0</v>
      </c>
      <c r="BW233" s="50">
        <f t="shared" si="575"/>
        <v>0</v>
      </c>
      <c r="BX233" s="50">
        <f t="shared" si="576"/>
        <v>0</v>
      </c>
      <c r="BY233" s="50">
        <f t="shared" si="576"/>
        <v>0</v>
      </c>
      <c r="BZ233" s="50">
        <f t="shared" si="554"/>
        <v>0</v>
      </c>
      <c r="CA233" s="50">
        <f t="shared" si="555"/>
        <v>0</v>
      </c>
      <c r="CB233" s="50">
        <f t="shared" si="556"/>
        <v>1</v>
      </c>
      <c r="CC233" s="50">
        <f t="shared" si="557"/>
        <v>0</v>
      </c>
      <c r="CD233" s="50">
        <f t="shared" si="558"/>
        <v>0</v>
      </c>
      <c r="CE233" s="50">
        <f t="shared" si="559"/>
        <v>1</v>
      </c>
      <c r="CF233" s="50">
        <f t="shared" si="560"/>
        <v>1</v>
      </c>
      <c r="CG233" s="50">
        <f t="shared" si="561"/>
        <v>1</v>
      </c>
      <c r="CH233" s="50">
        <f t="shared" si="562"/>
        <v>1</v>
      </c>
      <c r="CI233" s="50">
        <f t="shared" si="563"/>
        <v>1</v>
      </c>
      <c r="CJ233" s="50">
        <f t="shared" si="564"/>
        <v>1</v>
      </c>
      <c r="CK233" s="50">
        <f t="shared" si="564"/>
        <v>0</v>
      </c>
      <c r="CL233" s="50">
        <f t="shared" si="564"/>
        <v>0</v>
      </c>
      <c r="CM233" s="51">
        <f t="shared" si="432"/>
        <v>0</v>
      </c>
      <c r="CN233" s="33">
        <f>ROUND(IF(BS233=0,0,HLOOKUP(BS$14,Villagers!$B$1:$V$33,BS233+3,FALSE)),)</f>
        <v>5</v>
      </c>
      <c r="CO233" s="14">
        <f>ROUND(IF(BT233=0,0,HLOOKUP(BT$14,Villagers!$B$1:$V$33,BT233+3,FALSE)),)</f>
        <v>0</v>
      </c>
      <c r="CP233" s="14">
        <f>ROUND(IF(BU233=0,0,HLOOKUP(BU$14,Villagers!$B$1:$V$33,BU233+3,FALSE)),)</f>
        <v>0</v>
      </c>
      <c r="CQ233" s="14">
        <f>ROUND(IF(BV233=0,0,HLOOKUP(BV$14,Villagers!$B$1:$V$33,BV233+3,FALSE)),)</f>
        <v>0</v>
      </c>
      <c r="CR233" s="14">
        <f>ROUND(IF(BW233=0,0,HLOOKUP(BW$14,Villagers!$B$1:$V$33,BW233+3,FALSE)),)</f>
        <v>0</v>
      </c>
      <c r="CS233" s="14">
        <f>ROUND(IF(BX233=0,0,HLOOKUP(BX$14,Villagers!$B$1:$V$33,BX233+3,FALSE)),)</f>
        <v>0</v>
      </c>
      <c r="CT233" s="14">
        <f>ROUND(IF(BY233=0,0,HLOOKUP(BY$14,Villagers!$B$1:$V$33,BY233+3,FALSE)),)</f>
        <v>0</v>
      </c>
      <c r="CU233" s="14">
        <f>ROUND(IF(BZ233=0,0,HLOOKUP(BZ$14,Villagers!$B$1:$V$33,BZ233+3,FALSE)),)</f>
        <v>0</v>
      </c>
      <c r="CV233" s="14">
        <f>ROUND(IF(CA233=0,0,HLOOKUP(CA$14,Villagers!$B$1:$V$33,CA233+3,FALSE)),)</f>
        <v>0</v>
      </c>
      <c r="CW233" s="14">
        <f>ROUND(IF(CB233=0,0,HLOOKUP(CB$14,Villagers!$B$1:$V$33,CB233+3,FALSE)),)</f>
        <v>0</v>
      </c>
      <c r="CX233" s="14">
        <f>ROUND(IF(CC233=0,0,HLOOKUP(CC$14,Villagers!$B$1:$V$33,CC233+3,FALSE)),)</f>
        <v>0</v>
      </c>
      <c r="CY233" s="14">
        <f>ROUND(IF(CD233=0,0,HLOOKUP(CD$14,Villagers!$B$1:$V$33,CD233+3,FALSE)),)</f>
        <v>0</v>
      </c>
      <c r="CZ233" s="14">
        <f>ROUND(IF(CE233=0,0,HLOOKUP(CE$14,Villagers!$B$1:$V$33,CE233+3,FALSE)),)</f>
        <v>5</v>
      </c>
      <c r="DA233" s="14">
        <f>ROUND(IF(CF233=0,0,HLOOKUP(CF$14,Villagers!$B$1:$V$33,CF233+3,FALSE)),)</f>
        <v>10</v>
      </c>
      <c r="DB233" s="14">
        <f>ROUND(IF(CG233=0,0,HLOOKUP(CG$14,Villagers!$B$1:$V$33,CG233+3,FALSE)),)</f>
        <v>10</v>
      </c>
      <c r="DC233" s="14">
        <f>ROUND(IF(CH233=0,0,HLOOKUP(CH$14,Villagers!$B$1:$V$33,CH233+3,FALSE)),)</f>
        <v>0</v>
      </c>
      <c r="DD233" s="14">
        <f>ROUND(IF(CI233=0,0,HLOOKUP(CI$14,Villagers!$B$1:$V$33,CI233+3,FALSE)),)</f>
        <v>0</v>
      </c>
      <c r="DE233" s="14">
        <f>ROUND(IF(CJ233=0,0,HLOOKUP(CJ$14,Villagers!$B$1:$V$33,CJ233+3,FALSE)),)</f>
        <v>2</v>
      </c>
      <c r="DF233" s="370">
        <f>ROUND(IF(CK233=0,0,HLOOKUP(CK$14,Villagers!$B$1:$V$33,CK233+3,FALSE)),)</f>
        <v>0</v>
      </c>
      <c r="DG233" s="370">
        <f>ROUND(IF(CL233=0,0,HLOOKUP(CL$14,Villagers!$B$1:$V$33,CL233+3,FALSE)),)</f>
        <v>0</v>
      </c>
      <c r="DH233" s="34">
        <f>ROUND(IF(CM233=0,0,HLOOKUP(CM$14,Villagers!$B$1:$V$33,CM233+3,FALSE)),)</f>
        <v>0</v>
      </c>
      <c r="DI233" s="109">
        <f t="shared" si="526"/>
        <v>0</v>
      </c>
      <c r="DJ233" s="50">
        <f t="shared" si="527"/>
        <v>0</v>
      </c>
      <c r="DK233" s="50">
        <f t="shared" si="528"/>
        <v>0</v>
      </c>
      <c r="DL233" s="50">
        <f t="shared" si="529"/>
        <v>0</v>
      </c>
      <c r="DM233" s="50">
        <f t="shared" si="530"/>
        <v>0</v>
      </c>
      <c r="DN233" s="50">
        <f t="shared" si="531"/>
        <v>0</v>
      </c>
      <c r="DO233" s="50">
        <f t="shared" si="532"/>
        <v>0</v>
      </c>
      <c r="DP233" s="50">
        <f t="shared" si="533"/>
        <v>0</v>
      </c>
      <c r="DQ233" s="50">
        <f t="shared" si="510"/>
        <v>0</v>
      </c>
      <c r="DR233" s="50">
        <f t="shared" si="511"/>
        <v>0</v>
      </c>
      <c r="DS233" s="96">
        <f>Miscelaneous!$D$4*Miscelaneous!$D$2^($CI233-1)</f>
        <v>1000</v>
      </c>
      <c r="DT233" s="333">
        <f t="shared" si="490"/>
        <v>1</v>
      </c>
      <c r="DU233" s="81">
        <v>1</v>
      </c>
      <c r="DV233" s="79">
        <f t="shared" si="512"/>
        <v>0</v>
      </c>
      <c r="DW233" s="79">
        <f t="shared" si="513"/>
        <v>0</v>
      </c>
      <c r="DX233" s="79">
        <f t="shared" si="514"/>
        <v>0</v>
      </c>
      <c r="DY233" s="79">
        <v>1</v>
      </c>
      <c r="DZ233" s="79">
        <f t="shared" si="515"/>
        <v>0</v>
      </c>
      <c r="EA233" s="79">
        <f t="shared" si="516"/>
        <v>0</v>
      </c>
      <c r="EB233" s="79">
        <f t="shared" si="517"/>
        <v>0</v>
      </c>
      <c r="EC233" s="79">
        <f t="shared" si="518"/>
        <v>0</v>
      </c>
      <c r="ED233" s="79">
        <v>1</v>
      </c>
      <c r="EE233" s="79">
        <v>1</v>
      </c>
      <c r="EF233" s="79">
        <f t="shared" si="519"/>
        <v>0</v>
      </c>
      <c r="EG233" s="79">
        <v>1</v>
      </c>
      <c r="EH233" s="79">
        <v>1</v>
      </c>
      <c r="EI233" s="79">
        <v>1</v>
      </c>
      <c r="EJ233" s="79">
        <v>1</v>
      </c>
      <c r="EK233" s="79">
        <v>1</v>
      </c>
      <c r="EL233" s="79">
        <v>1</v>
      </c>
      <c r="EM233" s="143">
        <f t="shared" si="520"/>
        <v>0</v>
      </c>
      <c r="EN233" s="143">
        <f t="shared" si="521"/>
        <v>0</v>
      </c>
      <c r="EO233" s="82">
        <f t="shared" si="522"/>
        <v>0</v>
      </c>
    </row>
    <row r="234" spans="1:145" x14ac:dyDescent="0.25">
      <c r="A234">
        <v>220</v>
      </c>
      <c r="B234" s="172" t="e">
        <f t="shared" si="491"/>
        <v>#N/A</v>
      </c>
      <c r="C234" s="121" t="e">
        <f t="shared" ref="C234:E234" si="579">AJ234-SUM(AB234:AB238)</f>
        <v>#N/A</v>
      </c>
      <c r="D234" s="122" t="e">
        <f t="shared" si="579"/>
        <v>#N/A</v>
      </c>
      <c r="E234" s="122" t="e">
        <f t="shared" si="579"/>
        <v>#N/A</v>
      </c>
      <c r="F234" s="176" t="e">
        <f t="shared" si="473"/>
        <v>#N/A</v>
      </c>
      <c r="G234" s="121">
        <f t="shared" si="493"/>
        <v>208</v>
      </c>
      <c r="H234" s="176" t="e">
        <f t="shared" si="494"/>
        <v>#N/A</v>
      </c>
      <c r="I234" s="48">
        <v>1</v>
      </c>
      <c r="J234" s="39"/>
      <c r="K234" s="350">
        <v>1</v>
      </c>
      <c r="L234" s="34" t="e">
        <f t="shared" si="474"/>
        <v>#N/A</v>
      </c>
      <c r="M234" s="38" t="e">
        <f>(HLOOKUP(J234,'Construction Times'!$B$3:$W$34,L234+2,FALSE)*HLOOKUP("hq modifier",'Construction Times'!$W$3:$W$34,BS234+2,FALSE))*(1-$H$9)</f>
        <v>#N/A</v>
      </c>
      <c r="N234" s="426" t="e">
        <f t="shared" si="495"/>
        <v>#N/A</v>
      </c>
      <c r="O234" s="427"/>
      <c r="P234" s="430" t="e">
        <f t="shared" si="496"/>
        <v>#N/A</v>
      </c>
      <c r="Q234" s="431"/>
      <c r="R234" s="103">
        <f t="shared" si="524"/>
        <v>0</v>
      </c>
      <c r="S234" s="104">
        <f t="shared" si="524"/>
        <v>0</v>
      </c>
      <c r="T234" s="104">
        <f t="shared" si="525"/>
        <v>0</v>
      </c>
      <c r="U234" s="104">
        <f t="shared" si="525"/>
        <v>0</v>
      </c>
      <c r="V234" s="104">
        <f t="shared" si="525"/>
        <v>9.9999999999999995E-8</v>
      </c>
      <c r="W234" s="104">
        <f t="shared" si="525"/>
        <v>0</v>
      </c>
      <c r="X234" s="104">
        <f t="shared" si="429"/>
        <v>0</v>
      </c>
      <c r="Y234" s="104">
        <f t="shared" si="429"/>
        <v>9.9999999999999995E-8</v>
      </c>
      <c r="Z234" s="104">
        <f t="shared" si="429"/>
        <v>9.9999999999999995E-8</v>
      </c>
      <c r="AA234" s="105">
        <f t="shared" si="429"/>
        <v>9.9999999999999995E-8</v>
      </c>
      <c r="AB234" s="101" t="e">
        <f>$DT234*HLOOKUP($J234,'Construction Costs (timber)'!$B$1:$V$32,'Construction Planner'!$L234+2,FALSE)</f>
        <v>#N/A</v>
      </c>
      <c r="AC234" s="14" t="e">
        <f>$DT234*HLOOKUP($J234,'Construction Costs (clay)'!$B$1:$V$32,'Construction Planner'!$L234+2,FALSE)</f>
        <v>#N/A</v>
      </c>
      <c r="AD234" s="14" t="e">
        <f>$DT234*HLOOKUP($J234,'Construction Costs (iron)'!$B$1:$V$32,'Construction Planner'!$L234+2,FALSE)</f>
        <v>#N/A</v>
      </c>
      <c r="AE234" s="34" t="e">
        <f t="shared" si="537"/>
        <v>#N/A</v>
      </c>
      <c r="AF234" s="33" t="e">
        <f t="shared" si="475"/>
        <v>#N/A</v>
      </c>
      <c r="AG234" s="14" t="e">
        <f t="shared" si="476"/>
        <v>#N/A</v>
      </c>
      <c r="AH234" s="14" t="e">
        <f t="shared" si="477"/>
        <v>#N/A</v>
      </c>
      <c r="AI234" s="34" t="e">
        <f t="shared" si="538"/>
        <v>#N/A</v>
      </c>
      <c r="AJ234" s="49" t="e">
        <f t="shared" si="498"/>
        <v>#N/A</v>
      </c>
      <c r="AK234" s="49" t="e">
        <f t="shared" si="499"/>
        <v>#N/A</v>
      </c>
      <c r="AL234" s="49" t="e">
        <f t="shared" si="500"/>
        <v>#N/A</v>
      </c>
      <c r="AM234" s="25">
        <f t="shared" si="478"/>
        <v>30</v>
      </c>
      <c r="AN234" s="25">
        <f t="shared" si="479"/>
        <v>30</v>
      </c>
      <c r="AO234" s="25">
        <f t="shared" si="480"/>
        <v>30</v>
      </c>
      <c r="AP234" s="52" t="e">
        <f t="shared" si="501"/>
        <v>#N/A</v>
      </c>
      <c r="AQ234" s="53" t="e">
        <f t="shared" si="501"/>
        <v>#N/A</v>
      </c>
      <c r="AR234" s="54" t="e">
        <f t="shared" si="501"/>
        <v>#N/A</v>
      </c>
      <c r="AS234" s="316">
        <f t="shared" si="571"/>
        <v>0</v>
      </c>
      <c r="AT234" s="106">
        <f>_xlfn.IFNA($M234/VLOOKUP($BT234,'Unit information'!$A$2:$K$29,2,FALSE)*R234,0)*(1+$E$9)</f>
        <v>0</v>
      </c>
      <c r="AU234" s="107">
        <f>_xlfn.IFNA($M234/VLOOKUP($BT234,'Unit information'!$A$2:$K$29,3,FALSE)*S234,0)*(1+$E$9)</f>
        <v>0</v>
      </c>
      <c r="AV234" s="107">
        <f>_xlfn.IFNA($M234/VLOOKUP($BT234,'Unit information'!$A$2:$K$29,4,FALSE)*T234,0)*(1+$E$9)</f>
        <v>0</v>
      </c>
      <c r="AW234" s="107">
        <f>_xlfn.IFNA($M234/VLOOKUP($BT234,'Unit information'!$A$2:$K$29,5,FALSE)*U234,0)*(1+$E$9)</f>
        <v>0</v>
      </c>
      <c r="AX234" s="107">
        <f>_xlfn.IFNA($M234/VLOOKUP($BU234,'Unit information'!$A$2:$K$29,6,FALSE)*V234,0)*(1+$E$9)</f>
        <v>0</v>
      </c>
      <c r="AY234" s="107">
        <f>_xlfn.IFNA($M234/VLOOKUP($BU234,'Unit information'!$A$2:$K$29,7,FALSE)*W234,0)*(1+$E$9)</f>
        <v>0</v>
      </c>
      <c r="AZ234" s="107">
        <f>_xlfn.IFNA($M234/VLOOKUP($BU234,'Unit information'!$A$2:$K$29,8,FALSE)*X234,0)*(1+$E$9)</f>
        <v>0</v>
      </c>
      <c r="BA234" s="107">
        <f>_xlfn.IFNA($M234/VLOOKUP($BU234,'Unit information'!$A$2:$K$29,9,FALSE)*Y234,0)*(1+$E$9)</f>
        <v>0</v>
      </c>
      <c r="BB234" s="107">
        <f>_xlfn.IFNA($M234/VLOOKUP($BV234,'Unit information'!$A$2:$K$29,10,FALSE)*Z234,0)*(1+$E$9)</f>
        <v>0</v>
      </c>
      <c r="BC234" s="108">
        <f>_xlfn.IFNA($M234/VLOOKUP($BV234,'Unit information'!$A$2:$K$29,11,FALSE)*AA234,0)*(1+$E$9)</f>
        <v>0</v>
      </c>
      <c r="BD234" s="106">
        <f t="shared" si="481"/>
        <v>0</v>
      </c>
      <c r="BE234" s="107">
        <f t="shared" si="482"/>
        <v>0</v>
      </c>
      <c r="BF234" s="108">
        <f t="shared" si="483"/>
        <v>0</v>
      </c>
      <c r="BG234" s="25" t="e">
        <f t="shared" si="484"/>
        <v>#N/A</v>
      </c>
      <c r="BH234" s="25" t="e">
        <f t="shared" si="485"/>
        <v>#N/A</v>
      </c>
      <c r="BI234" s="25" t="e">
        <f t="shared" si="486"/>
        <v>#N/A</v>
      </c>
      <c r="BJ234" s="27" t="e">
        <f t="shared" si="487"/>
        <v>#N/A</v>
      </c>
      <c r="BK234" s="18" t="e">
        <f t="shared" si="488"/>
        <v>#N/A</v>
      </c>
      <c r="BL234" s="18" t="e">
        <f t="shared" si="489"/>
        <v>#N/A</v>
      </c>
      <c r="BM234" s="28" t="e">
        <f t="shared" si="540"/>
        <v>#N/A</v>
      </c>
      <c r="BN234" s="33">
        <f>HLOOKUP("maximum population",Miscelaneous!$C$1:$C$33,CH234+3,FALSE)</f>
        <v>240</v>
      </c>
      <c r="BO234" s="14">
        <f t="shared" si="502"/>
        <v>32</v>
      </c>
      <c r="BP234" s="14">
        <f t="shared" si="503"/>
        <v>0</v>
      </c>
      <c r="BQ234" s="14">
        <f t="shared" si="504"/>
        <v>208</v>
      </c>
      <c r="BR234" s="34" t="e">
        <f>HLOOKUP(J234,Villagers!$B$1:$V$33,L234+3,FALSE)-HLOOKUP(J234,Villagers!$B$1:$V$33,L234+2,FALSE)</f>
        <v>#N/A</v>
      </c>
      <c r="BS234" s="49">
        <f t="shared" si="505"/>
        <v>1</v>
      </c>
      <c r="BT234" s="50">
        <f t="shared" si="506"/>
        <v>0</v>
      </c>
      <c r="BU234" s="50">
        <f t="shared" si="507"/>
        <v>0</v>
      </c>
      <c r="BV234" s="50">
        <f t="shared" si="508"/>
        <v>0</v>
      </c>
      <c r="BW234" s="50">
        <f t="shared" si="575"/>
        <v>0</v>
      </c>
      <c r="BX234" s="50">
        <f t="shared" si="576"/>
        <v>0</v>
      </c>
      <c r="BY234" s="50">
        <f t="shared" si="576"/>
        <v>0</v>
      </c>
      <c r="BZ234" s="50">
        <f t="shared" si="554"/>
        <v>0</v>
      </c>
      <c r="CA234" s="50">
        <f t="shared" si="555"/>
        <v>0</v>
      </c>
      <c r="CB234" s="50">
        <f t="shared" si="556"/>
        <v>1</v>
      </c>
      <c r="CC234" s="50">
        <f t="shared" si="557"/>
        <v>0</v>
      </c>
      <c r="CD234" s="50">
        <f t="shared" si="558"/>
        <v>0</v>
      </c>
      <c r="CE234" s="50">
        <f t="shared" si="559"/>
        <v>1</v>
      </c>
      <c r="CF234" s="50">
        <f t="shared" si="560"/>
        <v>1</v>
      </c>
      <c r="CG234" s="50">
        <f t="shared" si="561"/>
        <v>1</v>
      </c>
      <c r="CH234" s="50">
        <f t="shared" si="562"/>
        <v>1</v>
      </c>
      <c r="CI234" s="50">
        <f t="shared" si="563"/>
        <v>1</v>
      </c>
      <c r="CJ234" s="50">
        <f t="shared" si="564"/>
        <v>1</v>
      </c>
      <c r="CK234" s="50">
        <f t="shared" si="564"/>
        <v>0</v>
      </c>
      <c r="CL234" s="50">
        <f t="shared" si="564"/>
        <v>0</v>
      </c>
      <c r="CM234" s="51">
        <f t="shared" si="432"/>
        <v>0</v>
      </c>
      <c r="CN234" s="33">
        <f>ROUND(IF(BS234=0,0,HLOOKUP(BS$14,Villagers!$B$1:$V$33,BS234+3,FALSE)),)</f>
        <v>5</v>
      </c>
      <c r="CO234" s="14">
        <f>ROUND(IF(BT234=0,0,HLOOKUP(BT$14,Villagers!$B$1:$V$33,BT234+3,FALSE)),)</f>
        <v>0</v>
      </c>
      <c r="CP234" s="14">
        <f>ROUND(IF(BU234=0,0,HLOOKUP(BU$14,Villagers!$B$1:$V$33,BU234+3,FALSE)),)</f>
        <v>0</v>
      </c>
      <c r="CQ234" s="14">
        <f>ROUND(IF(BV234=0,0,HLOOKUP(BV$14,Villagers!$B$1:$V$33,BV234+3,FALSE)),)</f>
        <v>0</v>
      </c>
      <c r="CR234" s="14">
        <f>ROUND(IF(BW234=0,0,HLOOKUP(BW$14,Villagers!$B$1:$V$33,BW234+3,FALSE)),)</f>
        <v>0</v>
      </c>
      <c r="CS234" s="14">
        <f>ROUND(IF(BX234=0,0,HLOOKUP(BX$14,Villagers!$B$1:$V$33,BX234+3,FALSE)),)</f>
        <v>0</v>
      </c>
      <c r="CT234" s="14">
        <f>ROUND(IF(BY234=0,0,HLOOKUP(BY$14,Villagers!$B$1:$V$33,BY234+3,FALSE)),)</f>
        <v>0</v>
      </c>
      <c r="CU234" s="14">
        <f>ROUND(IF(BZ234=0,0,HLOOKUP(BZ$14,Villagers!$B$1:$V$33,BZ234+3,FALSE)),)</f>
        <v>0</v>
      </c>
      <c r="CV234" s="14">
        <f>ROUND(IF(CA234=0,0,HLOOKUP(CA$14,Villagers!$B$1:$V$33,CA234+3,FALSE)),)</f>
        <v>0</v>
      </c>
      <c r="CW234" s="14">
        <f>ROUND(IF(CB234=0,0,HLOOKUP(CB$14,Villagers!$B$1:$V$33,CB234+3,FALSE)),)</f>
        <v>0</v>
      </c>
      <c r="CX234" s="14">
        <f>ROUND(IF(CC234=0,0,HLOOKUP(CC$14,Villagers!$B$1:$V$33,CC234+3,FALSE)),)</f>
        <v>0</v>
      </c>
      <c r="CY234" s="14">
        <f>ROUND(IF(CD234=0,0,HLOOKUP(CD$14,Villagers!$B$1:$V$33,CD234+3,FALSE)),)</f>
        <v>0</v>
      </c>
      <c r="CZ234" s="14">
        <f>ROUND(IF(CE234=0,0,HLOOKUP(CE$14,Villagers!$B$1:$V$33,CE234+3,FALSE)),)</f>
        <v>5</v>
      </c>
      <c r="DA234" s="14">
        <f>ROUND(IF(CF234=0,0,HLOOKUP(CF$14,Villagers!$B$1:$V$33,CF234+3,FALSE)),)</f>
        <v>10</v>
      </c>
      <c r="DB234" s="14">
        <f>ROUND(IF(CG234=0,0,HLOOKUP(CG$14,Villagers!$B$1:$V$33,CG234+3,FALSE)),)</f>
        <v>10</v>
      </c>
      <c r="DC234" s="14">
        <f>ROUND(IF(CH234=0,0,HLOOKUP(CH$14,Villagers!$B$1:$V$33,CH234+3,FALSE)),)</f>
        <v>0</v>
      </c>
      <c r="DD234" s="14">
        <f>ROUND(IF(CI234=0,0,HLOOKUP(CI$14,Villagers!$B$1:$V$33,CI234+3,FALSE)),)</f>
        <v>0</v>
      </c>
      <c r="DE234" s="14">
        <f>ROUND(IF(CJ234=0,0,HLOOKUP(CJ$14,Villagers!$B$1:$V$33,CJ234+3,FALSE)),)</f>
        <v>2</v>
      </c>
      <c r="DF234" s="370">
        <f>ROUND(IF(CK234=0,0,HLOOKUP(CK$14,Villagers!$B$1:$V$33,CK234+3,FALSE)),)</f>
        <v>0</v>
      </c>
      <c r="DG234" s="370">
        <f>ROUND(IF(CL234=0,0,HLOOKUP(CL$14,Villagers!$B$1:$V$33,CL234+3,FALSE)),)</f>
        <v>0</v>
      </c>
      <c r="DH234" s="34">
        <f>ROUND(IF(CM234=0,0,HLOOKUP(CM$14,Villagers!$B$1:$V$33,CM234+3,FALSE)),)</f>
        <v>0</v>
      </c>
      <c r="DI234" s="109">
        <f t="shared" si="526"/>
        <v>0</v>
      </c>
      <c r="DJ234" s="50">
        <f t="shared" si="527"/>
        <v>0</v>
      </c>
      <c r="DK234" s="50">
        <f t="shared" si="528"/>
        <v>0</v>
      </c>
      <c r="DL234" s="50">
        <f t="shared" si="529"/>
        <v>0</v>
      </c>
      <c r="DM234" s="50">
        <f t="shared" si="530"/>
        <v>0</v>
      </c>
      <c r="DN234" s="50">
        <f t="shared" si="531"/>
        <v>0</v>
      </c>
      <c r="DO234" s="50">
        <f t="shared" si="532"/>
        <v>0</v>
      </c>
      <c r="DP234" s="50">
        <f t="shared" si="533"/>
        <v>0</v>
      </c>
      <c r="DQ234" s="50">
        <f t="shared" si="510"/>
        <v>0</v>
      </c>
      <c r="DR234" s="50">
        <f t="shared" si="511"/>
        <v>0</v>
      </c>
      <c r="DS234" s="96">
        <f>Miscelaneous!$D$4*Miscelaneous!$D$2^($CI234-1)</f>
        <v>1000</v>
      </c>
      <c r="DT234" s="333">
        <f t="shared" si="490"/>
        <v>1</v>
      </c>
      <c r="DU234" s="81">
        <v>1</v>
      </c>
      <c r="DV234" s="79">
        <f t="shared" si="512"/>
        <v>0</v>
      </c>
      <c r="DW234" s="79">
        <f t="shared" si="513"/>
        <v>0</v>
      </c>
      <c r="DX234" s="79">
        <f t="shared" si="514"/>
        <v>0</v>
      </c>
      <c r="DY234" s="79">
        <v>1</v>
      </c>
      <c r="DZ234" s="79">
        <f t="shared" si="515"/>
        <v>0</v>
      </c>
      <c r="EA234" s="79">
        <f t="shared" si="516"/>
        <v>0</v>
      </c>
      <c r="EB234" s="79">
        <f t="shared" si="517"/>
        <v>0</v>
      </c>
      <c r="EC234" s="79">
        <f t="shared" si="518"/>
        <v>0</v>
      </c>
      <c r="ED234" s="79">
        <v>1</v>
      </c>
      <c r="EE234" s="79">
        <v>1</v>
      </c>
      <c r="EF234" s="79">
        <f t="shared" si="519"/>
        <v>0</v>
      </c>
      <c r="EG234" s="79">
        <v>1</v>
      </c>
      <c r="EH234" s="79">
        <v>1</v>
      </c>
      <c r="EI234" s="79">
        <v>1</v>
      </c>
      <c r="EJ234" s="79">
        <v>1</v>
      </c>
      <c r="EK234" s="79">
        <v>1</v>
      </c>
      <c r="EL234" s="79">
        <v>1</v>
      </c>
      <c r="EM234" s="143">
        <f t="shared" si="520"/>
        <v>0</v>
      </c>
      <c r="EN234" s="143">
        <f t="shared" si="521"/>
        <v>0</v>
      </c>
      <c r="EO234" s="82">
        <f t="shared" si="522"/>
        <v>0</v>
      </c>
    </row>
    <row r="235" spans="1:145" x14ac:dyDescent="0.25">
      <c r="A235">
        <v>221</v>
      </c>
      <c r="B235" s="172" t="e">
        <f t="shared" si="491"/>
        <v>#N/A</v>
      </c>
      <c r="C235" s="121" t="e">
        <f t="shared" ref="C235:E235" si="580">AJ235-SUM(AB235:AB239)</f>
        <v>#N/A</v>
      </c>
      <c r="D235" s="122" t="e">
        <f t="shared" si="580"/>
        <v>#N/A</v>
      </c>
      <c r="E235" s="122" t="e">
        <f t="shared" si="580"/>
        <v>#N/A</v>
      </c>
      <c r="F235" s="176" t="e">
        <f t="shared" si="473"/>
        <v>#N/A</v>
      </c>
      <c r="G235" s="121">
        <f t="shared" si="493"/>
        <v>208</v>
      </c>
      <c r="H235" s="176" t="e">
        <f t="shared" si="494"/>
        <v>#N/A</v>
      </c>
      <c r="I235" s="48">
        <v>1</v>
      </c>
      <c r="J235" s="39"/>
      <c r="K235" s="350">
        <v>1</v>
      </c>
      <c r="L235" s="34" t="e">
        <f t="shared" si="474"/>
        <v>#N/A</v>
      </c>
      <c r="M235" s="38" t="e">
        <f>(HLOOKUP(J235,'Construction Times'!$B$3:$W$34,L235+2,FALSE)*HLOOKUP("hq modifier",'Construction Times'!$W$3:$W$34,BS235+2,FALSE))*(1-$H$9)</f>
        <v>#N/A</v>
      </c>
      <c r="N235" s="426" t="e">
        <f t="shared" si="495"/>
        <v>#N/A</v>
      </c>
      <c r="O235" s="427"/>
      <c r="P235" s="430" t="e">
        <f t="shared" si="496"/>
        <v>#N/A</v>
      </c>
      <c r="Q235" s="431"/>
      <c r="R235" s="103">
        <f t="shared" si="524"/>
        <v>0</v>
      </c>
      <c r="S235" s="104">
        <f t="shared" si="524"/>
        <v>0</v>
      </c>
      <c r="T235" s="104">
        <f t="shared" si="525"/>
        <v>0</v>
      </c>
      <c r="U235" s="104">
        <f t="shared" si="525"/>
        <v>0</v>
      </c>
      <c r="V235" s="104">
        <f t="shared" si="525"/>
        <v>9.9999999999999995E-8</v>
      </c>
      <c r="W235" s="104">
        <f t="shared" si="525"/>
        <v>0</v>
      </c>
      <c r="X235" s="104">
        <f t="shared" si="429"/>
        <v>0</v>
      </c>
      <c r="Y235" s="104">
        <f t="shared" si="429"/>
        <v>9.9999999999999995E-8</v>
      </c>
      <c r="Z235" s="104">
        <f t="shared" si="429"/>
        <v>9.9999999999999995E-8</v>
      </c>
      <c r="AA235" s="105">
        <f t="shared" si="429"/>
        <v>9.9999999999999995E-8</v>
      </c>
      <c r="AB235" s="101" t="e">
        <f>$DT235*HLOOKUP($J235,'Construction Costs (timber)'!$B$1:$V$32,'Construction Planner'!$L235+2,FALSE)</f>
        <v>#N/A</v>
      </c>
      <c r="AC235" s="14" t="e">
        <f>$DT235*HLOOKUP($J235,'Construction Costs (clay)'!$B$1:$V$32,'Construction Planner'!$L235+2,FALSE)</f>
        <v>#N/A</v>
      </c>
      <c r="AD235" s="14" t="e">
        <f>$DT235*HLOOKUP($J235,'Construction Costs (iron)'!$B$1:$V$32,'Construction Planner'!$L235+2,FALSE)</f>
        <v>#N/A</v>
      </c>
      <c r="AE235" s="34" t="e">
        <f t="shared" si="537"/>
        <v>#N/A</v>
      </c>
      <c r="AF235" s="33" t="e">
        <f t="shared" si="475"/>
        <v>#N/A</v>
      </c>
      <c r="AG235" s="14" t="e">
        <f t="shared" si="476"/>
        <v>#N/A</v>
      </c>
      <c r="AH235" s="14" t="e">
        <f t="shared" si="477"/>
        <v>#N/A</v>
      </c>
      <c r="AI235" s="34" t="e">
        <f t="shared" si="538"/>
        <v>#N/A</v>
      </c>
      <c r="AJ235" s="49" t="e">
        <f t="shared" si="498"/>
        <v>#N/A</v>
      </c>
      <c r="AK235" s="49" t="e">
        <f t="shared" si="499"/>
        <v>#N/A</v>
      </c>
      <c r="AL235" s="49" t="e">
        <f t="shared" si="500"/>
        <v>#N/A</v>
      </c>
      <c r="AM235" s="25">
        <f t="shared" si="478"/>
        <v>30</v>
      </c>
      <c r="AN235" s="25">
        <f t="shared" si="479"/>
        <v>30</v>
      </c>
      <c r="AO235" s="25">
        <f t="shared" si="480"/>
        <v>30</v>
      </c>
      <c r="AP235" s="52" t="e">
        <f t="shared" si="501"/>
        <v>#N/A</v>
      </c>
      <c r="AQ235" s="53" t="e">
        <f t="shared" si="501"/>
        <v>#N/A</v>
      </c>
      <c r="AR235" s="54" t="e">
        <f t="shared" si="501"/>
        <v>#N/A</v>
      </c>
      <c r="AS235" s="316">
        <f t="shared" si="571"/>
        <v>0</v>
      </c>
      <c r="AT235" s="106">
        <f>_xlfn.IFNA($M235/VLOOKUP($BT235,'Unit information'!$A$2:$K$29,2,FALSE)*R235,0)*(1+$E$9)</f>
        <v>0</v>
      </c>
      <c r="AU235" s="107">
        <f>_xlfn.IFNA($M235/VLOOKUP($BT235,'Unit information'!$A$2:$K$29,3,FALSE)*S235,0)*(1+$E$9)</f>
        <v>0</v>
      </c>
      <c r="AV235" s="107">
        <f>_xlfn.IFNA($M235/VLOOKUP($BT235,'Unit information'!$A$2:$K$29,4,FALSE)*T235,0)*(1+$E$9)</f>
        <v>0</v>
      </c>
      <c r="AW235" s="107">
        <f>_xlfn.IFNA($M235/VLOOKUP($BT235,'Unit information'!$A$2:$K$29,5,FALSE)*U235,0)*(1+$E$9)</f>
        <v>0</v>
      </c>
      <c r="AX235" s="107">
        <f>_xlfn.IFNA($M235/VLOOKUP($BU235,'Unit information'!$A$2:$K$29,6,FALSE)*V235,0)*(1+$E$9)</f>
        <v>0</v>
      </c>
      <c r="AY235" s="107">
        <f>_xlfn.IFNA($M235/VLOOKUP($BU235,'Unit information'!$A$2:$K$29,7,FALSE)*W235,0)*(1+$E$9)</f>
        <v>0</v>
      </c>
      <c r="AZ235" s="107">
        <f>_xlfn.IFNA($M235/VLOOKUP($BU235,'Unit information'!$A$2:$K$29,8,FALSE)*X235,0)*(1+$E$9)</f>
        <v>0</v>
      </c>
      <c r="BA235" s="107">
        <f>_xlfn.IFNA($M235/VLOOKUP($BU235,'Unit information'!$A$2:$K$29,9,FALSE)*Y235,0)*(1+$E$9)</f>
        <v>0</v>
      </c>
      <c r="BB235" s="107">
        <f>_xlfn.IFNA($M235/VLOOKUP($BV235,'Unit information'!$A$2:$K$29,10,FALSE)*Z235,0)*(1+$E$9)</f>
        <v>0</v>
      </c>
      <c r="BC235" s="108">
        <f>_xlfn.IFNA($M235/VLOOKUP($BV235,'Unit information'!$A$2:$K$29,11,FALSE)*AA235,0)*(1+$E$9)</f>
        <v>0</v>
      </c>
      <c r="BD235" s="106">
        <f t="shared" si="481"/>
        <v>0</v>
      </c>
      <c r="BE235" s="107">
        <f t="shared" si="482"/>
        <v>0</v>
      </c>
      <c r="BF235" s="108">
        <f t="shared" si="483"/>
        <v>0</v>
      </c>
      <c r="BG235" s="25" t="e">
        <f t="shared" si="484"/>
        <v>#N/A</v>
      </c>
      <c r="BH235" s="25" t="e">
        <f t="shared" si="485"/>
        <v>#N/A</v>
      </c>
      <c r="BI235" s="25" t="e">
        <f t="shared" si="486"/>
        <v>#N/A</v>
      </c>
      <c r="BJ235" s="27" t="e">
        <f t="shared" si="487"/>
        <v>#N/A</v>
      </c>
      <c r="BK235" s="18" t="e">
        <f t="shared" si="488"/>
        <v>#N/A</v>
      </c>
      <c r="BL235" s="18" t="e">
        <f t="shared" si="489"/>
        <v>#N/A</v>
      </c>
      <c r="BM235" s="28" t="e">
        <f t="shared" si="540"/>
        <v>#N/A</v>
      </c>
      <c r="BN235" s="33">
        <f>HLOOKUP("maximum population",Miscelaneous!$C$1:$C$33,CH235+3,FALSE)</f>
        <v>240</v>
      </c>
      <c r="BO235" s="14">
        <f t="shared" si="502"/>
        <v>32</v>
      </c>
      <c r="BP235" s="14">
        <f t="shared" si="503"/>
        <v>0</v>
      </c>
      <c r="BQ235" s="14">
        <f t="shared" si="504"/>
        <v>208</v>
      </c>
      <c r="BR235" s="34" t="e">
        <f>HLOOKUP(J235,Villagers!$B$1:$V$33,L235+3,FALSE)-HLOOKUP(J235,Villagers!$B$1:$V$33,L235+2,FALSE)</f>
        <v>#N/A</v>
      </c>
      <c r="BS235" s="49">
        <f t="shared" si="505"/>
        <v>1</v>
      </c>
      <c r="BT235" s="50">
        <f t="shared" si="506"/>
        <v>0</v>
      </c>
      <c r="BU235" s="50">
        <f t="shared" si="507"/>
        <v>0</v>
      </c>
      <c r="BV235" s="50">
        <f t="shared" si="508"/>
        <v>0</v>
      </c>
      <c r="BW235" s="50">
        <f t="shared" si="575"/>
        <v>0</v>
      </c>
      <c r="BX235" s="50">
        <f t="shared" si="576"/>
        <v>0</v>
      </c>
      <c r="BY235" s="50">
        <f t="shared" si="576"/>
        <v>0</v>
      </c>
      <c r="BZ235" s="50">
        <f t="shared" si="554"/>
        <v>0</v>
      </c>
      <c r="CA235" s="50">
        <f t="shared" si="555"/>
        <v>0</v>
      </c>
      <c r="CB235" s="50">
        <f t="shared" si="556"/>
        <v>1</v>
      </c>
      <c r="CC235" s="50">
        <f t="shared" si="557"/>
        <v>0</v>
      </c>
      <c r="CD235" s="50">
        <f t="shared" si="558"/>
        <v>0</v>
      </c>
      <c r="CE235" s="50">
        <f t="shared" si="559"/>
        <v>1</v>
      </c>
      <c r="CF235" s="50">
        <f t="shared" si="560"/>
        <v>1</v>
      </c>
      <c r="CG235" s="50">
        <f t="shared" si="561"/>
        <v>1</v>
      </c>
      <c r="CH235" s="50">
        <f t="shared" si="562"/>
        <v>1</v>
      </c>
      <c r="CI235" s="50">
        <f t="shared" si="563"/>
        <v>1</v>
      </c>
      <c r="CJ235" s="50">
        <f t="shared" si="564"/>
        <v>1</v>
      </c>
      <c r="CK235" s="50">
        <f t="shared" si="564"/>
        <v>0</v>
      </c>
      <c r="CL235" s="50">
        <f t="shared" si="564"/>
        <v>0</v>
      </c>
      <c r="CM235" s="51">
        <f t="shared" si="432"/>
        <v>0</v>
      </c>
      <c r="CN235" s="33">
        <f>ROUND(IF(BS235=0,0,HLOOKUP(BS$14,Villagers!$B$1:$V$33,BS235+3,FALSE)),)</f>
        <v>5</v>
      </c>
      <c r="CO235" s="14">
        <f>ROUND(IF(BT235=0,0,HLOOKUP(BT$14,Villagers!$B$1:$V$33,BT235+3,FALSE)),)</f>
        <v>0</v>
      </c>
      <c r="CP235" s="14">
        <f>ROUND(IF(BU235=0,0,HLOOKUP(BU$14,Villagers!$B$1:$V$33,BU235+3,FALSE)),)</f>
        <v>0</v>
      </c>
      <c r="CQ235" s="14">
        <f>ROUND(IF(BV235=0,0,HLOOKUP(BV$14,Villagers!$B$1:$V$33,BV235+3,FALSE)),)</f>
        <v>0</v>
      </c>
      <c r="CR235" s="14">
        <f>ROUND(IF(BW235=0,0,HLOOKUP(BW$14,Villagers!$B$1:$V$33,BW235+3,FALSE)),)</f>
        <v>0</v>
      </c>
      <c r="CS235" s="14">
        <f>ROUND(IF(BX235=0,0,HLOOKUP(BX$14,Villagers!$B$1:$V$33,BX235+3,FALSE)),)</f>
        <v>0</v>
      </c>
      <c r="CT235" s="14">
        <f>ROUND(IF(BY235=0,0,HLOOKUP(BY$14,Villagers!$B$1:$V$33,BY235+3,FALSE)),)</f>
        <v>0</v>
      </c>
      <c r="CU235" s="14">
        <f>ROUND(IF(BZ235=0,0,HLOOKUP(BZ$14,Villagers!$B$1:$V$33,BZ235+3,FALSE)),)</f>
        <v>0</v>
      </c>
      <c r="CV235" s="14">
        <f>ROUND(IF(CA235=0,0,HLOOKUP(CA$14,Villagers!$B$1:$V$33,CA235+3,FALSE)),)</f>
        <v>0</v>
      </c>
      <c r="CW235" s="14">
        <f>ROUND(IF(CB235=0,0,HLOOKUP(CB$14,Villagers!$B$1:$V$33,CB235+3,FALSE)),)</f>
        <v>0</v>
      </c>
      <c r="CX235" s="14">
        <f>ROUND(IF(CC235=0,0,HLOOKUP(CC$14,Villagers!$B$1:$V$33,CC235+3,FALSE)),)</f>
        <v>0</v>
      </c>
      <c r="CY235" s="14">
        <f>ROUND(IF(CD235=0,0,HLOOKUP(CD$14,Villagers!$B$1:$V$33,CD235+3,FALSE)),)</f>
        <v>0</v>
      </c>
      <c r="CZ235" s="14">
        <f>ROUND(IF(CE235=0,0,HLOOKUP(CE$14,Villagers!$B$1:$V$33,CE235+3,FALSE)),)</f>
        <v>5</v>
      </c>
      <c r="DA235" s="14">
        <f>ROUND(IF(CF235=0,0,HLOOKUP(CF$14,Villagers!$B$1:$V$33,CF235+3,FALSE)),)</f>
        <v>10</v>
      </c>
      <c r="DB235" s="14">
        <f>ROUND(IF(CG235=0,0,HLOOKUP(CG$14,Villagers!$B$1:$V$33,CG235+3,FALSE)),)</f>
        <v>10</v>
      </c>
      <c r="DC235" s="14">
        <f>ROUND(IF(CH235=0,0,HLOOKUP(CH$14,Villagers!$B$1:$V$33,CH235+3,FALSE)),)</f>
        <v>0</v>
      </c>
      <c r="DD235" s="14">
        <f>ROUND(IF(CI235=0,0,HLOOKUP(CI$14,Villagers!$B$1:$V$33,CI235+3,FALSE)),)</f>
        <v>0</v>
      </c>
      <c r="DE235" s="14">
        <f>ROUND(IF(CJ235=0,0,HLOOKUP(CJ$14,Villagers!$B$1:$V$33,CJ235+3,FALSE)),)</f>
        <v>2</v>
      </c>
      <c r="DF235" s="370">
        <f>ROUND(IF(CK235=0,0,HLOOKUP(CK$14,Villagers!$B$1:$V$33,CK235+3,FALSE)),)</f>
        <v>0</v>
      </c>
      <c r="DG235" s="370">
        <f>ROUND(IF(CL235=0,0,HLOOKUP(CL$14,Villagers!$B$1:$V$33,CL235+3,FALSE)),)</f>
        <v>0</v>
      </c>
      <c r="DH235" s="34">
        <f>ROUND(IF(CM235=0,0,HLOOKUP(CM$14,Villagers!$B$1:$V$33,CM235+3,FALSE)),)</f>
        <v>0</v>
      </c>
      <c r="DI235" s="109">
        <f t="shared" si="526"/>
        <v>0</v>
      </c>
      <c r="DJ235" s="50">
        <f t="shared" si="527"/>
        <v>0</v>
      </c>
      <c r="DK235" s="50">
        <f t="shared" si="528"/>
        <v>0</v>
      </c>
      <c r="DL235" s="50">
        <f t="shared" si="529"/>
        <v>0</v>
      </c>
      <c r="DM235" s="50">
        <f t="shared" si="530"/>
        <v>0</v>
      </c>
      <c r="DN235" s="50">
        <f t="shared" si="531"/>
        <v>0</v>
      </c>
      <c r="DO235" s="50">
        <f t="shared" si="532"/>
        <v>0</v>
      </c>
      <c r="DP235" s="50">
        <f t="shared" si="533"/>
        <v>0</v>
      </c>
      <c r="DQ235" s="50">
        <f t="shared" si="510"/>
        <v>0</v>
      </c>
      <c r="DR235" s="50">
        <f t="shared" si="511"/>
        <v>0</v>
      </c>
      <c r="DS235" s="96">
        <f>Miscelaneous!$D$4*Miscelaneous!$D$2^($CI235-1)</f>
        <v>1000</v>
      </c>
      <c r="DT235" s="333">
        <f t="shared" si="490"/>
        <v>1</v>
      </c>
      <c r="DU235" s="81">
        <v>1</v>
      </c>
      <c r="DV235" s="79">
        <f t="shared" si="512"/>
        <v>0</v>
      </c>
      <c r="DW235" s="79">
        <f t="shared" si="513"/>
        <v>0</v>
      </c>
      <c r="DX235" s="79">
        <f t="shared" si="514"/>
        <v>0</v>
      </c>
      <c r="DY235" s="79">
        <v>1</v>
      </c>
      <c r="DZ235" s="79">
        <f t="shared" si="515"/>
        <v>0</v>
      </c>
      <c r="EA235" s="79">
        <f t="shared" si="516"/>
        <v>0</v>
      </c>
      <c r="EB235" s="79">
        <f t="shared" si="517"/>
        <v>0</v>
      </c>
      <c r="EC235" s="79">
        <f t="shared" si="518"/>
        <v>0</v>
      </c>
      <c r="ED235" s="79">
        <v>1</v>
      </c>
      <c r="EE235" s="79">
        <v>1</v>
      </c>
      <c r="EF235" s="79">
        <f t="shared" si="519"/>
        <v>0</v>
      </c>
      <c r="EG235" s="79">
        <v>1</v>
      </c>
      <c r="EH235" s="79">
        <v>1</v>
      </c>
      <c r="EI235" s="79">
        <v>1</v>
      </c>
      <c r="EJ235" s="79">
        <v>1</v>
      </c>
      <c r="EK235" s="79">
        <v>1</v>
      </c>
      <c r="EL235" s="79">
        <v>1</v>
      </c>
      <c r="EM235" s="143">
        <f t="shared" si="520"/>
        <v>0</v>
      </c>
      <c r="EN235" s="143">
        <f t="shared" si="521"/>
        <v>0</v>
      </c>
      <c r="EO235" s="82">
        <f t="shared" si="522"/>
        <v>0</v>
      </c>
    </row>
    <row r="236" spans="1:145" x14ac:dyDescent="0.25">
      <c r="A236">
        <v>222</v>
      </c>
      <c r="B236" s="172" t="e">
        <f t="shared" si="491"/>
        <v>#N/A</v>
      </c>
      <c r="C236" s="121" t="e">
        <f t="shared" ref="C236:E236" si="581">AJ236-SUM(AB236:AB240)</f>
        <v>#N/A</v>
      </c>
      <c r="D236" s="122" t="e">
        <f t="shared" si="581"/>
        <v>#N/A</v>
      </c>
      <c r="E236" s="122" t="e">
        <f t="shared" si="581"/>
        <v>#N/A</v>
      </c>
      <c r="F236" s="176" t="e">
        <f t="shared" si="473"/>
        <v>#N/A</v>
      </c>
      <c r="G236" s="121">
        <f t="shared" si="493"/>
        <v>208</v>
      </c>
      <c r="H236" s="176" t="e">
        <f t="shared" si="494"/>
        <v>#N/A</v>
      </c>
      <c r="I236" s="48">
        <v>1</v>
      </c>
      <c r="J236" s="39"/>
      <c r="K236" s="350">
        <v>1</v>
      </c>
      <c r="L236" s="34" t="e">
        <f t="shared" si="474"/>
        <v>#N/A</v>
      </c>
      <c r="M236" s="38" t="e">
        <f>(HLOOKUP(J236,'Construction Times'!$B$3:$W$34,L236+2,FALSE)*HLOOKUP("hq modifier",'Construction Times'!$W$3:$W$34,BS236+2,FALSE))*(1-$H$9)</f>
        <v>#N/A</v>
      </c>
      <c r="N236" s="426" t="e">
        <f t="shared" si="495"/>
        <v>#N/A</v>
      </c>
      <c r="O236" s="427"/>
      <c r="P236" s="430" t="e">
        <f t="shared" si="496"/>
        <v>#N/A</v>
      </c>
      <c r="Q236" s="431"/>
      <c r="R236" s="103">
        <f t="shared" si="524"/>
        <v>0</v>
      </c>
      <c r="S236" s="104">
        <f t="shared" si="524"/>
        <v>0</v>
      </c>
      <c r="T236" s="104">
        <f t="shared" si="525"/>
        <v>0</v>
      </c>
      <c r="U236" s="104">
        <f t="shared" si="525"/>
        <v>0</v>
      </c>
      <c r="V236" s="104">
        <f t="shared" si="525"/>
        <v>9.9999999999999995E-8</v>
      </c>
      <c r="W236" s="104">
        <f t="shared" si="525"/>
        <v>0</v>
      </c>
      <c r="X236" s="104">
        <f t="shared" si="429"/>
        <v>0</v>
      </c>
      <c r="Y236" s="104">
        <f t="shared" si="429"/>
        <v>9.9999999999999995E-8</v>
      </c>
      <c r="Z236" s="104">
        <f t="shared" si="429"/>
        <v>9.9999999999999995E-8</v>
      </c>
      <c r="AA236" s="105">
        <f t="shared" ref="AA236" si="582">AA235</f>
        <v>9.9999999999999995E-8</v>
      </c>
      <c r="AB236" s="101" t="e">
        <f>$DT236*HLOOKUP($J236,'Construction Costs (timber)'!$B$1:$V$32,'Construction Planner'!$L236+2,FALSE)</f>
        <v>#N/A</v>
      </c>
      <c r="AC236" s="14" t="e">
        <f>$DT236*HLOOKUP($J236,'Construction Costs (clay)'!$B$1:$V$32,'Construction Planner'!$L236+2,FALSE)</f>
        <v>#N/A</v>
      </c>
      <c r="AD236" s="14" t="e">
        <f>$DT236*HLOOKUP($J236,'Construction Costs (iron)'!$B$1:$V$32,'Construction Planner'!$L236+2,FALSE)</f>
        <v>#N/A</v>
      </c>
      <c r="AE236" s="34" t="e">
        <f t="shared" si="537"/>
        <v>#N/A</v>
      </c>
      <c r="AF236" s="33" t="e">
        <f t="shared" si="475"/>
        <v>#N/A</v>
      </c>
      <c r="AG236" s="14" t="e">
        <f t="shared" si="476"/>
        <v>#N/A</v>
      </c>
      <c r="AH236" s="14" t="e">
        <f t="shared" si="477"/>
        <v>#N/A</v>
      </c>
      <c r="AI236" s="34" t="e">
        <f t="shared" si="538"/>
        <v>#N/A</v>
      </c>
      <c r="AJ236" s="49" t="e">
        <f t="shared" si="498"/>
        <v>#N/A</v>
      </c>
      <c r="AK236" s="49" t="e">
        <f t="shared" si="499"/>
        <v>#N/A</v>
      </c>
      <c r="AL236" s="49" t="e">
        <f t="shared" si="500"/>
        <v>#N/A</v>
      </c>
      <c r="AM236" s="25">
        <f t="shared" si="478"/>
        <v>30</v>
      </c>
      <c r="AN236" s="25">
        <f t="shared" si="479"/>
        <v>30</v>
      </c>
      <c r="AO236" s="25">
        <f t="shared" si="480"/>
        <v>30</v>
      </c>
      <c r="AP236" s="52" t="e">
        <f t="shared" si="501"/>
        <v>#N/A</v>
      </c>
      <c r="AQ236" s="53" t="e">
        <f t="shared" si="501"/>
        <v>#N/A</v>
      </c>
      <c r="AR236" s="54" t="e">
        <f t="shared" si="501"/>
        <v>#N/A</v>
      </c>
      <c r="AS236" s="316">
        <f t="shared" si="571"/>
        <v>0</v>
      </c>
      <c r="AT236" s="106">
        <f>_xlfn.IFNA($M236/VLOOKUP($BT236,'Unit information'!$A$2:$K$29,2,FALSE)*R236,0)*(1+$E$9)</f>
        <v>0</v>
      </c>
      <c r="AU236" s="107">
        <f>_xlfn.IFNA($M236/VLOOKUP($BT236,'Unit information'!$A$2:$K$29,3,FALSE)*S236,0)*(1+$E$9)</f>
        <v>0</v>
      </c>
      <c r="AV236" s="107">
        <f>_xlfn.IFNA($M236/VLOOKUP($BT236,'Unit information'!$A$2:$K$29,4,FALSE)*T236,0)*(1+$E$9)</f>
        <v>0</v>
      </c>
      <c r="AW236" s="107">
        <f>_xlfn.IFNA($M236/VLOOKUP($BT236,'Unit information'!$A$2:$K$29,5,FALSE)*U236,0)*(1+$E$9)</f>
        <v>0</v>
      </c>
      <c r="AX236" s="107">
        <f>_xlfn.IFNA($M236/VLOOKUP($BU236,'Unit information'!$A$2:$K$29,6,FALSE)*V236,0)*(1+$E$9)</f>
        <v>0</v>
      </c>
      <c r="AY236" s="107">
        <f>_xlfn.IFNA($M236/VLOOKUP($BU236,'Unit information'!$A$2:$K$29,7,FALSE)*W236,0)*(1+$E$9)</f>
        <v>0</v>
      </c>
      <c r="AZ236" s="107">
        <f>_xlfn.IFNA($M236/VLOOKUP($BU236,'Unit information'!$A$2:$K$29,8,FALSE)*X236,0)*(1+$E$9)</f>
        <v>0</v>
      </c>
      <c r="BA236" s="107">
        <f>_xlfn.IFNA($M236/VLOOKUP($BU236,'Unit information'!$A$2:$K$29,9,FALSE)*Y236,0)*(1+$E$9)</f>
        <v>0</v>
      </c>
      <c r="BB236" s="107">
        <f>_xlfn.IFNA($M236/VLOOKUP($BV236,'Unit information'!$A$2:$K$29,10,FALSE)*Z236,0)*(1+$E$9)</f>
        <v>0</v>
      </c>
      <c r="BC236" s="108">
        <f>_xlfn.IFNA($M236/VLOOKUP($BV236,'Unit information'!$A$2:$K$29,11,FALSE)*AA236,0)*(1+$E$9)</f>
        <v>0</v>
      </c>
      <c r="BD236" s="106">
        <f t="shared" si="481"/>
        <v>0</v>
      </c>
      <c r="BE236" s="107">
        <f t="shared" si="482"/>
        <v>0</v>
      </c>
      <c r="BF236" s="108">
        <f t="shared" si="483"/>
        <v>0</v>
      </c>
      <c r="BG236" s="25" t="e">
        <f t="shared" si="484"/>
        <v>#N/A</v>
      </c>
      <c r="BH236" s="25" t="e">
        <f t="shared" si="485"/>
        <v>#N/A</v>
      </c>
      <c r="BI236" s="25" t="e">
        <f t="shared" si="486"/>
        <v>#N/A</v>
      </c>
      <c r="BJ236" s="27" t="e">
        <f t="shared" si="487"/>
        <v>#N/A</v>
      </c>
      <c r="BK236" s="18" t="e">
        <f t="shared" si="488"/>
        <v>#N/A</v>
      </c>
      <c r="BL236" s="18" t="e">
        <f t="shared" si="489"/>
        <v>#N/A</v>
      </c>
      <c r="BM236" s="28" t="e">
        <f t="shared" si="540"/>
        <v>#N/A</v>
      </c>
      <c r="BN236" s="33">
        <f>HLOOKUP("maximum population",Miscelaneous!$C$1:$C$33,CH236+3,FALSE)</f>
        <v>240</v>
      </c>
      <c r="BO236" s="14">
        <f t="shared" si="502"/>
        <v>32</v>
      </c>
      <c r="BP236" s="14">
        <f t="shared" si="503"/>
        <v>0</v>
      </c>
      <c r="BQ236" s="14">
        <f t="shared" si="504"/>
        <v>208</v>
      </c>
      <c r="BR236" s="34" t="e">
        <f>HLOOKUP(J236,Villagers!$B$1:$V$33,L236+3,FALSE)-HLOOKUP(J236,Villagers!$B$1:$V$33,L236+2,FALSE)</f>
        <v>#N/A</v>
      </c>
      <c r="BS236" s="49">
        <f t="shared" si="505"/>
        <v>1</v>
      </c>
      <c r="BT236" s="50">
        <f t="shared" si="506"/>
        <v>0</v>
      </c>
      <c r="BU236" s="50">
        <f t="shared" si="507"/>
        <v>0</v>
      </c>
      <c r="BV236" s="50">
        <f t="shared" si="508"/>
        <v>0</v>
      </c>
      <c r="BW236" s="50">
        <f t="shared" si="575"/>
        <v>0</v>
      </c>
      <c r="BX236" s="50">
        <f t="shared" si="576"/>
        <v>0</v>
      </c>
      <c r="BY236" s="50">
        <f t="shared" si="576"/>
        <v>0</v>
      </c>
      <c r="BZ236" s="50">
        <f t="shared" si="554"/>
        <v>0</v>
      </c>
      <c r="CA236" s="50">
        <f t="shared" si="555"/>
        <v>0</v>
      </c>
      <c r="CB236" s="50">
        <f t="shared" si="556"/>
        <v>1</v>
      </c>
      <c r="CC236" s="50">
        <f t="shared" si="557"/>
        <v>0</v>
      </c>
      <c r="CD236" s="50">
        <f t="shared" si="558"/>
        <v>0</v>
      </c>
      <c r="CE236" s="50">
        <f t="shared" si="559"/>
        <v>1</v>
      </c>
      <c r="CF236" s="50">
        <f t="shared" si="560"/>
        <v>1</v>
      </c>
      <c r="CG236" s="50">
        <f t="shared" si="561"/>
        <v>1</v>
      </c>
      <c r="CH236" s="50">
        <f t="shared" si="562"/>
        <v>1</v>
      </c>
      <c r="CI236" s="50">
        <f t="shared" si="563"/>
        <v>1</v>
      </c>
      <c r="CJ236" s="50">
        <f t="shared" si="564"/>
        <v>1</v>
      </c>
      <c r="CK236" s="50">
        <f t="shared" si="564"/>
        <v>0</v>
      </c>
      <c r="CL236" s="50">
        <f t="shared" si="564"/>
        <v>0</v>
      </c>
      <c r="CM236" s="51">
        <f t="shared" si="432"/>
        <v>0</v>
      </c>
      <c r="CN236" s="33">
        <f>ROUND(IF(BS236=0,0,HLOOKUP(BS$14,Villagers!$B$1:$V$33,BS236+3,FALSE)),)</f>
        <v>5</v>
      </c>
      <c r="CO236" s="14">
        <f>ROUND(IF(BT236=0,0,HLOOKUP(BT$14,Villagers!$B$1:$V$33,BT236+3,FALSE)),)</f>
        <v>0</v>
      </c>
      <c r="CP236" s="14">
        <f>ROUND(IF(BU236=0,0,HLOOKUP(BU$14,Villagers!$B$1:$V$33,BU236+3,FALSE)),)</f>
        <v>0</v>
      </c>
      <c r="CQ236" s="14">
        <f>ROUND(IF(BV236=0,0,HLOOKUP(BV$14,Villagers!$B$1:$V$33,BV236+3,FALSE)),)</f>
        <v>0</v>
      </c>
      <c r="CR236" s="14">
        <f>ROUND(IF(BW236=0,0,HLOOKUP(BW$14,Villagers!$B$1:$V$33,BW236+3,FALSE)),)</f>
        <v>0</v>
      </c>
      <c r="CS236" s="14">
        <f>ROUND(IF(BX236=0,0,HLOOKUP(BX$14,Villagers!$B$1:$V$33,BX236+3,FALSE)),)</f>
        <v>0</v>
      </c>
      <c r="CT236" s="14">
        <f>ROUND(IF(BY236=0,0,HLOOKUP(BY$14,Villagers!$B$1:$V$33,BY236+3,FALSE)),)</f>
        <v>0</v>
      </c>
      <c r="CU236" s="14">
        <f>ROUND(IF(BZ236=0,0,HLOOKUP(BZ$14,Villagers!$B$1:$V$33,BZ236+3,FALSE)),)</f>
        <v>0</v>
      </c>
      <c r="CV236" s="14">
        <f>ROUND(IF(CA236=0,0,HLOOKUP(CA$14,Villagers!$B$1:$V$33,CA236+3,FALSE)),)</f>
        <v>0</v>
      </c>
      <c r="CW236" s="14">
        <f>ROUND(IF(CB236=0,0,HLOOKUP(CB$14,Villagers!$B$1:$V$33,CB236+3,FALSE)),)</f>
        <v>0</v>
      </c>
      <c r="CX236" s="14">
        <f>ROUND(IF(CC236=0,0,HLOOKUP(CC$14,Villagers!$B$1:$V$33,CC236+3,FALSE)),)</f>
        <v>0</v>
      </c>
      <c r="CY236" s="14">
        <f>ROUND(IF(CD236=0,0,HLOOKUP(CD$14,Villagers!$B$1:$V$33,CD236+3,FALSE)),)</f>
        <v>0</v>
      </c>
      <c r="CZ236" s="14">
        <f>ROUND(IF(CE236=0,0,HLOOKUP(CE$14,Villagers!$B$1:$V$33,CE236+3,FALSE)),)</f>
        <v>5</v>
      </c>
      <c r="DA236" s="14">
        <f>ROUND(IF(CF236=0,0,HLOOKUP(CF$14,Villagers!$B$1:$V$33,CF236+3,FALSE)),)</f>
        <v>10</v>
      </c>
      <c r="DB236" s="14">
        <f>ROUND(IF(CG236=0,0,HLOOKUP(CG$14,Villagers!$B$1:$V$33,CG236+3,FALSE)),)</f>
        <v>10</v>
      </c>
      <c r="DC236" s="14">
        <f>ROUND(IF(CH236=0,0,HLOOKUP(CH$14,Villagers!$B$1:$V$33,CH236+3,FALSE)),)</f>
        <v>0</v>
      </c>
      <c r="DD236" s="14">
        <f>ROUND(IF(CI236=0,0,HLOOKUP(CI$14,Villagers!$B$1:$V$33,CI236+3,FALSE)),)</f>
        <v>0</v>
      </c>
      <c r="DE236" s="14">
        <f>ROUND(IF(CJ236=0,0,HLOOKUP(CJ$14,Villagers!$B$1:$V$33,CJ236+3,FALSE)),)</f>
        <v>2</v>
      </c>
      <c r="DF236" s="370">
        <f>ROUND(IF(CK236=0,0,HLOOKUP(CK$14,Villagers!$B$1:$V$33,CK236+3,FALSE)),)</f>
        <v>0</v>
      </c>
      <c r="DG236" s="370">
        <f>ROUND(IF(CL236=0,0,HLOOKUP(CL$14,Villagers!$B$1:$V$33,CL236+3,FALSE)),)</f>
        <v>0</v>
      </c>
      <c r="DH236" s="34">
        <f>ROUND(IF(CM236=0,0,HLOOKUP(CM$14,Villagers!$B$1:$V$33,CM236+3,FALSE)),)</f>
        <v>0</v>
      </c>
      <c r="DI236" s="109">
        <f t="shared" si="526"/>
        <v>0</v>
      </c>
      <c r="DJ236" s="50">
        <f t="shared" si="527"/>
        <v>0</v>
      </c>
      <c r="DK236" s="50">
        <f t="shared" si="528"/>
        <v>0</v>
      </c>
      <c r="DL236" s="50">
        <f t="shared" si="529"/>
        <v>0</v>
      </c>
      <c r="DM236" s="50">
        <f t="shared" si="530"/>
        <v>0</v>
      </c>
      <c r="DN236" s="50">
        <f t="shared" si="531"/>
        <v>0</v>
      </c>
      <c r="DO236" s="50">
        <f t="shared" si="532"/>
        <v>0</v>
      </c>
      <c r="DP236" s="50">
        <f t="shared" si="533"/>
        <v>0</v>
      </c>
      <c r="DQ236" s="50">
        <f t="shared" si="510"/>
        <v>0</v>
      </c>
      <c r="DR236" s="50">
        <f t="shared" si="511"/>
        <v>0</v>
      </c>
      <c r="DS236" s="96">
        <f>Miscelaneous!$D$4*Miscelaneous!$D$2^($CI236-1)</f>
        <v>1000</v>
      </c>
      <c r="DT236" s="333">
        <f t="shared" si="490"/>
        <v>1</v>
      </c>
      <c r="DU236" s="81">
        <v>1</v>
      </c>
      <c r="DV236" s="79">
        <f t="shared" si="512"/>
        <v>0</v>
      </c>
      <c r="DW236" s="79">
        <f t="shared" si="513"/>
        <v>0</v>
      </c>
      <c r="DX236" s="79">
        <f t="shared" si="514"/>
        <v>0</v>
      </c>
      <c r="DY236" s="79">
        <v>1</v>
      </c>
      <c r="DZ236" s="79">
        <f t="shared" si="515"/>
        <v>0</v>
      </c>
      <c r="EA236" s="79">
        <f t="shared" si="516"/>
        <v>0</v>
      </c>
      <c r="EB236" s="79">
        <f t="shared" si="517"/>
        <v>0</v>
      </c>
      <c r="EC236" s="79">
        <f t="shared" si="518"/>
        <v>0</v>
      </c>
      <c r="ED236" s="79">
        <v>1</v>
      </c>
      <c r="EE236" s="79">
        <v>1</v>
      </c>
      <c r="EF236" s="79">
        <f t="shared" si="519"/>
        <v>0</v>
      </c>
      <c r="EG236" s="79">
        <v>1</v>
      </c>
      <c r="EH236" s="79">
        <v>1</v>
      </c>
      <c r="EI236" s="79">
        <v>1</v>
      </c>
      <c r="EJ236" s="79">
        <v>1</v>
      </c>
      <c r="EK236" s="79">
        <v>1</v>
      </c>
      <c r="EL236" s="79">
        <v>1</v>
      </c>
      <c r="EM236" s="143">
        <f t="shared" si="520"/>
        <v>0</v>
      </c>
      <c r="EN236" s="143">
        <f t="shared" si="521"/>
        <v>0</v>
      </c>
      <c r="EO236" s="82">
        <f t="shared" si="522"/>
        <v>0</v>
      </c>
    </row>
    <row r="237" spans="1:145" x14ac:dyDescent="0.25">
      <c r="A237">
        <v>223</v>
      </c>
      <c r="B237" s="172" t="e">
        <f t="shared" si="491"/>
        <v>#N/A</v>
      </c>
      <c r="C237" s="121" t="e">
        <f t="shared" ref="C237:E237" si="583">AJ237-SUM(AB237:AB241)</f>
        <v>#N/A</v>
      </c>
      <c r="D237" s="122" t="e">
        <f t="shared" si="583"/>
        <v>#N/A</v>
      </c>
      <c r="E237" s="122" t="e">
        <f t="shared" si="583"/>
        <v>#N/A</v>
      </c>
      <c r="F237" s="176" t="e">
        <f t="shared" si="473"/>
        <v>#N/A</v>
      </c>
      <c r="G237" s="121">
        <f t="shared" si="493"/>
        <v>208</v>
      </c>
      <c r="H237" s="176" t="e">
        <f t="shared" si="494"/>
        <v>#N/A</v>
      </c>
      <c r="I237" s="48">
        <v>1</v>
      </c>
      <c r="J237" s="39"/>
      <c r="K237" s="350">
        <v>1</v>
      </c>
      <c r="L237" s="34" t="e">
        <f t="shared" si="474"/>
        <v>#N/A</v>
      </c>
      <c r="M237" s="38" t="e">
        <f>(HLOOKUP(J237,'Construction Times'!$B$3:$W$34,L237+2,FALSE)*HLOOKUP("hq modifier",'Construction Times'!$W$3:$W$34,BS237+2,FALSE))*(1-$H$9)</f>
        <v>#N/A</v>
      </c>
      <c r="N237" s="426" t="e">
        <f t="shared" si="495"/>
        <v>#N/A</v>
      </c>
      <c r="O237" s="427"/>
      <c r="P237" s="430" t="e">
        <f t="shared" si="496"/>
        <v>#N/A</v>
      </c>
      <c r="Q237" s="431"/>
      <c r="R237" s="103">
        <f t="shared" si="524"/>
        <v>0</v>
      </c>
      <c r="S237" s="104">
        <f t="shared" si="524"/>
        <v>0</v>
      </c>
      <c r="T237" s="104">
        <f t="shared" si="525"/>
        <v>0</v>
      </c>
      <c r="U237" s="104">
        <f t="shared" si="525"/>
        <v>0</v>
      </c>
      <c r="V237" s="104">
        <f t="shared" si="525"/>
        <v>9.9999999999999995E-8</v>
      </c>
      <c r="W237" s="104">
        <f t="shared" si="525"/>
        <v>0</v>
      </c>
      <c r="X237" s="104">
        <f t="shared" ref="X237:AA300" si="584">X236</f>
        <v>0</v>
      </c>
      <c r="Y237" s="104">
        <f t="shared" si="584"/>
        <v>9.9999999999999995E-8</v>
      </c>
      <c r="Z237" s="104">
        <f t="shared" si="584"/>
        <v>9.9999999999999995E-8</v>
      </c>
      <c r="AA237" s="105">
        <f t="shared" si="584"/>
        <v>9.9999999999999995E-8</v>
      </c>
      <c r="AB237" s="101" t="e">
        <f>$DT237*HLOOKUP($J237,'Construction Costs (timber)'!$B$1:$V$32,'Construction Planner'!$L237+2,FALSE)</f>
        <v>#N/A</v>
      </c>
      <c r="AC237" s="14" t="e">
        <f>$DT237*HLOOKUP($J237,'Construction Costs (clay)'!$B$1:$V$32,'Construction Planner'!$L237+2,FALSE)</f>
        <v>#N/A</v>
      </c>
      <c r="AD237" s="14" t="e">
        <f>$DT237*HLOOKUP($J237,'Construction Costs (iron)'!$B$1:$V$32,'Construction Planner'!$L237+2,FALSE)</f>
        <v>#N/A</v>
      </c>
      <c r="AE237" s="34" t="e">
        <f t="shared" si="537"/>
        <v>#N/A</v>
      </c>
      <c r="AF237" s="33" t="e">
        <f t="shared" si="475"/>
        <v>#N/A</v>
      </c>
      <c r="AG237" s="14" t="e">
        <f t="shared" si="476"/>
        <v>#N/A</v>
      </c>
      <c r="AH237" s="14" t="e">
        <f t="shared" si="477"/>
        <v>#N/A</v>
      </c>
      <c r="AI237" s="34" t="e">
        <f t="shared" si="538"/>
        <v>#N/A</v>
      </c>
      <c r="AJ237" s="49" t="e">
        <f t="shared" si="498"/>
        <v>#N/A</v>
      </c>
      <c r="AK237" s="49" t="e">
        <f t="shared" si="499"/>
        <v>#N/A</v>
      </c>
      <c r="AL237" s="49" t="e">
        <f t="shared" si="500"/>
        <v>#N/A</v>
      </c>
      <c r="AM237" s="25">
        <f t="shared" si="478"/>
        <v>30</v>
      </c>
      <c r="AN237" s="25">
        <f t="shared" si="479"/>
        <v>30</v>
      </c>
      <c r="AO237" s="25">
        <f t="shared" si="480"/>
        <v>30</v>
      </c>
      <c r="AP237" s="52" t="e">
        <f t="shared" si="501"/>
        <v>#N/A</v>
      </c>
      <c r="AQ237" s="53" t="e">
        <f t="shared" si="501"/>
        <v>#N/A</v>
      </c>
      <c r="AR237" s="54" t="e">
        <f t="shared" si="501"/>
        <v>#N/A</v>
      </c>
      <c r="AS237" s="316">
        <f t="shared" si="571"/>
        <v>0</v>
      </c>
      <c r="AT237" s="106">
        <f>_xlfn.IFNA($M237/VLOOKUP($BT237,'Unit information'!$A$2:$K$29,2,FALSE)*R237,0)*(1+$E$9)</f>
        <v>0</v>
      </c>
      <c r="AU237" s="107">
        <f>_xlfn.IFNA($M237/VLOOKUP($BT237,'Unit information'!$A$2:$K$29,3,FALSE)*S237,0)*(1+$E$9)</f>
        <v>0</v>
      </c>
      <c r="AV237" s="107">
        <f>_xlfn.IFNA($M237/VLOOKUP($BT237,'Unit information'!$A$2:$K$29,4,FALSE)*T237,0)*(1+$E$9)</f>
        <v>0</v>
      </c>
      <c r="AW237" s="107">
        <f>_xlfn.IFNA($M237/VLOOKUP($BT237,'Unit information'!$A$2:$K$29,5,FALSE)*U237,0)*(1+$E$9)</f>
        <v>0</v>
      </c>
      <c r="AX237" s="107">
        <f>_xlfn.IFNA($M237/VLOOKUP($BU237,'Unit information'!$A$2:$K$29,6,FALSE)*V237,0)*(1+$E$9)</f>
        <v>0</v>
      </c>
      <c r="AY237" s="107">
        <f>_xlfn.IFNA($M237/VLOOKUP($BU237,'Unit information'!$A$2:$K$29,7,FALSE)*W237,0)*(1+$E$9)</f>
        <v>0</v>
      </c>
      <c r="AZ237" s="107">
        <f>_xlfn.IFNA($M237/VLOOKUP($BU237,'Unit information'!$A$2:$K$29,8,FALSE)*X237,0)*(1+$E$9)</f>
        <v>0</v>
      </c>
      <c r="BA237" s="107">
        <f>_xlfn.IFNA($M237/VLOOKUP($BU237,'Unit information'!$A$2:$K$29,9,FALSE)*Y237,0)*(1+$E$9)</f>
        <v>0</v>
      </c>
      <c r="BB237" s="107">
        <f>_xlfn.IFNA($M237/VLOOKUP($BV237,'Unit information'!$A$2:$K$29,10,FALSE)*Z237,0)*(1+$E$9)</f>
        <v>0</v>
      </c>
      <c r="BC237" s="108">
        <f>_xlfn.IFNA($M237/VLOOKUP($BV237,'Unit information'!$A$2:$K$29,11,FALSE)*AA237,0)*(1+$E$9)</f>
        <v>0</v>
      </c>
      <c r="BD237" s="106">
        <f t="shared" si="481"/>
        <v>0</v>
      </c>
      <c r="BE237" s="107">
        <f t="shared" si="482"/>
        <v>0</v>
      </c>
      <c r="BF237" s="108">
        <f t="shared" si="483"/>
        <v>0</v>
      </c>
      <c r="BG237" s="25" t="e">
        <f t="shared" si="484"/>
        <v>#N/A</v>
      </c>
      <c r="BH237" s="25" t="e">
        <f t="shared" si="485"/>
        <v>#N/A</v>
      </c>
      <c r="BI237" s="25" t="e">
        <f t="shared" si="486"/>
        <v>#N/A</v>
      </c>
      <c r="BJ237" s="27" t="e">
        <f t="shared" si="487"/>
        <v>#N/A</v>
      </c>
      <c r="BK237" s="18" t="e">
        <f t="shared" si="488"/>
        <v>#N/A</v>
      </c>
      <c r="BL237" s="18" t="e">
        <f t="shared" si="489"/>
        <v>#N/A</v>
      </c>
      <c r="BM237" s="28" t="e">
        <f t="shared" si="540"/>
        <v>#N/A</v>
      </c>
      <c r="BN237" s="33">
        <f>HLOOKUP("maximum population",Miscelaneous!$C$1:$C$33,CH237+3,FALSE)</f>
        <v>240</v>
      </c>
      <c r="BO237" s="14">
        <f t="shared" si="502"/>
        <v>32</v>
      </c>
      <c r="BP237" s="14">
        <f t="shared" si="503"/>
        <v>0</v>
      </c>
      <c r="BQ237" s="14">
        <f t="shared" si="504"/>
        <v>208</v>
      </c>
      <c r="BR237" s="34" t="e">
        <f>HLOOKUP(J237,Villagers!$B$1:$V$33,L237+3,FALSE)-HLOOKUP(J237,Villagers!$B$1:$V$33,L237+2,FALSE)</f>
        <v>#N/A</v>
      </c>
      <c r="BS237" s="49">
        <f t="shared" si="505"/>
        <v>1</v>
      </c>
      <c r="BT237" s="50">
        <f t="shared" si="506"/>
        <v>0</v>
      </c>
      <c r="BU237" s="50">
        <f t="shared" si="507"/>
        <v>0</v>
      </c>
      <c r="BV237" s="50">
        <f t="shared" si="508"/>
        <v>0</v>
      </c>
      <c r="BW237" s="50">
        <f t="shared" si="575"/>
        <v>0</v>
      </c>
      <c r="BX237" s="50">
        <f t="shared" si="576"/>
        <v>0</v>
      </c>
      <c r="BY237" s="50">
        <f t="shared" si="576"/>
        <v>0</v>
      </c>
      <c r="BZ237" s="50">
        <f t="shared" si="554"/>
        <v>0</v>
      </c>
      <c r="CA237" s="50">
        <f t="shared" si="555"/>
        <v>0</v>
      </c>
      <c r="CB237" s="50">
        <f t="shared" si="556"/>
        <v>1</v>
      </c>
      <c r="CC237" s="50">
        <f t="shared" si="557"/>
        <v>0</v>
      </c>
      <c r="CD237" s="50">
        <f t="shared" si="558"/>
        <v>0</v>
      </c>
      <c r="CE237" s="50">
        <f t="shared" si="559"/>
        <v>1</v>
      </c>
      <c r="CF237" s="50">
        <f t="shared" si="560"/>
        <v>1</v>
      </c>
      <c r="CG237" s="50">
        <f t="shared" si="561"/>
        <v>1</v>
      </c>
      <c r="CH237" s="50">
        <f t="shared" si="562"/>
        <v>1</v>
      </c>
      <c r="CI237" s="50">
        <f t="shared" si="563"/>
        <v>1</v>
      </c>
      <c r="CJ237" s="50">
        <f t="shared" si="564"/>
        <v>1</v>
      </c>
      <c r="CK237" s="50">
        <f t="shared" si="564"/>
        <v>0</v>
      </c>
      <c r="CL237" s="50">
        <f t="shared" si="564"/>
        <v>0</v>
      </c>
      <c r="CM237" s="51">
        <f t="shared" si="432"/>
        <v>0</v>
      </c>
      <c r="CN237" s="33">
        <f>ROUND(IF(BS237=0,0,HLOOKUP(BS$14,Villagers!$B$1:$V$33,BS237+3,FALSE)),)</f>
        <v>5</v>
      </c>
      <c r="CO237" s="14">
        <f>ROUND(IF(BT237=0,0,HLOOKUP(BT$14,Villagers!$B$1:$V$33,BT237+3,FALSE)),)</f>
        <v>0</v>
      </c>
      <c r="CP237" s="14">
        <f>ROUND(IF(BU237=0,0,HLOOKUP(BU$14,Villagers!$B$1:$V$33,BU237+3,FALSE)),)</f>
        <v>0</v>
      </c>
      <c r="CQ237" s="14">
        <f>ROUND(IF(BV237=0,0,HLOOKUP(BV$14,Villagers!$B$1:$V$33,BV237+3,FALSE)),)</f>
        <v>0</v>
      </c>
      <c r="CR237" s="14">
        <f>ROUND(IF(BW237=0,0,HLOOKUP(BW$14,Villagers!$B$1:$V$33,BW237+3,FALSE)),)</f>
        <v>0</v>
      </c>
      <c r="CS237" s="14">
        <f>ROUND(IF(BX237=0,0,HLOOKUP(BX$14,Villagers!$B$1:$V$33,BX237+3,FALSE)),)</f>
        <v>0</v>
      </c>
      <c r="CT237" s="14">
        <f>ROUND(IF(BY237=0,0,HLOOKUP(BY$14,Villagers!$B$1:$V$33,BY237+3,FALSE)),)</f>
        <v>0</v>
      </c>
      <c r="CU237" s="14">
        <f>ROUND(IF(BZ237=0,0,HLOOKUP(BZ$14,Villagers!$B$1:$V$33,BZ237+3,FALSE)),)</f>
        <v>0</v>
      </c>
      <c r="CV237" s="14">
        <f>ROUND(IF(CA237=0,0,HLOOKUP(CA$14,Villagers!$B$1:$V$33,CA237+3,FALSE)),)</f>
        <v>0</v>
      </c>
      <c r="CW237" s="14">
        <f>ROUND(IF(CB237=0,0,HLOOKUP(CB$14,Villagers!$B$1:$V$33,CB237+3,FALSE)),)</f>
        <v>0</v>
      </c>
      <c r="CX237" s="14">
        <f>ROUND(IF(CC237=0,0,HLOOKUP(CC$14,Villagers!$B$1:$V$33,CC237+3,FALSE)),)</f>
        <v>0</v>
      </c>
      <c r="CY237" s="14">
        <f>ROUND(IF(CD237=0,0,HLOOKUP(CD$14,Villagers!$B$1:$V$33,CD237+3,FALSE)),)</f>
        <v>0</v>
      </c>
      <c r="CZ237" s="14">
        <f>ROUND(IF(CE237=0,0,HLOOKUP(CE$14,Villagers!$B$1:$V$33,CE237+3,FALSE)),)</f>
        <v>5</v>
      </c>
      <c r="DA237" s="14">
        <f>ROUND(IF(CF237=0,0,HLOOKUP(CF$14,Villagers!$B$1:$V$33,CF237+3,FALSE)),)</f>
        <v>10</v>
      </c>
      <c r="DB237" s="14">
        <f>ROUND(IF(CG237=0,0,HLOOKUP(CG$14,Villagers!$B$1:$V$33,CG237+3,FALSE)),)</f>
        <v>10</v>
      </c>
      <c r="DC237" s="14">
        <f>ROUND(IF(CH237=0,0,HLOOKUP(CH$14,Villagers!$B$1:$V$33,CH237+3,FALSE)),)</f>
        <v>0</v>
      </c>
      <c r="DD237" s="14">
        <f>ROUND(IF(CI237=0,0,HLOOKUP(CI$14,Villagers!$B$1:$V$33,CI237+3,FALSE)),)</f>
        <v>0</v>
      </c>
      <c r="DE237" s="14">
        <f>ROUND(IF(CJ237=0,0,HLOOKUP(CJ$14,Villagers!$B$1:$V$33,CJ237+3,FALSE)),)</f>
        <v>2</v>
      </c>
      <c r="DF237" s="370">
        <f>ROUND(IF(CK237=0,0,HLOOKUP(CK$14,Villagers!$B$1:$V$33,CK237+3,FALSE)),)</f>
        <v>0</v>
      </c>
      <c r="DG237" s="370">
        <f>ROUND(IF(CL237=0,0,HLOOKUP(CL$14,Villagers!$B$1:$V$33,CL237+3,FALSE)),)</f>
        <v>0</v>
      </c>
      <c r="DH237" s="34">
        <f>ROUND(IF(CM237=0,0,HLOOKUP(CM$14,Villagers!$B$1:$V$33,CM237+3,FALSE)),)</f>
        <v>0</v>
      </c>
      <c r="DI237" s="109">
        <f t="shared" si="526"/>
        <v>0</v>
      </c>
      <c r="DJ237" s="50">
        <f t="shared" si="527"/>
        <v>0</v>
      </c>
      <c r="DK237" s="50">
        <f t="shared" si="528"/>
        <v>0</v>
      </c>
      <c r="DL237" s="50">
        <f t="shared" si="529"/>
        <v>0</v>
      </c>
      <c r="DM237" s="50">
        <f t="shared" si="530"/>
        <v>0</v>
      </c>
      <c r="DN237" s="50">
        <f t="shared" si="531"/>
        <v>0</v>
      </c>
      <c r="DO237" s="50">
        <f t="shared" si="532"/>
        <v>0</v>
      </c>
      <c r="DP237" s="50">
        <f t="shared" si="533"/>
        <v>0</v>
      </c>
      <c r="DQ237" s="50">
        <f t="shared" si="510"/>
        <v>0</v>
      </c>
      <c r="DR237" s="50">
        <f t="shared" si="511"/>
        <v>0</v>
      </c>
      <c r="DS237" s="96">
        <f>Miscelaneous!$D$4*Miscelaneous!$D$2^($CI237-1)</f>
        <v>1000</v>
      </c>
      <c r="DT237" s="333">
        <f t="shared" si="490"/>
        <v>1</v>
      </c>
      <c r="DU237" s="81">
        <v>1</v>
      </c>
      <c r="DV237" s="79">
        <f t="shared" si="512"/>
        <v>0</v>
      </c>
      <c r="DW237" s="79">
        <f t="shared" si="513"/>
        <v>0</v>
      </c>
      <c r="DX237" s="79">
        <f t="shared" si="514"/>
        <v>0</v>
      </c>
      <c r="DY237" s="79">
        <v>1</v>
      </c>
      <c r="DZ237" s="79">
        <f t="shared" si="515"/>
        <v>0</v>
      </c>
      <c r="EA237" s="79">
        <f t="shared" si="516"/>
        <v>0</v>
      </c>
      <c r="EB237" s="79">
        <f t="shared" si="517"/>
        <v>0</v>
      </c>
      <c r="EC237" s="79">
        <f t="shared" si="518"/>
        <v>0</v>
      </c>
      <c r="ED237" s="79">
        <v>1</v>
      </c>
      <c r="EE237" s="79">
        <v>1</v>
      </c>
      <c r="EF237" s="79">
        <f t="shared" si="519"/>
        <v>0</v>
      </c>
      <c r="EG237" s="79">
        <v>1</v>
      </c>
      <c r="EH237" s="79">
        <v>1</v>
      </c>
      <c r="EI237" s="79">
        <v>1</v>
      </c>
      <c r="EJ237" s="79">
        <v>1</v>
      </c>
      <c r="EK237" s="79">
        <v>1</v>
      </c>
      <c r="EL237" s="79">
        <v>1</v>
      </c>
      <c r="EM237" s="143">
        <f t="shared" si="520"/>
        <v>0</v>
      </c>
      <c r="EN237" s="143">
        <f t="shared" si="521"/>
        <v>0</v>
      </c>
      <c r="EO237" s="82">
        <f t="shared" si="522"/>
        <v>0</v>
      </c>
    </row>
    <row r="238" spans="1:145" x14ac:dyDescent="0.25">
      <c r="A238">
        <v>224</v>
      </c>
      <c r="B238" s="172" t="e">
        <f t="shared" si="491"/>
        <v>#N/A</v>
      </c>
      <c r="C238" s="121" t="e">
        <f t="shared" ref="C238:E238" si="585">AJ238-SUM(AB238:AB242)</f>
        <v>#N/A</v>
      </c>
      <c r="D238" s="122" t="e">
        <f t="shared" si="585"/>
        <v>#N/A</v>
      </c>
      <c r="E238" s="122" t="e">
        <f t="shared" si="585"/>
        <v>#N/A</v>
      </c>
      <c r="F238" s="176" t="e">
        <f t="shared" si="473"/>
        <v>#N/A</v>
      </c>
      <c r="G238" s="121">
        <f t="shared" si="493"/>
        <v>208</v>
      </c>
      <c r="H238" s="176" t="e">
        <f t="shared" si="494"/>
        <v>#N/A</v>
      </c>
      <c r="I238" s="48">
        <v>1</v>
      </c>
      <c r="J238" s="39"/>
      <c r="K238" s="350">
        <v>1</v>
      </c>
      <c r="L238" s="34" t="e">
        <f t="shared" si="474"/>
        <v>#N/A</v>
      </c>
      <c r="M238" s="38" t="e">
        <f>(HLOOKUP(J238,'Construction Times'!$B$3:$W$34,L238+2,FALSE)*HLOOKUP("hq modifier",'Construction Times'!$W$3:$W$34,BS238+2,FALSE))*(1-$H$9)</f>
        <v>#N/A</v>
      </c>
      <c r="N238" s="426" t="e">
        <f t="shared" si="495"/>
        <v>#N/A</v>
      </c>
      <c r="O238" s="427"/>
      <c r="P238" s="430" t="e">
        <f t="shared" si="496"/>
        <v>#N/A</v>
      </c>
      <c r="Q238" s="431"/>
      <c r="R238" s="103">
        <f t="shared" si="524"/>
        <v>0</v>
      </c>
      <c r="S238" s="104">
        <f t="shared" si="524"/>
        <v>0</v>
      </c>
      <c r="T238" s="104">
        <f t="shared" si="525"/>
        <v>0</v>
      </c>
      <c r="U238" s="104">
        <f t="shared" si="525"/>
        <v>0</v>
      </c>
      <c r="V238" s="104">
        <f t="shared" si="525"/>
        <v>9.9999999999999995E-8</v>
      </c>
      <c r="W238" s="104">
        <f t="shared" si="525"/>
        <v>0</v>
      </c>
      <c r="X238" s="104">
        <f t="shared" si="584"/>
        <v>0</v>
      </c>
      <c r="Y238" s="104">
        <f t="shared" si="584"/>
        <v>9.9999999999999995E-8</v>
      </c>
      <c r="Z238" s="104">
        <f t="shared" si="584"/>
        <v>9.9999999999999995E-8</v>
      </c>
      <c r="AA238" s="105">
        <f t="shared" si="584"/>
        <v>9.9999999999999995E-8</v>
      </c>
      <c r="AB238" s="101" t="e">
        <f>$DT238*HLOOKUP($J238,'Construction Costs (timber)'!$B$1:$V$32,'Construction Planner'!$L238+2,FALSE)</f>
        <v>#N/A</v>
      </c>
      <c r="AC238" s="14" t="e">
        <f>$DT238*HLOOKUP($J238,'Construction Costs (clay)'!$B$1:$V$32,'Construction Planner'!$L238+2,FALSE)</f>
        <v>#N/A</v>
      </c>
      <c r="AD238" s="14" t="e">
        <f>$DT238*HLOOKUP($J238,'Construction Costs (iron)'!$B$1:$V$32,'Construction Planner'!$L238+2,FALSE)</f>
        <v>#N/A</v>
      </c>
      <c r="AE238" s="34" t="e">
        <f t="shared" si="537"/>
        <v>#N/A</v>
      </c>
      <c r="AF238" s="33" t="e">
        <f t="shared" si="475"/>
        <v>#N/A</v>
      </c>
      <c r="AG238" s="14" t="e">
        <f t="shared" si="476"/>
        <v>#N/A</v>
      </c>
      <c r="AH238" s="14" t="e">
        <f t="shared" si="477"/>
        <v>#N/A</v>
      </c>
      <c r="AI238" s="34" t="e">
        <f t="shared" si="538"/>
        <v>#N/A</v>
      </c>
      <c r="AJ238" s="49" t="e">
        <f t="shared" si="498"/>
        <v>#N/A</v>
      </c>
      <c r="AK238" s="49" t="e">
        <f t="shared" si="499"/>
        <v>#N/A</v>
      </c>
      <c r="AL238" s="49" t="e">
        <f t="shared" si="500"/>
        <v>#N/A</v>
      </c>
      <c r="AM238" s="25">
        <f t="shared" si="478"/>
        <v>30</v>
      </c>
      <c r="AN238" s="25">
        <f t="shared" si="479"/>
        <v>30</v>
      </c>
      <c r="AO238" s="25">
        <f t="shared" si="480"/>
        <v>30</v>
      </c>
      <c r="AP238" s="52" t="e">
        <f t="shared" si="501"/>
        <v>#N/A</v>
      </c>
      <c r="AQ238" s="53" t="e">
        <f t="shared" si="501"/>
        <v>#N/A</v>
      </c>
      <c r="AR238" s="54" t="e">
        <f t="shared" si="501"/>
        <v>#N/A</v>
      </c>
      <c r="AS238" s="316">
        <f t="shared" si="571"/>
        <v>0</v>
      </c>
      <c r="AT238" s="106">
        <f>_xlfn.IFNA($M238/VLOOKUP($BT238,'Unit information'!$A$2:$K$29,2,FALSE)*R238,0)*(1+$E$9)</f>
        <v>0</v>
      </c>
      <c r="AU238" s="107">
        <f>_xlfn.IFNA($M238/VLOOKUP($BT238,'Unit information'!$A$2:$K$29,3,FALSE)*S238,0)*(1+$E$9)</f>
        <v>0</v>
      </c>
      <c r="AV238" s="107">
        <f>_xlfn.IFNA($M238/VLOOKUP($BT238,'Unit information'!$A$2:$K$29,4,FALSE)*T238,0)*(1+$E$9)</f>
        <v>0</v>
      </c>
      <c r="AW238" s="107">
        <f>_xlfn.IFNA($M238/VLOOKUP($BT238,'Unit information'!$A$2:$K$29,5,FALSE)*U238,0)*(1+$E$9)</f>
        <v>0</v>
      </c>
      <c r="AX238" s="107">
        <f>_xlfn.IFNA($M238/VLOOKUP($BU238,'Unit information'!$A$2:$K$29,6,FALSE)*V238,0)*(1+$E$9)</f>
        <v>0</v>
      </c>
      <c r="AY238" s="107">
        <f>_xlfn.IFNA($M238/VLOOKUP($BU238,'Unit information'!$A$2:$K$29,7,FALSE)*W238,0)*(1+$E$9)</f>
        <v>0</v>
      </c>
      <c r="AZ238" s="107">
        <f>_xlfn.IFNA($M238/VLOOKUP($BU238,'Unit information'!$A$2:$K$29,8,FALSE)*X238,0)*(1+$E$9)</f>
        <v>0</v>
      </c>
      <c r="BA238" s="107">
        <f>_xlfn.IFNA($M238/VLOOKUP($BU238,'Unit information'!$A$2:$K$29,9,FALSE)*Y238,0)*(1+$E$9)</f>
        <v>0</v>
      </c>
      <c r="BB238" s="107">
        <f>_xlfn.IFNA($M238/VLOOKUP($BV238,'Unit information'!$A$2:$K$29,10,FALSE)*Z238,0)*(1+$E$9)</f>
        <v>0</v>
      </c>
      <c r="BC238" s="108">
        <f>_xlfn.IFNA($M238/VLOOKUP($BV238,'Unit information'!$A$2:$K$29,11,FALSE)*AA238,0)*(1+$E$9)</f>
        <v>0</v>
      </c>
      <c r="BD238" s="106">
        <f t="shared" si="481"/>
        <v>0</v>
      </c>
      <c r="BE238" s="107">
        <f t="shared" si="482"/>
        <v>0</v>
      </c>
      <c r="BF238" s="108">
        <f t="shared" si="483"/>
        <v>0</v>
      </c>
      <c r="BG238" s="25" t="e">
        <f t="shared" si="484"/>
        <v>#N/A</v>
      </c>
      <c r="BH238" s="25" t="e">
        <f t="shared" si="485"/>
        <v>#N/A</v>
      </c>
      <c r="BI238" s="25" t="e">
        <f t="shared" si="486"/>
        <v>#N/A</v>
      </c>
      <c r="BJ238" s="27" t="e">
        <f t="shared" si="487"/>
        <v>#N/A</v>
      </c>
      <c r="BK238" s="18" t="e">
        <f t="shared" si="488"/>
        <v>#N/A</v>
      </c>
      <c r="BL238" s="18" t="e">
        <f t="shared" si="489"/>
        <v>#N/A</v>
      </c>
      <c r="BM238" s="28" t="e">
        <f t="shared" si="540"/>
        <v>#N/A</v>
      </c>
      <c r="BN238" s="33">
        <f>HLOOKUP("maximum population",Miscelaneous!$C$1:$C$33,CH238+3,FALSE)</f>
        <v>240</v>
      </c>
      <c r="BO238" s="14">
        <f t="shared" si="502"/>
        <v>32</v>
      </c>
      <c r="BP238" s="14">
        <f t="shared" si="503"/>
        <v>0</v>
      </c>
      <c r="BQ238" s="14">
        <f t="shared" si="504"/>
        <v>208</v>
      </c>
      <c r="BR238" s="34" t="e">
        <f>HLOOKUP(J238,Villagers!$B$1:$V$33,L238+3,FALSE)-HLOOKUP(J238,Villagers!$B$1:$V$33,L238+2,FALSE)</f>
        <v>#N/A</v>
      </c>
      <c r="BS238" s="49">
        <f t="shared" si="505"/>
        <v>1</v>
      </c>
      <c r="BT238" s="50">
        <f t="shared" si="506"/>
        <v>0</v>
      </c>
      <c r="BU238" s="50">
        <f t="shared" si="507"/>
        <v>0</v>
      </c>
      <c r="BV238" s="50">
        <f t="shared" si="508"/>
        <v>0</v>
      </c>
      <c r="BW238" s="50">
        <f t="shared" si="575"/>
        <v>0</v>
      </c>
      <c r="BX238" s="50">
        <f t="shared" si="576"/>
        <v>0</v>
      </c>
      <c r="BY238" s="50">
        <f t="shared" si="576"/>
        <v>0</v>
      </c>
      <c r="BZ238" s="50">
        <f t="shared" si="554"/>
        <v>0</v>
      </c>
      <c r="CA238" s="50">
        <f t="shared" si="555"/>
        <v>0</v>
      </c>
      <c r="CB238" s="50">
        <f t="shared" si="556"/>
        <v>1</v>
      </c>
      <c r="CC238" s="50">
        <f t="shared" si="557"/>
        <v>0</v>
      </c>
      <c r="CD238" s="50">
        <f t="shared" si="558"/>
        <v>0</v>
      </c>
      <c r="CE238" s="50">
        <f t="shared" si="559"/>
        <v>1</v>
      </c>
      <c r="CF238" s="50">
        <f t="shared" si="560"/>
        <v>1</v>
      </c>
      <c r="CG238" s="50">
        <f t="shared" si="561"/>
        <v>1</v>
      </c>
      <c r="CH238" s="50">
        <f t="shared" si="562"/>
        <v>1</v>
      </c>
      <c r="CI238" s="50">
        <f t="shared" si="563"/>
        <v>1</v>
      </c>
      <c r="CJ238" s="50">
        <f t="shared" si="564"/>
        <v>1</v>
      </c>
      <c r="CK238" s="50">
        <f t="shared" si="564"/>
        <v>0</v>
      </c>
      <c r="CL238" s="50">
        <f t="shared" si="564"/>
        <v>0</v>
      </c>
      <c r="CM238" s="51">
        <f t="shared" si="432"/>
        <v>0</v>
      </c>
      <c r="CN238" s="33">
        <f>ROUND(IF(BS238=0,0,HLOOKUP(BS$14,Villagers!$B$1:$V$33,BS238+3,FALSE)),)</f>
        <v>5</v>
      </c>
      <c r="CO238" s="14">
        <f>ROUND(IF(BT238=0,0,HLOOKUP(BT$14,Villagers!$B$1:$V$33,BT238+3,FALSE)),)</f>
        <v>0</v>
      </c>
      <c r="CP238" s="14">
        <f>ROUND(IF(BU238=0,0,HLOOKUP(BU$14,Villagers!$B$1:$V$33,BU238+3,FALSE)),)</f>
        <v>0</v>
      </c>
      <c r="CQ238" s="14">
        <f>ROUND(IF(BV238=0,0,HLOOKUP(BV$14,Villagers!$B$1:$V$33,BV238+3,FALSE)),)</f>
        <v>0</v>
      </c>
      <c r="CR238" s="14">
        <f>ROUND(IF(BW238=0,0,HLOOKUP(BW$14,Villagers!$B$1:$V$33,BW238+3,FALSE)),)</f>
        <v>0</v>
      </c>
      <c r="CS238" s="14">
        <f>ROUND(IF(BX238=0,0,HLOOKUP(BX$14,Villagers!$B$1:$V$33,BX238+3,FALSE)),)</f>
        <v>0</v>
      </c>
      <c r="CT238" s="14">
        <f>ROUND(IF(BY238=0,0,HLOOKUP(BY$14,Villagers!$B$1:$V$33,BY238+3,FALSE)),)</f>
        <v>0</v>
      </c>
      <c r="CU238" s="14">
        <f>ROUND(IF(BZ238=0,0,HLOOKUP(BZ$14,Villagers!$B$1:$V$33,BZ238+3,FALSE)),)</f>
        <v>0</v>
      </c>
      <c r="CV238" s="14">
        <f>ROUND(IF(CA238=0,0,HLOOKUP(CA$14,Villagers!$B$1:$V$33,CA238+3,FALSE)),)</f>
        <v>0</v>
      </c>
      <c r="CW238" s="14">
        <f>ROUND(IF(CB238=0,0,HLOOKUP(CB$14,Villagers!$B$1:$V$33,CB238+3,FALSE)),)</f>
        <v>0</v>
      </c>
      <c r="CX238" s="14">
        <f>ROUND(IF(CC238=0,0,HLOOKUP(CC$14,Villagers!$B$1:$V$33,CC238+3,FALSE)),)</f>
        <v>0</v>
      </c>
      <c r="CY238" s="14">
        <f>ROUND(IF(CD238=0,0,HLOOKUP(CD$14,Villagers!$B$1:$V$33,CD238+3,FALSE)),)</f>
        <v>0</v>
      </c>
      <c r="CZ238" s="14">
        <f>ROUND(IF(CE238=0,0,HLOOKUP(CE$14,Villagers!$B$1:$V$33,CE238+3,FALSE)),)</f>
        <v>5</v>
      </c>
      <c r="DA238" s="14">
        <f>ROUND(IF(CF238=0,0,HLOOKUP(CF$14,Villagers!$B$1:$V$33,CF238+3,FALSE)),)</f>
        <v>10</v>
      </c>
      <c r="DB238" s="14">
        <f>ROUND(IF(CG238=0,0,HLOOKUP(CG$14,Villagers!$B$1:$V$33,CG238+3,FALSE)),)</f>
        <v>10</v>
      </c>
      <c r="DC238" s="14">
        <f>ROUND(IF(CH238=0,0,HLOOKUP(CH$14,Villagers!$B$1:$V$33,CH238+3,FALSE)),)</f>
        <v>0</v>
      </c>
      <c r="DD238" s="14">
        <f>ROUND(IF(CI238=0,0,HLOOKUP(CI$14,Villagers!$B$1:$V$33,CI238+3,FALSE)),)</f>
        <v>0</v>
      </c>
      <c r="DE238" s="14">
        <f>ROUND(IF(CJ238=0,0,HLOOKUP(CJ$14,Villagers!$B$1:$V$33,CJ238+3,FALSE)),)</f>
        <v>2</v>
      </c>
      <c r="DF238" s="370">
        <f>ROUND(IF(CK238=0,0,HLOOKUP(CK$14,Villagers!$B$1:$V$33,CK238+3,FALSE)),)</f>
        <v>0</v>
      </c>
      <c r="DG238" s="370">
        <f>ROUND(IF(CL238=0,0,HLOOKUP(CL$14,Villagers!$B$1:$V$33,CL238+3,FALSE)),)</f>
        <v>0</v>
      </c>
      <c r="DH238" s="34">
        <f>ROUND(IF(CM238=0,0,HLOOKUP(CM$14,Villagers!$B$1:$V$33,CM238+3,FALSE)),)</f>
        <v>0</v>
      </c>
      <c r="DI238" s="109">
        <f t="shared" si="526"/>
        <v>0</v>
      </c>
      <c r="DJ238" s="50">
        <f t="shared" si="527"/>
        <v>0</v>
      </c>
      <c r="DK238" s="50">
        <f t="shared" si="528"/>
        <v>0</v>
      </c>
      <c r="DL238" s="50">
        <f t="shared" si="529"/>
        <v>0</v>
      </c>
      <c r="DM238" s="50">
        <f t="shared" si="530"/>
        <v>0</v>
      </c>
      <c r="DN238" s="50">
        <f t="shared" si="531"/>
        <v>0</v>
      </c>
      <c r="DO238" s="50">
        <f t="shared" si="532"/>
        <v>0</v>
      </c>
      <c r="DP238" s="50">
        <f t="shared" si="533"/>
        <v>0</v>
      </c>
      <c r="DQ238" s="50">
        <f t="shared" si="510"/>
        <v>0</v>
      </c>
      <c r="DR238" s="50">
        <f t="shared" si="511"/>
        <v>0</v>
      </c>
      <c r="DS238" s="96">
        <f>Miscelaneous!$D$4*Miscelaneous!$D$2^($CI238-1)</f>
        <v>1000</v>
      </c>
      <c r="DT238" s="333">
        <f t="shared" si="490"/>
        <v>1</v>
      </c>
      <c r="DU238" s="81">
        <v>1</v>
      </c>
      <c r="DV238" s="79">
        <f t="shared" si="512"/>
        <v>0</v>
      </c>
      <c r="DW238" s="79">
        <f t="shared" si="513"/>
        <v>0</v>
      </c>
      <c r="DX238" s="79">
        <f t="shared" si="514"/>
        <v>0</v>
      </c>
      <c r="DY238" s="79">
        <v>1</v>
      </c>
      <c r="DZ238" s="79">
        <f t="shared" si="515"/>
        <v>0</v>
      </c>
      <c r="EA238" s="79">
        <f t="shared" si="516"/>
        <v>0</v>
      </c>
      <c r="EB238" s="79">
        <f t="shared" si="517"/>
        <v>0</v>
      </c>
      <c r="EC238" s="79">
        <f t="shared" si="518"/>
        <v>0</v>
      </c>
      <c r="ED238" s="79">
        <v>1</v>
      </c>
      <c r="EE238" s="79">
        <v>1</v>
      </c>
      <c r="EF238" s="79">
        <f t="shared" si="519"/>
        <v>0</v>
      </c>
      <c r="EG238" s="79">
        <v>1</v>
      </c>
      <c r="EH238" s="79">
        <v>1</v>
      </c>
      <c r="EI238" s="79">
        <v>1</v>
      </c>
      <c r="EJ238" s="79">
        <v>1</v>
      </c>
      <c r="EK238" s="79">
        <v>1</v>
      </c>
      <c r="EL238" s="79">
        <v>1</v>
      </c>
      <c r="EM238" s="143">
        <f t="shared" si="520"/>
        <v>0</v>
      </c>
      <c r="EN238" s="143">
        <f t="shared" si="521"/>
        <v>0</v>
      </c>
      <c r="EO238" s="82">
        <f t="shared" si="522"/>
        <v>0</v>
      </c>
    </row>
    <row r="239" spans="1:145" x14ac:dyDescent="0.25">
      <c r="A239">
        <v>225</v>
      </c>
      <c r="B239" s="172" t="e">
        <f t="shared" si="491"/>
        <v>#N/A</v>
      </c>
      <c r="C239" s="121" t="e">
        <f t="shared" ref="C239:E239" si="586">AJ239-SUM(AB239:AB243)</f>
        <v>#N/A</v>
      </c>
      <c r="D239" s="122" t="e">
        <f t="shared" si="586"/>
        <v>#N/A</v>
      </c>
      <c r="E239" s="122" t="e">
        <f t="shared" si="586"/>
        <v>#N/A</v>
      </c>
      <c r="F239" s="176" t="e">
        <f t="shared" si="473"/>
        <v>#N/A</v>
      </c>
      <c r="G239" s="121">
        <f t="shared" si="493"/>
        <v>208</v>
      </c>
      <c r="H239" s="176" t="e">
        <f t="shared" si="494"/>
        <v>#N/A</v>
      </c>
      <c r="I239" s="48">
        <v>1</v>
      </c>
      <c r="J239" s="39"/>
      <c r="K239" s="350">
        <v>1</v>
      </c>
      <c r="L239" s="34" t="e">
        <f t="shared" si="474"/>
        <v>#N/A</v>
      </c>
      <c r="M239" s="38" t="e">
        <f>(HLOOKUP(J239,'Construction Times'!$B$3:$W$34,L239+2,FALSE)*HLOOKUP("hq modifier",'Construction Times'!$W$3:$W$34,BS239+2,FALSE))*(1-$H$9)</f>
        <v>#N/A</v>
      </c>
      <c r="N239" s="426" t="e">
        <f t="shared" si="495"/>
        <v>#N/A</v>
      </c>
      <c r="O239" s="427"/>
      <c r="P239" s="430" t="e">
        <f t="shared" si="496"/>
        <v>#N/A</v>
      </c>
      <c r="Q239" s="431"/>
      <c r="R239" s="103">
        <f t="shared" si="524"/>
        <v>0</v>
      </c>
      <c r="S239" s="104">
        <f t="shared" si="524"/>
        <v>0</v>
      </c>
      <c r="T239" s="104">
        <f t="shared" si="525"/>
        <v>0</v>
      </c>
      <c r="U239" s="104">
        <f t="shared" si="525"/>
        <v>0</v>
      </c>
      <c r="V239" s="104">
        <f t="shared" si="525"/>
        <v>9.9999999999999995E-8</v>
      </c>
      <c r="W239" s="104">
        <f t="shared" si="525"/>
        <v>0</v>
      </c>
      <c r="X239" s="104">
        <f t="shared" si="584"/>
        <v>0</v>
      </c>
      <c r="Y239" s="104">
        <f t="shared" si="584"/>
        <v>9.9999999999999995E-8</v>
      </c>
      <c r="Z239" s="104">
        <f t="shared" si="584"/>
        <v>9.9999999999999995E-8</v>
      </c>
      <c r="AA239" s="105">
        <f t="shared" si="584"/>
        <v>9.9999999999999995E-8</v>
      </c>
      <c r="AB239" s="101" t="e">
        <f>$DT239*HLOOKUP($J239,'Construction Costs (timber)'!$B$1:$V$32,'Construction Planner'!$L239+2,FALSE)</f>
        <v>#N/A</v>
      </c>
      <c r="AC239" s="14" t="e">
        <f>$DT239*HLOOKUP($J239,'Construction Costs (clay)'!$B$1:$V$32,'Construction Planner'!$L239+2,FALSE)</f>
        <v>#N/A</v>
      </c>
      <c r="AD239" s="14" t="e">
        <f>$DT239*HLOOKUP($J239,'Construction Costs (iron)'!$B$1:$V$32,'Construction Planner'!$L239+2,FALSE)</f>
        <v>#N/A</v>
      </c>
      <c r="AE239" s="34" t="e">
        <f t="shared" si="537"/>
        <v>#N/A</v>
      </c>
      <c r="AF239" s="33" t="e">
        <f t="shared" si="475"/>
        <v>#N/A</v>
      </c>
      <c r="AG239" s="14" t="e">
        <f t="shared" si="476"/>
        <v>#N/A</v>
      </c>
      <c r="AH239" s="14" t="e">
        <f t="shared" si="477"/>
        <v>#N/A</v>
      </c>
      <c r="AI239" s="34" t="e">
        <f t="shared" si="538"/>
        <v>#N/A</v>
      </c>
      <c r="AJ239" s="49" t="e">
        <f t="shared" si="498"/>
        <v>#N/A</v>
      </c>
      <c r="AK239" s="49" t="e">
        <f t="shared" si="499"/>
        <v>#N/A</v>
      </c>
      <c r="AL239" s="49" t="e">
        <f t="shared" si="500"/>
        <v>#N/A</v>
      </c>
      <c r="AM239" s="25">
        <f t="shared" si="478"/>
        <v>30</v>
      </c>
      <c r="AN239" s="25">
        <f t="shared" si="479"/>
        <v>30</v>
      </c>
      <c r="AO239" s="25">
        <f t="shared" si="480"/>
        <v>30</v>
      </c>
      <c r="AP239" s="52" t="e">
        <f t="shared" si="501"/>
        <v>#N/A</v>
      </c>
      <c r="AQ239" s="53" t="e">
        <f t="shared" si="501"/>
        <v>#N/A</v>
      </c>
      <c r="AR239" s="54" t="e">
        <f t="shared" si="501"/>
        <v>#N/A</v>
      </c>
      <c r="AS239" s="316">
        <f t="shared" si="571"/>
        <v>0</v>
      </c>
      <c r="AT239" s="106">
        <f>_xlfn.IFNA($M239/VLOOKUP($BT239,'Unit information'!$A$2:$K$29,2,FALSE)*R239,0)*(1+$E$9)</f>
        <v>0</v>
      </c>
      <c r="AU239" s="107">
        <f>_xlfn.IFNA($M239/VLOOKUP($BT239,'Unit information'!$A$2:$K$29,3,FALSE)*S239,0)*(1+$E$9)</f>
        <v>0</v>
      </c>
      <c r="AV239" s="107">
        <f>_xlfn.IFNA($M239/VLOOKUP($BT239,'Unit information'!$A$2:$K$29,4,FALSE)*T239,0)*(1+$E$9)</f>
        <v>0</v>
      </c>
      <c r="AW239" s="107">
        <f>_xlfn.IFNA($M239/VLOOKUP($BT239,'Unit information'!$A$2:$K$29,5,FALSE)*U239,0)*(1+$E$9)</f>
        <v>0</v>
      </c>
      <c r="AX239" s="107">
        <f>_xlfn.IFNA($M239/VLOOKUP($BU239,'Unit information'!$A$2:$K$29,6,FALSE)*V239,0)*(1+$E$9)</f>
        <v>0</v>
      </c>
      <c r="AY239" s="107">
        <f>_xlfn.IFNA($M239/VLOOKUP($BU239,'Unit information'!$A$2:$K$29,7,FALSE)*W239,0)*(1+$E$9)</f>
        <v>0</v>
      </c>
      <c r="AZ239" s="107">
        <f>_xlfn.IFNA($M239/VLOOKUP($BU239,'Unit information'!$A$2:$K$29,8,FALSE)*X239,0)*(1+$E$9)</f>
        <v>0</v>
      </c>
      <c r="BA239" s="107">
        <f>_xlfn.IFNA($M239/VLOOKUP($BU239,'Unit information'!$A$2:$K$29,9,FALSE)*Y239,0)*(1+$E$9)</f>
        <v>0</v>
      </c>
      <c r="BB239" s="107">
        <f>_xlfn.IFNA($M239/VLOOKUP($BV239,'Unit information'!$A$2:$K$29,10,FALSE)*Z239,0)*(1+$E$9)</f>
        <v>0</v>
      </c>
      <c r="BC239" s="108">
        <f>_xlfn.IFNA($M239/VLOOKUP($BV239,'Unit information'!$A$2:$K$29,11,FALSE)*AA239,0)*(1+$E$9)</f>
        <v>0</v>
      </c>
      <c r="BD239" s="106">
        <f t="shared" si="481"/>
        <v>0</v>
      </c>
      <c r="BE239" s="107">
        <f t="shared" si="482"/>
        <v>0</v>
      </c>
      <c r="BF239" s="108">
        <f t="shared" si="483"/>
        <v>0</v>
      </c>
      <c r="BG239" s="25" t="e">
        <f t="shared" si="484"/>
        <v>#N/A</v>
      </c>
      <c r="BH239" s="25" t="e">
        <f t="shared" si="485"/>
        <v>#N/A</v>
      </c>
      <c r="BI239" s="25" t="e">
        <f t="shared" si="486"/>
        <v>#N/A</v>
      </c>
      <c r="BJ239" s="27" t="e">
        <f t="shared" si="487"/>
        <v>#N/A</v>
      </c>
      <c r="BK239" s="18" t="e">
        <f t="shared" si="488"/>
        <v>#N/A</v>
      </c>
      <c r="BL239" s="18" t="e">
        <f t="shared" si="489"/>
        <v>#N/A</v>
      </c>
      <c r="BM239" s="28" t="e">
        <f t="shared" si="540"/>
        <v>#N/A</v>
      </c>
      <c r="BN239" s="33">
        <f>HLOOKUP("maximum population",Miscelaneous!$C$1:$C$33,CH239+3,FALSE)</f>
        <v>240</v>
      </c>
      <c r="BO239" s="14">
        <f t="shared" si="502"/>
        <v>32</v>
      </c>
      <c r="BP239" s="14">
        <f t="shared" si="503"/>
        <v>0</v>
      </c>
      <c r="BQ239" s="14">
        <f t="shared" si="504"/>
        <v>208</v>
      </c>
      <c r="BR239" s="34" t="e">
        <f>HLOOKUP(J239,Villagers!$B$1:$V$33,L239+3,FALSE)-HLOOKUP(J239,Villagers!$B$1:$V$33,L239+2,FALSE)</f>
        <v>#N/A</v>
      </c>
      <c r="BS239" s="49">
        <f t="shared" si="505"/>
        <v>1</v>
      </c>
      <c r="BT239" s="50">
        <f t="shared" si="506"/>
        <v>0</v>
      </c>
      <c r="BU239" s="50">
        <f t="shared" si="507"/>
        <v>0</v>
      </c>
      <c r="BV239" s="50">
        <f t="shared" si="508"/>
        <v>0</v>
      </c>
      <c r="BW239" s="50">
        <f t="shared" si="575"/>
        <v>0</v>
      </c>
      <c r="BX239" s="50">
        <f t="shared" si="576"/>
        <v>0</v>
      </c>
      <c r="BY239" s="50">
        <f t="shared" si="576"/>
        <v>0</v>
      </c>
      <c r="BZ239" s="50">
        <f t="shared" si="554"/>
        <v>0</v>
      </c>
      <c r="CA239" s="50">
        <f t="shared" si="555"/>
        <v>0</v>
      </c>
      <c r="CB239" s="50">
        <f t="shared" si="556"/>
        <v>1</v>
      </c>
      <c r="CC239" s="50">
        <f t="shared" si="557"/>
        <v>0</v>
      </c>
      <c r="CD239" s="50">
        <f t="shared" si="558"/>
        <v>0</v>
      </c>
      <c r="CE239" s="50">
        <f t="shared" si="559"/>
        <v>1</v>
      </c>
      <c r="CF239" s="50">
        <f t="shared" si="560"/>
        <v>1</v>
      </c>
      <c r="CG239" s="50">
        <f t="shared" si="561"/>
        <v>1</v>
      </c>
      <c r="CH239" s="50">
        <f t="shared" si="562"/>
        <v>1</v>
      </c>
      <c r="CI239" s="50">
        <f t="shared" si="563"/>
        <v>1</v>
      </c>
      <c r="CJ239" s="50">
        <f t="shared" si="564"/>
        <v>1</v>
      </c>
      <c r="CK239" s="50">
        <f t="shared" si="564"/>
        <v>0</v>
      </c>
      <c r="CL239" s="50">
        <f t="shared" si="564"/>
        <v>0</v>
      </c>
      <c r="CM239" s="51">
        <f t="shared" ref="CM239:CM254" si="587">IF($J238=CM$14,$L238,CM238)</f>
        <v>0</v>
      </c>
      <c r="CN239" s="33">
        <f>ROUND(IF(BS239=0,0,HLOOKUP(BS$14,Villagers!$B$1:$V$33,BS239+3,FALSE)),)</f>
        <v>5</v>
      </c>
      <c r="CO239" s="14">
        <f>ROUND(IF(BT239=0,0,HLOOKUP(BT$14,Villagers!$B$1:$V$33,BT239+3,FALSE)),)</f>
        <v>0</v>
      </c>
      <c r="CP239" s="14">
        <f>ROUND(IF(BU239=0,0,HLOOKUP(BU$14,Villagers!$B$1:$V$33,BU239+3,FALSE)),)</f>
        <v>0</v>
      </c>
      <c r="CQ239" s="14">
        <f>ROUND(IF(BV239=0,0,HLOOKUP(BV$14,Villagers!$B$1:$V$33,BV239+3,FALSE)),)</f>
        <v>0</v>
      </c>
      <c r="CR239" s="14">
        <f>ROUND(IF(BW239=0,0,HLOOKUP(BW$14,Villagers!$B$1:$V$33,BW239+3,FALSE)),)</f>
        <v>0</v>
      </c>
      <c r="CS239" s="14">
        <f>ROUND(IF(BX239=0,0,HLOOKUP(BX$14,Villagers!$B$1:$V$33,BX239+3,FALSE)),)</f>
        <v>0</v>
      </c>
      <c r="CT239" s="14">
        <f>ROUND(IF(BY239=0,0,HLOOKUP(BY$14,Villagers!$B$1:$V$33,BY239+3,FALSE)),)</f>
        <v>0</v>
      </c>
      <c r="CU239" s="14">
        <f>ROUND(IF(BZ239=0,0,HLOOKUP(BZ$14,Villagers!$B$1:$V$33,BZ239+3,FALSE)),)</f>
        <v>0</v>
      </c>
      <c r="CV239" s="14">
        <f>ROUND(IF(CA239=0,0,HLOOKUP(CA$14,Villagers!$B$1:$V$33,CA239+3,FALSE)),)</f>
        <v>0</v>
      </c>
      <c r="CW239" s="14">
        <f>ROUND(IF(CB239=0,0,HLOOKUP(CB$14,Villagers!$B$1:$V$33,CB239+3,FALSE)),)</f>
        <v>0</v>
      </c>
      <c r="CX239" s="14">
        <f>ROUND(IF(CC239=0,0,HLOOKUP(CC$14,Villagers!$B$1:$V$33,CC239+3,FALSE)),)</f>
        <v>0</v>
      </c>
      <c r="CY239" s="14">
        <f>ROUND(IF(CD239=0,0,HLOOKUP(CD$14,Villagers!$B$1:$V$33,CD239+3,FALSE)),)</f>
        <v>0</v>
      </c>
      <c r="CZ239" s="14">
        <f>ROUND(IF(CE239=0,0,HLOOKUP(CE$14,Villagers!$B$1:$V$33,CE239+3,FALSE)),)</f>
        <v>5</v>
      </c>
      <c r="DA239" s="14">
        <f>ROUND(IF(CF239=0,0,HLOOKUP(CF$14,Villagers!$B$1:$V$33,CF239+3,FALSE)),)</f>
        <v>10</v>
      </c>
      <c r="DB239" s="14">
        <f>ROUND(IF(CG239=0,0,HLOOKUP(CG$14,Villagers!$B$1:$V$33,CG239+3,FALSE)),)</f>
        <v>10</v>
      </c>
      <c r="DC239" s="14">
        <f>ROUND(IF(CH239=0,0,HLOOKUP(CH$14,Villagers!$B$1:$V$33,CH239+3,FALSE)),)</f>
        <v>0</v>
      </c>
      <c r="DD239" s="14">
        <f>ROUND(IF(CI239=0,0,HLOOKUP(CI$14,Villagers!$B$1:$V$33,CI239+3,FALSE)),)</f>
        <v>0</v>
      </c>
      <c r="DE239" s="14">
        <f>ROUND(IF(CJ239=0,0,HLOOKUP(CJ$14,Villagers!$B$1:$V$33,CJ239+3,FALSE)),)</f>
        <v>2</v>
      </c>
      <c r="DF239" s="370">
        <f>ROUND(IF(CK239=0,0,HLOOKUP(CK$14,Villagers!$B$1:$V$33,CK239+3,FALSE)),)</f>
        <v>0</v>
      </c>
      <c r="DG239" s="370">
        <f>ROUND(IF(CL239=0,0,HLOOKUP(CL$14,Villagers!$B$1:$V$33,CL239+3,FALSE)),)</f>
        <v>0</v>
      </c>
      <c r="DH239" s="34">
        <f>ROUND(IF(CM239=0,0,HLOOKUP(CM$14,Villagers!$B$1:$V$33,CM239+3,FALSE)),)</f>
        <v>0</v>
      </c>
      <c r="DI239" s="109">
        <f t="shared" si="526"/>
        <v>0</v>
      </c>
      <c r="DJ239" s="50">
        <f t="shared" si="527"/>
        <v>0</v>
      </c>
      <c r="DK239" s="50">
        <f t="shared" si="528"/>
        <v>0</v>
      </c>
      <c r="DL239" s="50">
        <f t="shared" si="529"/>
        <v>0</v>
      </c>
      <c r="DM239" s="50">
        <f t="shared" si="530"/>
        <v>0</v>
      </c>
      <c r="DN239" s="50">
        <f t="shared" si="531"/>
        <v>0</v>
      </c>
      <c r="DO239" s="50">
        <f t="shared" si="532"/>
        <v>0</v>
      </c>
      <c r="DP239" s="50">
        <f t="shared" si="533"/>
        <v>0</v>
      </c>
      <c r="DQ239" s="50">
        <f t="shared" si="510"/>
        <v>0</v>
      </c>
      <c r="DR239" s="50">
        <f t="shared" si="511"/>
        <v>0</v>
      </c>
      <c r="DS239" s="96">
        <f>Miscelaneous!$D$4*Miscelaneous!$D$2^($CI239-1)</f>
        <v>1000</v>
      </c>
      <c r="DT239" s="333">
        <f t="shared" si="490"/>
        <v>1</v>
      </c>
      <c r="DU239" s="81">
        <v>1</v>
      </c>
      <c r="DV239" s="79">
        <f t="shared" si="512"/>
        <v>0</v>
      </c>
      <c r="DW239" s="79">
        <f t="shared" si="513"/>
        <v>0</v>
      </c>
      <c r="DX239" s="79">
        <f t="shared" si="514"/>
        <v>0</v>
      </c>
      <c r="DY239" s="79">
        <v>1</v>
      </c>
      <c r="DZ239" s="79">
        <f t="shared" si="515"/>
        <v>0</v>
      </c>
      <c r="EA239" s="79">
        <f t="shared" si="516"/>
        <v>0</v>
      </c>
      <c r="EB239" s="79">
        <f t="shared" si="517"/>
        <v>0</v>
      </c>
      <c r="EC239" s="79">
        <f t="shared" si="518"/>
        <v>0</v>
      </c>
      <c r="ED239" s="79">
        <v>1</v>
      </c>
      <c r="EE239" s="79">
        <v>1</v>
      </c>
      <c r="EF239" s="79">
        <f t="shared" si="519"/>
        <v>0</v>
      </c>
      <c r="EG239" s="79">
        <v>1</v>
      </c>
      <c r="EH239" s="79">
        <v>1</v>
      </c>
      <c r="EI239" s="79">
        <v>1</v>
      </c>
      <c r="EJ239" s="79">
        <v>1</v>
      </c>
      <c r="EK239" s="79">
        <v>1</v>
      </c>
      <c r="EL239" s="79">
        <v>1</v>
      </c>
      <c r="EM239" s="143">
        <f t="shared" si="520"/>
        <v>0</v>
      </c>
      <c r="EN239" s="143">
        <f t="shared" si="521"/>
        <v>0</v>
      </c>
      <c r="EO239" s="82">
        <f t="shared" si="522"/>
        <v>0</v>
      </c>
    </row>
    <row r="240" spans="1:145" x14ac:dyDescent="0.25">
      <c r="A240">
        <v>226</v>
      </c>
      <c r="B240" s="172" t="e">
        <f t="shared" si="491"/>
        <v>#N/A</v>
      </c>
      <c r="C240" s="121" t="e">
        <f t="shared" ref="C240:E240" si="588">AJ240-SUM(AB240:AB244)</f>
        <v>#N/A</v>
      </c>
      <c r="D240" s="122" t="e">
        <f t="shared" si="588"/>
        <v>#N/A</v>
      </c>
      <c r="E240" s="122" t="e">
        <f t="shared" si="588"/>
        <v>#N/A</v>
      </c>
      <c r="F240" s="176" t="e">
        <f t="shared" si="473"/>
        <v>#N/A</v>
      </c>
      <c r="G240" s="121">
        <f t="shared" si="493"/>
        <v>208</v>
      </c>
      <c r="H240" s="176" t="e">
        <f t="shared" si="494"/>
        <v>#N/A</v>
      </c>
      <c r="I240" s="48">
        <v>1</v>
      </c>
      <c r="J240" s="39"/>
      <c r="K240" s="350">
        <v>1</v>
      </c>
      <c r="L240" s="34" t="e">
        <f t="shared" si="474"/>
        <v>#N/A</v>
      </c>
      <c r="M240" s="38" t="e">
        <f>(HLOOKUP(J240,'Construction Times'!$B$3:$W$34,L240+2,FALSE)*HLOOKUP("hq modifier",'Construction Times'!$W$3:$W$34,BS240+2,FALSE))*(1-$H$9)</f>
        <v>#N/A</v>
      </c>
      <c r="N240" s="426" t="e">
        <f t="shared" si="495"/>
        <v>#N/A</v>
      </c>
      <c r="O240" s="427"/>
      <c r="P240" s="430" t="e">
        <f t="shared" si="496"/>
        <v>#N/A</v>
      </c>
      <c r="Q240" s="431"/>
      <c r="R240" s="103">
        <f t="shared" si="524"/>
        <v>0</v>
      </c>
      <c r="S240" s="104">
        <f t="shared" si="524"/>
        <v>0</v>
      </c>
      <c r="T240" s="104">
        <f t="shared" si="525"/>
        <v>0</v>
      </c>
      <c r="U240" s="104">
        <f t="shared" si="525"/>
        <v>0</v>
      </c>
      <c r="V240" s="104">
        <f t="shared" si="525"/>
        <v>9.9999999999999995E-8</v>
      </c>
      <c r="W240" s="104">
        <f t="shared" si="525"/>
        <v>0</v>
      </c>
      <c r="X240" s="104">
        <f t="shared" si="584"/>
        <v>0</v>
      </c>
      <c r="Y240" s="104">
        <f t="shared" si="584"/>
        <v>9.9999999999999995E-8</v>
      </c>
      <c r="Z240" s="104">
        <f t="shared" si="584"/>
        <v>9.9999999999999995E-8</v>
      </c>
      <c r="AA240" s="105">
        <f t="shared" si="584"/>
        <v>9.9999999999999995E-8</v>
      </c>
      <c r="AB240" s="101" t="e">
        <f>$DT240*HLOOKUP($J240,'Construction Costs (timber)'!$B$1:$V$32,'Construction Planner'!$L240+2,FALSE)</f>
        <v>#N/A</v>
      </c>
      <c r="AC240" s="14" t="e">
        <f>$DT240*HLOOKUP($J240,'Construction Costs (clay)'!$B$1:$V$32,'Construction Planner'!$L240+2,FALSE)</f>
        <v>#N/A</v>
      </c>
      <c r="AD240" s="14" t="e">
        <f>$DT240*HLOOKUP($J240,'Construction Costs (iron)'!$B$1:$V$32,'Construction Planner'!$L240+2,FALSE)</f>
        <v>#N/A</v>
      </c>
      <c r="AE240" s="34" t="e">
        <f t="shared" si="537"/>
        <v>#N/A</v>
      </c>
      <c r="AF240" s="33" t="e">
        <f t="shared" si="475"/>
        <v>#N/A</v>
      </c>
      <c r="AG240" s="14" t="e">
        <f t="shared" si="476"/>
        <v>#N/A</v>
      </c>
      <c r="AH240" s="14" t="e">
        <f t="shared" si="477"/>
        <v>#N/A</v>
      </c>
      <c r="AI240" s="34" t="e">
        <f t="shared" si="538"/>
        <v>#N/A</v>
      </c>
      <c r="AJ240" s="49" t="e">
        <f t="shared" si="498"/>
        <v>#N/A</v>
      </c>
      <c r="AK240" s="49" t="e">
        <f t="shared" si="499"/>
        <v>#N/A</v>
      </c>
      <c r="AL240" s="49" t="e">
        <f t="shared" si="500"/>
        <v>#N/A</v>
      </c>
      <c r="AM240" s="25">
        <f t="shared" si="478"/>
        <v>30</v>
      </c>
      <c r="AN240" s="25">
        <f t="shared" si="479"/>
        <v>30</v>
      </c>
      <c r="AO240" s="25">
        <f t="shared" si="480"/>
        <v>30</v>
      </c>
      <c r="AP240" s="52" t="e">
        <f t="shared" si="501"/>
        <v>#N/A</v>
      </c>
      <c r="AQ240" s="53" t="e">
        <f t="shared" si="501"/>
        <v>#N/A</v>
      </c>
      <c r="AR240" s="54" t="e">
        <f t="shared" si="501"/>
        <v>#N/A</v>
      </c>
      <c r="AS240" s="316">
        <f t="shared" si="571"/>
        <v>0</v>
      </c>
      <c r="AT240" s="106">
        <f>_xlfn.IFNA($M240/VLOOKUP($BT240,'Unit information'!$A$2:$K$29,2,FALSE)*R240,0)*(1+$E$9)</f>
        <v>0</v>
      </c>
      <c r="AU240" s="107">
        <f>_xlfn.IFNA($M240/VLOOKUP($BT240,'Unit information'!$A$2:$K$29,3,FALSE)*S240,0)*(1+$E$9)</f>
        <v>0</v>
      </c>
      <c r="AV240" s="107">
        <f>_xlfn.IFNA($M240/VLOOKUP($BT240,'Unit information'!$A$2:$K$29,4,FALSE)*T240,0)*(1+$E$9)</f>
        <v>0</v>
      </c>
      <c r="AW240" s="107">
        <f>_xlfn.IFNA($M240/VLOOKUP($BT240,'Unit information'!$A$2:$K$29,5,FALSE)*U240,0)*(1+$E$9)</f>
        <v>0</v>
      </c>
      <c r="AX240" s="107">
        <f>_xlfn.IFNA($M240/VLOOKUP($BU240,'Unit information'!$A$2:$K$29,6,FALSE)*V240,0)*(1+$E$9)</f>
        <v>0</v>
      </c>
      <c r="AY240" s="107">
        <f>_xlfn.IFNA($M240/VLOOKUP($BU240,'Unit information'!$A$2:$K$29,7,FALSE)*W240,0)*(1+$E$9)</f>
        <v>0</v>
      </c>
      <c r="AZ240" s="107">
        <f>_xlfn.IFNA($M240/VLOOKUP($BU240,'Unit information'!$A$2:$K$29,8,FALSE)*X240,0)*(1+$E$9)</f>
        <v>0</v>
      </c>
      <c r="BA240" s="107">
        <f>_xlfn.IFNA($M240/VLOOKUP($BU240,'Unit information'!$A$2:$K$29,9,FALSE)*Y240,0)*(1+$E$9)</f>
        <v>0</v>
      </c>
      <c r="BB240" s="107">
        <f>_xlfn.IFNA($M240/VLOOKUP($BV240,'Unit information'!$A$2:$K$29,10,FALSE)*Z240,0)*(1+$E$9)</f>
        <v>0</v>
      </c>
      <c r="BC240" s="108">
        <f>_xlfn.IFNA($M240/VLOOKUP($BV240,'Unit information'!$A$2:$K$29,11,FALSE)*AA240,0)*(1+$E$9)</f>
        <v>0</v>
      </c>
      <c r="BD240" s="106">
        <f t="shared" si="481"/>
        <v>0</v>
      </c>
      <c r="BE240" s="107">
        <f t="shared" si="482"/>
        <v>0</v>
      </c>
      <c r="BF240" s="108">
        <f t="shared" si="483"/>
        <v>0</v>
      </c>
      <c r="BG240" s="25" t="e">
        <f t="shared" si="484"/>
        <v>#N/A</v>
      </c>
      <c r="BH240" s="25" t="e">
        <f t="shared" si="485"/>
        <v>#N/A</v>
      </c>
      <c r="BI240" s="25" t="e">
        <f t="shared" si="486"/>
        <v>#N/A</v>
      </c>
      <c r="BJ240" s="27" t="e">
        <f t="shared" si="487"/>
        <v>#N/A</v>
      </c>
      <c r="BK240" s="18" t="e">
        <f t="shared" si="488"/>
        <v>#N/A</v>
      </c>
      <c r="BL240" s="18" t="e">
        <f t="shared" si="489"/>
        <v>#N/A</v>
      </c>
      <c r="BM240" s="28" t="e">
        <f t="shared" si="540"/>
        <v>#N/A</v>
      </c>
      <c r="BN240" s="33">
        <f>HLOOKUP("maximum population",Miscelaneous!$C$1:$C$33,CH240+3,FALSE)</f>
        <v>240</v>
      </c>
      <c r="BO240" s="14">
        <f t="shared" si="502"/>
        <v>32</v>
      </c>
      <c r="BP240" s="14">
        <f t="shared" si="503"/>
        <v>0</v>
      </c>
      <c r="BQ240" s="14">
        <f t="shared" si="504"/>
        <v>208</v>
      </c>
      <c r="BR240" s="34" t="e">
        <f>HLOOKUP(J240,Villagers!$B$1:$V$33,L240+3,FALSE)-HLOOKUP(J240,Villagers!$B$1:$V$33,L240+2,FALSE)</f>
        <v>#N/A</v>
      </c>
      <c r="BS240" s="49">
        <f t="shared" si="505"/>
        <v>1</v>
      </c>
      <c r="BT240" s="50">
        <f t="shared" si="506"/>
        <v>0</v>
      </c>
      <c r="BU240" s="50">
        <f t="shared" si="507"/>
        <v>0</v>
      </c>
      <c r="BV240" s="50">
        <f t="shared" si="508"/>
        <v>0</v>
      </c>
      <c r="BW240" s="50">
        <f t="shared" si="575"/>
        <v>0</v>
      </c>
      <c r="BX240" s="50">
        <f t="shared" si="576"/>
        <v>0</v>
      </c>
      <c r="BY240" s="50">
        <f t="shared" si="576"/>
        <v>0</v>
      </c>
      <c r="BZ240" s="50">
        <f t="shared" si="554"/>
        <v>0</v>
      </c>
      <c r="CA240" s="50">
        <f t="shared" si="555"/>
        <v>0</v>
      </c>
      <c r="CB240" s="50">
        <f t="shared" si="556"/>
        <v>1</v>
      </c>
      <c r="CC240" s="50">
        <f t="shared" si="557"/>
        <v>0</v>
      </c>
      <c r="CD240" s="50">
        <f t="shared" si="558"/>
        <v>0</v>
      </c>
      <c r="CE240" s="50">
        <f t="shared" si="559"/>
        <v>1</v>
      </c>
      <c r="CF240" s="50">
        <f t="shared" si="560"/>
        <v>1</v>
      </c>
      <c r="CG240" s="50">
        <f t="shared" si="561"/>
        <v>1</v>
      </c>
      <c r="CH240" s="50">
        <f t="shared" si="562"/>
        <v>1</v>
      </c>
      <c r="CI240" s="50">
        <f t="shared" si="563"/>
        <v>1</v>
      </c>
      <c r="CJ240" s="50">
        <f t="shared" si="564"/>
        <v>1</v>
      </c>
      <c r="CK240" s="50">
        <f t="shared" si="564"/>
        <v>0</v>
      </c>
      <c r="CL240" s="50">
        <f t="shared" si="564"/>
        <v>0</v>
      </c>
      <c r="CM240" s="51">
        <f t="shared" si="587"/>
        <v>0</v>
      </c>
      <c r="CN240" s="33">
        <f>ROUND(IF(BS240=0,0,HLOOKUP(BS$14,Villagers!$B$1:$V$33,BS240+3,FALSE)),)</f>
        <v>5</v>
      </c>
      <c r="CO240" s="14">
        <f>ROUND(IF(BT240=0,0,HLOOKUP(BT$14,Villagers!$B$1:$V$33,BT240+3,FALSE)),)</f>
        <v>0</v>
      </c>
      <c r="CP240" s="14">
        <f>ROUND(IF(BU240=0,0,HLOOKUP(BU$14,Villagers!$B$1:$V$33,BU240+3,FALSE)),)</f>
        <v>0</v>
      </c>
      <c r="CQ240" s="14">
        <f>ROUND(IF(BV240=0,0,HLOOKUP(BV$14,Villagers!$B$1:$V$33,BV240+3,FALSE)),)</f>
        <v>0</v>
      </c>
      <c r="CR240" s="14">
        <f>ROUND(IF(BW240=0,0,HLOOKUP(BW$14,Villagers!$B$1:$V$33,BW240+3,FALSE)),)</f>
        <v>0</v>
      </c>
      <c r="CS240" s="14">
        <f>ROUND(IF(BX240=0,0,HLOOKUP(BX$14,Villagers!$B$1:$V$33,BX240+3,FALSE)),)</f>
        <v>0</v>
      </c>
      <c r="CT240" s="14">
        <f>ROUND(IF(BY240=0,0,HLOOKUP(BY$14,Villagers!$B$1:$V$33,BY240+3,FALSE)),)</f>
        <v>0</v>
      </c>
      <c r="CU240" s="14">
        <f>ROUND(IF(BZ240=0,0,HLOOKUP(BZ$14,Villagers!$B$1:$V$33,BZ240+3,FALSE)),)</f>
        <v>0</v>
      </c>
      <c r="CV240" s="14">
        <f>ROUND(IF(CA240=0,0,HLOOKUP(CA$14,Villagers!$B$1:$V$33,CA240+3,FALSE)),)</f>
        <v>0</v>
      </c>
      <c r="CW240" s="14">
        <f>ROUND(IF(CB240=0,0,HLOOKUP(CB$14,Villagers!$B$1:$V$33,CB240+3,FALSE)),)</f>
        <v>0</v>
      </c>
      <c r="CX240" s="14">
        <f>ROUND(IF(CC240=0,0,HLOOKUP(CC$14,Villagers!$B$1:$V$33,CC240+3,FALSE)),)</f>
        <v>0</v>
      </c>
      <c r="CY240" s="14">
        <f>ROUND(IF(CD240=0,0,HLOOKUP(CD$14,Villagers!$B$1:$V$33,CD240+3,FALSE)),)</f>
        <v>0</v>
      </c>
      <c r="CZ240" s="14">
        <f>ROUND(IF(CE240=0,0,HLOOKUP(CE$14,Villagers!$B$1:$V$33,CE240+3,FALSE)),)</f>
        <v>5</v>
      </c>
      <c r="DA240" s="14">
        <f>ROUND(IF(CF240=0,0,HLOOKUP(CF$14,Villagers!$B$1:$V$33,CF240+3,FALSE)),)</f>
        <v>10</v>
      </c>
      <c r="DB240" s="14">
        <f>ROUND(IF(CG240=0,0,HLOOKUP(CG$14,Villagers!$B$1:$V$33,CG240+3,FALSE)),)</f>
        <v>10</v>
      </c>
      <c r="DC240" s="14">
        <f>ROUND(IF(CH240=0,0,HLOOKUP(CH$14,Villagers!$B$1:$V$33,CH240+3,FALSE)),)</f>
        <v>0</v>
      </c>
      <c r="DD240" s="14">
        <f>ROUND(IF(CI240=0,0,HLOOKUP(CI$14,Villagers!$B$1:$V$33,CI240+3,FALSE)),)</f>
        <v>0</v>
      </c>
      <c r="DE240" s="14">
        <f>ROUND(IF(CJ240=0,0,HLOOKUP(CJ$14,Villagers!$B$1:$V$33,CJ240+3,FALSE)),)</f>
        <v>2</v>
      </c>
      <c r="DF240" s="370">
        <f>ROUND(IF(CK240=0,0,HLOOKUP(CK$14,Villagers!$B$1:$V$33,CK240+3,FALSE)),)</f>
        <v>0</v>
      </c>
      <c r="DG240" s="370">
        <f>ROUND(IF(CL240=0,0,HLOOKUP(CL$14,Villagers!$B$1:$V$33,CL240+3,FALSE)),)</f>
        <v>0</v>
      </c>
      <c r="DH240" s="34">
        <f>ROUND(IF(CM240=0,0,HLOOKUP(CM$14,Villagers!$B$1:$V$33,CM240+3,FALSE)),)</f>
        <v>0</v>
      </c>
      <c r="DI240" s="109">
        <f t="shared" si="526"/>
        <v>0</v>
      </c>
      <c r="DJ240" s="50">
        <f t="shared" si="527"/>
        <v>0</v>
      </c>
      <c r="DK240" s="50">
        <f t="shared" si="528"/>
        <v>0</v>
      </c>
      <c r="DL240" s="50">
        <f t="shared" si="529"/>
        <v>0</v>
      </c>
      <c r="DM240" s="50">
        <f t="shared" si="530"/>
        <v>0</v>
      </c>
      <c r="DN240" s="50">
        <f t="shared" si="531"/>
        <v>0</v>
      </c>
      <c r="DO240" s="50">
        <f t="shared" si="532"/>
        <v>0</v>
      </c>
      <c r="DP240" s="50">
        <f t="shared" si="533"/>
        <v>0</v>
      </c>
      <c r="DQ240" s="50">
        <f t="shared" si="510"/>
        <v>0</v>
      </c>
      <c r="DR240" s="50">
        <f t="shared" si="511"/>
        <v>0</v>
      </c>
      <c r="DS240" s="96">
        <f>Miscelaneous!$D$4*Miscelaneous!$D$2^($CI240-1)</f>
        <v>1000</v>
      </c>
      <c r="DT240" s="333">
        <f t="shared" si="490"/>
        <v>1</v>
      </c>
      <c r="DU240" s="81">
        <v>1</v>
      </c>
      <c r="DV240" s="79">
        <f t="shared" si="512"/>
        <v>0</v>
      </c>
      <c r="DW240" s="79">
        <f t="shared" si="513"/>
        <v>0</v>
      </c>
      <c r="DX240" s="79">
        <f t="shared" si="514"/>
        <v>0</v>
      </c>
      <c r="DY240" s="79">
        <v>1</v>
      </c>
      <c r="DZ240" s="79">
        <f t="shared" si="515"/>
        <v>0</v>
      </c>
      <c r="EA240" s="79">
        <f t="shared" si="516"/>
        <v>0</v>
      </c>
      <c r="EB240" s="79">
        <f t="shared" si="517"/>
        <v>0</v>
      </c>
      <c r="EC240" s="79">
        <f t="shared" si="518"/>
        <v>0</v>
      </c>
      <c r="ED240" s="79">
        <v>1</v>
      </c>
      <c r="EE240" s="79">
        <v>1</v>
      </c>
      <c r="EF240" s="79">
        <f t="shared" si="519"/>
        <v>0</v>
      </c>
      <c r="EG240" s="79">
        <v>1</v>
      </c>
      <c r="EH240" s="79">
        <v>1</v>
      </c>
      <c r="EI240" s="79">
        <v>1</v>
      </c>
      <c r="EJ240" s="79">
        <v>1</v>
      </c>
      <c r="EK240" s="79">
        <v>1</v>
      </c>
      <c r="EL240" s="79">
        <v>1</v>
      </c>
      <c r="EM240" s="143">
        <f t="shared" si="520"/>
        <v>0</v>
      </c>
      <c r="EN240" s="143">
        <f t="shared" si="521"/>
        <v>0</v>
      </c>
      <c r="EO240" s="82">
        <f t="shared" si="522"/>
        <v>0</v>
      </c>
    </row>
    <row r="241" spans="1:145" x14ac:dyDescent="0.25">
      <c r="A241">
        <v>227</v>
      </c>
      <c r="B241" s="172" t="e">
        <f t="shared" si="491"/>
        <v>#N/A</v>
      </c>
      <c r="C241" s="121" t="e">
        <f t="shared" ref="C241:E241" si="589">AJ241-SUM(AB241:AB245)</f>
        <v>#N/A</v>
      </c>
      <c r="D241" s="122" t="e">
        <f t="shared" si="589"/>
        <v>#N/A</v>
      </c>
      <c r="E241" s="122" t="e">
        <f t="shared" si="589"/>
        <v>#N/A</v>
      </c>
      <c r="F241" s="176" t="e">
        <f t="shared" si="473"/>
        <v>#N/A</v>
      </c>
      <c r="G241" s="121">
        <f t="shared" si="493"/>
        <v>208</v>
      </c>
      <c r="H241" s="176" t="e">
        <f t="shared" si="494"/>
        <v>#N/A</v>
      </c>
      <c r="I241" s="48">
        <v>1</v>
      </c>
      <c r="J241" s="39"/>
      <c r="K241" s="350">
        <v>1</v>
      </c>
      <c r="L241" s="34" t="e">
        <f t="shared" si="474"/>
        <v>#N/A</v>
      </c>
      <c r="M241" s="38" t="e">
        <f>(HLOOKUP(J241,'Construction Times'!$B$3:$W$34,L241+2,FALSE)*HLOOKUP("hq modifier",'Construction Times'!$W$3:$W$34,BS241+2,FALSE))*(1-$H$9)</f>
        <v>#N/A</v>
      </c>
      <c r="N241" s="426" t="e">
        <f t="shared" si="495"/>
        <v>#N/A</v>
      </c>
      <c r="O241" s="427"/>
      <c r="P241" s="430" t="e">
        <f t="shared" si="496"/>
        <v>#N/A</v>
      </c>
      <c r="Q241" s="431"/>
      <c r="R241" s="103">
        <f t="shared" si="524"/>
        <v>0</v>
      </c>
      <c r="S241" s="104">
        <f t="shared" si="524"/>
        <v>0</v>
      </c>
      <c r="T241" s="104">
        <f t="shared" si="525"/>
        <v>0</v>
      </c>
      <c r="U241" s="104">
        <f t="shared" si="525"/>
        <v>0</v>
      </c>
      <c r="V241" s="104">
        <f t="shared" si="525"/>
        <v>9.9999999999999995E-8</v>
      </c>
      <c r="W241" s="104">
        <f t="shared" si="525"/>
        <v>0</v>
      </c>
      <c r="X241" s="104">
        <f t="shared" si="584"/>
        <v>0</v>
      </c>
      <c r="Y241" s="104">
        <f t="shared" si="584"/>
        <v>9.9999999999999995E-8</v>
      </c>
      <c r="Z241" s="104">
        <f t="shared" si="584"/>
        <v>9.9999999999999995E-8</v>
      </c>
      <c r="AA241" s="105">
        <f t="shared" si="584"/>
        <v>9.9999999999999995E-8</v>
      </c>
      <c r="AB241" s="101" t="e">
        <f>$DT241*HLOOKUP($J241,'Construction Costs (timber)'!$B$1:$V$32,'Construction Planner'!$L241+2,FALSE)</f>
        <v>#N/A</v>
      </c>
      <c r="AC241" s="14" t="e">
        <f>$DT241*HLOOKUP($J241,'Construction Costs (clay)'!$B$1:$V$32,'Construction Planner'!$L241+2,FALSE)</f>
        <v>#N/A</v>
      </c>
      <c r="AD241" s="14" t="e">
        <f>$DT241*HLOOKUP($J241,'Construction Costs (iron)'!$B$1:$V$32,'Construction Planner'!$L241+2,FALSE)</f>
        <v>#N/A</v>
      </c>
      <c r="AE241" s="34" t="e">
        <f t="shared" si="537"/>
        <v>#N/A</v>
      </c>
      <c r="AF241" s="33" t="e">
        <f t="shared" si="475"/>
        <v>#N/A</v>
      </c>
      <c r="AG241" s="14" t="e">
        <f t="shared" si="476"/>
        <v>#N/A</v>
      </c>
      <c r="AH241" s="14" t="e">
        <f t="shared" si="477"/>
        <v>#N/A</v>
      </c>
      <c r="AI241" s="34" t="e">
        <f t="shared" si="538"/>
        <v>#N/A</v>
      </c>
      <c r="AJ241" s="49" t="e">
        <f t="shared" si="498"/>
        <v>#N/A</v>
      </c>
      <c r="AK241" s="49" t="e">
        <f t="shared" si="499"/>
        <v>#N/A</v>
      </c>
      <c r="AL241" s="49" t="e">
        <f t="shared" si="500"/>
        <v>#N/A</v>
      </c>
      <c r="AM241" s="25">
        <f t="shared" si="478"/>
        <v>30</v>
      </c>
      <c r="AN241" s="25">
        <f t="shared" si="479"/>
        <v>30</v>
      </c>
      <c r="AO241" s="25">
        <f t="shared" si="480"/>
        <v>30</v>
      </c>
      <c r="AP241" s="52" t="e">
        <f t="shared" si="501"/>
        <v>#N/A</v>
      </c>
      <c r="AQ241" s="53" t="e">
        <f t="shared" si="501"/>
        <v>#N/A</v>
      </c>
      <c r="AR241" s="54" t="e">
        <f t="shared" si="501"/>
        <v>#N/A</v>
      </c>
      <c r="AS241" s="316">
        <f t="shared" si="571"/>
        <v>0</v>
      </c>
      <c r="AT241" s="106">
        <f>_xlfn.IFNA($M241/VLOOKUP($BT241,'Unit information'!$A$2:$K$29,2,FALSE)*R241,0)*(1+$E$9)</f>
        <v>0</v>
      </c>
      <c r="AU241" s="107">
        <f>_xlfn.IFNA($M241/VLOOKUP($BT241,'Unit information'!$A$2:$K$29,3,FALSE)*S241,0)*(1+$E$9)</f>
        <v>0</v>
      </c>
      <c r="AV241" s="107">
        <f>_xlfn.IFNA($M241/VLOOKUP($BT241,'Unit information'!$A$2:$K$29,4,FALSE)*T241,0)*(1+$E$9)</f>
        <v>0</v>
      </c>
      <c r="AW241" s="107">
        <f>_xlfn.IFNA($M241/VLOOKUP($BT241,'Unit information'!$A$2:$K$29,5,FALSE)*U241,0)*(1+$E$9)</f>
        <v>0</v>
      </c>
      <c r="AX241" s="107">
        <f>_xlfn.IFNA($M241/VLOOKUP($BU241,'Unit information'!$A$2:$K$29,6,FALSE)*V241,0)*(1+$E$9)</f>
        <v>0</v>
      </c>
      <c r="AY241" s="107">
        <f>_xlfn.IFNA($M241/VLOOKUP($BU241,'Unit information'!$A$2:$K$29,7,FALSE)*W241,0)*(1+$E$9)</f>
        <v>0</v>
      </c>
      <c r="AZ241" s="107">
        <f>_xlfn.IFNA($M241/VLOOKUP($BU241,'Unit information'!$A$2:$K$29,8,FALSE)*X241,0)*(1+$E$9)</f>
        <v>0</v>
      </c>
      <c r="BA241" s="107">
        <f>_xlfn.IFNA($M241/VLOOKUP($BU241,'Unit information'!$A$2:$K$29,9,FALSE)*Y241,0)*(1+$E$9)</f>
        <v>0</v>
      </c>
      <c r="BB241" s="107">
        <f>_xlfn.IFNA($M241/VLOOKUP($BV241,'Unit information'!$A$2:$K$29,10,FALSE)*Z241,0)*(1+$E$9)</f>
        <v>0</v>
      </c>
      <c r="BC241" s="108">
        <f>_xlfn.IFNA($M241/VLOOKUP($BV241,'Unit information'!$A$2:$K$29,11,FALSE)*AA241,0)*(1+$E$9)</f>
        <v>0</v>
      </c>
      <c r="BD241" s="106">
        <f t="shared" si="481"/>
        <v>0</v>
      </c>
      <c r="BE241" s="107">
        <f t="shared" si="482"/>
        <v>0</v>
      </c>
      <c r="BF241" s="108">
        <f t="shared" si="483"/>
        <v>0</v>
      </c>
      <c r="BG241" s="25" t="e">
        <f t="shared" si="484"/>
        <v>#N/A</v>
      </c>
      <c r="BH241" s="25" t="e">
        <f t="shared" si="485"/>
        <v>#N/A</v>
      </c>
      <c r="BI241" s="25" t="e">
        <f t="shared" si="486"/>
        <v>#N/A</v>
      </c>
      <c r="BJ241" s="27" t="e">
        <f t="shared" si="487"/>
        <v>#N/A</v>
      </c>
      <c r="BK241" s="18" t="e">
        <f t="shared" si="488"/>
        <v>#N/A</v>
      </c>
      <c r="BL241" s="18" t="e">
        <f t="shared" si="489"/>
        <v>#N/A</v>
      </c>
      <c r="BM241" s="28" t="e">
        <f t="shared" si="540"/>
        <v>#N/A</v>
      </c>
      <c r="BN241" s="33">
        <f>HLOOKUP("maximum population",Miscelaneous!$C$1:$C$33,CH241+3,FALSE)</f>
        <v>240</v>
      </c>
      <c r="BO241" s="14">
        <f t="shared" si="502"/>
        <v>32</v>
      </c>
      <c r="BP241" s="14">
        <f t="shared" si="503"/>
        <v>0</v>
      </c>
      <c r="BQ241" s="14">
        <f t="shared" si="504"/>
        <v>208</v>
      </c>
      <c r="BR241" s="34" t="e">
        <f>HLOOKUP(J241,Villagers!$B$1:$V$33,L241+3,FALSE)-HLOOKUP(J241,Villagers!$B$1:$V$33,L241+2,FALSE)</f>
        <v>#N/A</v>
      </c>
      <c r="BS241" s="49">
        <f t="shared" si="505"/>
        <v>1</v>
      </c>
      <c r="BT241" s="50">
        <f t="shared" si="506"/>
        <v>0</v>
      </c>
      <c r="BU241" s="50">
        <f t="shared" si="507"/>
        <v>0</v>
      </c>
      <c r="BV241" s="50">
        <f t="shared" si="508"/>
        <v>0</v>
      </c>
      <c r="BW241" s="50">
        <f t="shared" si="575"/>
        <v>0</v>
      </c>
      <c r="BX241" s="50">
        <f t="shared" si="576"/>
        <v>0</v>
      </c>
      <c r="BY241" s="50">
        <f t="shared" si="576"/>
        <v>0</v>
      </c>
      <c r="BZ241" s="50">
        <f t="shared" si="554"/>
        <v>0</v>
      </c>
      <c r="CA241" s="50">
        <f t="shared" si="555"/>
        <v>0</v>
      </c>
      <c r="CB241" s="50">
        <f t="shared" si="556"/>
        <v>1</v>
      </c>
      <c r="CC241" s="50">
        <f t="shared" si="557"/>
        <v>0</v>
      </c>
      <c r="CD241" s="50">
        <f t="shared" si="558"/>
        <v>0</v>
      </c>
      <c r="CE241" s="50">
        <f t="shared" si="559"/>
        <v>1</v>
      </c>
      <c r="CF241" s="50">
        <f t="shared" si="560"/>
        <v>1</v>
      </c>
      <c r="CG241" s="50">
        <f t="shared" si="561"/>
        <v>1</v>
      </c>
      <c r="CH241" s="50">
        <f t="shared" si="562"/>
        <v>1</v>
      </c>
      <c r="CI241" s="50">
        <f t="shared" si="563"/>
        <v>1</v>
      </c>
      <c r="CJ241" s="50">
        <f t="shared" si="564"/>
        <v>1</v>
      </c>
      <c r="CK241" s="50">
        <f t="shared" si="564"/>
        <v>0</v>
      </c>
      <c r="CL241" s="50">
        <f t="shared" si="564"/>
        <v>0</v>
      </c>
      <c r="CM241" s="51">
        <f t="shared" si="587"/>
        <v>0</v>
      </c>
      <c r="CN241" s="33">
        <f>ROUND(IF(BS241=0,0,HLOOKUP(BS$14,Villagers!$B$1:$V$33,BS241+3,FALSE)),)</f>
        <v>5</v>
      </c>
      <c r="CO241" s="14">
        <f>ROUND(IF(BT241=0,0,HLOOKUP(BT$14,Villagers!$B$1:$V$33,BT241+3,FALSE)),)</f>
        <v>0</v>
      </c>
      <c r="CP241" s="14">
        <f>ROUND(IF(BU241=0,0,HLOOKUP(BU$14,Villagers!$B$1:$V$33,BU241+3,FALSE)),)</f>
        <v>0</v>
      </c>
      <c r="CQ241" s="14">
        <f>ROUND(IF(BV241=0,0,HLOOKUP(BV$14,Villagers!$B$1:$V$33,BV241+3,FALSE)),)</f>
        <v>0</v>
      </c>
      <c r="CR241" s="14">
        <f>ROUND(IF(BW241=0,0,HLOOKUP(BW$14,Villagers!$B$1:$V$33,BW241+3,FALSE)),)</f>
        <v>0</v>
      </c>
      <c r="CS241" s="14">
        <f>ROUND(IF(BX241=0,0,HLOOKUP(BX$14,Villagers!$B$1:$V$33,BX241+3,FALSE)),)</f>
        <v>0</v>
      </c>
      <c r="CT241" s="14">
        <f>ROUND(IF(BY241=0,0,HLOOKUP(BY$14,Villagers!$B$1:$V$33,BY241+3,FALSE)),)</f>
        <v>0</v>
      </c>
      <c r="CU241" s="14">
        <f>ROUND(IF(BZ241=0,0,HLOOKUP(BZ$14,Villagers!$B$1:$V$33,BZ241+3,FALSE)),)</f>
        <v>0</v>
      </c>
      <c r="CV241" s="14">
        <f>ROUND(IF(CA241=0,0,HLOOKUP(CA$14,Villagers!$B$1:$V$33,CA241+3,FALSE)),)</f>
        <v>0</v>
      </c>
      <c r="CW241" s="14">
        <f>ROUND(IF(CB241=0,0,HLOOKUP(CB$14,Villagers!$B$1:$V$33,CB241+3,FALSE)),)</f>
        <v>0</v>
      </c>
      <c r="CX241" s="14">
        <f>ROUND(IF(CC241=0,0,HLOOKUP(CC$14,Villagers!$B$1:$V$33,CC241+3,FALSE)),)</f>
        <v>0</v>
      </c>
      <c r="CY241" s="14">
        <f>ROUND(IF(CD241=0,0,HLOOKUP(CD$14,Villagers!$B$1:$V$33,CD241+3,FALSE)),)</f>
        <v>0</v>
      </c>
      <c r="CZ241" s="14">
        <f>ROUND(IF(CE241=0,0,HLOOKUP(CE$14,Villagers!$B$1:$V$33,CE241+3,FALSE)),)</f>
        <v>5</v>
      </c>
      <c r="DA241" s="14">
        <f>ROUND(IF(CF241=0,0,HLOOKUP(CF$14,Villagers!$B$1:$V$33,CF241+3,FALSE)),)</f>
        <v>10</v>
      </c>
      <c r="DB241" s="14">
        <f>ROUND(IF(CG241=0,0,HLOOKUP(CG$14,Villagers!$B$1:$V$33,CG241+3,FALSE)),)</f>
        <v>10</v>
      </c>
      <c r="DC241" s="14">
        <f>ROUND(IF(CH241=0,0,HLOOKUP(CH$14,Villagers!$B$1:$V$33,CH241+3,FALSE)),)</f>
        <v>0</v>
      </c>
      <c r="DD241" s="14">
        <f>ROUND(IF(CI241=0,0,HLOOKUP(CI$14,Villagers!$B$1:$V$33,CI241+3,FALSE)),)</f>
        <v>0</v>
      </c>
      <c r="DE241" s="14">
        <f>ROUND(IF(CJ241=0,0,HLOOKUP(CJ$14,Villagers!$B$1:$V$33,CJ241+3,FALSE)),)</f>
        <v>2</v>
      </c>
      <c r="DF241" s="370">
        <f>ROUND(IF(CK241=0,0,HLOOKUP(CK$14,Villagers!$B$1:$V$33,CK241+3,FALSE)),)</f>
        <v>0</v>
      </c>
      <c r="DG241" s="370">
        <f>ROUND(IF(CL241=0,0,HLOOKUP(CL$14,Villagers!$B$1:$V$33,CL241+3,FALSE)),)</f>
        <v>0</v>
      </c>
      <c r="DH241" s="34">
        <f>ROUND(IF(CM241=0,0,HLOOKUP(CM$14,Villagers!$B$1:$V$33,CM241+3,FALSE)),)</f>
        <v>0</v>
      </c>
      <c r="DI241" s="109">
        <f t="shared" si="526"/>
        <v>0</v>
      </c>
      <c r="DJ241" s="50">
        <f t="shared" si="527"/>
        <v>0</v>
      </c>
      <c r="DK241" s="50">
        <f t="shared" si="528"/>
        <v>0</v>
      </c>
      <c r="DL241" s="50">
        <f t="shared" si="529"/>
        <v>0</v>
      </c>
      <c r="DM241" s="50">
        <f t="shared" si="530"/>
        <v>0</v>
      </c>
      <c r="DN241" s="50">
        <f t="shared" si="531"/>
        <v>0</v>
      </c>
      <c r="DO241" s="50">
        <f t="shared" si="532"/>
        <v>0</v>
      </c>
      <c r="DP241" s="50">
        <f t="shared" si="533"/>
        <v>0</v>
      </c>
      <c r="DQ241" s="50">
        <f t="shared" si="510"/>
        <v>0</v>
      </c>
      <c r="DR241" s="50">
        <f t="shared" si="511"/>
        <v>0</v>
      </c>
      <c r="DS241" s="96">
        <f>Miscelaneous!$D$4*Miscelaneous!$D$2^($CI241-1)</f>
        <v>1000</v>
      </c>
      <c r="DT241" s="333">
        <f t="shared" si="490"/>
        <v>1</v>
      </c>
      <c r="DU241" s="81">
        <v>1</v>
      </c>
      <c r="DV241" s="79">
        <f t="shared" si="512"/>
        <v>0</v>
      </c>
      <c r="DW241" s="79">
        <f t="shared" si="513"/>
        <v>0</v>
      </c>
      <c r="DX241" s="79">
        <f t="shared" si="514"/>
        <v>0</v>
      </c>
      <c r="DY241" s="79">
        <v>1</v>
      </c>
      <c r="DZ241" s="79">
        <f t="shared" si="515"/>
        <v>0</v>
      </c>
      <c r="EA241" s="79">
        <f t="shared" si="516"/>
        <v>0</v>
      </c>
      <c r="EB241" s="79">
        <f t="shared" si="517"/>
        <v>0</v>
      </c>
      <c r="EC241" s="79">
        <f t="shared" si="518"/>
        <v>0</v>
      </c>
      <c r="ED241" s="79">
        <v>1</v>
      </c>
      <c r="EE241" s="79">
        <v>1</v>
      </c>
      <c r="EF241" s="79">
        <f t="shared" si="519"/>
        <v>0</v>
      </c>
      <c r="EG241" s="79">
        <v>1</v>
      </c>
      <c r="EH241" s="79">
        <v>1</v>
      </c>
      <c r="EI241" s="79">
        <v>1</v>
      </c>
      <c r="EJ241" s="79">
        <v>1</v>
      </c>
      <c r="EK241" s="79">
        <v>1</v>
      </c>
      <c r="EL241" s="79">
        <v>1</v>
      </c>
      <c r="EM241" s="143">
        <f t="shared" si="520"/>
        <v>0</v>
      </c>
      <c r="EN241" s="143">
        <f t="shared" si="521"/>
        <v>0</v>
      </c>
      <c r="EO241" s="82">
        <f t="shared" si="522"/>
        <v>0</v>
      </c>
    </row>
    <row r="242" spans="1:145" x14ac:dyDescent="0.25">
      <c r="A242">
        <v>228</v>
      </c>
      <c r="B242" s="172" t="e">
        <f t="shared" si="491"/>
        <v>#N/A</v>
      </c>
      <c r="C242" s="121" t="e">
        <f t="shared" ref="C242:E242" si="590">AJ242-SUM(AB242:AB246)</f>
        <v>#N/A</v>
      </c>
      <c r="D242" s="122" t="e">
        <f t="shared" si="590"/>
        <v>#N/A</v>
      </c>
      <c r="E242" s="122" t="e">
        <f t="shared" si="590"/>
        <v>#N/A</v>
      </c>
      <c r="F242" s="176" t="e">
        <f t="shared" si="473"/>
        <v>#N/A</v>
      </c>
      <c r="G242" s="121">
        <f t="shared" si="493"/>
        <v>208</v>
      </c>
      <c r="H242" s="176" t="e">
        <f t="shared" si="494"/>
        <v>#N/A</v>
      </c>
      <c r="I242" s="48">
        <v>1</v>
      </c>
      <c r="J242" s="39"/>
      <c r="K242" s="350">
        <v>1</v>
      </c>
      <c r="L242" s="34" t="e">
        <f t="shared" si="474"/>
        <v>#N/A</v>
      </c>
      <c r="M242" s="38" t="e">
        <f>(HLOOKUP(J242,'Construction Times'!$B$3:$W$34,L242+2,FALSE)*HLOOKUP("hq modifier",'Construction Times'!$W$3:$W$34,BS242+2,FALSE))*(1-$H$9)</f>
        <v>#N/A</v>
      </c>
      <c r="N242" s="426" t="e">
        <f t="shared" si="495"/>
        <v>#N/A</v>
      </c>
      <c r="O242" s="427"/>
      <c r="P242" s="430" t="e">
        <f t="shared" si="496"/>
        <v>#N/A</v>
      </c>
      <c r="Q242" s="431"/>
      <c r="R242" s="103">
        <f t="shared" si="524"/>
        <v>0</v>
      </c>
      <c r="S242" s="104">
        <f t="shared" si="524"/>
        <v>0</v>
      </c>
      <c r="T242" s="104">
        <f t="shared" si="525"/>
        <v>0</v>
      </c>
      <c r="U242" s="104">
        <f t="shared" si="525"/>
        <v>0</v>
      </c>
      <c r="V242" s="104">
        <f t="shared" si="525"/>
        <v>9.9999999999999995E-8</v>
      </c>
      <c r="W242" s="104">
        <f t="shared" si="525"/>
        <v>0</v>
      </c>
      <c r="X242" s="104">
        <f t="shared" si="584"/>
        <v>0</v>
      </c>
      <c r="Y242" s="104">
        <f t="shared" si="584"/>
        <v>9.9999999999999995E-8</v>
      </c>
      <c r="Z242" s="104">
        <f t="shared" si="584"/>
        <v>9.9999999999999995E-8</v>
      </c>
      <c r="AA242" s="105">
        <f t="shared" si="584"/>
        <v>9.9999999999999995E-8</v>
      </c>
      <c r="AB242" s="101" t="e">
        <f>$DT242*HLOOKUP($J242,'Construction Costs (timber)'!$B$1:$V$32,'Construction Planner'!$L242+2,FALSE)</f>
        <v>#N/A</v>
      </c>
      <c r="AC242" s="14" t="e">
        <f>$DT242*HLOOKUP($J242,'Construction Costs (clay)'!$B$1:$V$32,'Construction Planner'!$L242+2,FALSE)</f>
        <v>#N/A</v>
      </c>
      <c r="AD242" s="14" t="e">
        <f>$DT242*HLOOKUP($J242,'Construction Costs (iron)'!$B$1:$V$32,'Construction Planner'!$L242+2,FALSE)</f>
        <v>#N/A</v>
      </c>
      <c r="AE242" s="34" t="e">
        <f t="shared" si="537"/>
        <v>#N/A</v>
      </c>
      <c r="AF242" s="33" t="e">
        <f t="shared" si="475"/>
        <v>#N/A</v>
      </c>
      <c r="AG242" s="14" t="e">
        <f t="shared" si="476"/>
        <v>#N/A</v>
      </c>
      <c r="AH242" s="14" t="e">
        <f t="shared" si="477"/>
        <v>#N/A</v>
      </c>
      <c r="AI242" s="34" t="e">
        <f t="shared" si="538"/>
        <v>#N/A</v>
      </c>
      <c r="AJ242" s="49" t="e">
        <f t="shared" si="498"/>
        <v>#N/A</v>
      </c>
      <c r="AK242" s="49" t="e">
        <f t="shared" si="499"/>
        <v>#N/A</v>
      </c>
      <c r="AL242" s="49" t="e">
        <f t="shared" si="500"/>
        <v>#N/A</v>
      </c>
      <c r="AM242" s="25">
        <f t="shared" si="478"/>
        <v>30</v>
      </c>
      <c r="AN242" s="25">
        <f t="shared" si="479"/>
        <v>30</v>
      </c>
      <c r="AO242" s="25">
        <f t="shared" si="480"/>
        <v>30</v>
      </c>
      <c r="AP242" s="52" t="e">
        <f t="shared" si="501"/>
        <v>#N/A</v>
      </c>
      <c r="AQ242" s="53" t="e">
        <f t="shared" si="501"/>
        <v>#N/A</v>
      </c>
      <c r="AR242" s="54" t="e">
        <f t="shared" si="501"/>
        <v>#N/A</v>
      </c>
      <c r="AS242" s="316">
        <f t="shared" si="571"/>
        <v>0</v>
      </c>
      <c r="AT242" s="106">
        <f>_xlfn.IFNA($M242/VLOOKUP($BT242,'Unit information'!$A$2:$K$29,2,FALSE)*R242,0)*(1+$E$9)</f>
        <v>0</v>
      </c>
      <c r="AU242" s="107">
        <f>_xlfn.IFNA($M242/VLOOKUP($BT242,'Unit information'!$A$2:$K$29,3,FALSE)*S242,0)*(1+$E$9)</f>
        <v>0</v>
      </c>
      <c r="AV242" s="107">
        <f>_xlfn.IFNA($M242/VLOOKUP($BT242,'Unit information'!$A$2:$K$29,4,FALSE)*T242,0)*(1+$E$9)</f>
        <v>0</v>
      </c>
      <c r="AW242" s="107">
        <f>_xlfn.IFNA($M242/VLOOKUP($BT242,'Unit information'!$A$2:$K$29,5,FALSE)*U242,0)*(1+$E$9)</f>
        <v>0</v>
      </c>
      <c r="AX242" s="107">
        <f>_xlfn.IFNA($M242/VLOOKUP($BU242,'Unit information'!$A$2:$K$29,6,FALSE)*V242,0)*(1+$E$9)</f>
        <v>0</v>
      </c>
      <c r="AY242" s="107">
        <f>_xlfn.IFNA($M242/VLOOKUP($BU242,'Unit information'!$A$2:$K$29,7,FALSE)*W242,0)*(1+$E$9)</f>
        <v>0</v>
      </c>
      <c r="AZ242" s="107">
        <f>_xlfn.IFNA($M242/VLOOKUP($BU242,'Unit information'!$A$2:$K$29,8,FALSE)*X242,0)*(1+$E$9)</f>
        <v>0</v>
      </c>
      <c r="BA242" s="107">
        <f>_xlfn.IFNA($M242/VLOOKUP($BU242,'Unit information'!$A$2:$K$29,9,FALSE)*Y242,0)*(1+$E$9)</f>
        <v>0</v>
      </c>
      <c r="BB242" s="107">
        <f>_xlfn.IFNA($M242/VLOOKUP($BV242,'Unit information'!$A$2:$K$29,10,FALSE)*Z242,0)*(1+$E$9)</f>
        <v>0</v>
      </c>
      <c r="BC242" s="108">
        <f>_xlfn.IFNA($M242/VLOOKUP($BV242,'Unit information'!$A$2:$K$29,11,FALSE)*AA242,0)*(1+$E$9)</f>
        <v>0</v>
      </c>
      <c r="BD242" s="106">
        <f t="shared" si="481"/>
        <v>0</v>
      </c>
      <c r="BE242" s="107">
        <f t="shared" si="482"/>
        <v>0</v>
      </c>
      <c r="BF242" s="108">
        <f t="shared" si="483"/>
        <v>0</v>
      </c>
      <c r="BG242" s="25" t="e">
        <f t="shared" si="484"/>
        <v>#N/A</v>
      </c>
      <c r="BH242" s="25" t="e">
        <f t="shared" si="485"/>
        <v>#N/A</v>
      </c>
      <c r="BI242" s="25" t="e">
        <f t="shared" si="486"/>
        <v>#N/A</v>
      </c>
      <c r="BJ242" s="27" t="e">
        <f t="shared" si="487"/>
        <v>#N/A</v>
      </c>
      <c r="BK242" s="18" t="e">
        <f t="shared" si="488"/>
        <v>#N/A</v>
      </c>
      <c r="BL242" s="18" t="e">
        <f t="shared" si="489"/>
        <v>#N/A</v>
      </c>
      <c r="BM242" s="28" t="e">
        <f t="shared" si="540"/>
        <v>#N/A</v>
      </c>
      <c r="BN242" s="33">
        <f>HLOOKUP("maximum population",Miscelaneous!$C$1:$C$33,CH242+3,FALSE)</f>
        <v>240</v>
      </c>
      <c r="BO242" s="14">
        <f t="shared" si="502"/>
        <v>32</v>
      </c>
      <c r="BP242" s="14">
        <f t="shared" si="503"/>
        <v>0</v>
      </c>
      <c r="BQ242" s="14">
        <f t="shared" si="504"/>
        <v>208</v>
      </c>
      <c r="BR242" s="34" t="e">
        <f>HLOOKUP(J242,Villagers!$B$1:$V$33,L242+3,FALSE)-HLOOKUP(J242,Villagers!$B$1:$V$33,L242+2,FALSE)</f>
        <v>#N/A</v>
      </c>
      <c r="BS242" s="49">
        <f t="shared" si="505"/>
        <v>1</v>
      </c>
      <c r="BT242" s="50">
        <f t="shared" si="506"/>
        <v>0</v>
      </c>
      <c r="BU242" s="50">
        <f t="shared" si="507"/>
        <v>0</v>
      </c>
      <c r="BV242" s="50">
        <f t="shared" si="508"/>
        <v>0</v>
      </c>
      <c r="BW242" s="50">
        <f t="shared" si="575"/>
        <v>0</v>
      </c>
      <c r="BX242" s="50">
        <f t="shared" si="576"/>
        <v>0</v>
      </c>
      <c r="BY242" s="50">
        <f t="shared" si="576"/>
        <v>0</v>
      </c>
      <c r="BZ242" s="50">
        <f t="shared" si="554"/>
        <v>0</v>
      </c>
      <c r="CA242" s="50">
        <f t="shared" si="555"/>
        <v>0</v>
      </c>
      <c r="CB242" s="50">
        <f t="shared" si="556"/>
        <v>1</v>
      </c>
      <c r="CC242" s="50">
        <f t="shared" si="557"/>
        <v>0</v>
      </c>
      <c r="CD242" s="50">
        <f t="shared" si="558"/>
        <v>0</v>
      </c>
      <c r="CE242" s="50">
        <f t="shared" si="559"/>
        <v>1</v>
      </c>
      <c r="CF242" s="50">
        <f t="shared" si="560"/>
        <v>1</v>
      </c>
      <c r="CG242" s="50">
        <f t="shared" si="561"/>
        <v>1</v>
      </c>
      <c r="CH242" s="50">
        <f t="shared" si="562"/>
        <v>1</v>
      </c>
      <c r="CI242" s="50">
        <f t="shared" si="563"/>
        <v>1</v>
      </c>
      <c r="CJ242" s="50">
        <f t="shared" si="564"/>
        <v>1</v>
      </c>
      <c r="CK242" s="50">
        <f t="shared" si="564"/>
        <v>0</v>
      </c>
      <c r="CL242" s="50">
        <f t="shared" si="564"/>
        <v>0</v>
      </c>
      <c r="CM242" s="51">
        <f t="shared" si="587"/>
        <v>0</v>
      </c>
      <c r="CN242" s="33">
        <f>ROUND(IF(BS242=0,0,HLOOKUP(BS$14,Villagers!$B$1:$V$33,BS242+3,FALSE)),)</f>
        <v>5</v>
      </c>
      <c r="CO242" s="14">
        <f>ROUND(IF(BT242=0,0,HLOOKUP(BT$14,Villagers!$B$1:$V$33,BT242+3,FALSE)),)</f>
        <v>0</v>
      </c>
      <c r="CP242" s="14">
        <f>ROUND(IF(BU242=0,0,HLOOKUP(BU$14,Villagers!$B$1:$V$33,BU242+3,FALSE)),)</f>
        <v>0</v>
      </c>
      <c r="CQ242" s="14">
        <f>ROUND(IF(BV242=0,0,HLOOKUP(BV$14,Villagers!$B$1:$V$33,BV242+3,FALSE)),)</f>
        <v>0</v>
      </c>
      <c r="CR242" s="14">
        <f>ROUND(IF(BW242=0,0,HLOOKUP(BW$14,Villagers!$B$1:$V$33,BW242+3,FALSE)),)</f>
        <v>0</v>
      </c>
      <c r="CS242" s="14">
        <f>ROUND(IF(BX242=0,0,HLOOKUP(BX$14,Villagers!$B$1:$V$33,BX242+3,FALSE)),)</f>
        <v>0</v>
      </c>
      <c r="CT242" s="14">
        <f>ROUND(IF(BY242=0,0,HLOOKUP(BY$14,Villagers!$B$1:$V$33,BY242+3,FALSE)),)</f>
        <v>0</v>
      </c>
      <c r="CU242" s="14">
        <f>ROUND(IF(BZ242=0,0,HLOOKUP(BZ$14,Villagers!$B$1:$V$33,BZ242+3,FALSE)),)</f>
        <v>0</v>
      </c>
      <c r="CV242" s="14">
        <f>ROUND(IF(CA242=0,0,HLOOKUP(CA$14,Villagers!$B$1:$V$33,CA242+3,FALSE)),)</f>
        <v>0</v>
      </c>
      <c r="CW242" s="14">
        <f>ROUND(IF(CB242=0,0,HLOOKUP(CB$14,Villagers!$B$1:$V$33,CB242+3,FALSE)),)</f>
        <v>0</v>
      </c>
      <c r="CX242" s="14">
        <f>ROUND(IF(CC242=0,0,HLOOKUP(CC$14,Villagers!$B$1:$V$33,CC242+3,FALSE)),)</f>
        <v>0</v>
      </c>
      <c r="CY242" s="14">
        <f>ROUND(IF(CD242=0,0,HLOOKUP(CD$14,Villagers!$B$1:$V$33,CD242+3,FALSE)),)</f>
        <v>0</v>
      </c>
      <c r="CZ242" s="14">
        <f>ROUND(IF(CE242=0,0,HLOOKUP(CE$14,Villagers!$B$1:$V$33,CE242+3,FALSE)),)</f>
        <v>5</v>
      </c>
      <c r="DA242" s="14">
        <f>ROUND(IF(CF242=0,0,HLOOKUP(CF$14,Villagers!$B$1:$V$33,CF242+3,FALSE)),)</f>
        <v>10</v>
      </c>
      <c r="DB242" s="14">
        <f>ROUND(IF(CG242=0,0,HLOOKUP(CG$14,Villagers!$B$1:$V$33,CG242+3,FALSE)),)</f>
        <v>10</v>
      </c>
      <c r="DC242" s="14">
        <f>ROUND(IF(CH242=0,0,HLOOKUP(CH$14,Villagers!$B$1:$V$33,CH242+3,FALSE)),)</f>
        <v>0</v>
      </c>
      <c r="DD242" s="14">
        <f>ROUND(IF(CI242=0,0,HLOOKUP(CI$14,Villagers!$B$1:$V$33,CI242+3,FALSE)),)</f>
        <v>0</v>
      </c>
      <c r="DE242" s="14">
        <f>ROUND(IF(CJ242=0,0,HLOOKUP(CJ$14,Villagers!$B$1:$V$33,CJ242+3,FALSE)),)</f>
        <v>2</v>
      </c>
      <c r="DF242" s="370">
        <f>ROUND(IF(CK242=0,0,HLOOKUP(CK$14,Villagers!$B$1:$V$33,CK242+3,FALSE)),)</f>
        <v>0</v>
      </c>
      <c r="DG242" s="370">
        <f>ROUND(IF(CL242=0,0,HLOOKUP(CL$14,Villagers!$B$1:$V$33,CL242+3,FALSE)),)</f>
        <v>0</v>
      </c>
      <c r="DH242" s="34">
        <f>ROUND(IF(CM242=0,0,HLOOKUP(CM$14,Villagers!$B$1:$V$33,CM242+3,FALSE)),)</f>
        <v>0</v>
      </c>
      <c r="DI242" s="109">
        <f t="shared" si="526"/>
        <v>0</v>
      </c>
      <c r="DJ242" s="50">
        <f t="shared" si="527"/>
        <v>0</v>
      </c>
      <c r="DK242" s="50">
        <f t="shared" si="528"/>
        <v>0</v>
      </c>
      <c r="DL242" s="50">
        <f t="shared" si="529"/>
        <v>0</v>
      </c>
      <c r="DM242" s="50">
        <f t="shared" si="530"/>
        <v>0</v>
      </c>
      <c r="DN242" s="50">
        <f t="shared" si="531"/>
        <v>0</v>
      </c>
      <c r="DO242" s="50">
        <f t="shared" si="532"/>
        <v>0</v>
      </c>
      <c r="DP242" s="50">
        <f t="shared" si="533"/>
        <v>0</v>
      </c>
      <c r="DQ242" s="50">
        <f t="shared" si="510"/>
        <v>0</v>
      </c>
      <c r="DR242" s="50">
        <f t="shared" si="511"/>
        <v>0</v>
      </c>
      <c r="DS242" s="96">
        <f>Miscelaneous!$D$4*Miscelaneous!$D$2^($CI242-1)</f>
        <v>1000</v>
      </c>
      <c r="DT242" s="333">
        <f t="shared" si="490"/>
        <v>1</v>
      </c>
      <c r="DU242" s="81">
        <v>1</v>
      </c>
      <c r="DV242" s="79">
        <f t="shared" si="512"/>
        <v>0</v>
      </c>
      <c r="DW242" s="79">
        <f t="shared" si="513"/>
        <v>0</v>
      </c>
      <c r="DX242" s="79">
        <f t="shared" si="514"/>
        <v>0</v>
      </c>
      <c r="DY242" s="79">
        <v>1</v>
      </c>
      <c r="DZ242" s="79">
        <f t="shared" si="515"/>
        <v>0</v>
      </c>
      <c r="EA242" s="79">
        <f t="shared" si="516"/>
        <v>0</v>
      </c>
      <c r="EB242" s="79">
        <f t="shared" si="517"/>
        <v>0</v>
      </c>
      <c r="EC242" s="79">
        <f t="shared" si="518"/>
        <v>0</v>
      </c>
      <c r="ED242" s="79">
        <v>1</v>
      </c>
      <c r="EE242" s="79">
        <v>1</v>
      </c>
      <c r="EF242" s="79">
        <f t="shared" si="519"/>
        <v>0</v>
      </c>
      <c r="EG242" s="79">
        <v>1</v>
      </c>
      <c r="EH242" s="79">
        <v>1</v>
      </c>
      <c r="EI242" s="79">
        <v>1</v>
      </c>
      <c r="EJ242" s="79">
        <v>1</v>
      </c>
      <c r="EK242" s="79">
        <v>1</v>
      </c>
      <c r="EL242" s="79">
        <v>1</v>
      </c>
      <c r="EM242" s="143">
        <f t="shared" si="520"/>
        <v>0</v>
      </c>
      <c r="EN242" s="143">
        <f t="shared" si="521"/>
        <v>0</v>
      </c>
      <c r="EO242" s="82">
        <f t="shared" si="522"/>
        <v>0</v>
      </c>
    </row>
    <row r="243" spans="1:145" x14ac:dyDescent="0.25">
      <c r="A243">
        <v>229</v>
      </c>
      <c r="B243" s="172" t="e">
        <f t="shared" si="491"/>
        <v>#N/A</v>
      </c>
      <c r="C243" s="121" t="e">
        <f t="shared" ref="C243:E243" si="591">AJ243-SUM(AB243:AB247)</f>
        <v>#N/A</v>
      </c>
      <c r="D243" s="122" t="e">
        <f t="shared" si="591"/>
        <v>#N/A</v>
      </c>
      <c r="E243" s="122" t="e">
        <f t="shared" si="591"/>
        <v>#N/A</v>
      </c>
      <c r="F243" s="176" t="e">
        <f t="shared" si="473"/>
        <v>#N/A</v>
      </c>
      <c r="G243" s="121">
        <f t="shared" si="493"/>
        <v>208</v>
      </c>
      <c r="H243" s="176" t="e">
        <f t="shared" si="494"/>
        <v>#N/A</v>
      </c>
      <c r="I243" s="48">
        <v>1</v>
      </c>
      <c r="J243" s="39"/>
      <c r="K243" s="350">
        <v>1</v>
      </c>
      <c r="L243" s="34" t="e">
        <f t="shared" si="474"/>
        <v>#N/A</v>
      </c>
      <c r="M243" s="38" t="e">
        <f>(HLOOKUP(J243,'Construction Times'!$B$3:$W$34,L243+2,FALSE)*HLOOKUP("hq modifier",'Construction Times'!$W$3:$W$34,BS243+2,FALSE))*(1-$H$9)</f>
        <v>#N/A</v>
      </c>
      <c r="N243" s="426" t="e">
        <f t="shared" si="495"/>
        <v>#N/A</v>
      </c>
      <c r="O243" s="427"/>
      <c r="P243" s="430" t="e">
        <f t="shared" si="496"/>
        <v>#N/A</v>
      </c>
      <c r="Q243" s="431"/>
      <c r="R243" s="103">
        <f t="shared" si="524"/>
        <v>0</v>
      </c>
      <c r="S243" s="104">
        <f t="shared" si="524"/>
        <v>0</v>
      </c>
      <c r="T243" s="104">
        <f t="shared" si="525"/>
        <v>0</v>
      </c>
      <c r="U243" s="104">
        <f t="shared" si="525"/>
        <v>0</v>
      </c>
      <c r="V243" s="104">
        <f t="shared" si="525"/>
        <v>9.9999999999999995E-8</v>
      </c>
      <c r="W243" s="104">
        <f t="shared" si="525"/>
        <v>0</v>
      </c>
      <c r="X243" s="104">
        <f t="shared" si="584"/>
        <v>0</v>
      </c>
      <c r="Y243" s="104">
        <f t="shared" si="584"/>
        <v>9.9999999999999995E-8</v>
      </c>
      <c r="Z243" s="104">
        <f t="shared" si="584"/>
        <v>9.9999999999999995E-8</v>
      </c>
      <c r="AA243" s="105">
        <f t="shared" si="584"/>
        <v>9.9999999999999995E-8</v>
      </c>
      <c r="AB243" s="101" t="e">
        <f>$DT243*HLOOKUP($J243,'Construction Costs (timber)'!$B$1:$V$32,'Construction Planner'!$L243+2,FALSE)</f>
        <v>#N/A</v>
      </c>
      <c r="AC243" s="14" t="e">
        <f>$DT243*HLOOKUP($J243,'Construction Costs (clay)'!$B$1:$V$32,'Construction Planner'!$L243+2,FALSE)</f>
        <v>#N/A</v>
      </c>
      <c r="AD243" s="14" t="e">
        <f>$DT243*HLOOKUP($J243,'Construction Costs (iron)'!$B$1:$V$32,'Construction Planner'!$L243+2,FALSE)</f>
        <v>#N/A</v>
      </c>
      <c r="AE243" s="34" t="e">
        <f t="shared" si="537"/>
        <v>#N/A</v>
      </c>
      <c r="AF243" s="33" t="e">
        <f t="shared" si="475"/>
        <v>#N/A</v>
      </c>
      <c r="AG243" s="14" t="e">
        <f t="shared" si="476"/>
        <v>#N/A</v>
      </c>
      <c r="AH243" s="14" t="e">
        <f t="shared" si="477"/>
        <v>#N/A</v>
      </c>
      <c r="AI243" s="34" t="e">
        <f t="shared" si="538"/>
        <v>#N/A</v>
      </c>
      <c r="AJ243" s="49" t="e">
        <f t="shared" si="498"/>
        <v>#N/A</v>
      </c>
      <c r="AK243" s="49" t="e">
        <f t="shared" si="499"/>
        <v>#N/A</v>
      </c>
      <c r="AL243" s="49" t="e">
        <f t="shared" si="500"/>
        <v>#N/A</v>
      </c>
      <c r="AM243" s="25">
        <f t="shared" si="478"/>
        <v>30</v>
      </c>
      <c r="AN243" s="25">
        <f t="shared" si="479"/>
        <v>30</v>
      </c>
      <c r="AO243" s="25">
        <f t="shared" si="480"/>
        <v>30</v>
      </c>
      <c r="AP243" s="52" t="e">
        <f t="shared" si="501"/>
        <v>#N/A</v>
      </c>
      <c r="AQ243" s="53" t="e">
        <f t="shared" si="501"/>
        <v>#N/A</v>
      </c>
      <c r="AR243" s="54" t="e">
        <f t="shared" si="501"/>
        <v>#N/A</v>
      </c>
      <c r="AS243" s="316">
        <f t="shared" si="571"/>
        <v>0</v>
      </c>
      <c r="AT243" s="106">
        <f>_xlfn.IFNA($M243/VLOOKUP($BT243,'Unit information'!$A$2:$K$29,2,FALSE)*R243,0)*(1+$E$9)</f>
        <v>0</v>
      </c>
      <c r="AU243" s="107">
        <f>_xlfn.IFNA($M243/VLOOKUP($BT243,'Unit information'!$A$2:$K$29,3,FALSE)*S243,0)*(1+$E$9)</f>
        <v>0</v>
      </c>
      <c r="AV243" s="107">
        <f>_xlfn.IFNA($M243/VLOOKUP($BT243,'Unit information'!$A$2:$K$29,4,FALSE)*T243,0)*(1+$E$9)</f>
        <v>0</v>
      </c>
      <c r="AW243" s="107">
        <f>_xlfn.IFNA($M243/VLOOKUP($BT243,'Unit information'!$A$2:$K$29,5,FALSE)*U243,0)*(1+$E$9)</f>
        <v>0</v>
      </c>
      <c r="AX243" s="107">
        <f>_xlfn.IFNA($M243/VLOOKUP($BU243,'Unit information'!$A$2:$K$29,6,FALSE)*V243,0)*(1+$E$9)</f>
        <v>0</v>
      </c>
      <c r="AY243" s="107">
        <f>_xlfn.IFNA($M243/VLOOKUP($BU243,'Unit information'!$A$2:$K$29,7,FALSE)*W243,0)*(1+$E$9)</f>
        <v>0</v>
      </c>
      <c r="AZ243" s="107">
        <f>_xlfn.IFNA($M243/VLOOKUP($BU243,'Unit information'!$A$2:$K$29,8,FALSE)*X243,0)*(1+$E$9)</f>
        <v>0</v>
      </c>
      <c r="BA243" s="107">
        <f>_xlfn.IFNA($M243/VLOOKUP($BU243,'Unit information'!$A$2:$K$29,9,FALSE)*Y243,0)*(1+$E$9)</f>
        <v>0</v>
      </c>
      <c r="BB243" s="107">
        <f>_xlfn.IFNA($M243/VLOOKUP($BV243,'Unit information'!$A$2:$K$29,10,FALSE)*Z243,0)*(1+$E$9)</f>
        <v>0</v>
      </c>
      <c r="BC243" s="108">
        <f>_xlfn.IFNA($M243/VLOOKUP($BV243,'Unit information'!$A$2:$K$29,11,FALSE)*AA243,0)*(1+$E$9)</f>
        <v>0</v>
      </c>
      <c r="BD243" s="106">
        <f t="shared" si="481"/>
        <v>0</v>
      </c>
      <c r="BE243" s="107">
        <f t="shared" si="482"/>
        <v>0</v>
      </c>
      <c r="BF243" s="108">
        <f t="shared" si="483"/>
        <v>0</v>
      </c>
      <c r="BG243" s="25" t="e">
        <f t="shared" si="484"/>
        <v>#N/A</v>
      </c>
      <c r="BH243" s="25" t="e">
        <f t="shared" si="485"/>
        <v>#N/A</v>
      </c>
      <c r="BI243" s="25" t="e">
        <f t="shared" si="486"/>
        <v>#N/A</v>
      </c>
      <c r="BJ243" s="27" t="e">
        <f t="shared" si="487"/>
        <v>#N/A</v>
      </c>
      <c r="BK243" s="18" t="e">
        <f t="shared" si="488"/>
        <v>#N/A</v>
      </c>
      <c r="BL243" s="18" t="e">
        <f t="shared" si="489"/>
        <v>#N/A</v>
      </c>
      <c r="BM243" s="28" t="e">
        <f t="shared" si="540"/>
        <v>#N/A</v>
      </c>
      <c r="BN243" s="33">
        <f>HLOOKUP("maximum population",Miscelaneous!$C$1:$C$33,CH243+3,FALSE)</f>
        <v>240</v>
      </c>
      <c r="BO243" s="14">
        <f t="shared" si="502"/>
        <v>32</v>
      </c>
      <c r="BP243" s="14">
        <f t="shared" si="503"/>
        <v>0</v>
      </c>
      <c r="BQ243" s="14">
        <f t="shared" si="504"/>
        <v>208</v>
      </c>
      <c r="BR243" s="34" t="e">
        <f>HLOOKUP(J243,Villagers!$B$1:$V$33,L243+3,FALSE)-HLOOKUP(J243,Villagers!$B$1:$V$33,L243+2,FALSE)</f>
        <v>#N/A</v>
      </c>
      <c r="BS243" s="49">
        <f t="shared" si="505"/>
        <v>1</v>
      </c>
      <c r="BT243" s="50">
        <f t="shared" si="506"/>
        <v>0</v>
      </c>
      <c r="BU243" s="50">
        <f t="shared" si="507"/>
        <v>0</v>
      </c>
      <c r="BV243" s="50">
        <f t="shared" si="508"/>
        <v>0</v>
      </c>
      <c r="BW243" s="50">
        <f t="shared" si="575"/>
        <v>0</v>
      </c>
      <c r="BX243" s="50">
        <f t="shared" si="576"/>
        <v>0</v>
      </c>
      <c r="BY243" s="50">
        <f t="shared" si="576"/>
        <v>0</v>
      </c>
      <c r="BZ243" s="50">
        <f t="shared" si="554"/>
        <v>0</v>
      </c>
      <c r="CA243" s="50">
        <f t="shared" si="555"/>
        <v>0</v>
      </c>
      <c r="CB243" s="50">
        <f t="shared" si="556"/>
        <v>1</v>
      </c>
      <c r="CC243" s="50">
        <f t="shared" si="557"/>
        <v>0</v>
      </c>
      <c r="CD243" s="50">
        <f t="shared" si="558"/>
        <v>0</v>
      </c>
      <c r="CE243" s="50">
        <f t="shared" si="559"/>
        <v>1</v>
      </c>
      <c r="CF243" s="50">
        <f t="shared" si="560"/>
        <v>1</v>
      </c>
      <c r="CG243" s="50">
        <f t="shared" si="561"/>
        <v>1</v>
      </c>
      <c r="CH243" s="50">
        <f t="shared" si="562"/>
        <v>1</v>
      </c>
      <c r="CI243" s="50">
        <f t="shared" si="563"/>
        <v>1</v>
      </c>
      <c r="CJ243" s="50">
        <f t="shared" si="564"/>
        <v>1</v>
      </c>
      <c r="CK243" s="50">
        <f t="shared" si="564"/>
        <v>0</v>
      </c>
      <c r="CL243" s="50">
        <f t="shared" si="564"/>
        <v>0</v>
      </c>
      <c r="CM243" s="51">
        <f t="shared" si="587"/>
        <v>0</v>
      </c>
      <c r="CN243" s="33">
        <f>ROUND(IF(BS243=0,0,HLOOKUP(BS$14,Villagers!$B$1:$V$33,BS243+3,FALSE)),)</f>
        <v>5</v>
      </c>
      <c r="CO243" s="14">
        <f>ROUND(IF(BT243=0,0,HLOOKUP(BT$14,Villagers!$B$1:$V$33,BT243+3,FALSE)),)</f>
        <v>0</v>
      </c>
      <c r="CP243" s="14">
        <f>ROUND(IF(BU243=0,0,HLOOKUP(BU$14,Villagers!$B$1:$V$33,BU243+3,FALSE)),)</f>
        <v>0</v>
      </c>
      <c r="CQ243" s="14">
        <f>ROUND(IF(BV243=0,0,HLOOKUP(BV$14,Villagers!$B$1:$V$33,BV243+3,FALSE)),)</f>
        <v>0</v>
      </c>
      <c r="CR243" s="14">
        <f>ROUND(IF(BW243=0,0,HLOOKUP(BW$14,Villagers!$B$1:$V$33,BW243+3,FALSE)),)</f>
        <v>0</v>
      </c>
      <c r="CS243" s="14">
        <f>ROUND(IF(BX243=0,0,HLOOKUP(BX$14,Villagers!$B$1:$V$33,BX243+3,FALSE)),)</f>
        <v>0</v>
      </c>
      <c r="CT243" s="14">
        <f>ROUND(IF(BY243=0,0,HLOOKUP(BY$14,Villagers!$B$1:$V$33,BY243+3,FALSE)),)</f>
        <v>0</v>
      </c>
      <c r="CU243" s="14">
        <f>ROUND(IF(BZ243=0,0,HLOOKUP(BZ$14,Villagers!$B$1:$V$33,BZ243+3,FALSE)),)</f>
        <v>0</v>
      </c>
      <c r="CV243" s="14">
        <f>ROUND(IF(CA243=0,0,HLOOKUP(CA$14,Villagers!$B$1:$V$33,CA243+3,FALSE)),)</f>
        <v>0</v>
      </c>
      <c r="CW243" s="14">
        <f>ROUND(IF(CB243=0,0,HLOOKUP(CB$14,Villagers!$B$1:$V$33,CB243+3,FALSE)),)</f>
        <v>0</v>
      </c>
      <c r="CX243" s="14">
        <f>ROUND(IF(CC243=0,0,HLOOKUP(CC$14,Villagers!$B$1:$V$33,CC243+3,FALSE)),)</f>
        <v>0</v>
      </c>
      <c r="CY243" s="14">
        <f>ROUND(IF(CD243=0,0,HLOOKUP(CD$14,Villagers!$B$1:$V$33,CD243+3,FALSE)),)</f>
        <v>0</v>
      </c>
      <c r="CZ243" s="14">
        <f>ROUND(IF(CE243=0,0,HLOOKUP(CE$14,Villagers!$B$1:$V$33,CE243+3,FALSE)),)</f>
        <v>5</v>
      </c>
      <c r="DA243" s="14">
        <f>ROUND(IF(CF243=0,0,HLOOKUP(CF$14,Villagers!$B$1:$V$33,CF243+3,FALSE)),)</f>
        <v>10</v>
      </c>
      <c r="DB243" s="14">
        <f>ROUND(IF(CG243=0,0,HLOOKUP(CG$14,Villagers!$B$1:$V$33,CG243+3,FALSE)),)</f>
        <v>10</v>
      </c>
      <c r="DC243" s="14">
        <f>ROUND(IF(CH243=0,0,HLOOKUP(CH$14,Villagers!$B$1:$V$33,CH243+3,FALSE)),)</f>
        <v>0</v>
      </c>
      <c r="DD243" s="14">
        <f>ROUND(IF(CI243=0,0,HLOOKUP(CI$14,Villagers!$B$1:$V$33,CI243+3,FALSE)),)</f>
        <v>0</v>
      </c>
      <c r="DE243" s="14">
        <f>ROUND(IF(CJ243=0,0,HLOOKUP(CJ$14,Villagers!$B$1:$V$33,CJ243+3,FALSE)),)</f>
        <v>2</v>
      </c>
      <c r="DF243" s="370">
        <f>ROUND(IF(CK243=0,0,HLOOKUP(CK$14,Villagers!$B$1:$V$33,CK243+3,FALSE)),)</f>
        <v>0</v>
      </c>
      <c r="DG243" s="370">
        <f>ROUND(IF(CL243=0,0,HLOOKUP(CL$14,Villagers!$B$1:$V$33,CL243+3,FALSE)),)</f>
        <v>0</v>
      </c>
      <c r="DH243" s="34">
        <f>ROUND(IF(CM243=0,0,HLOOKUP(CM$14,Villagers!$B$1:$V$33,CM243+3,FALSE)),)</f>
        <v>0</v>
      </c>
      <c r="DI243" s="109">
        <f t="shared" si="526"/>
        <v>0</v>
      </c>
      <c r="DJ243" s="50">
        <f t="shared" si="527"/>
        <v>0</v>
      </c>
      <c r="DK243" s="50">
        <f t="shared" si="528"/>
        <v>0</v>
      </c>
      <c r="DL243" s="50">
        <f t="shared" si="529"/>
        <v>0</v>
      </c>
      <c r="DM243" s="50">
        <f t="shared" si="530"/>
        <v>0</v>
      </c>
      <c r="DN243" s="50">
        <f t="shared" si="531"/>
        <v>0</v>
      </c>
      <c r="DO243" s="50">
        <f t="shared" si="532"/>
        <v>0</v>
      </c>
      <c r="DP243" s="50">
        <f t="shared" si="533"/>
        <v>0</v>
      </c>
      <c r="DQ243" s="50">
        <f t="shared" si="510"/>
        <v>0</v>
      </c>
      <c r="DR243" s="50">
        <f t="shared" si="511"/>
        <v>0</v>
      </c>
      <c r="DS243" s="96">
        <f>Miscelaneous!$D$4*Miscelaneous!$D$2^($CI243-1)</f>
        <v>1000</v>
      </c>
      <c r="DT243" s="333">
        <f t="shared" si="490"/>
        <v>1</v>
      </c>
      <c r="DU243" s="81">
        <v>1</v>
      </c>
      <c r="DV243" s="79">
        <f t="shared" si="512"/>
        <v>0</v>
      </c>
      <c r="DW243" s="79">
        <f t="shared" si="513"/>
        <v>0</v>
      </c>
      <c r="DX243" s="79">
        <f t="shared" si="514"/>
        <v>0</v>
      </c>
      <c r="DY243" s="79">
        <v>1</v>
      </c>
      <c r="DZ243" s="79">
        <f t="shared" si="515"/>
        <v>0</v>
      </c>
      <c r="EA243" s="79">
        <f t="shared" si="516"/>
        <v>0</v>
      </c>
      <c r="EB243" s="79">
        <f t="shared" si="517"/>
        <v>0</v>
      </c>
      <c r="EC243" s="79">
        <f t="shared" si="518"/>
        <v>0</v>
      </c>
      <c r="ED243" s="79">
        <v>1</v>
      </c>
      <c r="EE243" s="79">
        <v>1</v>
      </c>
      <c r="EF243" s="79">
        <f t="shared" si="519"/>
        <v>0</v>
      </c>
      <c r="EG243" s="79">
        <v>1</v>
      </c>
      <c r="EH243" s="79">
        <v>1</v>
      </c>
      <c r="EI243" s="79">
        <v>1</v>
      </c>
      <c r="EJ243" s="79">
        <v>1</v>
      </c>
      <c r="EK243" s="79">
        <v>1</v>
      </c>
      <c r="EL243" s="79">
        <v>1</v>
      </c>
      <c r="EM243" s="143">
        <f t="shared" si="520"/>
        <v>0</v>
      </c>
      <c r="EN243" s="143">
        <f t="shared" si="521"/>
        <v>0</v>
      </c>
      <c r="EO243" s="82">
        <f t="shared" si="522"/>
        <v>0</v>
      </c>
    </row>
    <row r="244" spans="1:145" x14ac:dyDescent="0.25">
      <c r="A244">
        <v>230</v>
      </c>
      <c r="B244" s="172" t="e">
        <f t="shared" si="491"/>
        <v>#N/A</v>
      </c>
      <c r="C244" s="121" t="e">
        <f t="shared" ref="C244:E244" si="592">AJ244-SUM(AB244:AB248)</f>
        <v>#N/A</v>
      </c>
      <c r="D244" s="122" t="e">
        <f t="shared" si="592"/>
        <v>#N/A</v>
      </c>
      <c r="E244" s="122" t="e">
        <f t="shared" si="592"/>
        <v>#N/A</v>
      </c>
      <c r="F244" s="176" t="e">
        <f t="shared" si="473"/>
        <v>#N/A</v>
      </c>
      <c r="G244" s="121">
        <f t="shared" si="493"/>
        <v>208</v>
      </c>
      <c r="H244" s="176" t="e">
        <f t="shared" si="494"/>
        <v>#N/A</v>
      </c>
      <c r="I244" s="48">
        <v>1</v>
      </c>
      <c r="J244" s="39"/>
      <c r="K244" s="350">
        <v>1</v>
      </c>
      <c r="L244" s="34" t="e">
        <f t="shared" si="474"/>
        <v>#N/A</v>
      </c>
      <c r="M244" s="38" t="e">
        <f>(HLOOKUP(J244,'Construction Times'!$B$3:$W$34,L244+2,FALSE)*HLOOKUP("hq modifier",'Construction Times'!$W$3:$W$34,BS244+2,FALSE))*(1-$H$9)</f>
        <v>#N/A</v>
      </c>
      <c r="N244" s="426" t="e">
        <f t="shared" si="495"/>
        <v>#N/A</v>
      </c>
      <c r="O244" s="427"/>
      <c r="P244" s="430" t="e">
        <f t="shared" si="496"/>
        <v>#N/A</v>
      </c>
      <c r="Q244" s="431"/>
      <c r="R244" s="103">
        <f t="shared" si="524"/>
        <v>0</v>
      </c>
      <c r="S244" s="104">
        <f t="shared" si="524"/>
        <v>0</v>
      </c>
      <c r="T244" s="104">
        <f t="shared" si="525"/>
        <v>0</v>
      </c>
      <c r="U244" s="104">
        <f t="shared" si="525"/>
        <v>0</v>
      </c>
      <c r="V244" s="104">
        <f t="shared" si="525"/>
        <v>9.9999999999999995E-8</v>
      </c>
      <c r="W244" s="104">
        <f t="shared" si="525"/>
        <v>0</v>
      </c>
      <c r="X244" s="104">
        <f t="shared" si="584"/>
        <v>0</v>
      </c>
      <c r="Y244" s="104">
        <f t="shared" si="584"/>
        <v>9.9999999999999995E-8</v>
      </c>
      <c r="Z244" s="104">
        <f t="shared" si="584"/>
        <v>9.9999999999999995E-8</v>
      </c>
      <c r="AA244" s="105">
        <f t="shared" si="584"/>
        <v>9.9999999999999995E-8</v>
      </c>
      <c r="AB244" s="101" t="e">
        <f>$DT244*HLOOKUP($J244,'Construction Costs (timber)'!$B$1:$V$32,'Construction Planner'!$L244+2,FALSE)</f>
        <v>#N/A</v>
      </c>
      <c r="AC244" s="14" t="e">
        <f>$DT244*HLOOKUP($J244,'Construction Costs (clay)'!$B$1:$V$32,'Construction Planner'!$L244+2,FALSE)</f>
        <v>#N/A</v>
      </c>
      <c r="AD244" s="14" t="e">
        <f>$DT244*HLOOKUP($J244,'Construction Costs (iron)'!$B$1:$V$32,'Construction Planner'!$L244+2,FALSE)</f>
        <v>#N/A</v>
      </c>
      <c r="AE244" s="34" t="e">
        <f t="shared" si="537"/>
        <v>#N/A</v>
      </c>
      <c r="AF244" s="33" t="e">
        <f t="shared" si="475"/>
        <v>#N/A</v>
      </c>
      <c r="AG244" s="14" t="e">
        <f t="shared" si="476"/>
        <v>#N/A</v>
      </c>
      <c r="AH244" s="14" t="e">
        <f t="shared" si="477"/>
        <v>#N/A</v>
      </c>
      <c r="AI244" s="34" t="e">
        <f t="shared" si="538"/>
        <v>#N/A</v>
      </c>
      <c r="AJ244" s="49" t="e">
        <f t="shared" si="498"/>
        <v>#N/A</v>
      </c>
      <c r="AK244" s="49" t="e">
        <f t="shared" si="499"/>
        <v>#N/A</v>
      </c>
      <c r="AL244" s="49" t="e">
        <f t="shared" si="500"/>
        <v>#N/A</v>
      </c>
      <c r="AM244" s="25">
        <f t="shared" si="478"/>
        <v>30</v>
      </c>
      <c r="AN244" s="25">
        <f t="shared" si="479"/>
        <v>30</v>
      </c>
      <c r="AO244" s="25">
        <f t="shared" si="480"/>
        <v>30</v>
      </c>
      <c r="AP244" s="52" t="e">
        <f t="shared" si="501"/>
        <v>#N/A</v>
      </c>
      <c r="AQ244" s="53" t="e">
        <f t="shared" si="501"/>
        <v>#N/A</v>
      </c>
      <c r="AR244" s="54" t="e">
        <f t="shared" si="501"/>
        <v>#N/A</v>
      </c>
      <c r="AS244" s="316">
        <f t="shared" ref="AS244:AS259" si="593">AS243</f>
        <v>0</v>
      </c>
      <c r="AT244" s="106">
        <f>_xlfn.IFNA($M244/VLOOKUP($BT244,'Unit information'!$A$2:$K$29,2,FALSE)*R244,0)*(1+$E$9)</f>
        <v>0</v>
      </c>
      <c r="AU244" s="107">
        <f>_xlfn.IFNA($M244/VLOOKUP($BT244,'Unit information'!$A$2:$K$29,3,FALSE)*S244,0)*(1+$E$9)</f>
        <v>0</v>
      </c>
      <c r="AV244" s="107">
        <f>_xlfn.IFNA($M244/VLOOKUP($BT244,'Unit information'!$A$2:$K$29,4,FALSE)*T244,0)*(1+$E$9)</f>
        <v>0</v>
      </c>
      <c r="AW244" s="107">
        <f>_xlfn.IFNA($M244/VLOOKUP($BT244,'Unit information'!$A$2:$K$29,5,FALSE)*U244,0)*(1+$E$9)</f>
        <v>0</v>
      </c>
      <c r="AX244" s="107">
        <f>_xlfn.IFNA($M244/VLOOKUP($BU244,'Unit information'!$A$2:$K$29,6,FALSE)*V244,0)*(1+$E$9)</f>
        <v>0</v>
      </c>
      <c r="AY244" s="107">
        <f>_xlfn.IFNA($M244/VLOOKUP($BU244,'Unit information'!$A$2:$K$29,7,FALSE)*W244,0)*(1+$E$9)</f>
        <v>0</v>
      </c>
      <c r="AZ244" s="107">
        <f>_xlfn.IFNA($M244/VLOOKUP($BU244,'Unit information'!$A$2:$K$29,8,FALSE)*X244,0)*(1+$E$9)</f>
        <v>0</v>
      </c>
      <c r="BA244" s="107">
        <f>_xlfn.IFNA($M244/VLOOKUP($BU244,'Unit information'!$A$2:$K$29,9,FALSE)*Y244,0)*(1+$E$9)</f>
        <v>0</v>
      </c>
      <c r="BB244" s="107">
        <f>_xlfn.IFNA($M244/VLOOKUP($BV244,'Unit information'!$A$2:$K$29,10,FALSE)*Z244,0)*(1+$E$9)</f>
        <v>0</v>
      </c>
      <c r="BC244" s="108">
        <f>_xlfn.IFNA($M244/VLOOKUP($BV244,'Unit information'!$A$2:$K$29,11,FALSE)*AA244,0)*(1+$E$9)</f>
        <v>0</v>
      </c>
      <c r="BD244" s="106">
        <f t="shared" si="481"/>
        <v>0</v>
      </c>
      <c r="BE244" s="107">
        <f t="shared" si="482"/>
        <v>0</v>
      </c>
      <c r="BF244" s="108">
        <f t="shared" si="483"/>
        <v>0</v>
      </c>
      <c r="BG244" s="25" t="e">
        <f t="shared" si="484"/>
        <v>#N/A</v>
      </c>
      <c r="BH244" s="25" t="e">
        <f t="shared" si="485"/>
        <v>#N/A</v>
      </c>
      <c r="BI244" s="25" t="e">
        <f t="shared" si="486"/>
        <v>#N/A</v>
      </c>
      <c r="BJ244" s="27" t="e">
        <f t="shared" si="487"/>
        <v>#N/A</v>
      </c>
      <c r="BK244" s="18" t="e">
        <f t="shared" si="488"/>
        <v>#N/A</v>
      </c>
      <c r="BL244" s="18" t="e">
        <f t="shared" si="489"/>
        <v>#N/A</v>
      </c>
      <c r="BM244" s="28" t="e">
        <f t="shared" si="540"/>
        <v>#N/A</v>
      </c>
      <c r="BN244" s="33">
        <f>HLOOKUP("maximum population",Miscelaneous!$C$1:$C$33,CH244+3,FALSE)</f>
        <v>240</v>
      </c>
      <c r="BO244" s="14">
        <f t="shared" si="502"/>
        <v>32</v>
      </c>
      <c r="BP244" s="14">
        <f t="shared" si="503"/>
        <v>0</v>
      </c>
      <c r="BQ244" s="14">
        <f t="shared" si="504"/>
        <v>208</v>
      </c>
      <c r="BR244" s="34" t="e">
        <f>HLOOKUP(J244,Villagers!$B$1:$V$33,L244+3,FALSE)-HLOOKUP(J244,Villagers!$B$1:$V$33,L244+2,FALSE)</f>
        <v>#N/A</v>
      </c>
      <c r="BS244" s="49">
        <f t="shared" si="505"/>
        <v>1</v>
      </c>
      <c r="BT244" s="50">
        <f t="shared" si="506"/>
        <v>0</v>
      </c>
      <c r="BU244" s="50">
        <f t="shared" si="507"/>
        <v>0</v>
      </c>
      <c r="BV244" s="50">
        <f t="shared" si="508"/>
        <v>0</v>
      </c>
      <c r="BW244" s="50">
        <f t="shared" si="575"/>
        <v>0</v>
      </c>
      <c r="BX244" s="50">
        <f t="shared" si="576"/>
        <v>0</v>
      </c>
      <c r="BY244" s="50">
        <f t="shared" si="576"/>
        <v>0</v>
      </c>
      <c r="BZ244" s="50">
        <f t="shared" si="554"/>
        <v>0</v>
      </c>
      <c r="CA244" s="50">
        <f t="shared" si="555"/>
        <v>0</v>
      </c>
      <c r="CB244" s="50">
        <f t="shared" si="556"/>
        <v>1</v>
      </c>
      <c r="CC244" s="50">
        <f t="shared" si="557"/>
        <v>0</v>
      </c>
      <c r="CD244" s="50">
        <f t="shared" si="558"/>
        <v>0</v>
      </c>
      <c r="CE244" s="50">
        <f t="shared" si="559"/>
        <v>1</v>
      </c>
      <c r="CF244" s="50">
        <f t="shared" si="560"/>
        <v>1</v>
      </c>
      <c r="CG244" s="50">
        <f t="shared" si="561"/>
        <v>1</v>
      </c>
      <c r="CH244" s="50">
        <f t="shared" si="562"/>
        <v>1</v>
      </c>
      <c r="CI244" s="50">
        <f t="shared" si="563"/>
        <v>1</v>
      </c>
      <c r="CJ244" s="50">
        <f t="shared" si="564"/>
        <v>1</v>
      </c>
      <c r="CK244" s="50">
        <f t="shared" si="564"/>
        <v>0</v>
      </c>
      <c r="CL244" s="50">
        <f t="shared" si="564"/>
        <v>0</v>
      </c>
      <c r="CM244" s="51">
        <f t="shared" si="587"/>
        <v>0</v>
      </c>
      <c r="CN244" s="33">
        <f>ROUND(IF(BS244=0,0,HLOOKUP(BS$14,Villagers!$B$1:$V$33,BS244+3,FALSE)),)</f>
        <v>5</v>
      </c>
      <c r="CO244" s="14">
        <f>ROUND(IF(BT244=0,0,HLOOKUP(BT$14,Villagers!$B$1:$V$33,BT244+3,FALSE)),)</f>
        <v>0</v>
      </c>
      <c r="CP244" s="14">
        <f>ROUND(IF(BU244=0,0,HLOOKUP(BU$14,Villagers!$B$1:$V$33,BU244+3,FALSE)),)</f>
        <v>0</v>
      </c>
      <c r="CQ244" s="14">
        <f>ROUND(IF(BV244=0,0,HLOOKUP(BV$14,Villagers!$B$1:$V$33,BV244+3,FALSE)),)</f>
        <v>0</v>
      </c>
      <c r="CR244" s="14">
        <f>ROUND(IF(BW244=0,0,HLOOKUP(BW$14,Villagers!$B$1:$V$33,BW244+3,FALSE)),)</f>
        <v>0</v>
      </c>
      <c r="CS244" s="14">
        <f>ROUND(IF(BX244=0,0,HLOOKUP(BX$14,Villagers!$B$1:$V$33,BX244+3,FALSE)),)</f>
        <v>0</v>
      </c>
      <c r="CT244" s="14">
        <f>ROUND(IF(BY244=0,0,HLOOKUP(BY$14,Villagers!$B$1:$V$33,BY244+3,FALSE)),)</f>
        <v>0</v>
      </c>
      <c r="CU244" s="14">
        <f>ROUND(IF(BZ244=0,0,HLOOKUP(BZ$14,Villagers!$B$1:$V$33,BZ244+3,FALSE)),)</f>
        <v>0</v>
      </c>
      <c r="CV244" s="14">
        <f>ROUND(IF(CA244=0,0,HLOOKUP(CA$14,Villagers!$B$1:$V$33,CA244+3,FALSE)),)</f>
        <v>0</v>
      </c>
      <c r="CW244" s="14">
        <f>ROUND(IF(CB244=0,0,HLOOKUP(CB$14,Villagers!$B$1:$V$33,CB244+3,FALSE)),)</f>
        <v>0</v>
      </c>
      <c r="CX244" s="14">
        <f>ROUND(IF(CC244=0,0,HLOOKUP(CC$14,Villagers!$B$1:$V$33,CC244+3,FALSE)),)</f>
        <v>0</v>
      </c>
      <c r="CY244" s="14">
        <f>ROUND(IF(CD244=0,0,HLOOKUP(CD$14,Villagers!$B$1:$V$33,CD244+3,FALSE)),)</f>
        <v>0</v>
      </c>
      <c r="CZ244" s="14">
        <f>ROUND(IF(CE244=0,0,HLOOKUP(CE$14,Villagers!$B$1:$V$33,CE244+3,FALSE)),)</f>
        <v>5</v>
      </c>
      <c r="DA244" s="14">
        <f>ROUND(IF(CF244=0,0,HLOOKUP(CF$14,Villagers!$B$1:$V$33,CF244+3,FALSE)),)</f>
        <v>10</v>
      </c>
      <c r="DB244" s="14">
        <f>ROUND(IF(CG244=0,0,HLOOKUP(CG$14,Villagers!$B$1:$V$33,CG244+3,FALSE)),)</f>
        <v>10</v>
      </c>
      <c r="DC244" s="14">
        <f>ROUND(IF(CH244=0,0,HLOOKUP(CH$14,Villagers!$B$1:$V$33,CH244+3,FALSE)),)</f>
        <v>0</v>
      </c>
      <c r="DD244" s="14">
        <f>ROUND(IF(CI244=0,0,HLOOKUP(CI$14,Villagers!$B$1:$V$33,CI244+3,FALSE)),)</f>
        <v>0</v>
      </c>
      <c r="DE244" s="14">
        <f>ROUND(IF(CJ244=0,0,HLOOKUP(CJ$14,Villagers!$B$1:$V$33,CJ244+3,FALSE)),)</f>
        <v>2</v>
      </c>
      <c r="DF244" s="370">
        <f>ROUND(IF(CK244=0,0,HLOOKUP(CK$14,Villagers!$B$1:$V$33,CK244+3,FALSE)),)</f>
        <v>0</v>
      </c>
      <c r="DG244" s="370">
        <f>ROUND(IF(CL244=0,0,HLOOKUP(CL$14,Villagers!$B$1:$V$33,CL244+3,FALSE)),)</f>
        <v>0</v>
      </c>
      <c r="DH244" s="34">
        <f>ROUND(IF(CM244=0,0,HLOOKUP(CM$14,Villagers!$B$1:$V$33,CM244+3,FALSE)),)</f>
        <v>0</v>
      </c>
      <c r="DI244" s="109">
        <f t="shared" si="526"/>
        <v>0</v>
      </c>
      <c r="DJ244" s="50">
        <f t="shared" si="527"/>
        <v>0</v>
      </c>
      <c r="DK244" s="50">
        <f t="shared" si="528"/>
        <v>0</v>
      </c>
      <c r="DL244" s="50">
        <f t="shared" si="529"/>
        <v>0</v>
      </c>
      <c r="DM244" s="50">
        <f t="shared" si="530"/>
        <v>0</v>
      </c>
      <c r="DN244" s="50">
        <f t="shared" si="531"/>
        <v>0</v>
      </c>
      <c r="DO244" s="50">
        <f t="shared" si="532"/>
        <v>0</v>
      </c>
      <c r="DP244" s="50">
        <f t="shared" si="533"/>
        <v>0</v>
      </c>
      <c r="DQ244" s="50">
        <f t="shared" si="510"/>
        <v>0</v>
      </c>
      <c r="DR244" s="50">
        <f t="shared" si="511"/>
        <v>0</v>
      </c>
      <c r="DS244" s="96">
        <f>Miscelaneous!$D$4*Miscelaneous!$D$2^($CI244-1)</f>
        <v>1000</v>
      </c>
      <c r="DT244" s="333">
        <f t="shared" si="490"/>
        <v>1</v>
      </c>
      <c r="DU244" s="81">
        <v>1</v>
      </c>
      <c r="DV244" s="79">
        <f t="shared" si="512"/>
        <v>0</v>
      </c>
      <c r="DW244" s="79">
        <f t="shared" si="513"/>
        <v>0</v>
      </c>
      <c r="DX244" s="79">
        <f t="shared" si="514"/>
        <v>0</v>
      </c>
      <c r="DY244" s="79">
        <v>1</v>
      </c>
      <c r="DZ244" s="79">
        <f t="shared" si="515"/>
        <v>0</v>
      </c>
      <c r="EA244" s="79">
        <f t="shared" si="516"/>
        <v>0</v>
      </c>
      <c r="EB244" s="79">
        <f t="shared" si="517"/>
        <v>0</v>
      </c>
      <c r="EC244" s="79">
        <f t="shared" si="518"/>
        <v>0</v>
      </c>
      <c r="ED244" s="79">
        <v>1</v>
      </c>
      <c r="EE244" s="79">
        <v>1</v>
      </c>
      <c r="EF244" s="79">
        <f t="shared" si="519"/>
        <v>0</v>
      </c>
      <c r="EG244" s="79">
        <v>1</v>
      </c>
      <c r="EH244" s="79">
        <v>1</v>
      </c>
      <c r="EI244" s="79">
        <v>1</v>
      </c>
      <c r="EJ244" s="79">
        <v>1</v>
      </c>
      <c r="EK244" s="79">
        <v>1</v>
      </c>
      <c r="EL244" s="79">
        <v>1</v>
      </c>
      <c r="EM244" s="143">
        <f t="shared" si="520"/>
        <v>0</v>
      </c>
      <c r="EN244" s="143">
        <f t="shared" si="521"/>
        <v>0</v>
      </c>
      <c r="EO244" s="82">
        <f t="shared" si="522"/>
        <v>0</v>
      </c>
    </row>
    <row r="245" spans="1:145" x14ac:dyDescent="0.25">
      <c r="A245">
        <v>231</v>
      </c>
      <c r="B245" s="172" t="e">
        <f t="shared" si="491"/>
        <v>#N/A</v>
      </c>
      <c r="C245" s="121" t="e">
        <f t="shared" ref="C245:E245" si="594">AJ245-SUM(AB245:AB249)</f>
        <v>#N/A</v>
      </c>
      <c r="D245" s="122" t="e">
        <f t="shared" si="594"/>
        <v>#N/A</v>
      </c>
      <c r="E245" s="122" t="e">
        <f t="shared" si="594"/>
        <v>#N/A</v>
      </c>
      <c r="F245" s="176" t="e">
        <f t="shared" si="473"/>
        <v>#N/A</v>
      </c>
      <c r="G245" s="121">
        <f t="shared" si="493"/>
        <v>208</v>
      </c>
      <c r="H245" s="176" t="e">
        <f t="shared" si="494"/>
        <v>#N/A</v>
      </c>
      <c r="I245" s="48">
        <v>1</v>
      </c>
      <c r="J245" s="39"/>
      <c r="K245" s="350">
        <v>1</v>
      </c>
      <c r="L245" s="34" t="e">
        <f t="shared" si="474"/>
        <v>#N/A</v>
      </c>
      <c r="M245" s="38" t="e">
        <f>(HLOOKUP(J245,'Construction Times'!$B$3:$W$34,L245+2,FALSE)*HLOOKUP("hq modifier",'Construction Times'!$W$3:$W$34,BS245+2,FALSE))*(1-$H$9)</f>
        <v>#N/A</v>
      </c>
      <c r="N245" s="426" t="e">
        <f t="shared" si="495"/>
        <v>#N/A</v>
      </c>
      <c r="O245" s="427"/>
      <c r="P245" s="430" t="e">
        <f t="shared" si="496"/>
        <v>#N/A</v>
      </c>
      <c r="Q245" s="431"/>
      <c r="R245" s="103">
        <f t="shared" si="524"/>
        <v>0</v>
      </c>
      <c r="S245" s="104">
        <f t="shared" si="524"/>
        <v>0</v>
      </c>
      <c r="T245" s="104">
        <f t="shared" si="525"/>
        <v>0</v>
      </c>
      <c r="U245" s="104">
        <f t="shared" si="525"/>
        <v>0</v>
      </c>
      <c r="V245" s="104">
        <f t="shared" si="525"/>
        <v>9.9999999999999995E-8</v>
      </c>
      <c r="W245" s="104">
        <f t="shared" si="525"/>
        <v>0</v>
      </c>
      <c r="X245" s="104">
        <f t="shared" si="584"/>
        <v>0</v>
      </c>
      <c r="Y245" s="104">
        <f t="shared" si="584"/>
        <v>9.9999999999999995E-8</v>
      </c>
      <c r="Z245" s="104">
        <f t="shared" si="584"/>
        <v>9.9999999999999995E-8</v>
      </c>
      <c r="AA245" s="105">
        <f t="shared" si="584"/>
        <v>9.9999999999999995E-8</v>
      </c>
      <c r="AB245" s="101" t="e">
        <f>$DT245*HLOOKUP($J245,'Construction Costs (timber)'!$B$1:$V$32,'Construction Planner'!$L245+2,FALSE)</f>
        <v>#N/A</v>
      </c>
      <c r="AC245" s="14" t="e">
        <f>$DT245*HLOOKUP($J245,'Construction Costs (clay)'!$B$1:$V$32,'Construction Planner'!$L245+2,FALSE)</f>
        <v>#N/A</v>
      </c>
      <c r="AD245" s="14" t="e">
        <f>$DT245*HLOOKUP($J245,'Construction Costs (iron)'!$B$1:$V$32,'Construction Planner'!$L245+2,FALSE)</f>
        <v>#N/A</v>
      </c>
      <c r="AE245" s="34" t="e">
        <f t="shared" si="537"/>
        <v>#N/A</v>
      </c>
      <c r="AF245" s="33" t="e">
        <f t="shared" si="475"/>
        <v>#N/A</v>
      </c>
      <c r="AG245" s="14" t="e">
        <f t="shared" si="476"/>
        <v>#N/A</v>
      </c>
      <c r="AH245" s="14" t="e">
        <f t="shared" si="477"/>
        <v>#N/A</v>
      </c>
      <c r="AI245" s="34" t="e">
        <f t="shared" si="538"/>
        <v>#N/A</v>
      </c>
      <c r="AJ245" s="49" t="e">
        <f t="shared" si="498"/>
        <v>#N/A</v>
      </c>
      <c r="AK245" s="49" t="e">
        <f t="shared" si="499"/>
        <v>#N/A</v>
      </c>
      <c r="AL245" s="49" t="e">
        <f t="shared" si="500"/>
        <v>#N/A</v>
      </c>
      <c r="AM245" s="25">
        <f t="shared" si="478"/>
        <v>30</v>
      </c>
      <c r="AN245" s="25">
        <f t="shared" si="479"/>
        <v>30</v>
      </c>
      <c r="AO245" s="25">
        <f t="shared" si="480"/>
        <v>30</v>
      </c>
      <c r="AP245" s="52" t="e">
        <f t="shared" si="501"/>
        <v>#N/A</v>
      </c>
      <c r="AQ245" s="53" t="e">
        <f t="shared" si="501"/>
        <v>#N/A</v>
      </c>
      <c r="AR245" s="54" t="e">
        <f t="shared" si="501"/>
        <v>#N/A</v>
      </c>
      <c r="AS245" s="316">
        <f t="shared" si="593"/>
        <v>0</v>
      </c>
      <c r="AT245" s="106">
        <f>_xlfn.IFNA($M245/VLOOKUP($BT245,'Unit information'!$A$2:$K$29,2,FALSE)*R245,0)*(1+$E$9)</f>
        <v>0</v>
      </c>
      <c r="AU245" s="107">
        <f>_xlfn.IFNA($M245/VLOOKUP($BT245,'Unit information'!$A$2:$K$29,3,FALSE)*S245,0)*(1+$E$9)</f>
        <v>0</v>
      </c>
      <c r="AV245" s="107">
        <f>_xlfn.IFNA($M245/VLOOKUP($BT245,'Unit information'!$A$2:$K$29,4,FALSE)*T245,0)*(1+$E$9)</f>
        <v>0</v>
      </c>
      <c r="AW245" s="107">
        <f>_xlfn.IFNA($M245/VLOOKUP($BT245,'Unit information'!$A$2:$K$29,5,FALSE)*U245,0)*(1+$E$9)</f>
        <v>0</v>
      </c>
      <c r="AX245" s="107">
        <f>_xlfn.IFNA($M245/VLOOKUP($BU245,'Unit information'!$A$2:$K$29,6,FALSE)*V245,0)*(1+$E$9)</f>
        <v>0</v>
      </c>
      <c r="AY245" s="107">
        <f>_xlfn.IFNA($M245/VLOOKUP($BU245,'Unit information'!$A$2:$K$29,7,FALSE)*W245,0)*(1+$E$9)</f>
        <v>0</v>
      </c>
      <c r="AZ245" s="107">
        <f>_xlfn.IFNA($M245/VLOOKUP($BU245,'Unit information'!$A$2:$K$29,8,FALSE)*X245,0)*(1+$E$9)</f>
        <v>0</v>
      </c>
      <c r="BA245" s="107">
        <f>_xlfn.IFNA($M245/VLOOKUP($BU245,'Unit information'!$A$2:$K$29,9,FALSE)*Y245,0)*(1+$E$9)</f>
        <v>0</v>
      </c>
      <c r="BB245" s="107">
        <f>_xlfn.IFNA($M245/VLOOKUP($BV245,'Unit information'!$A$2:$K$29,10,FALSE)*Z245,0)*(1+$E$9)</f>
        <v>0</v>
      </c>
      <c r="BC245" s="108">
        <f>_xlfn.IFNA($M245/VLOOKUP($BV245,'Unit information'!$A$2:$K$29,11,FALSE)*AA245,0)*(1+$E$9)</f>
        <v>0</v>
      </c>
      <c r="BD245" s="106">
        <f t="shared" si="481"/>
        <v>0</v>
      </c>
      <c r="BE245" s="107">
        <f t="shared" si="482"/>
        <v>0</v>
      </c>
      <c r="BF245" s="108">
        <f t="shared" si="483"/>
        <v>0</v>
      </c>
      <c r="BG245" s="25" t="e">
        <f t="shared" si="484"/>
        <v>#N/A</v>
      </c>
      <c r="BH245" s="25" t="e">
        <f t="shared" si="485"/>
        <v>#N/A</v>
      </c>
      <c r="BI245" s="25" t="e">
        <f t="shared" si="486"/>
        <v>#N/A</v>
      </c>
      <c r="BJ245" s="27" t="e">
        <f t="shared" si="487"/>
        <v>#N/A</v>
      </c>
      <c r="BK245" s="18" t="e">
        <f t="shared" si="488"/>
        <v>#N/A</v>
      </c>
      <c r="BL245" s="18" t="e">
        <f t="shared" si="489"/>
        <v>#N/A</v>
      </c>
      <c r="BM245" s="28" t="e">
        <f t="shared" si="540"/>
        <v>#N/A</v>
      </c>
      <c r="BN245" s="33">
        <f>HLOOKUP("maximum population",Miscelaneous!$C$1:$C$33,CH245+3,FALSE)</f>
        <v>240</v>
      </c>
      <c r="BO245" s="14">
        <f t="shared" si="502"/>
        <v>32</v>
      </c>
      <c r="BP245" s="14">
        <f t="shared" si="503"/>
        <v>0</v>
      </c>
      <c r="BQ245" s="14">
        <f t="shared" si="504"/>
        <v>208</v>
      </c>
      <c r="BR245" s="34" t="e">
        <f>HLOOKUP(J245,Villagers!$B$1:$V$33,L245+3,FALSE)-HLOOKUP(J245,Villagers!$B$1:$V$33,L245+2,FALSE)</f>
        <v>#N/A</v>
      </c>
      <c r="BS245" s="49">
        <f t="shared" si="505"/>
        <v>1</v>
      </c>
      <c r="BT245" s="50">
        <f t="shared" si="506"/>
        <v>0</v>
      </c>
      <c r="BU245" s="50">
        <f t="shared" si="507"/>
        <v>0</v>
      </c>
      <c r="BV245" s="50">
        <f t="shared" si="508"/>
        <v>0</v>
      </c>
      <c r="BW245" s="50">
        <f t="shared" si="575"/>
        <v>0</v>
      </c>
      <c r="BX245" s="50">
        <f t="shared" si="576"/>
        <v>0</v>
      </c>
      <c r="BY245" s="50">
        <f t="shared" si="576"/>
        <v>0</v>
      </c>
      <c r="BZ245" s="50">
        <f t="shared" si="554"/>
        <v>0</v>
      </c>
      <c r="CA245" s="50">
        <f t="shared" si="555"/>
        <v>0</v>
      </c>
      <c r="CB245" s="50">
        <f t="shared" si="556"/>
        <v>1</v>
      </c>
      <c r="CC245" s="50">
        <f t="shared" si="557"/>
        <v>0</v>
      </c>
      <c r="CD245" s="50">
        <f t="shared" si="558"/>
        <v>0</v>
      </c>
      <c r="CE245" s="50">
        <f t="shared" si="559"/>
        <v>1</v>
      </c>
      <c r="CF245" s="50">
        <f t="shared" si="560"/>
        <v>1</v>
      </c>
      <c r="CG245" s="50">
        <f t="shared" si="561"/>
        <v>1</v>
      </c>
      <c r="CH245" s="50">
        <f t="shared" si="562"/>
        <v>1</v>
      </c>
      <c r="CI245" s="50">
        <f t="shared" si="563"/>
        <v>1</v>
      </c>
      <c r="CJ245" s="50">
        <f t="shared" si="564"/>
        <v>1</v>
      </c>
      <c r="CK245" s="50">
        <f t="shared" si="564"/>
        <v>0</v>
      </c>
      <c r="CL245" s="50">
        <f t="shared" si="564"/>
        <v>0</v>
      </c>
      <c r="CM245" s="51">
        <f t="shared" si="587"/>
        <v>0</v>
      </c>
      <c r="CN245" s="33">
        <f>ROUND(IF(BS245=0,0,HLOOKUP(BS$14,Villagers!$B$1:$V$33,BS245+3,FALSE)),)</f>
        <v>5</v>
      </c>
      <c r="CO245" s="14">
        <f>ROUND(IF(BT245=0,0,HLOOKUP(BT$14,Villagers!$B$1:$V$33,BT245+3,FALSE)),)</f>
        <v>0</v>
      </c>
      <c r="CP245" s="14">
        <f>ROUND(IF(BU245=0,0,HLOOKUP(BU$14,Villagers!$B$1:$V$33,BU245+3,FALSE)),)</f>
        <v>0</v>
      </c>
      <c r="CQ245" s="14">
        <f>ROUND(IF(BV245=0,0,HLOOKUP(BV$14,Villagers!$B$1:$V$33,BV245+3,FALSE)),)</f>
        <v>0</v>
      </c>
      <c r="CR245" s="14">
        <f>ROUND(IF(BW245=0,0,HLOOKUP(BW$14,Villagers!$B$1:$V$33,BW245+3,FALSE)),)</f>
        <v>0</v>
      </c>
      <c r="CS245" s="14">
        <f>ROUND(IF(BX245=0,0,HLOOKUP(BX$14,Villagers!$B$1:$V$33,BX245+3,FALSE)),)</f>
        <v>0</v>
      </c>
      <c r="CT245" s="14">
        <f>ROUND(IF(BY245=0,0,HLOOKUP(BY$14,Villagers!$B$1:$V$33,BY245+3,FALSE)),)</f>
        <v>0</v>
      </c>
      <c r="CU245" s="14">
        <f>ROUND(IF(BZ245=0,0,HLOOKUP(BZ$14,Villagers!$B$1:$V$33,BZ245+3,FALSE)),)</f>
        <v>0</v>
      </c>
      <c r="CV245" s="14">
        <f>ROUND(IF(CA245=0,0,HLOOKUP(CA$14,Villagers!$B$1:$V$33,CA245+3,FALSE)),)</f>
        <v>0</v>
      </c>
      <c r="CW245" s="14">
        <f>ROUND(IF(CB245=0,0,HLOOKUP(CB$14,Villagers!$B$1:$V$33,CB245+3,FALSE)),)</f>
        <v>0</v>
      </c>
      <c r="CX245" s="14">
        <f>ROUND(IF(CC245=0,0,HLOOKUP(CC$14,Villagers!$B$1:$V$33,CC245+3,FALSE)),)</f>
        <v>0</v>
      </c>
      <c r="CY245" s="14">
        <f>ROUND(IF(CD245=0,0,HLOOKUP(CD$14,Villagers!$B$1:$V$33,CD245+3,FALSE)),)</f>
        <v>0</v>
      </c>
      <c r="CZ245" s="14">
        <f>ROUND(IF(CE245=0,0,HLOOKUP(CE$14,Villagers!$B$1:$V$33,CE245+3,FALSE)),)</f>
        <v>5</v>
      </c>
      <c r="DA245" s="14">
        <f>ROUND(IF(CF245=0,0,HLOOKUP(CF$14,Villagers!$B$1:$V$33,CF245+3,FALSE)),)</f>
        <v>10</v>
      </c>
      <c r="DB245" s="14">
        <f>ROUND(IF(CG245=0,0,HLOOKUP(CG$14,Villagers!$B$1:$V$33,CG245+3,FALSE)),)</f>
        <v>10</v>
      </c>
      <c r="DC245" s="14">
        <f>ROUND(IF(CH245=0,0,HLOOKUP(CH$14,Villagers!$B$1:$V$33,CH245+3,FALSE)),)</f>
        <v>0</v>
      </c>
      <c r="DD245" s="14">
        <f>ROUND(IF(CI245=0,0,HLOOKUP(CI$14,Villagers!$B$1:$V$33,CI245+3,FALSE)),)</f>
        <v>0</v>
      </c>
      <c r="DE245" s="14">
        <f>ROUND(IF(CJ245=0,0,HLOOKUP(CJ$14,Villagers!$B$1:$V$33,CJ245+3,FALSE)),)</f>
        <v>2</v>
      </c>
      <c r="DF245" s="370">
        <f>ROUND(IF(CK245=0,0,HLOOKUP(CK$14,Villagers!$B$1:$V$33,CK245+3,FALSE)),)</f>
        <v>0</v>
      </c>
      <c r="DG245" s="370">
        <f>ROUND(IF(CL245=0,0,HLOOKUP(CL$14,Villagers!$B$1:$V$33,CL245+3,FALSE)),)</f>
        <v>0</v>
      </c>
      <c r="DH245" s="34">
        <f>ROUND(IF(CM245=0,0,HLOOKUP(CM$14,Villagers!$B$1:$V$33,CM245+3,FALSE)),)</f>
        <v>0</v>
      </c>
      <c r="DI245" s="109">
        <f t="shared" si="526"/>
        <v>0</v>
      </c>
      <c r="DJ245" s="50">
        <f t="shared" si="527"/>
        <v>0</v>
      </c>
      <c r="DK245" s="50">
        <f t="shared" si="528"/>
        <v>0</v>
      </c>
      <c r="DL245" s="50">
        <f t="shared" si="529"/>
        <v>0</v>
      </c>
      <c r="DM245" s="50">
        <f t="shared" si="530"/>
        <v>0</v>
      </c>
      <c r="DN245" s="50">
        <f t="shared" si="531"/>
        <v>0</v>
      </c>
      <c r="DO245" s="50">
        <f t="shared" si="532"/>
        <v>0</v>
      </c>
      <c r="DP245" s="50">
        <f t="shared" si="533"/>
        <v>0</v>
      </c>
      <c r="DQ245" s="50">
        <f t="shared" si="510"/>
        <v>0</v>
      </c>
      <c r="DR245" s="50">
        <f t="shared" si="511"/>
        <v>0</v>
      </c>
      <c r="DS245" s="96">
        <f>Miscelaneous!$D$4*Miscelaneous!$D$2^($CI245-1)</f>
        <v>1000</v>
      </c>
      <c r="DT245" s="333">
        <f t="shared" si="490"/>
        <v>1</v>
      </c>
      <c r="DU245" s="81">
        <v>1</v>
      </c>
      <c r="DV245" s="79">
        <f t="shared" si="512"/>
        <v>0</v>
      </c>
      <c r="DW245" s="79">
        <f t="shared" si="513"/>
        <v>0</v>
      </c>
      <c r="DX245" s="79">
        <f t="shared" si="514"/>
        <v>0</v>
      </c>
      <c r="DY245" s="79">
        <v>1</v>
      </c>
      <c r="DZ245" s="79">
        <f t="shared" si="515"/>
        <v>0</v>
      </c>
      <c r="EA245" s="79">
        <f t="shared" si="516"/>
        <v>0</v>
      </c>
      <c r="EB245" s="79">
        <f t="shared" si="517"/>
        <v>0</v>
      </c>
      <c r="EC245" s="79">
        <f t="shared" si="518"/>
        <v>0</v>
      </c>
      <c r="ED245" s="79">
        <v>1</v>
      </c>
      <c r="EE245" s="79">
        <v>1</v>
      </c>
      <c r="EF245" s="79">
        <f t="shared" si="519"/>
        <v>0</v>
      </c>
      <c r="EG245" s="79">
        <v>1</v>
      </c>
      <c r="EH245" s="79">
        <v>1</v>
      </c>
      <c r="EI245" s="79">
        <v>1</v>
      </c>
      <c r="EJ245" s="79">
        <v>1</v>
      </c>
      <c r="EK245" s="79">
        <v>1</v>
      </c>
      <c r="EL245" s="79">
        <v>1</v>
      </c>
      <c r="EM245" s="143">
        <f t="shared" si="520"/>
        <v>0</v>
      </c>
      <c r="EN245" s="143">
        <f t="shared" si="521"/>
        <v>0</v>
      </c>
      <c r="EO245" s="82">
        <f t="shared" si="522"/>
        <v>0</v>
      </c>
    </row>
    <row r="246" spans="1:145" x14ac:dyDescent="0.25">
      <c r="A246">
        <v>232</v>
      </c>
      <c r="B246" s="172" t="e">
        <f t="shared" si="491"/>
        <v>#N/A</v>
      </c>
      <c r="C246" s="121" t="e">
        <f t="shared" ref="C246:E246" si="595">AJ246-SUM(AB246:AB250)</f>
        <v>#N/A</v>
      </c>
      <c r="D246" s="122" t="e">
        <f t="shared" si="595"/>
        <v>#N/A</v>
      </c>
      <c r="E246" s="122" t="e">
        <f t="shared" si="595"/>
        <v>#N/A</v>
      </c>
      <c r="F246" s="176" t="e">
        <f t="shared" si="473"/>
        <v>#N/A</v>
      </c>
      <c r="G246" s="121">
        <f t="shared" si="493"/>
        <v>208</v>
      </c>
      <c r="H246" s="176" t="e">
        <f t="shared" si="494"/>
        <v>#N/A</v>
      </c>
      <c r="I246" s="48">
        <v>1</v>
      </c>
      <c r="J246" s="39"/>
      <c r="K246" s="350">
        <v>1</v>
      </c>
      <c r="L246" s="34" t="e">
        <f t="shared" si="474"/>
        <v>#N/A</v>
      </c>
      <c r="M246" s="38" t="e">
        <f>(HLOOKUP(J246,'Construction Times'!$B$3:$W$34,L246+2,FALSE)*HLOOKUP("hq modifier",'Construction Times'!$W$3:$W$34,BS246+2,FALSE))*(1-$H$9)</f>
        <v>#N/A</v>
      </c>
      <c r="N246" s="426" t="e">
        <f t="shared" si="495"/>
        <v>#N/A</v>
      </c>
      <c r="O246" s="427"/>
      <c r="P246" s="430" t="e">
        <f t="shared" si="496"/>
        <v>#N/A</v>
      </c>
      <c r="Q246" s="431"/>
      <c r="R246" s="103">
        <f t="shared" si="524"/>
        <v>0</v>
      </c>
      <c r="S246" s="104">
        <f t="shared" si="524"/>
        <v>0</v>
      </c>
      <c r="T246" s="104">
        <f t="shared" si="525"/>
        <v>0</v>
      </c>
      <c r="U246" s="104">
        <f t="shared" si="525"/>
        <v>0</v>
      </c>
      <c r="V246" s="104">
        <f t="shared" si="525"/>
        <v>9.9999999999999995E-8</v>
      </c>
      <c r="W246" s="104">
        <f t="shared" si="525"/>
        <v>0</v>
      </c>
      <c r="X246" s="104">
        <f t="shared" si="584"/>
        <v>0</v>
      </c>
      <c r="Y246" s="104">
        <f t="shared" si="584"/>
        <v>9.9999999999999995E-8</v>
      </c>
      <c r="Z246" s="104">
        <f t="shared" si="584"/>
        <v>9.9999999999999995E-8</v>
      </c>
      <c r="AA246" s="105">
        <f t="shared" si="584"/>
        <v>9.9999999999999995E-8</v>
      </c>
      <c r="AB246" s="101" t="e">
        <f>$DT246*HLOOKUP($J246,'Construction Costs (timber)'!$B$1:$V$32,'Construction Planner'!$L246+2,FALSE)</f>
        <v>#N/A</v>
      </c>
      <c r="AC246" s="14" t="e">
        <f>$DT246*HLOOKUP($J246,'Construction Costs (clay)'!$B$1:$V$32,'Construction Planner'!$L246+2,FALSE)</f>
        <v>#N/A</v>
      </c>
      <c r="AD246" s="14" t="e">
        <f>$DT246*HLOOKUP($J246,'Construction Costs (iron)'!$B$1:$V$32,'Construction Planner'!$L246+2,FALSE)</f>
        <v>#N/A</v>
      </c>
      <c r="AE246" s="34" t="e">
        <f t="shared" si="537"/>
        <v>#N/A</v>
      </c>
      <c r="AF246" s="33" t="e">
        <f t="shared" si="475"/>
        <v>#N/A</v>
      </c>
      <c r="AG246" s="14" t="e">
        <f t="shared" si="476"/>
        <v>#N/A</v>
      </c>
      <c r="AH246" s="14" t="e">
        <f t="shared" si="477"/>
        <v>#N/A</v>
      </c>
      <c r="AI246" s="34" t="e">
        <f t="shared" si="538"/>
        <v>#N/A</v>
      </c>
      <c r="AJ246" s="49" t="e">
        <f t="shared" si="498"/>
        <v>#N/A</v>
      </c>
      <c r="AK246" s="49" t="e">
        <f t="shared" si="499"/>
        <v>#N/A</v>
      </c>
      <c r="AL246" s="49" t="e">
        <f t="shared" si="500"/>
        <v>#N/A</v>
      </c>
      <c r="AM246" s="25">
        <f t="shared" si="478"/>
        <v>30</v>
      </c>
      <c r="AN246" s="25">
        <f t="shared" si="479"/>
        <v>30</v>
      </c>
      <c r="AO246" s="25">
        <f t="shared" si="480"/>
        <v>30</v>
      </c>
      <c r="AP246" s="52" t="e">
        <f t="shared" si="501"/>
        <v>#N/A</v>
      </c>
      <c r="AQ246" s="53" t="e">
        <f t="shared" si="501"/>
        <v>#N/A</v>
      </c>
      <c r="AR246" s="54" t="e">
        <f t="shared" si="501"/>
        <v>#N/A</v>
      </c>
      <c r="AS246" s="316">
        <f t="shared" si="593"/>
        <v>0</v>
      </c>
      <c r="AT246" s="106">
        <f>_xlfn.IFNA($M246/VLOOKUP($BT246,'Unit information'!$A$2:$K$29,2,FALSE)*R246,0)*(1+$E$9)</f>
        <v>0</v>
      </c>
      <c r="AU246" s="107">
        <f>_xlfn.IFNA($M246/VLOOKUP($BT246,'Unit information'!$A$2:$K$29,3,FALSE)*S246,0)*(1+$E$9)</f>
        <v>0</v>
      </c>
      <c r="AV246" s="107">
        <f>_xlfn.IFNA($M246/VLOOKUP($BT246,'Unit information'!$A$2:$K$29,4,FALSE)*T246,0)*(1+$E$9)</f>
        <v>0</v>
      </c>
      <c r="AW246" s="107">
        <f>_xlfn.IFNA($M246/VLOOKUP($BT246,'Unit information'!$A$2:$K$29,5,FALSE)*U246,0)*(1+$E$9)</f>
        <v>0</v>
      </c>
      <c r="AX246" s="107">
        <f>_xlfn.IFNA($M246/VLOOKUP($BU246,'Unit information'!$A$2:$K$29,6,FALSE)*V246,0)*(1+$E$9)</f>
        <v>0</v>
      </c>
      <c r="AY246" s="107">
        <f>_xlfn.IFNA($M246/VLOOKUP($BU246,'Unit information'!$A$2:$K$29,7,FALSE)*W246,0)*(1+$E$9)</f>
        <v>0</v>
      </c>
      <c r="AZ246" s="107">
        <f>_xlfn.IFNA($M246/VLOOKUP($BU246,'Unit information'!$A$2:$K$29,8,FALSE)*X246,0)*(1+$E$9)</f>
        <v>0</v>
      </c>
      <c r="BA246" s="107">
        <f>_xlfn.IFNA($M246/VLOOKUP($BU246,'Unit information'!$A$2:$K$29,9,FALSE)*Y246,0)*(1+$E$9)</f>
        <v>0</v>
      </c>
      <c r="BB246" s="107">
        <f>_xlfn.IFNA($M246/VLOOKUP($BV246,'Unit information'!$A$2:$K$29,10,FALSE)*Z246,0)*(1+$E$9)</f>
        <v>0</v>
      </c>
      <c r="BC246" s="108">
        <f>_xlfn.IFNA($M246/VLOOKUP($BV246,'Unit information'!$A$2:$K$29,11,FALSE)*AA246,0)*(1+$E$9)</f>
        <v>0</v>
      </c>
      <c r="BD246" s="106">
        <f t="shared" si="481"/>
        <v>0</v>
      </c>
      <c r="BE246" s="107">
        <f t="shared" si="482"/>
        <v>0</v>
      </c>
      <c r="BF246" s="108">
        <f t="shared" si="483"/>
        <v>0</v>
      </c>
      <c r="BG246" s="25" t="e">
        <f t="shared" si="484"/>
        <v>#N/A</v>
      </c>
      <c r="BH246" s="25" t="e">
        <f t="shared" si="485"/>
        <v>#N/A</v>
      </c>
      <c r="BI246" s="25" t="e">
        <f t="shared" si="486"/>
        <v>#N/A</v>
      </c>
      <c r="BJ246" s="27" t="e">
        <f t="shared" si="487"/>
        <v>#N/A</v>
      </c>
      <c r="BK246" s="18" t="e">
        <f t="shared" si="488"/>
        <v>#N/A</v>
      </c>
      <c r="BL246" s="18" t="e">
        <f t="shared" si="489"/>
        <v>#N/A</v>
      </c>
      <c r="BM246" s="28" t="e">
        <f t="shared" si="540"/>
        <v>#N/A</v>
      </c>
      <c r="BN246" s="33">
        <f>HLOOKUP("maximum population",Miscelaneous!$C$1:$C$33,CH246+3,FALSE)</f>
        <v>240</v>
      </c>
      <c r="BO246" s="14">
        <f t="shared" si="502"/>
        <v>32</v>
      </c>
      <c r="BP246" s="14">
        <f t="shared" si="503"/>
        <v>0</v>
      </c>
      <c r="BQ246" s="14">
        <f t="shared" si="504"/>
        <v>208</v>
      </c>
      <c r="BR246" s="34" t="e">
        <f>HLOOKUP(J246,Villagers!$B$1:$V$33,L246+3,FALSE)-HLOOKUP(J246,Villagers!$B$1:$V$33,L246+2,FALSE)</f>
        <v>#N/A</v>
      </c>
      <c r="BS246" s="49">
        <f t="shared" si="505"/>
        <v>1</v>
      </c>
      <c r="BT246" s="50">
        <f t="shared" si="506"/>
        <v>0</v>
      </c>
      <c r="BU246" s="50">
        <f t="shared" si="507"/>
        <v>0</v>
      </c>
      <c r="BV246" s="50">
        <f t="shared" si="508"/>
        <v>0</v>
      </c>
      <c r="BW246" s="50">
        <f t="shared" si="575"/>
        <v>0</v>
      </c>
      <c r="BX246" s="50">
        <f t="shared" si="576"/>
        <v>0</v>
      </c>
      <c r="BY246" s="50">
        <f t="shared" si="576"/>
        <v>0</v>
      </c>
      <c r="BZ246" s="50">
        <f t="shared" si="554"/>
        <v>0</v>
      </c>
      <c r="CA246" s="50">
        <f t="shared" si="555"/>
        <v>0</v>
      </c>
      <c r="CB246" s="50">
        <f t="shared" si="556"/>
        <v>1</v>
      </c>
      <c r="CC246" s="50">
        <f t="shared" si="557"/>
        <v>0</v>
      </c>
      <c r="CD246" s="50">
        <f t="shared" si="558"/>
        <v>0</v>
      </c>
      <c r="CE246" s="50">
        <f t="shared" si="559"/>
        <v>1</v>
      </c>
      <c r="CF246" s="50">
        <f t="shared" si="560"/>
        <v>1</v>
      </c>
      <c r="CG246" s="50">
        <f t="shared" si="561"/>
        <v>1</v>
      </c>
      <c r="CH246" s="50">
        <f t="shared" si="562"/>
        <v>1</v>
      </c>
      <c r="CI246" s="50">
        <f t="shared" si="563"/>
        <v>1</v>
      </c>
      <c r="CJ246" s="50">
        <f t="shared" si="564"/>
        <v>1</v>
      </c>
      <c r="CK246" s="50">
        <f t="shared" si="564"/>
        <v>0</v>
      </c>
      <c r="CL246" s="50">
        <f t="shared" si="564"/>
        <v>0</v>
      </c>
      <c r="CM246" s="51">
        <f t="shared" si="587"/>
        <v>0</v>
      </c>
      <c r="CN246" s="33">
        <f>ROUND(IF(BS246=0,0,HLOOKUP(BS$14,Villagers!$B$1:$V$33,BS246+3,FALSE)),)</f>
        <v>5</v>
      </c>
      <c r="CO246" s="14">
        <f>ROUND(IF(BT246=0,0,HLOOKUP(BT$14,Villagers!$B$1:$V$33,BT246+3,FALSE)),)</f>
        <v>0</v>
      </c>
      <c r="CP246" s="14">
        <f>ROUND(IF(BU246=0,0,HLOOKUP(BU$14,Villagers!$B$1:$V$33,BU246+3,FALSE)),)</f>
        <v>0</v>
      </c>
      <c r="CQ246" s="14">
        <f>ROUND(IF(BV246=0,0,HLOOKUP(BV$14,Villagers!$B$1:$V$33,BV246+3,FALSE)),)</f>
        <v>0</v>
      </c>
      <c r="CR246" s="14">
        <f>ROUND(IF(BW246=0,0,HLOOKUP(BW$14,Villagers!$B$1:$V$33,BW246+3,FALSE)),)</f>
        <v>0</v>
      </c>
      <c r="CS246" s="14">
        <f>ROUND(IF(BX246=0,0,HLOOKUP(BX$14,Villagers!$B$1:$V$33,BX246+3,FALSE)),)</f>
        <v>0</v>
      </c>
      <c r="CT246" s="14">
        <f>ROUND(IF(BY246=0,0,HLOOKUP(BY$14,Villagers!$B$1:$V$33,BY246+3,FALSE)),)</f>
        <v>0</v>
      </c>
      <c r="CU246" s="14">
        <f>ROUND(IF(BZ246=0,0,HLOOKUP(BZ$14,Villagers!$B$1:$V$33,BZ246+3,FALSE)),)</f>
        <v>0</v>
      </c>
      <c r="CV246" s="14">
        <f>ROUND(IF(CA246=0,0,HLOOKUP(CA$14,Villagers!$B$1:$V$33,CA246+3,FALSE)),)</f>
        <v>0</v>
      </c>
      <c r="CW246" s="14">
        <f>ROUND(IF(CB246=0,0,HLOOKUP(CB$14,Villagers!$B$1:$V$33,CB246+3,FALSE)),)</f>
        <v>0</v>
      </c>
      <c r="CX246" s="14">
        <f>ROUND(IF(CC246=0,0,HLOOKUP(CC$14,Villagers!$B$1:$V$33,CC246+3,FALSE)),)</f>
        <v>0</v>
      </c>
      <c r="CY246" s="14">
        <f>ROUND(IF(CD246=0,0,HLOOKUP(CD$14,Villagers!$B$1:$V$33,CD246+3,FALSE)),)</f>
        <v>0</v>
      </c>
      <c r="CZ246" s="14">
        <f>ROUND(IF(CE246=0,0,HLOOKUP(CE$14,Villagers!$B$1:$V$33,CE246+3,FALSE)),)</f>
        <v>5</v>
      </c>
      <c r="DA246" s="14">
        <f>ROUND(IF(CF246=0,0,HLOOKUP(CF$14,Villagers!$B$1:$V$33,CF246+3,FALSE)),)</f>
        <v>10</v>
      </c>
      <c r="DB246" s="14">
        <f>ROUND(IF(CG246=0,0,HLOOKUP(CG$14,Villagers!$B$1:$V$33,CG246+3,FALSE)),)</f>
        <v>10</v>
      </c>
      <c r="DC246" s="14">
        <f>ROUND(IF(CH246=0,0,HLOOKUP(CH$14,Villagers!$B$1:$V$33,CH246+3,FALSE)),)</f>
        <v>0</v>
      </c>
      <c r="DD246" s="14">
        <f>ROUND(IF(CI246=0,0,HLOOKUP(CI$14,Villagers!$B$1:$V$33,CI246+3,FALSE)),)</f>
        <v>0</v>
      </c>
      <c r="DE246" s="14">
        <f>ROUND(IF(CJ246=0,0,HLOOKUP(CJ$14,Villagers!$B$1:$V$33,CJ246+3,FALSE)),)</f>
        <v>2</v>
      </c>
      <c r="DF246" s="370">
        <f>ROUND(IF(CK246=0,0,HLOOKUP(CK$14,Villagers!$B$1:$V$33,CK246+3,FALSE)),)</f>
        <v>0</v>
      </c>
      <c r="DG246" s="370">
        <f>ROUND(IF(CL246=0,0,HLOOKUP(CL$14,Villagers!$B$1:$V$33,CL246+3,FALSE)),)</f>
        <v>0</v>
      </c>
      <c r="DH246" s="34">
        <f>ROUND(IF(CM246=0,0,HLOOKUP(CM$14,Villagers!$B$1:$V$33,CM246+3,FALSE)),)</f>
        <v>0</v>
      </c>
      <c r="DI246" s="109">
        <f t="shared" si="526"/>
        <v>0</v>
      </c>
      <c r="DJ246" s="50">
        <f t="shared" si="527"/>
        <v>0</v>
      </c>
      <c r="DK246" s="50">
        <f t="shared" si="528"/>
        <v>0</v>
      </c>
      <c r="DL246" s="50">
        <f t="shared" si="529"/>
        <v>0</v>
      </c>
      <c r="DM246" s="50">
        <f t="shared" si="530"/>
        <v>0</v>
      </c>
      <c r="DN246" s="50">
        <f t="shared" si="531"/>
        <v>0</v>
      </c>
      <c r="DO246" s="50">
        <f t="shared" si="532"/>
        <v>0</v>
      </c>
      <c r="DP246" s="50">
        <f t="shared" si="533"/>
        <v>0</v>
      </c>
      <c r="DQ246" s="50">
        <f t="shared" si="510"/>
        <v>0</v>
      </c>
      <c r="DR246" s="50">
        <f t="shared" si="511"/>
        <v>0</v>
      </c>
      <c r="DS246" s="96">
        <f>Miscelaneous!$D$4*Miscelaneous!$D$2^($CI246-1)</f>
        <v>1000</v>
      </c>
      <c r="DT246" s="333">
        <f t="shared" si="490"/>
        <v>1</v>
      </c>
      <c r="DU246" s="81">
        <v>1</v>
      </c>
      <c r="DV246" s="79">
        <f t="shared" si="512"/>
        <v>0</v>
      </c>
      <c r="DW246" s="79">
        <f t="shared" si="513"/>
        <v>0</v>
      </c>
      <c r="DX246" s="79">
        <f t="shared" si="514"/>
        <v>0</v>
      </c>
      <c r="DY246" s="79">
        <v>1</v>
      </c>
      <c r="DZ246" s="79">
        <f t="shared" si="515"/>
        <v>0</v>
      </c>
      <c r="EA246" s="79">
        <f t="shared" si="516"/>
        <v>0</v>
      </c>
      <c r="EB246" s="79">
        <f t="shared" si="517"/>
        <v>0</v>
      </c>
      <c r="EC246" s="79">
        <f t="shared" si="518"/>
        <v>0</v>
      </c>
      <c r="ED246" s="79">
        <v>1</v>
      </c>
      <c r="EE246" s="79">
        <v>1</v>
      </c>
      <c r="EF246" s="79">
        <f t="shared" si="519"/>
        <v>0</v>
      </c>
      <c r="EG246" s="79">
        <v>1</v>
      </c>
      <c r="EH246" s="79">
        <v>1</v>
      </c>
      <c r="EI246" s="79">
        <v>1</v>
      </c>
      <c r="EJ246" s="79">
        <v>1</v>
      </c>
      <c r="EK246" s="79">
        <v>1</v>
      </c>
      <c r="EL246" s="79">
        <v>1</v>
      </c>
      <c r="EM246" s="143">
        <f t="shared" si="520"/>
        <v>0</v>
      </c>
      <c r="EN246" s="143">
        <f t="shared" si="521"/>
        <v>0</v>
      </c>
      <c r="EO246" s="82">
        <f t="shared" si="522"/>
        <v>0</v>
      </c>
    </row>
    <row r="247" spans="1:145" x14ac:dyDescent="0.25">
      <c r="A247">
        <v>233</v>
      </c>
      <c r="B247" s="172" t="e">
        <f t="shared" si="491"/>
        <v>#N/A</v>
      </c>
      <c r="C247" s="121" t="e">
        <f t="shared" ref="C247:E247" si="596">AJ247-SUM(AB247:AB251)</f>
        <v>#N/A</v>
      </c>
      <c r="D247" s="122" t="e">
        <f t="shared" si="596"/>
        <v>#N/A</v>
      </c>
      <c r="E247" s="122" t="e">
        <f t="shared" si="596"/>
        <v>#N/A</v>
      </c>
      <c r="F247" s="176" t="e">
        <f t="shared" si="473"/>
        <v>#N/A</v>
      </c>
      <c r="G247" s="121">
        <f t="shared" si="493"/>
        <v>208</v>
      </c>
      <c r="H247" s="176" t="e">
        <f t="shared" si="494"/>
        <v>#N/A</v>
      </c>
      <c r="I247" s="48">
        <v>1</v>
      </c>
      <c r="J247" s="39"/>
      <c r="K247" s="350">
        <v>1</v>
      </c>
      <c r="L247" s="34" t="e">
        <f t="shared" si="474"/>
        <v>#N/A</v>
      </c>
      <c r="M247" s="38" t="e">
        <f>(HLOOKUP(J247,'Construction Times'!$B$3:$W$34,L247+2,FALSE)*HLOOKUP("hq modifier",'Construction Times'!$W$3:$W$34,BS247+2,FALSE))*(1-$H$9)</f>
        <v>#N/A</v>
      </c>
      <c r="N247" s="426" t="e">
        <f t="shared" si="495"/>
        <v>#N/A</v>
      </c>
      <c r="O247" s="427"/>
      <c r="P247" s="430" t="e">
        <f t="shared" si="496"/>
        <v>#N/A</v>
      </c>
      <c r="Q247" s="431"/>
      <c r="R247" s="103">
        <f t="shared" si="524"/>
        <v>0</v>
      </c>
      <c r="S247" s="104">
        <f t="shared" si="524"/>
        <v>0</v>
      </c>
      <c r="T247" s="104">
        <f t="shared" si="525"/>
        <v>0</v>
      </c>
      <c r="U247" s="104">
        <f t="shared" si="525"/>
        <v>0</v>
      </c>
      <c r="V247" s="104">
        <f t="shared" si="525"/>
        <v>9.9999999999999995E-8</v>
      </c>
      <c r="W247" s="104">
        <f t="shared" si="525"/>
        <v>0</v>
      </c>
      <c r="X247" s="104">
        <f t="shared" si="584"/>
        <v>0</v>
      </c>
      <c r="Y247" s="104">
        <f t="shared" si="584"/>
        <v>9.9999999999999995E-8</v>
      </c>
      <c r="Z247" s="104">
        <f t="shared" si="584"/>
        <v>9.9999999999999995E-8</v>
      </c>
      <c r="AA247" s="105">
        <f t="shared" si="584"/>
        <v>9.9999999999999995E-8</v>
      </c>
      <c r="AB247" s="101" t="e">
        <f>$DT247*HLOOKUP($J247,'Construction Costs (timber)'!$B$1:$V$32,'Construction Planner'!$L247+2,FALSE)</f>
        <v>#N/A</v>
      </c>
      <c r="AC247" s="14" t="e">
        <f>$DT247*HLOOKUP($J247,'Construction Costs (clay)'!$B$1:$V$32,'Construction Planner'!$L247+2,FALSE)</f>
        <v>#N/A</v>
      </c>
      <c r="AD247" s="14" t="e">
        <f>$DT247*HLOOKUP($J247,'Construction Costs (iron)'!$B$1:$V$32,'Construction Planner'!$L247+2,FALSE)</f>
        <v>#N/A</v>
      </c>
      <c r="AE247" s="34" t="e">
        <f t="shared" si="537"/>
        <v>#N/A</v>
      </c>
      <c r="AF247" s="33" t="e">
        <f t="shared" si="475"/>
        <v>#N/A</v>
      </c>
      <c r="AG247" s="14" t="e">
        <f t="shared" si="476"/>
        <v>#N/A</v>
      </c>
      <c r="AH247" s="14" t="e">
        <f t="shared" si="477"/>
        <v>#N/A</v>
      </c>
      <c r="AI247" s="34" t="e">
        <f t="shared" si="538"/>
        <v>#N/A</v>
      </c>
      <c r="AJ247" s="49" t="e">
        <f t="shared" si="498"/>
        <v>#N/A</v>
      </c>
      <c r="AK247" s="49" t="e">
        <f t="shared" si="499"/>
        <v>#N/A</v>
      </c>
      <c r="AL247" s="49" t="e">
        <f t="shared" si="500"/>
        <v>#N/A</v>
      </c>
      <c r="AM247" s="25">
        <f t="shared" si="478"/>
        <v>30</v>
      </c>
      <c r="AN247" s="25">
        <f t="shared" si="479"/>
        <v>30</v>
      </c>
      <c r="AO247" s="25">
        <f t="shared" si="480"/>
        <v>30</v>
      </c>
      <c r="AP247" s="52" t="e">
        <f t="shared" si="501"/>
        <v>#N/A</v>
      </c>
      <c r="AQ247" s="53" t="e">
        <f t="shared" si="501"/>
        <v>#N/A</v>
      </c>
      <c r="AR247" s="54" t="e">
        <f t="shared" si="501"/>
        <v>#N/A</v>
      </c>
      <c r="AS247" s="316">
        <f t="shared" si="593"/>
        <v>0</v>
      </c>
      <c r="AT247" s="106">
        <f>_xlfn.IFNA($M247/VLOOKUP($BT247,'Unit information'!$A$2:$K$29,2,FALSE)*R247,0)*(1+$E$9)</f>
        <v>0</v>
      </c>
      <c r="AU247" s="107">
        <f>_xlfn.IFNA($M247/VLOOKUP($BT247,'Unit information'!$A$2:$K$29,3,FALSE)*S247,0)*(1+$E$9)</f>
        <v>0</v>
      </c>
      <c r="AV247" s="107">
        <f>_xlfn.IFNA($M247/VLOOKUP($BT247,'Unit information'!$A$2:$K$29,4,FALSE)*T247,0)*(1+$E$9)</f>
        <v>0</v>
      </c>
      <c r="AW247" s="107">
        <f>_xlfn.IFNA($M247/VLOOKUP($BT247,'Unit information'!$A$2:$K$29,5,FALSE)*U247,0)*(1+$E$9)</f>
        <v>0</v>
      </c>
      <c r="AX247" s="107">
        <f>_xlfn.IFNA($M247/VLOOKUP($BU247,'Unit information'!$A$2:$K$29,6,FALSE)*V247,0)*(1+$E$9)</f>
        <v>0</v>
      </c>
      <c r="AY247" s="107">
        <f>_xlfn.IFNA($M247/VLOOKUP($BU247,'Unit information'!$A$2:$K$29,7,FALSE)*W247,0)*(1+$E$9)</f>
        <v>0</v>
      </c>
      <c r="AZ247" s="107">
        <f>_xlfn.IFNA($M247/VLOOKUP($BU247,'Unit information'!$A$2:$K$29,8,FALSE)*X247,0)*(1+$E$9)</f>
        <v>0</v>
      </c>
      <c r="BA247" s="107">
        <f>_xlfn.IFNA($M247/VLOOKUP($BU247,'Unit information'!$A$2:$K$29,9,FALSE)*Y247,0)*(1+$E$9)</f>
        <v>0</v>
      </c>
      <c r="BB247" s="107">
        <f>_xlfn.IFNA($M247/VLOOKUP($BV247,'Unit information'!$A$2:$K$29,10,FALSE)*Z247,0)*(1+$E$9)</f>
        <v>0</v>
      </c>
      <c r="BC247" s="108">
        <f>_xlfn.IFNA($M247/VLOOKUP($BV247,'Unit information'!$A$2:$K$29,11,FALSE)*AA247,0)*(1+$E$9)</f>
        <v>0</v>
      </c>
      <c r="BD247" s="106">
        <f t="shared" si="481"/>
        <v>0</v>
      </c>
      <c r="BE247" s="107">
        <f t="shared" si="482"/>
        <v>0</v>
      </c>
      <c r="BF247" s="108">
        <f t="shared" si="483"/>
        <v>0</v>
      </c>
      <c r="BG247" s="25" t="e">
        <f t="shared" si="484"/>
        <v>#N/A</v>
      </c>
      <c r="BH247" s="25" t="e">
        <f t="shared" si="485"/>
        <v>#N/A</v>
      </c>
      <c r="BI247" s="25" t="e">
        <f t="shared" si="486"/>
        <v>#N/A</v>
      </c>
      <c r="BJ247" s="27" t="e">
        <f t="shared" si="487"/>
        <v>#N/A</v>
      </c>
      <c r="BK247" s="18" t="e">
        <f t="shared" si="488"/>
        <v>#N/A</v>
      </c>
      <c r="BL247" s="18" t="e">
        <f t="shared" si="489"/>
        <v>#N/A</v>
      </c>
      <c r="BM247" s="28" t="e">
        <f t="shared" si="540"/>
        <v>#N/A</v>
      </c>
      <c r="BN247" s="33">
        <f>HLOOKUP("maximum population",Miscelaneous!$C$1:$C$33,CH247+3,FALSE)</f>
        <v>240</v>
      </c>
      <c r="BO247" s="14">
        <f t="shared" si="502"/>
        <v>32</v>
      </c>
      <c r="BP247" s="14">
        <f t="shared" si="503"/>
        <v>0</v>
      </c>
      <c r="BQ247" s="14">
        <f t="shared" si="504"/>
        <v>208</v>
      </c>
      <c r="BR247" s="34" t="e">
        <f>HLOOKUP(J247,Villagers!$B$1:$V$33,L247+3,FALSE)-HLOOKUP(J247,Villagers!$B$1:$V$33,L247+2,FALSE)</f>
        <v>#N/A</v>
      </c>
      <c r="BS247" s="49">
        <f t="shared" si="505"/>
        <v>1</v>
      </c>
      <c r="BT247" s="50">
        <f t="shared" si="506"/>
        <v>0</v>
      </c>
      <c r="BU247" s="50">
        <f t="shared" si="507"/>
        <v>0</v>
      </c>
      <c r="BV247" s="50">
        <f t="shared" si="508"/>
        <v>0</v>
      </c>
      <c r="BW247" s="50">
        <f t="shared" si="575"/>
        <v>0</v>
      </c>
      <c r="BX247" s="50">
        <f t="shared" si="576"/>
        <v>0</v>
      </c>
      <c r="BY247" s="50">
        <f t="shared" si="576"/>
        <v>0</v>
      </c>
      <c r="BZ247" s="50">
        <f t="shared" si="554"/>
        <v>0</v>
      </c>
      <c r="CA247" s="50">
        <f t="shared" si="555"/>
        <v>0</v>
      </c>
      <c r="CB247" s="50">
        <f t="shared" si="556"/>
        <v>1</v>
      </c>
      <c r="CC247" s="50">
        <f t="shared" si="557"/>
        <v>0</v>
      </c>
      <c r="CD247" s="50">
        <f t="shared" si="558"/>
        <v>0</v>
      </c>
      <c r="CE247" s="50">
        <f t="shared" si="559"/>
        <v>1</v>
      </c>
      <c r="CF247" s="50">
        <f t="shared" si="560"/>
        <v>1</v>
      </c>
      <c r="CG247" s="50">
        <f t="shared" si="561"/>
        <v>1</v>
      </c>
      <c r="CH247" s="50">
        <f t="shared" si="562"/>
        <v>1</v>
      </c>
      <c r="CI247" s="50">
        <f t="shared" si="563"/>
        <v>1</v>
      </c>
      <c r="CJ247" s="50">
        <f t="shared" si="564"/>
        <v>1</v>
      </c>
      <c r="CK247" s="50">
        <f t="shared" si="564"/>
        <v>0</v>
      </c>
      <c r="CL247" s="50">
        <f t="shared" si="564"/>
        <v>0</v>
      </c>
      <c r="CM247" s="51">
        <f t="shared" si="587"/>
        <v>0</v>
      </c>
      <c r="CN247" s="33">
        <f>ROUND(IF(BS247=0,0,HLOOKUP(BS$14,Villagers!$B$1:$V$33,BS247+3,FALSE)),)</f>
        <v>5</v>
      </c>
      <c r="CO247" s="14">
        <f>ROUND(IF(BT247=0,0,HLOOKUP(BT$14,Villagers!$B$1:$V$33,BT247+3,FALSE)),)</f>
        <v>0</v>
      </c>
      <c r="CP247" s="14">
        <f>ROUND(IF(BU247=0,0,HLOOKUP(BU$14,Villagers!$B$1:$V$33,BU247+3,FALSE)),)</f>
        <v>0</v>
      </c>
      <c r="CQ247" s="14">
        <f>ROUND(IF(BV247=0,0,HLOOKUP(BV$14,Villagers!$B$1:$V$33,BV247+3,FALSE)),)</f>
        <v>0</v>
      </c>
      <c r="CR247" s="14">
        <f>ROUND(IF(BW247=0,0,HLOOKUP(BW$14,Villagers!$B$1:$V$33,BW247+3,FALSE)),)</f>
        <v>0</v>
      </c>
      <c r="CS247" s="14">
        <f>ROUND(IF(BX247=0,0,HLOOKUP(BX$14,Villagers!$B$1:$V$33,BX247+3,FALSE)),)</f>
        <v>0</v>
      </c>
      <c r="CT247" s="14">
        <f>ROUND(IF(BY247=0,0,HLOOKUP(BY$14,Villagers!$B$1:$V$33,BY247+3,FALSE)),)</f>
        <v>0</v>
      </c>
      <c r="CU247" s="14">
        <f>ROUND(IF(BZ247=0,0,HLOOKUP(BZ$14,Villagers!$B$1:$V$33,BZ247+3,FALSE)),)</f>
        <v>0</v>
      </c>
      <c r="CV247" s="14">
        <f>ROUND(IF(CA247=0,0,HLOOKUP(CA$14,Villagers!$B$1:$V$33,CA247+3,FALSE)),)</f>
        <v>0</v>
      </c>
      <c r="CW247" s="14">
        <f>ROUND(IF(CB247=0,0,HLOOKUP(CB$14,Villagers!$B$1:$V$33,CB247+3,FALSE)),)</f>
        <v>0</v>
      </c>
      <c r="CX247" s="14">
        <f>ROUND(IF(CC247=0,0,HLOOKUP(CC$14,Villagers!$B$1:$V$33,CC247+3,FALSE)),)</f>
        <v>0</v>
      </c>
      <c r="CY247" s="14">
        <f>ROUND(IF(CD247=0,0,HLOOKUP(CD$14,Villagers!$B$1:$V$33,CD247+3,FALSE)),)</f>
        <v>0</v>
      </c>
      <c r="CZ247" s="14">
        <f>ROUND(IF(CE247=0,0,HLOOKUP(CE$14,Villagers!$B$1:$V$33,CE247+3,FALSE)),)</f>
        <v>5</v>
      </c>
      <c r="DA247" s="14">
        <f>ROUND(IF(CF247=0,0,HLOOKUP(CF$14,Villagers!$B$1:$V$33,CF247+3,FALSE)),)</f>
        <v>10</v>
      </c>
      <c r="DB247" s="14">
        <f>ROUND(IF(CG247=0,0,HLOOKUP(CG$14,Villagers!$B$1:$V$33,CG247+3,FALSE)),)</f>
        <v>10</v>
      </c>
      <c r="DC247" s="14">
        <f>ROUND(IF(CH247=0,0,HLOOKUP(CH$14,Villagers!$B$1:$V$33,CH247+3,FALSE)),)</f>
        <v>0</v>
      </c>
      <c r="DD247" s="14">
        <f>ROUND(IF(CI247=0,0,HLOOKUP(CI$14,Villagers!$B$1:$V$33,CI247+3,FALSE)),)</f>
        <v>0</v>
      </c>
      <c r="DE247" s="14">
        <f>ROUND(IF(CJ247=0,0,HLOOKUP(CJ$14,Villagers!$B$1:$V$33,CJ247+3,FALSE)),)</f>
        <v>2</v>
      </c>
      <c r="DF247" s="370">
        <f>ROUND(IF(CK247=0,0,HLOOKUP(CK$14,Villagers!$B$1:$V$33,CK247+3,FALSE)),)</f>
        <v>0</v>
      </c>
      <c r="DG247" s="370">
        <f>ROUND(IF(CL247=0,0,HLOOKUP(CL$14,Villagers!$B$1:$V$33,CL247+3,FALSE)),)</f>
        <v>0</v>
      </c>
      <c r="DH247" s="34">
        <f>ROUND(IF(CM247=0,0,HLOOKUP(CM$14,Villagers!$B$1:$V$33,CM247+3,FALSE)),)</f>
        <v>0</v>
      </c>
      <c r="DI247" s="109">
        <f t="shared" si="526"/>
        <v>0</v>
      </c>
      <c r="DJ247" s="50">
        <f t="shared" si="527"/>
        <v>0</v>
      </c>
      <c r="DK247" s="50">
        <f t="shared" si="528"/>
        <v>0</v>
      </c>
      <c r="DL247" s="50">
        <f t="shared" si="529"/>
        <v>0</v>
      </c>
      <c r="DM247" s="50">
        <f t="shared" si="530"/>
        <v>0</v>
      </c>
      <c r="DN247" s="50">
        <f t="shared" si="531"/>
        <v>0</v>
      </c>
      <c r="DO247" s="50">
        <f t="shared" si="532"/>
        <v>0</v>
      </c>
      <c r="DP247" s="50">
        <f t="shared" si="533"/>
        <v>0</v>
      </c>
      <c r="DQ247" s="50">
        <f t="shared" si="510"/>
        <v>0</v>
      </c>
      <c r="DR247" s="50">
        <f t="shared" si="511"/>
        <v>0</v>
      </c>
      <c r="DS247" s="96">
        <f>Miscelaneous!$D$4*Miscelaneous!$D$2^($CI247-1)</f>
        <v>1000</v>
      </c>
      <c r="DT247" s="333">
        <f t="shared" si="490"/>
        <v>1</v>
      </c>
      <c r="DU247" s="81">
        <v>1</v>
      </c>
      <c r="DV247" s="79">
        <f t="shared" si="512"/>
        <v>0</v>
      </c>
      <c r="DW247" s="79">
        <f t="shared" si="513"/>
        <v>0</v>
      </c>
      <c r="DX247" s="79">
        <f t="shared" si="514"/>
        <v>0</v>
      </c>
      <c r="DY247" s="79">
        <v>1</v>
      </c>
      <c r="DZ247" s="79">
        <f t="shared" si="515"/>
        <v>0</v>
      </c>
      <c r="EA247" s="79">
        <f t="shared" si="516"/>
        <v>0</v>
      </c>
      <c r="EB247" s="79">
        <f t="shared" si="517"/>
        <v>0</v>
      </c>
      <c r="EC247" s="79">
        <f t="shared" si="518"/>
        <v>0</v>
      </c>
      <c r="ED247" s="79">
        <v>1</v>
      </c>
      <c r="EE247" s="79">
        <v>1</v>
      </c>
      <c r="EF247" s="79">
        <f t="shared" si="519"/>
        <v>0</v>
      </c>
      <c r="EG247" s="79">
        <v>1</v>
      </c>
      <c r="EH247" s="79">
        <v>1</v>
      </c>
      <c r="EI247" s="79">
        <v>1</v>
      </c>
      <c r="EJ247" s="79">
        <v>1</v>
      </c>
      <c r="EK247" s="79">
        <v>1</v>
      </c>
      <c r="EL247" s="79">
        <v>1</v>
      </c>
      <c r="EM247" s="143">
        <f t="shared" si="520"/>
        <v>0</v>
      </c>
      <c r="EN247" s="143">
        <f t="shared" si="521"/>
        <v>0</v>
      </c>
      <c r="EO247" s="82">
        <f t="shared" si="522"/>
        <v>0</v>
      </c>
    </row>
    <row r="248" spans="1:145" x14ac:dyDescent="0.25">
      <c r="A248">
        <v>234</v>
      </c>
      <c r="B248" s="172" t="e">
        <f t="shared" si="491"/>
        <v>#N/A</v>
      </c>
      <c r="C248" s="121" t="e">
        <f t="shared" ref="C248:E248" si="597">AJ248-SUM(AB248:AB252)</f>
        <v>#N/A</v>
      </c>
      <c r="D248" s="122" t="e">
        <f t="shared" si="597"/>
        <v>#N/A</v>
      </c>
      <c r="E248" s="122" t="e">
        <f t="shared" si="597"/>
        <v>#N/A</v>
      </c>
      <c r="F248" s="176" t="e">
        <f t="shared" si="473"/>
        <v>#N/A</v>
      </c>
      <c r="G248" s="121">
        <f t="shared" si="493"/>
        <v>208</v>
      </c>
      <c r="H248" s="176" t="e">
        <f t="shared" si="494"/>
        <v>#N/A</v>
      </c>
      <c r="I248" s="48">
        <v>1</v>
      </c>
      <c r="J248" s="39"/>
      <c r="K248" s="350">
        <v>1</v>
      </c>
      <c r="L248" s="34" t="e">
        <f t="shared" si="474"/>
        <v>#N/A</v>
      </c>
      <c r="M248" s="38" t="e">
        <f>(HLOOKUP(J248,'Construction Times'!$B$3:$W$34,L248+2,FALSE)*HLOOKUP("hq modifier",'Construction Times'!$W$3:$W$34,BS248+2,FALSE))*(1-$H$9)</f>
        <v>#N/A</v>
      </c>
      <c r="N248" s="426" t="e">
        <f t="shared" si="495"/>
        <v>#N/A</v>
      </c>
      <c r="O248" s="427"/>
      <c r="P248" s="430" t="e">
        <f t="shared" si="496"/>
        <v>#N/A</v>
      </c>
      <c r="Q248" s="431"/>
      <c r="R248" s="103">
        <f t="shared" si="524"/>
        <v>0</v>
      </c>
      <c r="S248" s="104">
        <f t="shared" si="524"/>
        <v>0</v>
      </c>
      <c r="T248" s="104">
        <f t="shared" si="525"/>
        <v>0</v>
      </c>
      <c r="U248" s="104">
        <f t="shared" si="525"/>
        <v>0</v>
      </c>
      <c r="V248" s="104">
        <f t="shared" si="525"/>
        <v>9.9999999999999995E-8</v>
      </c>
      <c r="W248" s="104">
        <f t="shared" si="525"/>
        <v>0</v>
      </c>
      <c r="X248" s="104">
        <f t="shared" si="584"/>
        <v>0</v>
      </c>
      <c r="Y248" s="104">
        <f t="shared" si="584"/>
        <v>9.9999999999999995E-8</v>
      </c>
      <c r="Z248" s="104">
        <f t="shared" si="584"/>
        <v>9.9999999999999995E-8</v>
      </c>
      <c r="AA248" s="105">
        <f t="shared" si="584"/>
        <v>9.9999999999999995E-8</v>
      </c>
      <c r="AB248" s="101" t="e">
        <f>$DT248*HLOOKUP($J248,'Construction Costs (timber)'!$B$1:$V$32,'Construction Planner'!$L248+2,FALSE)</f>
        <v>#N/A</v>
      </c>
      <c r="AC248" s="14" t="e">
        <f>$DT248*HLOOKUP($J248,'Construction Costs (clay)'!$B$1:$V$32,'Construction Planner'!$L248+2,FALSE)</f>
        <v>#N/A</v>
      </c>
      <c r="AD248" s="14" t="e">
        <f>$DT248*HLOOKUP($J248,'Construction Costs (iron)'!$B$1:$V$32,'Construction Planner'!$L248+2,FALSE)</f>
        <v>#N/A</v>
      </c>
      <c r="AE248" s="34" t="e">
        <f t="shared" si="537"/>
        <v>#N/A</v>
      </c>
      <c r="AF248" s="33" t="e">
        <f t="shared" si="475"/>
        <v>#N/A</v>
      </c>
      <c r="AG248" s="14" t="e">
        <f t="shared" si="476"/>
        <v>#N/A</v>
      </c>
      <c r="AH248" s="14" t="e">
        <f t="shared" si="477"/>
        <v>#N/A</v>
      </c>
      <c r="AI248" s="34" t="e">
        <f t="shared" si="538"/>
        <v>#N/A</v>
      </c>
      <c r="AJ248" s="49" t="e">
        <f t="shared" si="498"/>
        <v>#N/A</v>
      </c>
      <c r="AK248" s="49" t="e">
        <f t="shared" si="499"/>
        <v>#N/A</v>
      </c>
      <c r="AL248" s="49" t="e">
        <f t="shared" si="500"/>
        <v>#N/A</v>
      </c>
      <c r="AM248" s="25">
        <f t="shared" si="478"/>
        <v>30</v>
      </c>
      <c r="AN248" s="25">
        <f t="shared" si="479"/>
        <v>30</v>
      </c>
      <c r="AO248" s="25">
        <f t="shared" si="480"/>
        <v>30</v>
      </c>
      <c r="AP248" s="52" t="e">
        <f t="shared" si="501"/>
        <v>#N/A</v>
      </c>
      <c r="AQ248" s="53" t="e">
        <f t="shared" si="501"/>
        <v>#N/A</v>
      </c>
      <c r="AR248" s="54" t="e">
        <f t="shared" si="501"/>
        <v>#N/A</v>
      </c>
      <c r="AS248" s="316">
        <f t="shared" si="593"/>
        <v>0</v>
      </c>
      <c r="AT248" s="106">
        <f>_xlfn.IFNA($M248/VLOOKUP($BT248,'Unit information'!$A$2:$K$29,2,FALSE)*R248,0)*(1+$E$9)</f>
        <v>0</v>
      </c>
      <c r="AU248" s="107">
        <f>_xlfn.IFNA($M248/VLOOKUP($BT248,'Unit information'!$A$2:$K$29,3,FALSE)*S248,0)*(1+$E$9)</f>
        <v>0</v>
      </c>
      <c r="AV248" s="107">
        <f>_xlfn.IFNA($M248/VLOOKUP($BT248,'Unit information'!$A$2:$K$29,4,FALSE)*T248,0)*(1+$E$9)</f>
        <v>0</v>
      </c>
      <c r="AW248" s="107">
        <f>_xlfn.IFNA($M248/VLOOKUP($BT248,'Unit information'!$A$2:$K$29,5,FALSE)*U248,0)*(1+$E$9)</f>
        <v>0</v>
      </c>
      <c r="AX248" s="107">
        <f>_xlfn.IFNA($M248/VLOOKUP($BU248,'Unit information'!$A$2:$K$29,6,FALSE)*V248,0)*(1+$E$9)</f>
        <v>0</v>
      </c>
      <c r="AY248" s="107">
        <f>_xlfn.IFNA($M248/VLOOKUP($BU248,'Unit information'!$A$2:$K$29,7,FALSE)*W248,0)*(1+$E$9)</f>
        <v>0</v>
      </c>
      <c r="AZ248" s="107">
        <f>_xlfn.IFNA($M248/VLOOKUP($BU248,'Unit information'!$A$2:$K$29,8,FALSE)*X248,0)*(1+$E$9)</f>
        <v>0</v>
      </c>
      <c r="BA248" s="107">
        <f>_xlfn.IFNA($M248/VLOOKUP($BU248,'Unit information'!$A$2:$K$29,9,FALSE)*Y248,0)*(1+$E$9)</f>
        <v>0</v>
      </c>
      <c r="BB248" s="107">
        <f>_xlfn.IFNA($M248/VLOOKUP($BV248,'Unit information'!$A$2:$K$29,10,FALSE)*Z248,0)*(1+$E$9)</f>
        <v>0</v>
      </c>
      <c r="BC248" s="108">
        <f>_xlfn.IFNA($M248/VLOOKUP($BV248,'Unit information'!$A$2:$K$29,11,FALSE)*AA248,0)*(1+$E$9)</f>
        <v>0</v>
      </c>
      <c r="BD248" s="106">
        <f t="shared" si="481"/>
        <v>0</v>
      </c>
      <c r="BE248" s="107">
        <f t="shared" si="482"/>
        <v>0</v>
      </c>
      <c r="BF248" s="108">
        <f t="shared" si="483"/>
        <v>0</v>
      </c>
      <c r="BG248" s="25" t="e">
        <f t="shared" si="484"/>
        <v>#N/A</v>
      </c>
      <c r="BH248" s="25" t="e">
        <f t="shared" si="485"/>
        <v>#N/A</v>
      </c>
      <c r="BI248" s="25" t="e">
        <f t="shared" si="486"/>
        <v>#N/A</v>
      </c>
      <c r="BJ248" s="27" t="e">
        <f t="shared" si="487"/>
        <v>#N/A</v>
      </c>
      <c r="BK248" s="18" t="e">
        <f t="shared" si="488"/>
        <v>#N/A</v>
      </c>
      <c r="BL248" s="18" t="e">
        <f t="shared" si="489"/>
        <v>#N/A</v>
      </c>
      <c r="BM248" s="28" t="e">
        <f t="shared" si="540"/>
        <v>#N/A</v>
      </c>
      <c r="BN248" s="33">
        <f>HLOOKUP("maximum population",Miscelaneous!$C$1:$C$33,CH248+3,FALSE)</f>
        <v>240</v>
      </c>
      <c r="BO248" s="14">
        <f t="shared" si="502"/>
        <v>32</v>
      </c>
      <c r="BP248" s="14">
        <f t="shared" si="503"/>
        <v>0</v>
      </c>
      <c r="BQ248" s="14">
        <f t="shared" si="504"/>
        <v>208</v>
      </c>
      <c r="BR248" s="34" t="e">
        <f>HLOOKUP(J248,Villagers!$B$1:$V$33,L248+3,FALSE)-HLOOKUP(J248,Villagers!$B$1:$V$33,L248+2,FALSE)</f>
        <v>#N/A</v>
      </c>
      <c r="BS248" s="49">
        <f t="shared" si="505"/>
        <v>1</v>
      </c>
      <c r="BT248" s="50">
        <f t="shared" si="506"/>
        <v>0</v>
      </c>
      <c r="BU248" s="50">
        <f t="shared" si="507"/>
        <v>0</v>
      </c>
      <c r="BV248" s="50">
        <f t="shared" si="508"/>
        <v>0</v>
      </c>
      <c r="BW248" s="50">
        <f t="shared" si="575"/>
        <v>0</v>
      </c>
      <c r="BX248" s="50">
        <f t="shared" si="576"/>
        <v>0</v>
      </c>
      <c r="BY248" s="50">
        <f t="shared" si="576"/>
        <v>0</v>
      </c>
      <c r="BZ248" s="50">
        <f t="shared" si="554"/>
        <v>0</v>
      </c>
      <c r="CA248" s="50">
        <f t="shared" si="555"/>
        <v>0</v>
      </c>
      <c r="CB248" s="50">
        <f t="shared" si="556"/>
        <v>1</v>
      </c>
      <c r="CC248" s="50">
        <f t="shared" si="557"/>
        <v>0</v>
      </c>
      <c r="CD248" s="50">
        <f t="shared" si="558"/>
        <v>0</v>
      </c>
      <c r="CE248" s="50">
        <f t="shared" si="559"/>
        <v>1</v>
      </c>
      <c r="CF248" s="50">
        <f t="shared" si="560"/>
        <v>1</v>
      </c>
      <c r="CG248" s="50">
        <f t="shared" si="561"/>
        <v>1</v>
      </c>
      <c r="CH248" s="50">
        <f t="shared" si="562"/>
        <v>1</v>
      </c>
      <c r="CI248" s="50">
        <f t="shared" si="563"/>
        <v>1</v>
      </c>
      <c r="CJ248" s="50">
        <f t="shared" si="564"/>
        <v>1</v>
      </c>
      <c r="CK248" s="50">
        <f t="shared" si="564"/>
        <v>0</v>
      </c>
      <c r="CL248" s="50">
        <f t="shared" si="564"/>
        <v>0</v>
      </c>
      <c r="CM248" s="51">
        <f t="shared" si="587"/>
        <v>0</v>
      </c>
      <c r="CN248" s="33">
        <f>ROUND(IF(BS248=0,0,HLOOKUP(BS$14,Villagers!$B$1:$V$33,BS248+3,FALSE)),)</f>
        <v>5</v>
      </c>
      <c r="CO248" s="14">
        <f>ROUND(IF(BT248=0,0,HLOOKUP(BT$14,Villagers!$B$1:$V$33,BT248+3,FALSE)),)</f>
        <v>0</v>
      </c>
      <c r="CP248" s="14">
        <f>ROUND(IF(BU248=0,0,HLOOKUP(BU$14,Villagers!$B$1:$V$33,BU248+3,FALSE)),)</f>
        <v>0</v>
      </c>
      <c r="CQ248" s="14">
        <f>ROUND(IF(BV248=0,0,HLOOKUP(BV$14,Villagers!$B$1:$V$33,BV248+3,FALSE)),)</f>
        <v>0</v>
      </c>
      <c r="CR248" s="14">
        <f>ROUND(IF(BW248=0,0,HLOOKUP(BW$14,Villagers!$B$1:$V$33,BW248+3,FALSE)),)</f>
        <v>0</v>
      </c>
      <c r="CS248" s="14">
        <f>ROUND(IF(BX248=0,0,HLOOKUP(BX$14,Villagers!$B$1:$V$33,BX248+3,FALSE)),)</f>
        <v>0</v>
      </c>
      <c r="CT248" s="14">
        <f>ROUND(IF(BY248=0,0,HLOOKUP(BY$14,Villagers!$B$1:$V$33,BY248+3,FALSE)),)</f>
        <v>0</v>
      </c>
      <c r="CU248" s="14">
        <f>ROUND(IF(BZ248=0,0,HLOOKUP(BZ$14,Villagers!$B$1:$V$33,BZ248+3,FALSE)),)</f>
        <v>0</v>
      </c>
      <c r="CV248" s="14">
        <f>ROUND(IF(CA248=0,0,HLOOKUP(CA$14,Villagers!$B$1:$V$33,CA248+3,FALSE)),)</f>
        <v>0</v>
      </c>
      <c r="CW248" s="14">
        <f>ROUND(IF(CB248=0,0,HLOOKUP(CB$14,Villagers!$B$1:$V$33,CB248+3,FALSE)),)</f>
        <v>0</v>
      </c>
      <c r="CX248" s="14">
        <f>ROUND(IF(CC248=0,0,HLOOKUP(CC$14,Villagers!$B$1:$V$33,CC248+3,FALSE)),)</f>
        <v>0</v>
      </c>
      <c r="CY248" s="14">
        <f>ROUND(IF(CD248=0,0,HLOOKUP(CD$14,Villagers!$B$1:$V$33,CD248+3,FALSE)),)</f>
        <v>0</v>
      </c>
      <c r="CZ248" s="14">
        <f>ROUND(IF(CE248=0,0,HLOOKUP(CE$14,Villagers!$B$1:$V$33,CE248+3,FALSE)),)</f>
        <v>5</v>
      </c>
      <c r="DA248" s="14">
        <f>ROUND(IF(CF248=0,0,HLOOKUP(CF$14,Villagers!$B$1:$V$33,CF248+3,FALSE)),)</f>
        <v>10</v>
      </c>
      <c r="DB248" s="14">
        <f>ROUND(IF(CG248=0,0,HLOOKUP(CG$14,Villagers!$B$1:$V$33,CG248+3,FALSE)),)</f>
        <v>10</v>
      </c>
      <c r="DC248" s="14">
        <f>ROUND(IF(CH248=0,0,HLOOKUP(CH$14,Villagers!$B$1:$V$33,CH248+3,FALSE)),)</f>
        <v>0</v>
      </c>
      <c r="DD248" s="14">
        <f>ROUND(IF(CI248=0,0,HLOOKUP(CI$14,Villagers!$B$1:$V$33,CI248+3,FALSE)),)</f>
        <v>0</v>
      </c>
      <c r="DE248" s="14">
        <f>ROUND(IF(CJ248=0,0,HLOOKUP(CJ$14,Villagers!$B$1:$V$33,CJ248+3,FALSE)),)</f>
        <v>2</v>
      </c>
      <c r="DF248" s="370">
        <f>ROUND(IF(CK248=0,0,HLOOKUP(CK$14,Villagers!$B$1:$V$33,CK248+3,FALSE)),)</f>
        <v>0</v>
      </c>
      <c r="DG248" s="370">
        <f>ROUND(IF(CL248=0,0,HLOOKUP(CL$14,Villagers!$B$1:$V$33,CL248+3,FALSE)),)</f>
        <v>0</v>
      </c>
      <c r="DH248" s="34">
        <f>ROUND(IF(CM248=0,0,HLOOKUP(CM$14,Villagers!$B$1:$V$33,CM248+3,FALSE)),)</f>
        <v>0</v>
      </c>
      <c r="DI248" s="109">
        <f t="shared" si="526"/>
        <v>0</v>
      </c>
      <c r="DJ248" s="50">
        <f t="shared" si="527"/>
        <v>0</v>
      </c>
      <c r="DK248" s="50">
        <f t="shared" si="528"/>
        <v>0</v>
      </c>
      <c r="DL248" s="50">
        <f t="shared" si="529"/>
        <v>0</v>
      </c>
      <c r="DM248" s="50">
        <f t="shared" si="530"/>
        <v>0</v>
      </c>
      <c r="DN248" s="50">
        <f t="shared" si="531"/>
        <v>0</v>
      </c>
      <c r="DO248" s="50">
        <f t="shared" si="532"/>
        <v>0</v>
      </c>
      <c r="DP248" s="50">
        <f t="shared" si="533"/>
        <v>0</v>
      </c>
      <c r="DQ248" s="50">
        <f t="shared" si="510"/>
        <v>0</v>
      </c>
      <c r="DR248" s="50">
        <f t="shared" si="511"/>
        <v>0</v>
      </c>
      <c r="DS248" s="96">
        <f>Miscelaneous!$D$4*Miscelaneous!$D$2^($CI248-1)</f>
        <v>1000</v>
      </c>
      <c r="DT248" s="333">
        <f t="shared" si="490"/>
        <v>1</v>
      </c>
      <c r="DU248" s="81">
        <v>1</v>
      </c>
      <c r="DV248" s="79">
        <f t="shared" si="512"/>
        <v>0</v>
      </c>
      <c r="DW248" s="79">
        <f t="shared" si="513"/>
        <v>0</v>
      </c>
      <c r="DX248" s="79">
        <f t="shared" si="514"/>
        <v>0</v>
      </c>
      <c r="DY248" s="79">
        <v>1</v>
      </c>
      <c r="DZ248" s="79">
        <f t="shared" si="515"/>
        <v>0</v>
      </c>
      <c r="EA248" s="79">
        <f t="shared" si="516"/>
        <v>0</v>
      </c>
      <c r="EB248" s="79">
        <f t="shared" si="517"/>
        <v>0</v>
      </c>
      <c r="EC248" s="79">
        <f t="shared" si="518"/>
        <v>0</v>
      </c>
      <c r="ED248" s="79">
        <v>1</v>
      </c>
      <c r="EE248" s="79">
        <v>1</v>
      </c>
      <c r="EF248" s="79">
        <f t="shared" si="519"/>
        <v>0</v>
      </c>
      <c r="EG248" s="79">
        <v>1</v>
      </c>
      <c r="EH248" s="79">
        <v>1</v>
      </c>
      <c r="EI248" s="79">
        <v>1</v>
      </c>
      <c r="EJ248" s="79">
        <v>1</v>
      </c>
      <c r="EK248" s="79">
        <v>1</v>
      </c>
      <c r="EL248" s="79">
        <v>1</v>
      </c>
      <c r="EM248" s="143">
        <f t="shared" si="520"/>
        <v>0</v>
      </c>
      <c r="EN248" s="143">
        <f t="shared" si="521"/>
        <v>0</v>
      </c>
      <c r="EO248" s="82">
        <f t="shared" si="522"/>
        <v>0</v>
      </c>
    </row>
    <row r="249" spans="1:145" x14ac:dyDescent="0.25">
      <c r="A249">
        <v>235</v>
      </c>
      <c r="B249" s="172" t="e">
        <f t="shared" si="491"/>
        <v>#N/A</v>
      </c>
      <c r="C249" s="121" t="e">
        <f t="shared" ref="C249:E249" si="598">AJ249-SUM(AB249:AB253)</f>
        <v>#N/A</v>
      </c>
      <c r="D249" s="122" t="e">
        <f t="shared" si="598"/>
        <v>#N/A</v>
      </c>
      <c r="E249" s="122" t="e">
        <f t="shared" si="598"/>
        <v>#N/A</v>
      </c>
      <c r="F249" s="176" t="e">
        <f t="shared" si="473"/>
        <v>#N/A</v>
      </c>
      <c r="G249" s="121">
        <f t="shared" si="493"/>
        <v>208</v>
      </c>
      <c r="H249" s="176" t="e">
        <f t="shared" si="494"/>
        <v>#N/A</v>
      </c>
      <c r="I249" s="48">
        <v>1</v>
      </c>
      <c r="J249" s="39"/>
      <c r="K249" s="350">
        <v>1</v>
      </c>
      <c r="L249" s="34" t="e">
        <f t="shared" si="474"/>
        <v>#N/A</v>
      </c>
      <c r="M249" s="38" t="e">
        <f>(HLOOKUP(J249,'Construction Times'!$B$3:$W$34,L249+2,FALSE)*HLOOKUP("hq modifier",'Construction Times'!$W$3:$W$34,BS249+2,FALSE))*(1-$H$9)</f>
        <v>#N/A</v>
      </c>
      <c r="N249" s="426" t="e">
        <f t="shared" si="495"/>
        <v>#N/A</v>
      </c>
      <c r="O249" s="427"/>
      <c r="P249" s="430" t="e">
        <f t="shared" si="496"/>
        <v>#N/A</v>
      </c>
      <c r="Q249" s="431"/>
      <c r="R249" s="103">
        <f t="shared" si="524"/>
        <v>0</v>
      </c>
      <c r="S249" s="104">
        <f t="shared" si="524"/>
        <v>0</v>
      </c>
      <c r="T249" s="104">
        <f t="shared" si="525"/>
        <v>0</v>
      </c>
      <c r="U249" s="104">
        <f t="shared" si="525"/>
        <v>0</v>
      </c>
      <c r="V249" s="104">
        <f t="shared" si="525"/>
        <v>9.9999999999999995E-8</v>
      </c>
      <c r="W249" s="104">
        <f t="shared" si="525"/>
        <v>0</v>
      </c>
      <c r="X249" s="104">
        <f t="shared" si="584"/>
        <v>0</v>
      </c>
      <c r="Y249" s="104">
        <f t="shared" si="584"/>
        <v>9.9999999999999995E-8</v>
      </c>
      <c r="Z249" s="104">
        <f t="shared" si="584"/>
        <v>9.9999999999999995E-8</v>
      </c>
      <c r="AA249" s="105">
        <f t="shared" si="584"/>
        <v>9.9999999999999995E-8</v>
      </c>
      <c r="AB249" s="101" t="e">
        <f>$DT249*HLOOKUP($J249,'Construction Costs (timber)'!$B$1:$V$32,'Construction Planner'!$L249+2,FALSE)</f>
        <v>#N/A</v>
      </c>
      <c r="AC249" s="14" t="e">
        <f>$DT249*HLOOKUP($J249,'Construction Costs (clay)'!$B$1:$V$32,'Construction Planner'!$L249+2,FALSE)</f>
        <v>#N/A</v>
      </c>
      <c r="AD249" s="14" t="e">
        <f>$DT249*HLOOKUP($J249,'Construction Costs (iron)'!$B$1:$V$32,'Construction Planner'!$L249+2,FALSE)</f>
        <v>#N/A</v>
      </c>
      <c r="AE249" s="34" t="e">
        <f t="shared" si="537"/>
        <v>#N/A</v>
      </c>
      <c r="AF249" s="33" t="e">
        <f t="shared" si="475"/>
        <v>#N/A</v>
      </c>
      <c r="AG249" s="14" t="e">
        <f t="shared" si="476"/>
        <v>#N/A</v>
      </c>
      <c r="AH249" s="14" t="e">
        <f t="shared" si="477"/>
        <v>#N/A</v>
      </c>
      <c r="AI249" s="34" t="e">
        <f t="shared" si="538"/>
        <v>#N/A</v>
      </c>
      <c r="AJ249" s="49" t="e">
        <f t="shared" si="498"/>
        <v>#N/A</v>
      </c>
      <c r="AK249" s="49" t="e">
        <f t="shared" si="499"/>
        <v>#N/A</v>
      </c>
      <c r="AL249" s="49" t="e">
        <f t="shared" si="500"/>
        <v>#N/A</v>
      </c>
      <c r="AM249" s="25">
        <f t="shared" si="478"/>
        <v>30</v>
      </c>
      <c r="AN249" s="25">
        <f t="shared" si="479"/>
        <v>30</v>
      </c>
      <c r="AO249" s="25">
        <f t="shared" si="480"/>
        <v>30</v>
      </c>
      <c r="AP249" s="52" t="e">
        <f t="shared" si="501"/>
        <v>#N/A</v>
      </c>
      <c r="AQ249" s="53" t="e">
        <f t="shared" si="501"/>
        <v>#N/A</v>
      </c>
      <c r="AR249" s="54" t="e">
        <f t="shared" si="501"/>
        <v>#N/A</v>
      </c>
      <c r="AS249" s="316">
        <f t="shared" si="593"/>
        <v>0</v>
      </c>
      <c r="AT249" s="106">
        <f>_xlfn.IFNA($M249/VLOOKUP($BT249,'Unit information'!$A$2:$K$29,2,FALSE)*R249,0)*(1+$E$9)</f>
        <v>0</v>
      </c>
      <c r="AU249" s="107">
        <f>_xlfn.IFNA($M249/VLOOKUP($BT249,'Unit information'!$A$2:$K$29,3,FALSE)*S249,0)*(1+$E$9)</f>
        <v>0</v>
      </c>
      <c r="AV249" s="107">
        <f>_xlfn.IFNA($M249/VLOOKUP($BT249,'Unit information'!$A$2:$K$29,4,FALSE)*T249,0)*(1+$E$9)</f>
        <v>0</v>
      </c>
      <c r="AW249" s="107">
        <f>_xlfn.IFNA($M249/VLOOKUP($BT249,'Unit information'!$A$2:$K$29,5,FALSE)*U249,0)*(1+$E$9)</f>
        <v>0</v>
      </c>
      <c r="AX249" s="107">
        <f>_xlfn.IFNA($M249/VLOOKUP($BU249,'Unit information'!$A$2:$K$29,6,FALSE)*V249,0)*(1+$E$9)</f>
        <v>0</v>
      </c>
      <c r="AY249" s="107">
        <f>_xlfn.IFNA($M249/VLOOKUP($BU249,'Unit information'!$A$2:$K$29,7,FALSE)*W249,0)*(1+$E$9)</f>
        <v>0</v>
      </c>
      <c r="AZ249" s="107">
        <f>_xlfn.IFNA($M249/VLOOKUP($BU249,'Unit information'!$A$2:$K$29,8,FALSE)*X249,0)*(1+$E$9)</f>
        <v>0</v>
      </c>
      <c r="BA249" s="107">
        <f>_xlfn.IFNA($M249/VLOOKUP($BU249,'Unit information'!$A$2:$K$29,9,FALSE)*Y249,0)*(1+$E$9)</f>
        <v>0</v>
      </c>
      <c r="BB249" s="107">
        <f>_xlfn.IFNA($M249/VLOOKUP($BV249,'Unit information'!$A$2:$K$29,10,FALSE)*Z249,0)*(1+$E$9)</f>
        <v>0</v>
      </c>
      <c r="BC249" s="108">
        <f>_xlfn.IFNA($M249/VLOOKUP($BV249,'Unit information'!$A$2:$K$29,11,FALSE)*AA249,0)*(1+$E$9)</f>
        <v>0</v>
      </c>
      <c r="BD249" s="106">
        <f t="shared" si="481"/>
        <v>0</v>
      </c>
      <c r="BE249" s="107">
        <f t="shared" si="482"/>
        <v>0</v>
      </c>
      <c r="BF249" s="108">
        <f t="shared" si="483"/>
        <v>0</v>
      </c>
      <c r="BG249" s="25" t="e">
        <f t="shared" si="484"/>
        <v>#N/A</v>
      </c>
      <c r="BH249" s="25" t="e">
        <f t="shared" si="485"/>
        <v>#N/A</v>
      </c>
      <c r="BI249" s="25" t="e">
        <f t="shared" si="486"/>
        <v>#N/A</v>
      </c>
      <c r="BJ249" s="27" t="e">
        <f t="shared" si="487"/>
        <v>#N/A</v>
      </c>
      <c r="BK249" s="18" t="e">
        <f t="shared" si="488"/>
        <v>#N/A</v>
      </c>
      <c r="BL249" s="18" t="e">
        <f t="shared" si="489"/>
        <v>#N/A</v>
      </c>
      <c r="BM249" s="28" t="e">
        <f t="shared" si="540"/>
        <v>#N/A</v>
      </c>
      <c r="BN249" s="33">
        <f>HLOOKUP("maximum population",Miscelaneous!$C$1:$C$33,CH249+3,FALSE)</f>
        <v>240</v>
      </c>
      <c r="BO249" s="14">
        <f t="shared" si="502"/>
        <v>32</v>
      </c>
      <c r="BP249" s="14">
        <f t="shared" si="503"/>
        <v>0</v>
      </c>
      <c r="BQ249" s="14">
        <f t="shared" si="504"/>
        <v>208</v>
      </c>
      <c r="BR249" s="34" t="e">
        <f>HLOOKUP(J249,Villagers!$B$1:$V$33,L249+3,FALSE)-HLOOKUP(J249,Villagers!$B$1:$V$33,L249+2,FALSE)</f>
        <v>#N/A</v>
      </c>
      <c r="BS249" s="49">
        <f t="shared" si="505"/>
        <v>1</v>
      </c>
      <c r="BT249" s="50">
        <f t="shared" si="506"/>
        <v>0</v>
      </c>
      <c r="BU249" s="50">
        <f t="shared" si="507"/>
        <v>0</v>
      </c>
      <c r="BV249" s="50">
        <f t="shared" si="508"/>
        <v>0</v>
      </c>
      <c r="BW249" s="50">
        <f t="shared" si="575"/>
        <v>0</v>
      </c>
      <c r="BX249" s="50">
        <f t="shared" si="576"/>
        <v>0</v>
      </c>
      <c r="BY249" s="50">
        <f t="shared" si="576"/>
        <v>0</v>
      </c>
      <c r="BZ249" s="50">
        <f t="shared" si="554"/>
        <v>0</v>
      </c>
      <c r="CA249" s="50">
        <f t="shared" si="555"/>
        <v>0</v>
      </c>
      <c r="CB249" s="50">
        <f t="shared" si="556"/>
        <v>1</v>
      </c>
      <c r="CC249" s="50">
        <f t="shared" si="557"/>
        <v>0</v>
      </c>
      <c r="CD249" s="50">
        <f t="shared" si="558"/>
        <v>0</v>
      </c>
      <c r="CE249" s="50">
        <f t="shared" si="559"/>
        <v>1</v>
      </c>
      <c r="CF249" s="50">
        <f t="shared" si="560"/>
        <v>1</v>
      </c>
      <c r="CG249" s="50">
        <f t="shared" si="561"/>
        <v>1</v>
      </c>
      <c r="CH249" s="50">
        <f t="shared" si="562"/>
        <v>1</v>
      </c>
      <c r="CI249" s="50">
        <f t="shared" si="563"/>
        <v>1</v>
      </c>
      <c r="CJ249" s="50">
        <f t="shared" si="564"/>
        <v>1</v>
      </c>
      <c r="CK249" s="50">
        <f t="shared" si="564"/>
        <v>0</v>
      </c>
      <c r="CL249" s="50">
        <f t="shared" si="564"/>
        <v>0</v>
      </c>
      <c r="CM249" s="51">
        <f t="shared" si="587"/>
        <v>0</v>
      </c>
      <c r="CN249" s="33">
        <f>ROUND(IF(BS249=0,0,HLOOKUP(BS$14,Villagers!$B$1:$V$33,BS249+3,FALSE)),)</f>
        <v>5</v>
      </c>
      <c r="CO249" s="14">
        <f>ROUND(IF(BT249=0,0,HLOOKUP(BT$14,Villagers!$B$1:$V$33,BT249+3,FALSE)),)</f>
        <v>0</v>
      </c>
      <c r="CP249" s="14">
        <f>ROUND(IF(BU249=0,0,HLOOKUP(BU$14,Villagers!$B$1:$V$33,BU249+3,FALSE)),)</f>
        <v>0</v>
      </c>
      <c r="CQ249" s="14">
        <f>ROUND(IF(BV249=0,0,HLOOKUP(BV$14,Villagers!$B$1:$V$33,BV249+3,FALSE)),)</f>
        <v>0</v>
      </c>
      <c r="CR249" s="14">
        <f>ROUND(IF(BW249=0,0,HLOOKUP(BW$14,Villagers!$B$1:$V$33,BW249+3,FALSE)),)</f>
        <v>0</v>
      </c>
      <c r="CS249" s="14">
        <f>ROUND(IF(BX249=0,0,HLOOKUP(BX$14,Villagers!$B$1:$V$33,BX249+3,FALSE)),)</f>
        <v>0</v>
      </c>
      <c r="CT249" s="14">
        <f>ROUND(IF(BY249=0,0,HLOOKUP(BY$14,Villagers!$B$1:$V$33,BY249+3,FALSE)),)</f>
        <v>0</v>
      </c>
      <c r="CU249" s="14">
        <f>ROUND(IF(BZ249=0,0,HLOOKUP(BZ$14,Villagers!$B$1:$V$33,BZ249+3,FALSE)),)</f>
        <v>0</v>
      </c>
      <c r="CV249" s="14">
        <f>ROUND(IF(CA249=0,0,HLOOKUP(CA$14,Villagers!$B$1:$V$33,CA249+3,FALSE)),)</f>
        <v>0</v>
      </c>
      <c r="CW249" s="14">
        <f>ROUND(IF(CB249=0,0,HLOOKUP(CB$14,Villagers!$B$1:$V$33,CB249+3,FALSE)),)</f>
        <v>0</v>
      </c>
      <c r="CX249" s="14">
        <f>ROUND(IF(CC249=0,0,HLOOKUP(CC$14,Villagers!$B$1:$V$33,CC249+3,FALSE)),)</f>
        <v>0</v>
      </c>
      <c r="CY249" s="14">
        <f>ROUND(IF(CD249=0,0,HLOOKUP(CD$14,Villagers!$B$1:$V$33,CD249+3,FALSE)),)</f>
        <v>0</v>
      </c>
      <c r="CZ249" s="14">
        <f>ROUND(IF(CE249=0,0,HLOOKUP(CE$14,Villagers!$B$1:$V$33,CE249+3,FALSE)),)</f>
        <v>5</v>
      </c>
      <c r="DA249" s="14">
        <f>ROUND(IF(CF249=0,0,HLOOKUP(CF$14,Villagers!$B$1:$V$33,CF249+3,FALSE)),)</f>
        <v>10</v>
      </c>
      <c r="DB249" s="14">
        <f>ROUND(IF(CG249=0,0,HLOOKUP(CG$14,Villagers!$B$1:$V$33,CG249+3,FALSE)),)</f>
        <v>10</v>
      </c>
      <c r="DC249" s="14">
        <f>ROUND(IF(CH249=0,0,HLOOKUP(CH$14,Villagers!$B$1:$V$33,CH249+3,FALSE)),)</f>
        <v>0</v>
      </c>
      <c r="DD249" s="14">
        <f>ROUND(IF(CI249=0,0,HLOOKUP(CI$14,Villagers!$B$1:$V$33,CI249+3,FALSE)),)</f>
        <v>0</v>
      </c>
      <c r="DE249" s="14">
        <f>ROUND(IF(CJ249=0,0,HLOOKUP(CJ$14,Villagers!$B$1:$V$33,CJ249+3,FALSE)),)</f>
        <v>2</v>
      </c>
      <c r="DF249" s="370">
        <f>ROUND(IF(CK249=0,0,HLOOKUP(CK$14,Villagers!$B$1:$V$33,CK249+3,FALSE)),)</f>
        <v>0</v>
      </c>
      <c r="DG249" s="370">
        <f>ROUND(IF(CL249=0,0,HLOOKUP(CL$14,Villagers!$B$1:$V$33,CL249+3,FALSE)),)</f>
        <v>0</v>
      </c>
      <c r="DH249" s="34">
        <f>ROUND(IF(CM249=0,0,HLOOKUP(CM$14,Villagers!$B$1:$V$33,CM249+3,FALSE)),)</f>
        <v>0</v>
      </c>
      <c r="DI249" s="109">
        <f t="shared" si="526"/>
        <v>0</v>
      </c>
      <c r="DJ249" s="50">
        <f t="shared" si="527"/>
        <v>0</v>
      </c>
      <c r="DK249" s="50">
        <f t="shared" si="528"/>
        <v>0</v>
      </c>
      <c r="DL249" s="50">
        <f t="shared" si="529"/>
        <v>0</v>
      </c>
      <c r="DM249" s="50">
        <f t="shared" si="530"/>
        <v>0</v>
      </c>
      <c r="DN249" s="50">
        <f t="shared" si="531"/>
        <v>0</v>
      </c>
      <c r="DO249" s="50">
        <f t="shared" si="532"/>
        <v>0</v>
      </c>
      <c r="DP249" s="50">
        <f t="shared" si="533"/>
        <v>0</v>
      </c>
      <c r="DQ249" s="50">
        <f t="shared" si="510"/>
        <v>0</v>
      </c>
      <c r="DR249" s="50">
        <f t="shared" si="511"/>
        <v>0</v>
      </c>
      <c r="DS249" s="96">
        <f>Miscelaneous!$D$4*Miscelaneous!$D$2^($CI249-1)</f>
        <v>1000</v>
      </c>
      <c r="DT249" s="333">
        <f t="shared" si="490"/>
        <v>1</v>
      </c>
      <c r="DU249" s="81">
        <v>1</v>
      </c>
      <c r="DV249" s="79">
        <f t="shared" si="512"/>
        <v>0</v>
      </c>
      <c r="DW249" s="79">
        <f t="shared" si="513"/>
        <v>0</v>
      </c>
      <c r="DX249" s="79">
        <f t="shared" si="514"/>
        <v>0</v>
      </c>
      <c r="DY249" s="79">
        <v>1</v>
      </c>
      <c r="DZ249" s="79">
        <f t="shared" si="515"/>
        <v>0</v>
      </c>
      <c r="EA249" s="79">
        <f t="shared" si="516"/>
        <v>0</v>
      </c>
      <c r="EB249" s="79">
        <f t="shared" si="517"/>
        <v>0</v>
      </c>
      <c r="EC249" s="79">
        <f t="shared" si="518"/>
        <v>0</v>
      </c>
      <c r="ED249" s="79">
        <v>1</v>
      </c>
      <c r="EE249" s="79">
        <v>1</v>
      </c>
      <c r="EF249" s="79">
        <f t="shared" si="519"/>
        <v>0</v>
      </c>
      <c r="EG249" s="79">
        <v>1</v>
      </c>
      <c r="EH249" s="79">
        <v>1</v>
      </c>
      <c r="EI249" s="79">
        <v>1</v>
      </c>
      <c r="EJ249" s="79">
        <v>1</v>
      </c>
      <c r="EK249" s="79">
        <v>1</v>
      </c>
      <c r="EL249" s="79">
        <v>1</v>
      </c>
      <c r="EM249" s="143">
        <f t="shared" si="520"/>
        <v>0</v>
      </c>
      <c r="EN249" s="143">
        <f t="shared" si="521"/>
        <v>0</v>
      </c>
      <c r="EO249" s="82">
        <f t="shared" si="522"/>
        <v>0</v>
      </c>
    </row>
    <row r="250" spans="1:145" x14ac:dyDescent="0.25">
      <c r="A250">
        <v>236</v>
      </c>
      <c r="B250" s="172" t="e">
        <f t="shared" si="491"/>
        <v>#N/A</v>
      </c>
      <c r="C250" s="121" t="e">
        <f t="shared" ref="C250:E250" si="599">AJ250-SUM(AB250:AB254)</f>
        <v>#N/A</v>
      </c>
      <c r="D250" s="122" t="e">
        <f t="shared" si="599"/>
        <v>#N/A</v>
      </c>
      <c r="E250" s="122" t="e">
        <f t="shared" si="599"/>
        <v>#N/A</v>
      </c>
      <c r="F250" s="176" t="e">
        <f t="shared" si="473"/>
        <v>#N/A</v>
      </c>
      <c r="G250" s="121">
        <f t="shared" si="493"/>
        <v>208</v>
      </c>
      <c r="H250" s="176" t="e">
        <f t="shared" si="494"/>
        <v>#N/A</v>
      </c>
      <c r="I250" s="48">
        <v>1</v>
      </c>
      <c r="J250" s="39"/>
      <c r="K250" s="350">
        <v>1</v>
      </c>
      <c r="L250" s="34" t="e">
        <f t="shared" si="474"/>
        <v>#N/A</v>
      </c>
      <c r="M250" s="38" t="e">
        <f>(HLOOKUP(J250,'Construction Times'!$B$3:$W$34,L250+2,FALSE)*HLOOKUP("hq modifier",'Construction Times'!$W$3:$W$34,BS250+2,FALSE))*(1-$H$9)</f>
        <v>#N/A</v>
      </c>
      <c r="N250" s="426" t="e">
        <f t="shared" si="495"/>
        <v>#N/A</v>
      </c>
      <c r="O250" s="427"/>
      <c r="P250" s="430" t="e">
        <f t="shared" si="496"/>
        <v>#N/A</v>
      </c>
      <c r="Q250" s="431"/>
      <c r="R250" s="103">
        <f t="shared" si="524"/>
        <v>0</v>
      </c>
      <c r="S250" s="104">
        <f t="shared" si="524"/>
        <v>0</v>
      </c>
      <c r="T250" s="104">
        <f t="shared" si="525"/>
        <v>0</v>
      </c>
      <c r="U250" s="104">
        <f t="shared" si="525"/>
        <v>0</v>
      </c>
      <c r="V250" s="104">
        <f t="shared" si="525"/>
        <v>9.9999999999999995E-8</v>
      </c>
      <c r="W250" s="104">
        <f t="shared" si="525"/>
        <v>0</v>
      </c>
      <c r="X250" s="104">
        <f t="shared" si="584"/>
        <v>0</v>
      </c>
      <c r="Y250" s="104">
        <f t="shared" si="584"/>
        <v>9.9999999999999995E-8</v>
      </c>
      <c r="Z250" s="104">
        <f t="shared" si="584"/>
        <v>9.9999999999999995E-8</v>
      </c>
      <c r="AA250" s="105">
        <f t="shared" si="584"/>
        <v>9.9999999999999995E-8</v>
      </c>
      <c r="AB250" s="101" t="e">
        <f>$DT250*HLOOKUP($J250,'Construction Costs (timber)'!$B$1:$V$32,'Construction Planner'!$L250+2,FALSE)</f>
        <v>#N/A</v>
      </c>
      <c r="AC250" s="14" t="e">
        <f>$DT250*HLOOKUP($J250,'Construction Costs (clay)'!$B$1:$V$32,'Construction Planner'!$L250+2,FALSE)</f>
        <v>#N/A</v>
      </c>
      <c r="AD250" s="14" t="e">
        <f>$DT250*HLOOKUP($J250,'Construction Costs (iron)'!$B$1:$V$32,'Construction Planner'!$L250+2,FALSE)</f>
        <v>#N/A</v>
      </c>
      <c r="AE250" s="34" t="e">
        <f t="shared" si="537"/>
        <v>#N/A</v>
      </c>
      <c r="AF250" s="33" t="e">
        <f t="shared" si="475"/>
        <v>#N/A</v>
      </c>
      <c r="AG250" s="14" t="e">
        <f t="shared" si="476"/>
        <v>#N/A</v>
      </c>
      <c r="AH250" s="14" t="e">
        <f t="shared" si="477"/>
        <v>#N/A</v>
      </c>
      <c r="AI250" s="34" t="e">
        <f t="shared" si="538"/>
        <v>#N/A</v>
      </c>
      <c r="AJ250" s="49" t="e">
        <f t="shared" si="498"/>
        <v>#N/A</v>
      </c>
      <c r="AK250" s="49" t="e">
        <f t="shared" si="499"/>
        <v>#N/A</v>
      </c>
      <c r="AL250" s="49" t="e">
        <f t="shared" si="500"/>
        <v>#N/A</v>
      </c>
      <c r="AM250" s="25">
        <f t="shared" si="478"/>
        <v>30</v>
      </c>
      <c r="AN250" s="25">
        <f t="shared" si="479"/>
        <v>30</v>
      </c>
      <c r="AO250" s="25">
        <f t="shared" si="480"/>
        <v>30</v>
      </c>
      <c r="AP250" s="52" t="e">
        <f t="shared" si="501"/>
        <v>#N/A</v>
      </c>
      <c r="AQ250" s="53" t="e">
        <f t="shared" si="501"/>
        <v>#N/A</v>
      </c>
      <c r="AR250" s="54" t="e">
        <f t="shared" si="501"/>
        <v>#N/A</v>
      </c>
      <c r="AS250" s="316">
        <f t="shared" si="593"/>
        <v>0</v>
      </c>
      <c r="AT250" s="106">
        <f>_xlfn.IFNA($M250/VLOOKUP($BT250,'Unit information'!$A$2:$K$29,2,FALSE)*R250,0)*(1+$E$9)</f>
        <v>0</v>
      </c>
      <c r="AU250" s="107">
        <f>_xlfn.IFNA($M250/VLOOKUP($BT250,'Unit information'!$A$2:$K$29,3,FALSE)*S250,0)*(1+$E$9)</f>
        <v>0</v>
      </c>
      <c r="AV250" s="107">
        <f>_xlfn.IFNA($M250/VLOOKUP($BT250,'Unit information'!$A$2:$K$29,4,FALSE)*T250,0)*(1+$E$9)</f>
        <v>0</v>
      </c>
      <c r="AW250" s="107">
        <f>_xlfn.IFNA($M250/VLOOKUP($BT250,'Unit information'!$A$2:$K$29,5,FALSE)*U250,0)*(1+$E$9)</f>
        <v>0</v>
      </c>
      <c r="AX250" s="107">
        <f>_xlfn.IFNA($M250/VLOOKUP($BU250,'Unit information'!$A$2:$K$29,6,FALSE)*V250,0)*(1+$E$9)</f>
        <v>0</v>
      </c>
      <c r="AY250" s="107">
        <f>_xlfn.IFNA($M250/VLOOKUP($BU250,'Unit information'!$A$2:$K$29,7,FALSE)*W250,0)*(1+$E$9)</f>
        <v>0</v>
      </c>
      <c r="AZ250" s="107">
        <f>_xlfn.IFNA($M250/VLOOKUP($BU250,'Unit information'!$A$2:$K$29,8,FALSE)*X250,0)*(1+$E$9)</f>
        <v>0</v>
      </c>
      <c r="BA250" s="107">
        <f>_xlfn.IFNA($M250/VLOOKUP($BU250,'Unit information'!$A$2:$K$29,9,FALSE)*Y250,0)*(1+$E$9)</f>
        <v>0</v>
      </c>
      <c r="BB250" s="107">
        <f>_xlfn.IFNA($M250/VLOOKUP($BV250,'Unit information'!$A$2:$K$29,10,FALSE)*Z250,0)*(1+$E$9)</f>
        <v>0</v>
      </c>
      <c r="BC250" s="108">
        <f>_xlfn.IFNA($M250/VLOOKUP($BV250,'Unit information'!$A$2:$K$29,11,FALSE)*AA250,0)*(1+$E$9)</f>
        <v>0</v>
      </c>
      <c r="BD250" s="106">
        <f t="shared" si="481"/>
        <v>0</v>
      </c>
      <c r="BE250" s="107">
        <f t="shared" si="482"/>
        <v>0</v>
      </c>
      <c r="BF250" s="108">
        <f t="shared" si="483"/>
        <v>0</v>
      </c>
      <c r="BG250" s="25" t="e">
        <f t="shared" si="484"/>
        <v>#N/A</v>
      </c>
      <c r="BH250" s="25" t="e">
        <f t="shared" si="485"/>
        <v>#N/A</v>
      </c>
      <c r="BI250" s="25" t="e">
        <f t="shared" si="486"/>
        <v>#N/A</v>
      </c>
      <c r="BJ250" s="27" t="e">
        <f t="shared" si="487"/>
        <v>#N/A</v>
      </c>
      <c r="BK250" s="18" t="e">
        <f t="shared" si="488"/>
        <v>#N/A</v>
      </c>
      <c r="BL250" s="18" t="e">
        <f t="shared" si="489"/>
        <v>#N/A</v>
      </c>
      <c r="BM250" s="28" t="e">
        <f t="shared" si="540"/>
        <v>#N/A</v>
      </c>
      <c r="BN250" s="33">
        <f>HLOOKUP("maximum population",Miscelaneous!$C$1:$C$33,CH250+3,FALSE)</f>
        <v>240</v>
      </c>
      <c r="BO250" s="14">
        <f t="shared" si="502"/>
        <v>32</v>
      </c>
      <c r="BP250" s="14">
        <f t="shared" si="503"/>
        <v>0</v>
      </c>
      <c r="BQ250" s="14">
        <f t="shared" si="504"/>
        <v>208</v>
      </c>
      <c r="BR250" s="34" t="e">
        <f>HLOOKUP(J250,Villagers!$B$1:$V$33,L250+3,FALSE)-HLOOKUP(J250,Villagers!$B$1:$V$33,L250+2,FALSE)</f>
        <v>#N/A</v>
      </c>
      <c r="BS250" s="49">
        <f t="shared" si="505"/>
        <v>1</v>
      </c>
      <c r="BT250" s="50">
        <f t="shared" si="506"/>
        <v>0</v>
      </c>
      <c r="BU250" s="50">
        <f t="shared" si="507"/>
        <v>0</v>
      </c>
      <c r="BV250" s="50">
        <f t="shared" si="508"/>
        <v>0</v>
      </c>
      <c r="BW250" s="50">
        <f t="shared" si="575"/>
        <v>0</v>
      </c>
      <c r="BX250" s="50">
        <f t="shared" si="576"/>
        <v>0</v>
      </c>
      <c r="BY250" s="50">
        <f t="shared" si="576"/>
        <v>0</v>
      </c>
      <c r="BZ250" s="50">
        <f t="shared" si="554"/>
        <v>0</v>
      </c>
      <c r="CA250" s="50">
        <f t="shared" si="555"/>
        <v>0</v>
      </c>
      <c r="CB250" s="50">
        <f t="shared" si="556"/>
        <v>1</v>
      </c>
      <c r="CC250" s="50">
        <f t="shared" si="557"/>
        <v>0</v>
      </c>
      <c r="CD250" s="50">
        <f t="shared" si="558"/>
        <v>0</v>
      </c>
      <c r="CE250" s="50">
        <f t="shared" si="559"/>
        <v>1</v>
      </c>
      <c r="CF250" s="50">
        <f t="shared" si="560"/>
        <v>1</v>
      </c>
      <c r="CG250" s="50">
        <f t="shared" si="561"/>
        <v>1</v>
      </c>
      <c r="CH250" s="50">
        <f t="shared" si="562"/>
        <v>1</v>
      </c>
      <c r="CI250" s="50">
        <f t="shared" si="563"/>
        <v>1</v>
      </c>
      <c r="CJ250" s="50">
        <f t="shared" si="564"/>
        <v>1</v>
      </c>
      <c r="CK250" s="50">
        <f t="shared" si="564"/>
        <v>0</v>
      </c>
      <c r="CL250" s="50">
        <f t="shared" si="564"/>
        <v>0</v>
      </c>
      <c r="CM250" s="51">
        <f t="shared" si="587"/>
        <v>0</v>
      </c>
      <c r="CN250" s="33">
        <f>ROUND(IF(BS250=0,0,HLOOKUP(BS$14,Villagers!$B$1:$V$33,BS250+3,FALSE)),)</f>
        <v>5</v>
      </c>
      <c r="CO250" s="14">
        <f>ROUND(IF(BT250=0,0,HLOOKUP(BT$14,Villagers!$B$1:$V$33,BT250+3,FALSE)),)</f>
        <v>0</v>
      </c>
      <c r="CP250" s="14">
        <f>ROUND(IF(BU250=0,0,HLOOKUP(BU$14,Villagers!$B$1:$V$33,BU250+3,FALSE)),)</f>
        <v>0</v>
      </c>
      <c r="CQ250" s="14">
        <f>ROUND(IF(BV250=0,0,HLOOKUP(BV$14,Villagers!$B$1:$V$33,BV250+3,FALSE)),)</f>
        <v>0</v>
      </c>
      <c r="CR250" s="14">
        <f>ROUND(IF(BW250=0,0,HLOOKUP(BW$14,Villagers!$B$1:$V$33,BW250+3,FALSE)),)</f>
        <v>0</v>
      </c>
      <c r="CS250" s="14">
        <f>ROUND(IF(BX250=0,0,HLOOKUP(BX$14,Villagers!$B$1:$V$33,BX250+3,FALSE)),)</f>
        <v>0</v>
      </c>
      <c r="CT250" s="14">
        <f>ROUND(IF(BY250=0,0,HLOOKUP(BY$14,Villagers!$B$1:$V$33,BY250+3,FALSE)),)</f>
        <v>0</v>
      </c>
      <c r="CU250" s="14">
        <f>ROUND(IF(BZ250=0,0,HLOOKUP(BZ$14,Villagers!$B$1:$V$33,BZ250+3,FALSE)),)</f>
        <v>0</v>
      </c>
      <c r="CV250" s="14">
        <f>ROUND(IF(CA250=0,0,HLOOKUP(CA$14,Villagers!$B$1:$V$33,CA250+3,FALSE)),)</f>
        <v>0</v>
      </c>
      <c r="CW250" s="14">
        <f>ROUND(IF(CB250=0,0,HLOOKUP(CB$14,Villagers!$B$1:$V$33,CB250+3,FALSE)),)</f>
        <v>0</v>
      </c>
      <c r="CX250" s="14">
        <f>ROUND(IF(CC250=0,0,HLOOKUP(CC$14,Villagers!$B$1:$V$33,CC250+3,FALSE)),)</f>
        <v>0</v>
      </c>
      <c r="CY250" s="14">
        <f>ROUND(IF(CD250=0,0,HLOOKUP(CD$14,Villagers!$B$1:$V$33,CD250+3,FALSE)),)</f>
        <v>0</v>
      </c>
      <c r="CZ250" s="14">
        <f>ROUND(IF(CE250=0,0,HLOOKUP(CE$14,Villagers!$B$1:$V$33,CE250+3,FALSE)),)</f>
        <v>5</v>
      </c>
      <c r="DA250" s="14">
        <f>ROUND(IF(CF250=0,0,HLOOKUP(CF$14,Villagers!$B$1:$V$33,CF250+3,FALSE)),)</f>
        <v>10</v>
      </c>
      <c r="DB250" s="14">
        <f>ROUND(IF(CG250=0,0,HLOOKUP(CG$14,Villagers!$B$1:$V$33,CG250+3,FALSE)),)</f>
        <v>10</v>
      </c>
      <c r="DC250" s="14">
        <f>ROUND(IF(CH250=0,0,HLOOKUP(CH$14,Villagers!$B$1:$V$33,CH250+3,FALSE)),)</f>
        <v>0</v>
      </c>
      <c r="DD250" s="14">
        <f>ROUND(IF(CI250=0,0,HLOOKUP(CI$14,Villagers!$B$1:$V$33,CI250+3,FALSE)),)</f>
        <v>0</v>
      </c>
      <c r="DE250" s="14">
        <f>ROUND(IF(CJ250=0,0,HLOOKUP(CJ$14,Villagers!$B$1:$V$33,CJ250+3,FALSE)),)</f>
        <v>2</v>
      </c>
      <c r="DF250" s="370">
        <f>ROUND(IF(CK250=0,0,HLOOKUP(CK$14,Villagers!$B$1:$V$33,CK250+3,FALSE)),)</f>
        <v>0</v>
      </c>
      <c r="DG250" s="370">
        <f>ROUND(IF(CL250=0,0,HLOOKUP(CL$14,Villagers!$B$1:$V$33,CL250+3,FALSE)),)</f>
        <v>0</v>
      </c>
      <c r="DH250" s="34">
        <f>ROUND(IF(CM250=0,0,HLOOKUP(CM$14,Villagers!$B$1:$V$33,CM250+3,FALSE)),)</f>
        <v>0</v>
      </c>
      <c r="DI250" s="109">
        <f t="shared" si="526"/>
        <v>0</v>
      </c>
      <c r="DJ250" s="50">
        <f t="shared" si="527"/>
        <v>0</v>
      </c>
      <c r="DK250" s="50">
        <f t="shared" si="528"/>
        <v>0</v>
      </c>
      <c r="DL250" s="50">
        <f t="shared" si="529"/>
        <v>0</v>
      </c>
      <c r="DM250" s="50">
        <f t="shared" si="530"/>
        <v>0</v>
      </c>
      <c r="DN250" s="50">
        <f t="shared" si="531"/>
        <v>0</v>
      </c>
      <c r="DO250" s="50">
        <f t="shared" si="532"/>
        <v>0</v>
      </c>
      <c r="DP250" s="50">
        <f t="shared" si="533"/>
        <v>0</v>
      </c>
      <c r="DQ250" s="50">
        <f t="shared" si="510"/>
        <v>0</v>
      </c>
      <c r="DR250" s="50">
        <f t="shared" si="511"/>
        <v>0</v>
      </c>
      <c r="DS250" s="96">
        <f>Miscelaneous!$D$4*Miscelaneous!$D$2^($CI250-1)</f>
        <v>1000</v>
      </c>
      <c r="DT250" s="333">
        <f t="shared" si="490"/>
        <v>1</v>
      </c>
      <c r="DU250" s="81">
        <v>1</v>
      </c>
      <c r="DV250" s="79">
        <f t="shared" si="512"/>
        <v>0</v>
      </c>
      <c r="DW250" s="79">
        <f t="shared" si="513"/>
        <v>0</v>
      </c>
      <c r="DX250" s="79">
        <f t="shared" si="514"/>
        <v>0</v>
      </c>
      <c r="DY250" s="79">
        <v>1</v>
      </c>
      <c r="DZ250" s="79">
        <f t="shared" si="515"/>
        <v>0</v>
      </c>
      <c r="EA250" s="79">
        <f t="shared" si="516"/>
        <v>0</v>
      </c>
      <c r="EB250" s="79">
        <f t="shared" si="517"/>
        <v>0</v>
      </c>
      <c r="EC250" s="79">
        <f t="shared" si="518"/>
        <v>0</v>
      </c>
      <c r="ED250" s="79">
        <v>1</v>
      </c>
      <c r="EE250" s="79">
        <v>1</v>
      </c>
      <c r="EF250" s="79">
        <f t="shared" si="519"/>
        <v>0</v>
      </c>
      <c r="EG250" s="79">
        <v>1</v>
      </c>
      <c r="EH250" s="79">
        <v>1</v>
      </c>
      <c r="EI250" s="79">
        <v>1</v>
      </c>
      <c r="EJ250" s="79">
        <v>1</v>
      </c>
      <c r="EK250" s="79">
        <v>1</v>
      </c>
      <c r="EL250" s="79">
        <v>1</v>
      </c>
      <c r="EM250" s="143">
        <f t="shared" si="520"/>
        <v>0</v>
      </c>
      <c r="EN250" s="143">
        <f t="shared" si="521"/>
        <v>0</v>
      </c>
      <c r="EO250" s="82">
        <f t="shared" si="522"/>
        <v>0</v>
      </c>
    </row>
    <row r="251" spans="1:145" x14ac:dyDescent="0.25">
      <c r="A251">
        <v>237</v>
      </c>
      <c r="B251" s="172" t="e">
        <f t="shared" si="491"/>
        <v>#N/A</v>
      </c>
      <c r="C251" s="121" t="e">
        <f t="shared" ref="C251:E251" si="600">AJ251-SUM(AB251:AB255)</f>
        <v>#N/A</v>
      </c>
      <c r="D251" s="122" t="e">
        <f t="shared" si="600"/>
        <v>#N/A</v>
      </c>
      <c r="E251" s="122" t="e">
        <f t="shared" si="600"/>
        <v>#N/A</v>
      </c>
      <c r="F251" s="176" t="e">
        <f t="shared" si="473"/>
        <v>#N/A</v>
      </c>
      <c r="G251" s="121">
        <f t="shared" si="493"/>
        <v>208</v>
      </c>
      <c r="H251" s="176" t="e">
        <f t="shared" si="494"/>
        <v>#N/A</v>
      </c>
      <c r="I251" s="48">
        <v>1</v>
      </c>
      <c r="J251" s="39"/>
      <c r="K251" s="350">
        <v>1</v>
      </c>
      <c r="L251" s="34" t="e">
        <f t="shared" si="474"/>
        <v>#N/A</v>
      </c>
      <c r="M251" s="38" t="e">
        <f>(HLOOKUP(J251,'Construction Times'!$B$3:$W$34,L251+2,FALSE)*HLOOKUP("hq modifier",'Construction Times'!$W$3:$W$34,BS251+2,FALSE))*(1-$H$9)</f>
        <v>#N/A</v>
      </c>
      <c r="N251" s="426" t="e">
        <f t="shared" si="495"/>
        <v>#N/A</v>
      </c>
      <c r="O251" s="427"/>
      <c r="P251" s="430" t="e">
        <f t="shared" si="496"/>
        <v>#N/A</v>
      </c>
      <c r="Q251" s="431"/>
      <c r="R251" s="103">
        <f t="shared" si="524"/>
        <v>0</v>
      </c>
      <c r="S251" s="104">
        <f t="shared" si="524"/>
        <v>0</v>
      </c>
      <c r="T251" s="104">
        <f t="shared" si="525"/>
        <v>0</v>
      </c>
      <c r="U251" s="104">
        <f t="shared" si="525"/>
        <v>0</v>
      </c>
      <c r="V251" s="104">
        <f t="shared" si="525"/>
        <v>9.9999999999999995E-8</v>
      </c>
      <c r="W251" s="104">
        <f t="shared" si="525"/>
        <v>0</v>
      </c>
      <c r="X251" s="104">
        <f t="shared" si="584"/>
        <v>0</v>
      </c>
      <c r="Y251" s="104">
        <f t="shared" si="584"/>
        <v>9.9999999999999995E-8</v>
      </c>
      <c r="Z251" s="104">
        <f t="shared" si="584"/>
        <v>9.9999999999999995E-8</v>
      </c>
      <c r="AA251" s="105">
        <f t="shared" si="584"/>
        <v>9.9999999999999995E-8</v>
      </c>
      <c r="AB251" s="101" t="e">
        <f>$DT251*HLOOKUP($J251,'Construction Costs (timber)'!$B$1:$V$32,'Construction Planner'!$L251+2,FALSE)</f>
        <v>#N/A</v>
      </c>
      <c r="AC251" s="14" t="e">
        <f>$DT251*HLOOKUP($J251,'Construction Costs (clay)'!$B$1:$V$32,'Construction Planner'!$L251+2,FALSE)</f>
        <v>#N/A</v>
      </c>
      <c r="AD251" s="14" t="e">
        <f>$DT251*HLOOKUP($J251,'Construction Costs (iron)'!$B$1:$V$32,'Construction Planner'!$L251+2,FALSE)</f>
        <v>#N/A</v>
      </c>
      <c r="AE251" s="34" t="e">
        <f t="shared" si="537"/>
        <v>#N/A</v>
      </c>
      <c r="AF251" s="33" t="e">
        <f t="shared" si="475"/>
        <v>#N/A</v>
      </c>
      <c r="AG251" s="14" t="e">
        <f t="shared" si="476"/>
        <v>#N/A</v>
      </c>
      <c r="AH251" s="14" t="e">
        <f t="shared" si="477"/>
        <v>#N/A</v>
      </c>
      <c r="AI251" s="34" t="e">
        <f t="shared" si="538"/>
        <v>#N/A</v>
      </c>
      <c r="AJ251" s="49" t="e">
        <f t="shared" si="498"/>
        <v>#N/A</v>
      </c>
      <c r="AK251" s="49" t="e">
        <f t="shared" si="499"/>
        <v>#N/A</v>
      </c>
      <c r="AL251" s="49" t="e">
        <f t="shared" si="500"/>
        <v>#N/A</v>
      </c>
      <c r="AM251" s="25">
        <f t="shared" si="478"/>
        <v>30</v>
      </c>
      <c r="AN251" s="25">
        <f t="shared" si="479"/>
        <v>30</v>
      </c>
      <c r="AO251" s="25">
        <f t="shared" si="480"/>
        <v>30</v>
      </c>
      <c r="AP251" s="52" t="e">
        <f t="shared" si="501"/>
        <v>#N/A</v>
      </c>
      <c r="AQ251" s="53" t="e">
        <f t="shared" si="501"/>
        <v>#N/A</v>
      </c>
      <c r="AR251" s="54" t="e">
        <f t="shared" si="501"/>
        <v>#N/A</v>
      </c>
      <c r="AS251" s="316">
        <f t="shared" si="593"/>
        <v>0</v>
      </c>
      <c r="AT251" s="106">
        <f>_xlfn.IFNA($M251/VLOOKUP($BT251,'Unit information'!$A$2:$K$29,2,FALSE)*R251,0)*(1+$E$9)</f>
        <v>0</v>
      </c>
      <c r="AU251" s="107">
        <f>_xlfn.IFNA($M251/VLOOKUP($BT251,'Unit information'!$A$2:$K$29,3,FALSE)*S251,0)*(1+$E$9)</f>
        <v>0</v>
      </c>
      <c r="AV251" s="107">
        <f>_xlfn.IFNA($M251/VLOOKUP($BT251,'Unit information'!$A$2:$K$29,4,FALSE)*T251,0)*(1+$E$9)</f>
        <v>0</v>
      </c>
      <c r="AW251" s="107">
        <f>_xlfn.IFNA($M251/VLOOKUP($BT251,'Unit information'!$A$2:$K$29,5,FALSE)*U251,0)*(1+$E$9)</f>
        <v>0</v>
      </c>
      <c r="AX251" s="107">
        <f>_xlfn.IFNA($M251/VLOOKUP($BU251,'Unit information'!$A$2:$K$29,6,FALSE)*V251,0)*(1+$E$9)</f>
        <v>0</v>
      </c>
      <c r="AY251" s="107">
        <f>_xlfn.IFNA($M251/VLOOKUP($BU251,'Unit information'!$A$2:$K$29,7,FALSE)*W251,0)*(1+$E$9)</f>
        <v>0</v>
      </c>
      <c r="AZ251" s="107">
        <f>_xlfn.IFNA($M251/VLOOKUP($BU251,'Unit information'!$A$2:$K$29,8,FALSE)*X251,0)*(1+$E$9)</f>
        <v>0</v>
      </c>
      <c r="BA251" s="107">
        <f>_xlfn.IFNA($M251/VLOOKUP($BU251,'Unit information'!$A$2:$K$29,9,FALSE)*Y251,0)*(1+$E$9)</f>
        <v>0</v>
      </c>
      <c r="BB251" s="107">
        <f>_xlfn.IFNA($M251/VLOOKUP($BV251,'Unit information'!$A$2:$K$29,10,FALSE)*Z251,0)*(1+$E$9)</f>
        <v>0</v>
      </c>
      <c r="BC251" s="108">
        <f>_xlfn.IFNA($M251/VLOOKUP($BV251,'Unit information'!$A$2:$K$29,11,FALSE)*AA251,0)*(1+$E$9)</f>
        <v>0</v>
      </c>
      <c r="BD251" s="106">
        <f t="shared" si="481"/>
        <v>0</v>
      </c>
      <c r="BE251" s="107">
        <f t="shared" si="482"/>
        <v>0</v>
      </c>
      <c r="BF251" s="108">
        <f t="shared" si="483"/>
        <v>0</v>
      </c>
      <c r="BG251" s="25" t="e">
        <f t="shared" si="484"/>
        <v>#N/A</v>
      </c>
      <c r="BH251" s="25" t="e">
        <f t="shared" si="485"/>
        <v>#N/A</v>
      </c>
      <c r="BI251" s="25" t="e">
        <f t="shared" si="486"/>
        <v>#N/A</v>
      </c>
      <c r="BJ251" s="27" t="e">
        <f t="shared" si="487"/>
        <v>#N/A</v>
      </c>
      <c r="BK251" s="18" t="e">
        <f t="shared" si="488"/>
        <v>#N/A</v>
      </c>
      <c r="BL251" s="18" t="e">
        <f t="shared" si="489"/>
        <v>#N/A</v>
      </c>
      <c r="BM251" s="28" t="e">
        <f t="shared" si="540"/>
        <v>#N/A</v>
      </c>
      <c r="BN251" s="33">
        <f>HLOOKUP("maximum population",Miscelaneous!$C$1:$C$33,CH251+3,FALSE)</f>
        <v>240</v>
      </c>
      <c r="BO251" s="14">
        <f t="shared" si="502"/>
        <v>32</v>
      </c>
      <c r="BP251" s="14">
        <f t="shared" si="503"/>
        <v>0</v>
      </c>
      <c r="BQ251" s="14">
        <f t="shared" si="504"/>
        <v>208</v>
      </c>
      <c r="BR251" s="34" t="e">
        <f>HLOOKUP(J251,Villagers!$B$1:$V$33,L251+3,FALSE)-HLOOKUP(J251,Villagers!$B$1:$V$33,L251+2,FALSE)</f>
        <v>#N/A</v>
      </c>
      <c r="BS251" s="49">
        <f t="shared" si="505"/>
        <v>1</v>
      </c>
      <c r="BT251" s="50">
        <f t="shared" si="506"/>
        <v>0</v>
      </c>
      <c r="BU251" s="50">
        <f t="shared" si="507"/>
        <v>0</v>
      </c>
      <c r="BV251" s="50">
        <f t="shared" si="508"/>
        <v>0</v>
      </c>
      <c r="BW251" s="50">
        <f t="shared" si="575"/>
        <v>0</v>
      </c>
      <c r="BX251" s="50">
        <f t="shared" si="576"/>
        <v>0</v>
      </c>
      <c r="BY251" s="50">
        <f t="shared" si="576"/>
        <v>0</v>
      </c>
      <c r="BZ251" s="50">
        <f t="shared" si="554"/>
        <v>0</v>
      </c>
      <c r="CA251" s="50">
        <f t="shared" si="555"/>
        <v>0</v>
      </c>
      <c r="CB251" s="50">
        <f t="shared" si="556"/>
        <v>1</v>
      </c>
      <c r="CC251" s="50">
        <f t="shared" si="557"/>
        <v>0</v>
      </c>
      <c r="CD251" s="50">
        <f t="shared" si="558"/>
        <v>0</v>
      </c>
      <c r="CE251" s="50">
        <f t="shared" si="559"/>
        <v>1</v>
      </c>
      <c r="CF251" s="50">
        <f t="shared" si="560"/>
        <v>1</v>
      </c>
      <c r="CG251" s="50">
        <f t="shared" si="561"/>
        <v>1</v>
      </c>
      <c r="CH251" s="50">
        <f t="shared" si="562"/>
        <v>1</v>
      </c>
      <c r="CI251" s="50">
        <f t="shared" si="563"/>
        <v>1</v>
      </c>
      <c r="CJ251" s="50">
        <f t="shared" si="564"/>
        <v>1</v>
      </c>
      <c r="CK251" s="50">
        <f t="shared" si="564"/>
        <v>0</v>
      </c>
      <c r="CL251" s="50">
        <f t="shared" si="564"/>
        <v>0</v>
      </c>
      <c r="CM251" s="51">
        <f t="shared" si="587"/>
        <v>0</v>
      </c>
      <c r="CN251" s="33">
        <f>ROUND(IF(BS251=0,0,HLOOKUP(BS$14,Villagers!$B$1:$V$33,BS251+3,FALSE)),)</f>
        <v>5</v>
      </c>
      <c r="CO251" s="14">
        <f>ROUND(IF(BT251=0,0,HLOOKUP(BT$14,Villagers!$B$1:$V$33,BT251+3,FALSE)),)</f>
        <v>0</v>
      </c>
      <c r="CP251" s="14">
        <f>ROUND(IF(BU251=0,0,HLOOKUP(BU$14,Villagers!$B$1:$V$33,BU251+3,FALSE)),)</f>
        <v>0</v>
      </c>
      <c r="CQ251" s="14">
        <f>ROUND(IF(BV251=0,0,HLOOKUP(BV$14,Villagers!$B$1:$V$33,BV251+3,FALSE)),)</f>
        <v>0</v>
      </c>
      <c r="CR251" s="14">
        <f>ROUND(IF(BW251=0,0,HLOOKUP(BW$14,Villagers!$B$1:$V$33,BW251+3,FALSE)),)</f>
        <v>0</v>
      </c>
      <c r="CS251" s="14">
        <f>ROUND(IF(BX251=0,0,HLOOKUP(BX$14,Villagers!$B$1:$V$33,BX251+3,FALSE)),)</f>
        <v>0</v>
      </c>
      <c r="CT251" s="14">
        <f>ROUND(IF(BY251=0,0,HLOOKUP(BY$14,Villagers!$B$1:$V$33,BY251+3,FALSE)),)</f>
        <v>0</v>
      </c>
      <c r="CU251" s="14">
        <f>ROUND(IF(BZ251=0,0,HLOOKUP(BZ$14,Villagers!$B$1:$V$33,BZ251+3,FALSE)),)</f>
        <v>0</v>
      </c>
      <c r="CV251" s="14">
        <f>ROUND(IF(CA251=0,0,HLOOKUP(CA$14,Villagers!$B$1:$V$33,CA251+3,FALSE)),)</f>
        <v>0</v>
      </c>
      <c r="CW251" s="14">
        <f>ROUND(IF(CB251=0,0,HLOOKUP(CB$14,Villagers!$B$1:$V$33,CB251+3,FALSE)),)</f>
        <v>0</v>
      </c>
      <c r="CX251" s="14">
        <f>ROUND(IF(CC251=0,0,HLOOKUP(CC$14,Villagers!$B$1:$V$33,CC251+3,FALSE)),)</f>
        <v>0</v>
      </c>
      <c r="CY251" s="14">
        <f>ROUND(IF(CD251=0,0,HLOOKUP(CD$14,Villagers!$B$1:$V$33,CD251+3,FALSE)),)</f>
        <v>0</v>
      </c>
      <c r="CZ251" s="14">
        <f>ROUND(IF(CE251=0,0,HLOOKUP(CE$14,Villagers!$B$1:$V$33,CE251+3,FALSE)),)</f>
        <v>5</v>
      </c>
      <c r="DA251" s="14">
        <f>ROUND(IF(CF251=0,0,HLOOKUP(CF$14,Villagers!$B$1:$V$33,CF251+3,FALSE)),)</f>
        <v>10</v>
      </c>
      <c r="DB251" s="14">
        <f>ROUND(IF(CG251=0,0,HLOOKUP(CG$14,Villagers!$B$1:$V$33,CG251+3,FALSE)),)</f>
        <v>10</v>
      </c>
      <c r="DC251" s="14">
        <f>ROUND(IF(CH251=0,0,HLOOKUP(CH$14,Villagers!$B$1:$V$33,CH251+3,FALSE)),)</f>
        <v>0</v>
      </c>
      <c r="DD251" s="14">
        <f>ROUND(IF(CI251=0,0,HLOOKUP(CI$14,Villagers!$B$1:$V$33,CI251+3,FALSE)),)</f>
        <v>0</v>
      </c>
      <c r="DE251" s="14">
        <f>ROUND(IF(CJ251=0,0,HLOOKUP(CJ$14,Villagers!$B$1:$V$33,CJ251+3,FALSE)),)</f>
        <v>2</v>
      </c>
      <c r="DF251" s="370">
        <f>ROUND(IF(CK251=0,0,HLOOKUP(CK$14,Villagers!$B$1:$V$33,CK251+3,FALSE)),)</f>
        <v>0</v>
      </c>
      <c r="DG251" s="370">
        <f>ROUND(IF(CL251=0,0,HLOOKUP(CL$14,Villagers!$B$1:$V$33,CL251+3,FALSE)),)</f>
        <v>0</v>
      </c>
      <c r="DH251" s="34">
        <f>ROUND(IF(CM251=0,0,HLOOKUP(CM$14,Villagers!$B$1:$V$33,CM251+3,FALSE)),)</f>
        <v>0</v>
      </c>
      <c r="DI251" s="109">
        <f t="shared" si="526"/>
        <v>0</v>
      </c>
      <c r="DJ251" s="50">
        <f t="shared" si="527"/>
        <v>0</v>
      </c>
      <c r="DK251" s="50">
        <f t="shared" si="528"/>
        <v>0</v>
      </c>
      <c r="DL251" s="50">
        <f t="shared" si="529"/>
        <v>0</v>
      </c>
      <c r="DM251" s="50">
        <f t="shared" si="530"/>
        <v>0</v>
      </c>
      <c r="DN251" s="50">
        <f t="shared" si="531"/>
        <v>0</v>
      </c>
      <c r="DO251" s="50">
        <f t="shared" si="532"/>
        <v>0</v>
      </c>
      <c r="DP251" s="50">
        <f t="shared" si="533"/>
        <v>0</v>
      </c>
      <c r="DQ251" s="50">
        <f t="shared" si="510"/>
        <v>0</v>
      </c>
      <c r="DR251" s="50">
        <f t="shared" si="511"/>
        <v>0</v>
      </c>
      <c r="DS251" s="96">
        <f>Miscelaneous!$D$4*Miscelaneous!$D$2^($CI251-1)</f>
        <v>1000</v>
      </c>
      <c r="DT251" s="333">
        <f t="shared" si="490"/>
        <v>1</v>
      </c>
      <c r="DU251" s="81">
        <v>1</v>
      </c>
      <c r="DV251" s="79">
        <f t="shared" si="512"/>
        <v>0</v>
      </c>
      <c r="DW251" s="79">
        <f t="shared" si="513"/>
        <v>0</v>
      </c>
      <c r="DX251" s="79">
        <f t="shared" si="514"/>
        <v>0</v>
      </c>
      <c r="DY251" s="79">
        <v>1</v>
      </c>
      <c r="DZ251" s="79">
        <f t="shared" si="515"/>
        <v>0</v>
      </c>
      <c r="EA251" s="79">
        <f t="shared" si="516"/>
        <v>0</v>
      </c>
      <c r="EB251" s="79">
        <f t="shared" si="517"/>
        <v>0</v>
      </c>
      <c r="EC251" s="79">
        <f t="shared" si="518"/>
        <v>0</v>
      </c>
      <c r="ED251" s="79">
        <v>1</v>
      </c>
      <c r="EE251" s="79">
        <v>1</v>
      </c>
      <c r="EF251" s="79">
        <f t="shared" si="519"/>
        <v>0</v>
      </c>
      <c r="EG251" s="79">
        <v>1</v>
      </c>
      <c r="EH251" s="79">
        <v>1</v>
      </c>
      <c r="EI251" s="79">
        <v>1</v>
      </c>
      <c r="EJ251" s="79">
        <v>1</v>
      </c>
      <c r="EK251" s="79">
        <v>1</v>
      </c>
      <c r="EL251" s="79">
        <v>1</v>
      </c>
      <c r="EM251" s="143">
        <f t="shared" si="520"/>
        <v>0</v>
      </c>
      <c r="EN251" s="143">
        <f t="shared" si="521"/>
        <v>0</v>
      </c>
      <c r="EO251" s="82">
        <f t="shared" si="522"/>
        <v>0</v>
      </c>
    </row>
    <row r="252" spans="1:145" x14ac:dyDescent="0.25">
      <c r="A252">
        <v>238</v>
      </c>
      <c r="B252" s="172" t="e">
        <f t="shared" si="491"/>
        <v>#N/A</v>
      </c>
      <c r="C252" s="121" t="e">
        <f t="shared" ref="C252:E252" si="601">AJ252-SUM(AB252:AB256)</f>
        <v>#N/A</v>
      </c>
      <c r="D252" s="122" t="e">
        <f t="shared" si="601"/>
        <v>#N/A</v>
      </c>
      <c r="E252" s="122" t="e">
        <f t="shared" si="601"/>
        <v>#N/A</v>
      </c>
      <c r="F252" s="176" t="e">
        <f t="shared" si="473"/>
        <v>#N/A</v>
      </c>
      <c r="G252" s="121">
        <f t="shared" si="493"/>
        <v>208</v>
      </c>
      <c r="H252" s="176" t="e">
        <f t="shared" si="494"/>
        <v>#N/A</v>
      </c>
      <c r="I252" s="48">
        <v>1</v>
      </c>
      <c r="J252" s="39"/>
      <c r="K252" s="350">
        <v>1</v>
      </c>
      <c r="L252" s="34" t="e">
        <f t="shared" si="474"/>
        <v>#N/A</v>
      </c>
      <c r="M252" s="38" t="e">
        <f>(HLOOKUP(J252,'Construction Times'!$B$3:$W$34,L252+2,FALSE)*HLOOKUP("hq modifier",'Construction Times'!$W$3:$W$34,BS252+2,FALSE))*(1-$H$9)</f>
        <v>#N/A</v>
      </c>
      <c r="N252" s="426" t="e">
        <f t="shared" si="495"/>
        <v>#N/A</v>
      </c>
      <c r="O252" s="427"/>
      <c r="P252" s="430" t="e">
        <f t="shared" si="496"/>
        <v>#N/A</v>
      </c>
      <c r="Q252" s="431"/>
      <c r="R252" s="103">
        <f t="shared" si="524"/>
        <v>0</v>
      </c>
      <c r="S252" s="104">
        <f t="shared" si="524"/>
        <v>0</v>
      </c>
      <c r="T252" s="104">
        <f t="shared" si="525"/>
        <v>0</v>
      </c>
      <c r="U252" s="104">
        <f t="shared" si="525"/>
        <v>0</v>
      </c>
      <c r="V252" s="104">
        <f t="shared" si="525"/>
        <v>9.9999999999999995E-8</v>
      </c>
      <c r="W252" s="104">
        <f t="shared" si="525"/>
        <v>0</v>
      </c>
      <c r="X252" s="104">
        <f t="shared" si="584"/>
        <v>0</v>
      </c>
      <c r="Y252" s="104">
        <f t="shared" si="584"/>
        <v>9.9999999999999995E-8</v>
      </c>
      <c r="Z252" s="104">
        <f t="shared" si="584"/>
        <v>9.9999999999999995E-8</v>
      </c>
      <c r="AA252" s="105">
        <f t="shared" si="584"/>
        <v>9.9999999999999995E-8</v>
      </c>
      <c r="AB252" s="101" t="e">
        <f>$DT252*HLOOKUP($J252,'Construction Costs (timber)'!$B$1:$V$32,'Construction Planner'!$L252+2,FALSE)</f>
        <v>#N/A</v>
      </c>
      <c r="AC252" s="14" t="e">
        <f>$DT252*HLOOKUP($J252,'Construction Costs (clay)'!$B$1:$V$32,'Construction Planner'!$L252+2,FALSE)</f>
        <v>#N/A</v>
      </c>
      <c r="AD252" s="14" t="e">
        <f>$DT252*HLOOKUP($J252,'Construction Costs (iron)'!$B$1:$V$32,'Construction Planner'!$L252+2,FALSE)</f>
        <v>#N/A</v>
      </c>
      <c r="AE252" s="34" t="e">
        <f t="shared" si="537"/>
        <v>#N/A</v>
      </c>
      <c r="AF252" s="33" t="e">
        <f t="shared" si="475"/>
        <v>#N/A</v>
      </c>
      <c r="AG252" s="14" t="e">
        <f t="shared" si="476"/>
        <v>#N/A</v>
      </c>
      <c r="AH252" s="14" t="e">
        <f t="shared" si="477"/>
        <v>#N/A</v>
      </c>
      <c r="AI252" s="34" t="e">
        <f t="shared" si="538"/>
        <v>#N/A</v>
      </c>
      <c r="AJ252" s="49" t="e">
        <f t="shared" si="498"/>
        <v>#N/A</v>
      </c>
      <c r="AK252" s="49" t="e">
        <f t="shared" si="499"/>
        <v>#N/A</v>
      </c>
      <c r="AL252" s="49" t="e">
        <f t="shared" si="500"/>
        <v>#N/A</v>
      </c>
      <c r="AM252" s="25">
        <f t="shared" si="478"/>
        <v>30</v>
      </c>
      <c r="AN252" s="25">
        <f t="shared" si="479"/>
        <v>30</v>
      </c>
      <c r="AO252" s="25">
        <f t="shared" si="480"/>
        <v>30</v>
      </c>
      <c r="AP252" s="52" t="e">
        <f t="shared" si="501"/>
        <v>#N/A</v>
      </c>
      <c r="AQ252" s="53" t="e">
        <f t="shared" si="501"/>
        <v>#N/A</v>
      </c>
      <c r="AR252" s="54" t="e">
        <f t="shared" si="501"/>
        <v>#N/A</v>
      </c>
      <c r="AS252" s="316">
        <f t="shared" si="593"/>
        <v>0</v>
      </c>
      <c r="AT252" s="106">
        <f>_xlfn.IFNA($M252/VLOOKUP($BT252,'Unit information'!$A$2:$K$29,2,FALSE)*R252,0)*(1+$E$9)</f>
        <v>0</v>
      </c>
      <c r="AU252" s="107">
        <f>_xlfn.IFNA($M252/VLOOKUP($BT252,'Unit information'!$A$2:$K$29,3,FALSE)*S252,0)*(1+$E$9)</f>
        <v>0</v>
      </c>
      <c r="AV252" s="107">
        <f>_xlfn.IFNA($M252/VLOOKUP($BT252,'Unit information'!$A$2:$K$29,4,FALSE)*T252,0)*(1+$E$9)</f>
        <v>0</v>
      </c>
      <c r="AW252" s="107">
        <f>_xlfn.IFNA($M252/VLOOKUP($BT252,'Unit information'!$A$2:$K$29,5,FALSE)*U252,0)*(1+$E$9)</f>
        <v>0</v>
      </c>
      <c r="AX252" s="107">
        <f>_xlfn.IFNA($M252/VLOOKUP($BU252,'Unit information'!$A$2:$K$29,6,FALSE)*V252,0)*(1+$E$9)</f>
        <v>0</v>
      </c>
      <c r="AY252" s="107">
        <f>_xlfn.IFNA($M252/VLOOKUP($BU252,'Unit information'!$A$2:$K$29,7,FALSE)*W252,0)*(1+$E$9)</f>
        <v>0</v>
      </c>
      <c r="AZ252" s="107">
        <f>_xlfn.IFNA($M252/VLOOKUP($BU252,'Unit information'!$A$2:$K$29,8,FALSE)*X252,0)*(1+$E$9)</f>
        <v>0</v>
      </c>
      <c r="BA252" s="107">
        <f>_xlfn.IFNA($M252/VLOOKUP($BU252,'Unit information'!$A$2:$K$29,9,FALSE)*Y252,0)*(1+$E$9)</f>
        <v>0</v>
      </c>
      <c r="BB252" s="107">
        <f>_xlfn.IFNA($M252/VLOOKUP($BV252,'Unit information'!$A$2:$K$29,10,FALSE)*Z252,0)*(1+$E$9)</f>
        <v>0</v>
      </c>
      <c r="BC252" s="108">
        <f>_xlfn.IFNA($M252/VLOOKUP($BV252,'Unit information'!$A$2:$K$29,11,FALSE)*AA252,0)*(1+$E$9)</f>
        <v>0</v>
      </c>
      <c r="BD252" s="106">
        <f t="shared" si="481"/>
        <v>0</v>
      </c>
      <c r="BE252" s="107">
        <f t="shared" si="482"/>
        <v>0</v>
      </c>
      <c r="BF252" s="108">
        <f t="shared" si="483"/>
        <v>0</v>
      </c>
      <c r="BG252" s="25" t="e">
        <f t="shared" si="484"/>
        <v>#N/A</v>
      </c>
      <c r="BH252" s="25" t="e">
        <f t="shared" si="485"/>
        <v>#N/A</v>
      </c>
      <c r="BI252" s="25" t="e">
        <f t="shared" si="486"/>
        <v>#N/A</v>
      </c>
      <c r="BJ252" s="27" t="e">
        <f t="shared" si="487"/>
        <v>#N/A</v>
      </c>
      <c r="BK252" s="18" t="e">
        <f t="shared" si="488"/>
        <v>#N/A</v>
      </c>
      <c r="BL252" s="18" t="e">
        <f t="shared" si="489"/>
        <v>#N/A</v>
      </c>
      <c r="BM252" s="28" t="e">
        <f t="shared" si="540"/>
        <v>#N/A</v>
      </c>
      <c r="BN252" s="33">
        <f>HLOOKUP("maximum population",Miscelaneous!$C$1:$C$33,CH252+3,FALSE)</f>
        <v>240</v>
      </c>
      <c r="BO252" s="14">
        <f t="shared" si="502"/>
        <v>32</v>
      </c>
      <c r="BP252" s="14">
        <f t="shared" si="503"/>
        <v>0</v>
      </c>
      <c r="BQ252" s="14">
        <f t="shared" si="504"/>
        <v>208</v>
      </c>
      <c r="BR252" s="34" t="e">
        <f>HLOOKUP(J252,Villagers!$B$1:$V$33,L252+3,FALSE)-HLOOKUP(J252,Villagers!$B$1:$V$33,L252+2,FALSE)</f>
        <v>#N/A</v>
      </c>
      <c r="BS252" s="49">
        <f t="shared" si="505"/>
        <v>1</v>
      </c>
      <c r="BT252" s="50">
        <f t="shared" si="506"/>
        <v>0</v>
      </c>
      <c r="BU252" s="50">
        <f t="shared" si="507"/>
        <v>0</v>
      </c>
      <c r="BV252" s="50">
        <f t="shared" si="508"/>
        <v>0</v>
      </c>
      <c r="BW252" s="50">
        <f t="shared" si="575"/>
        <v>0</v>
      </c>
      <c r="BX252" s="50">
        <f t="shared" si="576"/>
        <v>0</v>
      </c>
      <c r="BY252" s="50">
        <f t="shared" si="576"/>
        <v>0</v>
      </c>
      <c r="BZ252" s="50">
        <f t="shared" si="554"/>
        <v>0</v>
      </c>
      <c r="CA252" s="50">
        <f t="shared" si="555"/>
        <v>0</v>
      </c>
      <c r="CB252" s="50">
        <f t="shared" si="556"/>
        <v>1</v>
      </c>
      <c r="CC252" s="50">
        <f t="shared" si="557"/>
        <v>0</v>
      </c>
      <c r="CD252" s="50">
        <f t="shared" si="558"/>
        <v>0</v>
      </c>
      <c r="CE252" s="50">
        <f t="shared" si="559"/>
        <v>1</v>
      </c>
      <c r="CF252" s="50">
        <f t="shared" si="560"/>
        <v>1</v>
      </c>
      <c r="CG252" s="50">
        <f t="shared" si="561"/>
        <v>1</v>
      </c>
      <c r="CH252" s="50">
        <f t="shared" si="562"/>
        <v>1</v>
      </c>
      <c r="CI252" s="50">
        <f t="shared" si="563"/>
        <v>1</v>
      </c>
      <c r="CJ252" s="50">
        <f t="shared" si="564"/>
        <v>1</v>
      </c>
      <c r="CK252" s="50">
        <f t="shared" si="564"/>
        <v>0</v>
      </c>
      <c r="CL252" s="50">
        <f t="shared" si="564"/>
        <v>0</v>
      </c>
      <c r="CM252" s="51">
        <f t="shared" si="587"/>
        <v>0</v>
      </c>
      <c r="CN252" s="33">
        <f>ROUND(IF(BS252=0,0,HLOOKUP(BS$14,Villagers!$B$1:$V$33,BS252+3,FALSE)),)</f>
        <v>5</v>
      </c>
      <c r="CO252" s="14">
        <f>ROUND(IF(BT252=0,0,HLOOKUP(BT$14,Villagers!$B$1:$V$33,BT252+3,FALSE)),)</f>
        <v>0</v>
      </c>
      <c r="CP252" s="14">
        <f>ROUND(IF(BU252=0,0,HLOOKUP(BU$14,Villagers!$B$1:$V$33,BU252+3,FALSE)),)</f>
        <v>0</v>
      </c>
      <c r="CQ252" s="14">
        <f>ROUND(IF(BV252=0,0,HLOOKUP(BV$14,Villagers!$B$1:$V$33,BV252+3,FALSE)),)</f>
        <v>0</v>
      </c>
      <c r="CR252" s="14">
        <f>ROUND(IF(BW252=0,0,HLOOKUP(BW$14,Villagers!$B$1:$V$33,BW252+3,FALSE)),)</f>
        <v>0</v>
      </c>
      <c r="CS252" s="14">
        <f>ROUND(IF(BX252=0,0,HLOOKUP(BX$14,Villagers!$B$1:$V$33,BX252+3,FALSE)),)</f>
        <v>0</v>
      </c>
      <c r="CT252" s="14">
        <f>ROUND(IF(BY252=0,0,HLOOKUP(BY$14,Villagers!$B$1:$V$33,BY252+3,FALSE)),)</f>
        <v>0</v>
      </c>
      <c r="CU252" s="14">
        <f>ROUND(IF(BZ252=0,0,HLOOKUP(BZ$14,Villagers!$B$1:$V$33,BZ252+3,FALSE)),)</f>
        <v>0</v>
      </c>
      <c r="CV252" s="14">
        <f>ROUND(IF(CA252=0,0,HLOOKUP(CA$14,Villagers!$B$1:$V$33,CA252+3,FALSE)),)</f>
        <v>0</v>
      </c>
      <c r="CW252" s="14">
        <f>ROUND(IF(CB252=0,0,HLOOKUP(CB$14,Villagers!$B$1:$V$33,CB252+3,FALSE)),)</f>
        <v>0</v>
      </c>
      <c r="CX252" s="14">
        <f>ROUND(IF(CC252=0,0,HLOOKUP(CC$14,Villagers!$B$1:$V$33,CC252+3,FALSE)),)</f>
        <v>0</v>
      </c>
      <c r="CY252" s="14">
        <f>ROUND(IF(CD252=0,0,HLOOKUP(CD$14,Villagers!$B$1:$V$33,CD252+3,FALSE)),)</f>
        <v>0</v>
      </c>
      <c r="CZ252" s="14">
        <f>ROUND(IF(CE252=0,0,HLOOKUP(CE$14,Villagers!$B$1:$V$33,CE252+3,FALSE)),)</f>
        <v>5</v>
      </c>
      <c r="DA252" s="14">
        <f>ROUND(IF(CF252=0,0,HLOOKUP(CF$14,Villagers!$B$1:$V$33,CF252+3,FALSE)),)</f>
        <v>10</v>
      </c>
      <c r="DB252" s="14">
        <f>ROUND(IF(CG252=0,0,HLOOKUP(CG$14,Villagers!$B$1:$V$33,CG252+3,FALSE)),)</f>
        <v>10</v>
      </c>
      <c r="DC252" s="14">
        <f>ROUND(IF(CH252=0,0,HLOOKUP(CH$14,Villagers!$B$1:$V$33,CH252+3,FALSE)),)</f>
        <v>0</v>
      </c>
      <c r="DD252" s="14">
        <f>ROUND(IF(CI252=0,0,HLOOKUP(CI$14,Villagers!$B$1:$V$33,CI252+3,FALSE)),)</f>
        <v>0</v>
      </c>
      <c r="DE252" s="14">
        <f>ROUND(IF(CJ252=0,0,HLOOKUP(CJ$14,Villagers!$B$1:$V$33,CJ252+3,FALSE)),)</f>
        <v>2</v>
      </c>
      <c r="DF252" s="370">
        <f>ROUND(IF(CK252=0,0,HLOOKUP(CK$14,Villagers!$B$1:$V$33,CK252+3,FALSE)),)</f>
        <v>0</v>
      </c>
      <c r="DG252" s="370">
        <f>ROUND(IF(CL252=0,0,HLOOKUP(CL$14,Villagers!$B$1:$V$33,CL252+3,FALSE)),)</f>
        <v>0</v>
      </c>
      <c r="DH252" s="34">
        <f>ROUND(IF(CM252=0,0,HLOOKUP(CM$14,Villagers!$B$1:$V$33,CM252+3,FALSE)),)</f>
        <v>0</v>
      </c>
      <c r="DI252" s="109">
        <f t="shared" si="526"/>
        <v>0</v>
      </c>
      <c r="DJ252" s="50">
        <f t="shared" si="527"/>
        <v>0</v>
      </c>
      <c r="DK252" s="50">
        <f t="shared" si="528"/>
        <v>0</v>
      </c>
      <c r="DL252" s="50">
        <f t="shared" si="529"/>
        <v>0</v>
      </c>
      <c r="DM252" s="50">
        <f t="shared" si="530"/>
        <v>0</v>
      </c>
      <c r="DN252" s="50">
        <f t="shared" si="531"/>
        <v>0</v>
      </c>
      <c r="DO252" s="50">
        <f t="shared" si="532"/>
        <v>0</v>
      </c>
      <c r="DP252" s="50">
        <f t="shared" si="533"/>
        <v>0</v>
      </c>
      <c r="DQ252" s="50">
        <f t="shared" si="510"/>
        <v>0</v>
      </c>
      <c r="DR252" s="50">
        <f t="shared" si="511"/>
        <v>0</v>
      </c>
      <c r="DS252" s="96">
        <f>Miscelaneous!$D$4*Miscelaneous!$D$2^($CI252-1)</f>
        <v>1000</v>
      </c>
      <c r="DT252" s="333">
        <f t="shared" si="490"/>
        <v>1</v>
      </c>
      <c r="DU252" s="81">
        <v>1</v>
      </c>
      <c r="DV252" s="79">
        <f t="shared" si="512"/>
        <v>0</v>
      </c>
      <c r="DW252" s="79">
        <f t="shared" si="513"/>
        <v>0</v>
      </c>
      <c r="DX252" s="79">
        <f t="shared" si="514"/>
        <v>0</v>
      </c>
      <c r="DY252" s="79">
        <v>1</v>
      </c>
      <c r="DZ252" s="79">
        <f t="shared" si="515"/>
        <v>0</v>
      </c>
      <c r="EA252" s="79">
        <f t="shared" si="516"/>
        <v>0</v>
      </c>
      <c r="EB252" s="79">
        <f t="shared" si="517"/>
        <v>0</v>
      </c>
      <c r="EC252" s="79">
        <f t="shared" si="518"/>
        <v>0</v>
      </c>
      <c r="ED252" s="79">
        <v>1</v>
      </c>
      <c r="EE252" s="79">
        <v>1</v>
      </c>
      <c r="EF252" s="79">
        <f t="shared" si="519"/>
        <v>0</v>
      </c>
      <c r="EG252" s="79">
        <v>1</v>
      </c>
      <c r="EH252" s="79">
        <v>1</v>
      </c>
      <c r="EI252" s="79">
        <v>1</v>
      </c>
      <c r="EJ252" s="79">
        <v>1</v>
      </c>
      <c r="EK252" s="79">
        <v>1</v>
      </c>
      <c r="EL252" s="79">
        <v>1</v>
      </c>
      <c r="EM252" s="143">
        <f t="shared" si="520"/>
        <v>0</v>
      </c>
      <c r="EN252" s="143">
        <f t="shared" si="521"/>
        <v>0</v>
      </c>
      <c r="EO252" s="82">
        <f t="shared" si="522"/>
        <v>0</v>
      </c>
    </row>
    <row r="253" spans="1:145" x14ac:dyDescent="0.25">
      <c r="A253">
        <v>239</v>
      </c>
      <c r="B253" s="172" t="e">
        <f t="shared" si="491"/>
        <v>#N/A</v>
      </c>
      <c r="C253" s="121" t="e">
        <f t="shared" ref="C253:E253" si="602">AJ253-SUM(AB253:AB257)</f>
        <v>#N/A</v>
      </c>
      <c r="D253" s="122" t="e">
        <f t="shared" si="602"/>
        <v>#N/A</v>
      </c>
      <c r="E253" s="122" t="e">
        <f t="shared" si="602"/>
        <v>#N/A</v>
      </c>
      <c r="F253" s="176" t="e">
        <f t="shared" si="473"/>
        <v>#N/A</v>
      </c>
      <c r="G253" s="121">
        <f t="shared" si="493"/>
        <v>208</v>
      </c>
      <c r="H253" s="176" t="e">
        <f t="shared" si="494"/>
        <v>#N/A</v>
      </c>
      <c r="I253" s="48">
        <v>1</v>
      </c>
      <c r="J253" s="39"/>
      <c r="K253" s="350">
        <v>1</v>
      </c>
      <c r="L253" s="34" t="e">
        <f t="shared" si="474"/>
        <v>#N/A</v>
      </c>
      <c r="M253" s="38" t="e">
        <f>(HLOOKUP(J253,'Construction Times'!$B$3:$W$34,L253+2,FALSE)*HLOOKUP("hq modifier",'Construction Times'!$W$3:$W$34,BS253+2,FALSE))*(1-$H$9)</f>
        <v>#N/A</v>
      </c>
      <c r="N253" s="426" t="e">
        <f t="shared" si="495"/>
        <v>#N/A</v>
      </c>
      <c r="O253" s="427"/>
      <c r="P253" s="430" t="e">
        <f t="shared" si="496"/>
        <v>#N/A</v>
      </c>
      <c r="Q253" s="431"/>
      <c r="R253" s="103">
        <f t="shared" si="524"/>
        <v>0</v>
      </c>
      <c r="S253" s="104">
        <f t="shared" si="524"/>
        <v>0</v>
      </c>
      <c r="T253" s="104">
        <f t="shared" si="525"/>
        <v>0</v>
      </c>
      <c r="U253" s="104">
        <f t="shared" si="525"/>
        <v>0</v>
      </c>
      <c r="V253" s="104">
        <f t="shared" si="525"/>
        <v>9.9999999999999995E-8</v>
      </c>
      <c r="W253" s="104">
        <f t="shared" si="525"/>
        <v>0</v>
      </c>
      <c r="X253" s="104">
        <f t="shared" si="584"/>
        <v>0</v>
      </c>
      <c r="Y253" s="104">
        <f t="shared" si="584"/>
        <v>9.9999999999999995E-8</v>
      </c>
      <c r="Z253" s="104">
        <f t="shared" si="584"/>
        <v>9.9999999999999995E-8</v>
      </c>
      <c r="AA253" s="105">
        <f t="shared" si="584"/>
        <v>9.9999999999999995E-8</v>
      </c>
      <c r="AB253" s="101" t="e">
        <f>$DT253*HLOOKUP($J253,'Construction Costs (timber)'!$B$1:$V$32,'Construction Planner'!$L253+2,FALSE)</f>
        <v>#N/A</v>
      </c>
      <c r="AC253" s="14" t="e">
        <f>$DT253*HLOOKUP($J253,'Construction Costs (clay)'!$B$1:$V$32,'Construction Planner'!$L253+2,FALSE)</f>
        <v>#N/A</v>
      </c>
      <c r="AD253" s="14" t="e">
        <f>$DT253*HLOOKUP($J253,'Construction Costs (iron)'!$B$1:$V$32,'Construction Planner'!$L253+2,FALSE)</f>
        <v>#N/A</v>
      </c>
      <c r="AE253" s="34" t="e">
        <f t="shared" si="537"/>
        <v>#N/A</v>
      </c>
      <c r="AF253" s="33" t="e">
        <f t="shared" si="475"/>
        <v>#N/A</v>
      </c>
      <c r="AG253" s="14" t="e">
        <f t="shared" si="476"/>
        <v>#N/A</v>
      </c>
      <c r="AH253" s="14" t="e">
        <f t="shared" si="477"/>
        <v>#N/A</v>
      </c>
      <c r="AI253" s="34" t="e">
        <f t="shared" si="538"/>
        <v>#N/A</v>
      </c>
      <c r="AJ253" s="49" t="e">
        <f t="shared" si="498"/>
        <v>#N/A</v>
      </c>
      <c r="AK253" s="49" t="e">
        <f t="shared" si="499"/>
        <v>#N/A</v>
      </c>
      <c r="AL253" s="49" t="e">
        <f t="shared" si="500"/>
        <v>#N/A</v>
      </c>
      <c r="AM253" s="25">
        <f t="shared" si="478"/>
        <v>30</v>
      </c>
      <c r="AN253" s="25">
        <f t="shared" si="479"/>
        <v>30</v>
      </c>
      <c r="AO253" s="25">
        <f t="shared" si="480"/>
        <v>30</v>
      </c>
      <c r="AP253" s="52" t="e">
        <f t="shared" si="501"/>
        <v>#N/A</v>
      </c>
      <c r="AQ253" s="53" t="e">
        <f t="shared" si="501"/>
        <v>#N/A</v>
      </c>
      <c r="AR253" s="54" t="e">
        <f t="shared" si="501"/>
        <v>#N/A</v>
      </c>
      <c r="AS253" s="316">
        <f t="shared" si="593"/>
        <v>0</v>
      </c>
      <c r="AT253" s="106">
        <f>_xlfn.IFNA($M253/VLOOKUP($BT253,'Unit information'!$A$2:$K$29,2,FALSE)*R253,0)*(1+$E$9)</f>
        <v>0</v>
      </c>
      <c r="AU253" s="107">
        <f>_xlfn.IFNA($M253/VLOOKUP($BT253,'Unit information'!$A$2:$K$29,3,FALSE)*S253,0)*(1+$E$9)</f>
        <v>0</v>
      </c>
      <c r="AV253" s="107">
        <f>_xlfn.IFNA($M253/VLOOKUP($BT253,'Unit information'!$A$2:$K$29,4,FALSE)*T253,0)*(1+$E$9)</f>
        <v>0</v>
      </c>
      <c r="AW253" s="107">
        <f>_xlfn.IFNA($M253/VLOOKUP($BT253,'Unit information'!$A$2:$K$29,5,FALSE)*U253,0)*(1+$E$9)</f>
        <v>0</v>
      </c>
      <c r="AX253" s="107">
        <f>_xlfn.IFNA($M253/VLOOKUP($BU253,'Unit information'!$A$2:$K$29,6,FALSE)*V253,0)*(1+$E$9)</f>
        <v>0</v>
      </c>
      <c r="AY253" s="107">
        <f>_xlfn.IFNA($M253/VLOOKUP($BU253,'Unit information'!$A$2:$K$29,7,FALSE)*W253,0)*(1+$E$9)</f>
        <v>0</v>
      </c>
      <c r="AZ253" s="107">
        <f>_xlfn.IFNA($M253/VLOOKUP($BU253,'Unit information'!$A$2:$K$29,8,FALSE)*X253,0)*(1+$E$9)</f>
        <v>0</v>
      </c>
      <c r="BA253" s="107">
        <f>_xlfn.IFNA($M253/VLOOKUP($BU253,'Unit information'!$A$2:$K$29,9,FALSE)*Y253,0)*(1+$E$9)</f>
        <v>0</v>
      </c>
      <c r="BB253" s="107">
        <f>_xlfn.IFNA($M253/VLOOKUP($BV253,'Unit information'!$A$2:$K$29,10,FALSE)*Z253,0)*(1+$E$9)</f>
        <v>0</v>
      </c>
      <c r="BC253" s="108">
        <f>_xlfn.IFNA($M253/VLOOKUP($BV253,'Unit information'!$A$2:$K$29,11,FALSE)*AA253,0)*(1+$E$9)</f>
        <v>0</v>
      </c>
      <c r="BD253" s="106">
        <f t="shared" si="481"/>
        <v>0</v>
      </c>
      <c r="BE253" s="107">
        <f t="shared" si="482"/>
        <v>0</v>
      </c>
      <c r="BF253" s="108">
        <f t="shared" si="483"/>
        <v>0</v>
      </c>
      <c r="BG253" s="25" t="e">
        <f t="shared" si="484"/>
        <v>#N/A</v>
      </c>
      <c r="BH253" s="25" t="e">
        <f t="shared" si="485"/>
        <v>#N/A</v>
      </c>
      <c r="BI253" s="25" t="e">
        <f t="shared" si="486"/>
        <v>#N/A</v>
      </c>
      <c r="BJ253" s="27" t="e">
        <f t="shared" si="487"/>
        <v>#N/A</v>
      </c>
      <c r="BK253" s="18" t="e">
        <f t="shared" si="488"/>
        <v>#N/A</v>
      </c>
      <c r="BL253" s="18" t="e">
        <f t="shared" si="489"/>
        <v>#N/A</v>
      </c>
      <c r="BM253" s="28" t="e">
        <f t="shared" si="540"/>
        <v>#N/A</v>
      </c>
      <c r="BN253" s="33">
        <f>HLOOKUP("maximum population",Miscelaneous!$C$1:$C$33,CH253+3,FALSE)</f>
        <v>240</v>
      </c>
      <c r="BO253" s="14">
        <f t="shared" si="502"/>
        <v>32</v>
      </c>
      <c r="BP253" s="14">
        <f t="shared" si="503"/>
        <v>0</v>
      </c>
      <c r="BQ253" s="14">
        <f t="shared" si="504"/>
        <v>208</v>
      </c>
      <c r="BR253" s="34" t="e">
        <f>HLOOKUP(J253,Villagers!$B$1:$V$33,L253+3,FALSE)-HLOOKUP(J253,Villagers!$B$1:$V$33,L253+2,FALSE)</f>
        <v>#N/A</v>
      </c>
      <c r="BS253" s="49">
        <f t="shared" si="505"/>
        <v>1</v>
      </c>
      <c r="BT253" s="50">
        <f t="shared" si="506"/>
        <v>0</v>
      </c>
      <c r="BU253" s="50">
        <f t="shared" si="507"/>
        <v>0</v>
      </c>
      <c r="BV253" s="50">
        <f t="shared" si="508"/>
        <v>0</v>
      </c>
      <c r="BW253" s="50">
        <f t="shared" si="575"/>
        <v>0</v>
      </c>
      <c r="BX253" s="50">
        <f t="shared" si="576"/>
        <v>0</v>
      </c>
      <c r="BY253" s="50">
        <f t="shared" si="576"/>
        <v>0</v>
      </c>
      <c r="BZ253" s="50">
        <f t="shared" si="554"/>
        <v>0</v>
      </c>
      <c r="CA253" s="50">
        <f t="shared" si="555"/>
        <v>0</v>
      </c>
      <c r="CB253" s="50">
        <f t="shared" si="556"/>
        <v>1</v>
      </c>
      <c r="CC253" s="50">
        <f t="shared" si="557"/>
        <v>0</v>
      </c>
      <c r="CD253" s="50">
        <f t="shared" si="558"/>
        <v>0</v>
      </c>
      <c r="CE253" s="50">
        <f t="shared" si="559"/>
        <v>1</v>
      </c>
      <c r="CF253" s="50">
        <f t="shared" si="560"/>
        <v>1</v>
      </c>
      <c r="CG253" s="50">
        <f t="shared" si="561"/>
        <v>1</v>
      </c>
      <c r="CH253" s="50">
        <f t="shared" si="562"/>
        <v>1</v>
      </c>
      <c r="CI253" s="50">
        <f t="shared" si="563"/>
        <v>1</v>
      </c>
      <c r="CJ253" s="50">
        <f t="shared" si="564"/>
        <v>1</v>
      </c>
      <c r="CK253" s="50">
        <f t="shared" si="564"/>
        <v>0</v>
      </c>
      <c r="CL253" s="50">
        <f t="shared" si="564"/>
        <v>0</v>
      </c>
      <c r="CM253" s="51">
        <f t="shared" si="587"/>
        <v>0</v>
      </c>
      <c r="CN253" s="33">
        <f>ROUND(IF(BS253=0,0,HLOOKUP(BS$14,Villagers!$B$1:$V$33,BS253+3,FALSE)),)</f>
        <v>5</v>
      </c>
      <c r="CO253" s="14">
        <f>ROUND(IF(BT253=0,0,HLOOKUP(BT$14,Villagers!$B$1:$V$33,BT253+3,FALSE)),)</f>
        <v>0</v>
      </c>
      <c r="CP253" s="14">
        <f>ROUND(IF(BU253=0,0,HLOOKUP(BU$14,Villagers!$B$1:$V$33,BU253+3,FALSE)),)</f>
        <v>0</v>
      </c>
      <c r="CQ253" s="14">
        <f>ROUND(IF(BV253=0,0,HLOOKUP(BV$14,Villagers!$B$1:$V$33,BV253+3,FALSE)),)</f>
        <v>0</v>
      </c>
      <c r="CR253" s="14">
        <f>ROUND(IF(BW253=0,0,HLOOKUP(BW$14,Villagers!$B$1:$V$33,BW253+3,FALSE)),)</f>
        <v>0</v>
      </c>
      <c r="CS253" s="14">
        <f>ROUND(IF(BX253=0,0,HLOOKUP(BX$14,Villagers!$B$1:$V$33,BX253+3,FALSE)),)</f>
        <v>0</v>
      </c>
      <c r="CT253" s="14">
        <f>ROUND(IF(BY253=0,0,HLOOKUP(BY$14,Villagers!$B$1:$V$33,BY253+3,FALSE)),)</f>
        <v>0</v>
      </c>
      <c r="CU253" s="14">
        <f>ROUND(IF(BZ253=0,0,HLOOKUP(BZ$14,Villagers!$B$1:$V$33,BZ253+3,FALSE)),)</f>
        <v>0</v>
      </c>
      <c r="CV253" s="14">
        <f>ROUND(IF(CA253=0,0,HLOOKUP(CA$14,Villagers!$B$1:$V$33,CA253+3,FALSE)),)</f>
        <v>0</v>
      </c>
      <c r="CW253" s="14">
        <f>ROUND(IF(CB253=0,0,HLOOKUP(CB$14,Villagers!$B$1:$V$33,CB253+3,FALSE)),)</f>
        <v>0</v>
      </c>
      <c r="CX253" s="14">
        <f>ROUND(IF(CC253=0,0,HLOOKUP(CC$14,Villagers!$B$1:$V$33,CC253+3,FALSE)),)</f>
        <v>0</v>
      </c>
      <c r="CY253" s="14">
        <f>ROUND(IF(CD253=0,0,HLOOKUP(CD$14,Villagers!$B$1:$V$33,CD253+3,FALSE)),)</f>
        <v>0</v>
      </c>
      <c r="CZ253" s="14">
        <f>ROUND(IF(CE253=0,0,HLOOKUP(CE$14,Villagers!$B$1:$V$33,CE253+3,FALSE)),)</f>
        <v>5</v>
      </c>
      <c r="DA253" s="14">
        <f>ROUND(IF(CF253=0,0,HLOOKUP(CF$14,Villagers!$B$1:$V$33,CF253+3,FALSE)),)</f>
        <v>10</v>
      </c>
      <c r="DB253" s="14">
        <f>ROUND(IF(CG253=0,0,HLOOKUP(CG$14,Villagers!$B$1:$V$33,CG253+3,FALSE)),)</f>
        <v>10</v>
      </c>
      <c r="DC253" s="14">
        <f>ROUND(IF(CH253=0,0,HLOOKUP(CH$14,Villagers!$B$1:$V$33,CH253+3,FALSE)),)</f>
        <v>0</v>
      </c>
      <c r="DD253" s="14">
        <f>ROUND(IF(CI253=0,0,HLOOKUP(CI$14,Villagers!$B$1:$V$33,CI253+3,FALSE)),)</f>
        <v>0</v>
      </c>
      <c r="DE253" s="14">
        <f>ROUND(IF(CJ253=0,0,HLOOKUP(CJ$14,Villagers!$B$1:$V$33,CJ253+3,FALSE)),)</f>
        <v>2</v>
      </c>
      <c r="DF253" s="370">
        <f>ROUND(IF(CK253=0,0,HLOOKUP(CK$14,Villagers!$B$1:$V$33,CK253+3,FALSE)),)</f>
        <v>0</v>
      </c>
      <c r="DG253" s="370">
        <f>ROUND(IF(CL253=0,0,HLOOKUP(CL$14,Villagers!$B$1:$V$33,CL253+3,FALSE)),)</f>
        <v>0</v>
      </c>
      <c r="DH253" s="34">
        <f>ROUND(IF(CM253=0,0,HLOOKUP(CM$14,Villagers!$B$1:$V$33,CM253+3,FALSE)),)</f>
        <v>0</v>
      </c>
      <c r="DI253" s="109">
        <f t="shared" si="526"/>
        <v>0</v>
      </c>
      <c r="DJ253" s="50">
        <f t="shared" si="527"/>
        <v>0</v>
      </c>
      <c r="DK253" s="50">
        <f t="shared" si="528"/>
        <v>0</v>
      </c>
      <c r="DL253" s="50">
        <f t="shared" si="529"/>
        <v>0</v>
      </c>
      <c r="DM253" s="50">
        <f t="shared" si="530"/>
        <v>0</v>
      </c>
      <c r="DN253" s="50">
        <f t="shared" si="531"/>
        <v>0</v>
      </c>
      <c r="DO253" s="50">
        <f t="shared" si="532"/>
        <v>0</v>
      </c>
      <c r="DP253" s="50">
        <f t="shared" si="533"/>
        <v>0</v>
      </c>
      <c r="DQ253" s="50">
        <f t="shared" si="510"/>
        <v>0</v>
      </c>
      <c r="DR253" s="50">
        <f t="shared" si="511"/>
        <v>0</v>
      </c>
      <c r="DS253" s="96">
        <f>Miscelaneous!$D$4*Miscelaneous!$D$2^($CI253-1)</f>
        <v>1000</v>
      </c>
      <c r="DT253" s="333">
        <f t="shared" si="490"/>
        <v>1</v>
      </c>
      <c r="DU253" s="81">
        <v>1</v>
      </c>
      <c r="DV253" s="79">
        <f t="shared" si="512"/>
        <v>0</v>
      </c>
      <c r="DW253" s="79">
        <f t="shared" si="513"/>
        <v>0</v>
      </c>
      <c r="DX253" s="79">
        <f t="shared" si="514"/>
        <v>0</v>
      </c>
      <c r="DY253" s="79">
        <v>1</v>
      </c>
      <c r="DZ253" s="79">
        <f t="shared" si="515"/>
        <v>0</v>
      </c>
      <c r="EA253" s="79">
        <f t="shared" si="516"/>
        <v>0</v>
      </c>
      <c r="EB253" s="79">
        <f t="shared" si="517"/>
        <v>0</v>
      </c>
      <c r="EC253" s="79">
        <f t="shared" si="518"/>
        <v>0</v>
      </c>
      <c r="ED253" s="79">
        <v>1</v>
      </c>
      <c r="EE253" s="79">
        <v>1</v>
      </c>
      <c r="EF253" s="79">
        <f t="shared" si="519"/>
        <v>0</v>
      </c>
      <c r="EG253" s="79">
        <v>1</v>
      </c>
      <c r="EH253" s="79">
        <v>1</v>
      </c>
      <c r="EI253" s="79">
        <v>1</v>
      </c>
      <c r="EJ253" s="79">
        <v>1</v>
      </c>
      <c r="EK253" s="79">
        <v>1</v>
      </c>
      <c r="EL253" s="79">
        <v>1</v>
      </c>
      <c r="EM253" s="143">
        <f t="shared" si="520"/>
        <v>0</v>
      </c>
      <c r="EN253" s="143">
        <f t="shared" si="521"/>
        <v>0</v>
      </c>
      <c r="EO253" s="82">
        <f t="shared" si="522"/>
        <v>0</v>
      </c>
    </row>
    <row r="254" spans="1:145" x14ac:dyDescent="0.25">
      <c r="A254">
        <v>240</v>
      </c>
      <c r="B254" s="172" t="e">
        <f t="shared" si="491"/>
        <v>#N/A</v>
      </c>
      <c r="C254" s="121" t="e">
        <f t="shared" ref="C254:E254" si="603">AJ254-SUM(AB254:AB258)</f>
        <v>#N/A</v>
      </c>
      <c r="D254" s="122" t="e">
        <f t="shared" si="603"/>
        <v>#N/A</v>
      </c>
      <c r="E254" s="122" t="e">
        <f t="shared" si="603"/>
        <v>#N/A</v>
      </c>
      <c r="F254" s="176" t="e">
        <f t="shared" si="473"/>
        <v>#N/A</v>
      </c>
      <c r="G254" s="121">
        <f t="shared" si="493"/>
        <v>208</v>
      </c>
      <c r="H254" s="176" t="e">
        <f t="shared" si="494"/>
        <v>#N/A</v>
      </c>
      <c r="I254" s="48">
        <v>1</v>
      </c>
      <c r="J254" s="39"/>
      <c r="K254" s="350">
        <v>1</v>
      </c>
      <c r="L254" s="34" t="e">
        <f t="shared" si="474"/>
        <v>#N/A</v>
      </c>
      <c r="M254" s="38" t="e">
        <f>(HLOOKUP(J254,'Construction Times'!$B$3:$W$34,L254+2,FALSE)*HLOOKUP("hq modifier",'Construction Times'!$W$3:$W$34,BS254+2,FALSE))*(1-$H$9)</f>
        <v>#N/A</v>
      </c>
      <c r="N254" s="426" t="e">
        <f t="shared" si="495"/>
        <v>#N/A</v>
      </c>
      <c r="O254" s="427"/>
      <c r="P254" s="430" t="e">
        <f t="shared" si="496"/>
        <v>#N/A</v>
      </c>
      <c r="Q254" s="431"/>
      <c r="R254" s="103">
        <f t="shared" si="524"/>
        <v>0</v>
      </c>
      <c r="S254" s="104">
        <f t="shared" si="524"/>
        <v>0</v>
      </c>
      <c r="T254" s="104">
        <f t="shared" si="525"/>
        <v>0</v>
      </c>
      <c r="U254" s="104">
        <f t="shared" si="525"/>
        <v>0</v>
      </c>
      <c r="V254" s="104">
        <f t="shared" si="525"/>
        <v>9.9999999999999995E-8</v>
      </c>
      <c r="W254" s="104">
        <f t="shared" si="525"/>
        <v>0</v>
      </c>
      <c r="X254" s="104">
        <f t="shared" si="584"/>
        <v>0</v>
      </c>
      <c r="Y254" s="104">
        <f t="shared" si="584"/>
        <v>9.9999999999999995E-8</v>
      </c>
      <c r="Z254" s="104">
        <f t="shared" si="584"/>
        <v>9.9999999999999995E-8</v>
      </c>
      <c r="AA254" s="105">
        <f t="shared" si="584"/>
        <v>9.9999999999999995E-8</v>
      </c>
      <c r="AB254" s="101" t="e">
        <f>$DT254*HLOOKUP($J254,'Construction Costs (timber)'!$B$1:$V$32,'Construction Planner'!$L254+2,FALSE)</f>
        <v>#N/A</v>
      </c>
      <c r="AC254" s="14" t="e">
        <f>$DT254*HLOOKUP($J254,'Construction Costs (clay)'!$B$1:$V$32,'Construction Planner'!$L254+2,FALSE)</f>
        <v>#N/A</v>
      </c>
      <c r="AD254" s="14" t="e">
        <f>$DT254*HLOOKUP($J254,'Construction Costs (iron)'!$B$1:$V$32,'Construction Planner'!$L254+2,FALSE)</f>
        <v>#N/A</v>
      </c>
      <c r="AE254" s="34" t="e">
        <f t="shared" si="537"/>
        <v>#N/A</v>
      </c>
      <c r="AF254" s="33" t="e">
        <f t="shared" si="475"/>
        <v>#N/A</v>
      </c>
      <c r="AG254" s="14" t="e">
        <f t="shared" si="476"/>
        <v>#N/A</v>
      </c>
      <c r="AH254" s="14" t="e">
        <f t="shared" si="477"/>
        <v>#N/A</v>
      </c>
      <c r="AI254" s="34" t="e">
        <f t="shared" si="538"/>
        <v>#N/A</v>
      </c>
      <c r="AJ254" s="49" t="e">
        <f t="shared" si="498"/>
        <v>#N/A</v>
      </c>
      <c r="AK254" s="49" t="e">
        <f t="shared" si="499"/>
        <v>#N/A</v>
      </c>
      <c r="AL254" s="49" t="e">
        <f t="shared" si="500"/>
        <v>#N/A</v>
      </c>
      <c r="AM254" s="25">
        <f t="shared" si="478"/>
        <v>30</v>
      </c>
      <c r="AN254" s="25">
        <f t="shared" si="479"/>
        <v>30</v>
      </c>
      <c r="AO254" s="25">
        <f t="shared" si="480"/>
        <v>30</v>
      </c>
      <c r="AP254" s="52" t="e">
        <f t="shared" si="501"/>
        <v>#N/A</v>
      </c>
      <c r="AQ254" s="53" t="e">
        <f t="shared" si="501"/>
        <v>#N/A</v>
      </c>
      <c r="AR254" s="54" t="e">
        <f t="shared" si="501"/>
        <v>#N/A</v>
      </c>
      <c r="AS254" s="316">
        <f t="shared" si="593"/>
        <v>0</v>
      </c>
      <c r="AT254" s="106">
        <f>_xlfn.IFNA($M254/VLOOKUP($BT254,'Unit information'!$A$2:$K$29,2,FALSE)*R254,0)*(1+$E$9)</f>
        <v>0</v>
      </c>
      <c r="AU254" s="107">
        <f>_xlfn.IFNA($M254/VLOOKUP($BT254,'Unit information'!$A$2:$K$29,3,FALSE)*S254,0)*(1+$E$9)</f>
        <v>0</v>
      </c>
      <c r="AV254" s="107">
        <f>_xlfn.IFNA($M254/VLOOKUP($BT254,'Unit information'!$A$2:$K$29,4,FALSE)*T254,0)*(1+$E$9)</f>
        <v>0</v>
      </c>
      <c r="AW254" s="107">
        <f>_xlfn.IFNA($M254/VLOOKUP($BT254,'Unit information'!$A$2:$K$29,5,FALSE)*U254,0)*(1+$E$9)</f>
        <v>0</v>
      </c>
      <c r="AX254" s="107">
        <f>_xlfn.IFNA($M254/VLOOKUP($BU254,'Unit information'!$A$2:$K$29,6,FALSE)*V254,0)*(1+$E$9)</f>
        <v>0</v>
      </c>
      <c r="AY254" s="107">
        <f>_xlfn.IFNA($M254/VLOOKUP($BU254,'Unit information'!$A$2:$K$29,7,FALSE)*W254,0)*(1+$E$9)</f>
        <v>0</v>
      </c>
      <c r="AZ254" s="107">
        <f>_xlfn.IFNA($M254/VLOOKUP($BU254,'Unit information'!$A$2:$K$29,8,FALSE)*X254,0)*(1+$E$9)</f>
        <v>0</v>
      </c>
      <c r="BA254" s="107">
        <f>_xlfn.IFNA($M254/VLOOKUP($BU254,'Unit information'!$A$2:$K$29,9,FALSE)*Y254,0)*(1+$E$9)</f>
        <v>0</v>
      </c>
      <c r="BB254" s="107">
        <f>_xlfn.IFNA($M254/VLOOKUP($BV254,'Unit information'!$A$2:$K$29,10,FALSE)*Z254,0)*(1+$E$9)</f>
        <v>0</v>
      </c>
      <c r="BC254" s="108">
        <f>_xlfn.IFNA($M254/VLOOKUP($BV254,'Unit information'!$A$2:$K$29,11,FALSE)*AA254,0)*(1+$E$9)</f>
        <v>0</v>
      </c>
      <c r="BD254" s="106">
        <f t="shared" si="481"/>
        <v>0</v>
      </c>
      <c r="BE254" s="107">
        <f t="shared" si="482"/>
        <v>0</v>
      </c>
      <c r="BF254" s="108">
        <f t="shared" si="483"/>
        <v>0</v>
      </c>
      <c r="BG254" s="25" t="e">
        <f t="shared" si="484"/>
        <v>#N/A</v>
      </c>
      <c r="BH254" s="25" t="e">
        <f t="shared" si="485"/>
        <v>#N/A</v>
      </c>
      <c r="BI254" s="25" t="e">
        <f t="shared" si="486"/>
        <v>#N/A</v>
      </c>
      <c r="BJ254" s="27" t="e">
        <f t="shared" si="487"/>
        <v>#N/A</v>
      </c>
      <c r="BK254" s="18" t="e">
        <f t="shared" si="488"/>
        <v>#N/A</v>
      </c>
      <c r="BL254" s="18" t="e">
        <f t="shared" si="489"/>
        <v>#N/A</v>
      </c>
      <c r="BM254" s="28" t="e">
        <f t="shared" si="540"/>
        <v>#N/A</v>
      </c>
      <c r="BN254" s="33">
        <f>HLOOKUP("maximum population",Miscelaneous!$C$1:$C$33,CH254+3,FALSE)</f>
        <v>240</v>
      </c>
      <c r="BO254" s="14">
        <f t="shared" si="502"/>
        <v>32</v>
      </c>
      <c r="BP254" s="14">
        <f t="shared" si="503"/>
        <v>0</v>
      </c>
      <c r="BQ254" s="14">
        <f t="shared" si="504"/>
        <v>208</v>
      </c>
      <c r="BR254" s="34" t="e">
        <f>HLOOKUP(J254,Villagers!$B$1:$V$33,L254+3,FALSE)-HLOOKUP(J254,Villagers!$B$1:$V$33,L254+2,FALSE)</f>
        <v>#N/A</v>
      </c>
      <c r="BS254" s="49">
        <f t="shared" si="505"/>
        <v>1</v>
      </c>
      <c r="BT254" s="50">
        <f t="shared" si="506"/>
        <v>0</v>
      </c>
      <c r="BU254" s="50">
        <f t="shared" si="507"/>
        <v>0</v>
      </c>
      <c r="BV254" s="50">
        <f t="shared" si="508"/>
        <v>0</v>
      </c>
      <c r="BW254" s="50">
        <f t="shared" si="575"/>
        <v>0</v>
      </c>
      <c r="BX254" s="50">
        <f t="shared" si="576"/>
        <v>0</v>
      </c>
      <c r="BY254" s="50">
        <f t="shared" si="576"/>
        <v>0</v>
      </c>
      <c r="BZ254" s="50">
        <f t="shared" si="554"/>
        <v>0</v>
      </c>
      <c r="CA254" s="50">
        <f t="shared" si="555"/>
        <v>0</v>
      </c>
      <c r="CB254" s="50">
        <f t="shared" si="556"/>
        <v>1</v>
      </c>
      <c r="CC254" s="50">
        <f t="shared" si="557"/>
        <v>0</v>
      </c>
      <c r="CD254" s="50">
        <f t="shared" si="558"/>
        <v>0</v>
      </c>
      <c r="CE254" s="50">
        <f t="shared" si="559"/>
        <v>1</v>
      </c>
      <c r="CF254" s="50">
        <f t="shared" si="560"/>
        <v>1</v>
      </c>
      <c r="CG254" s="50">
        <f t="shared" si="561"/>
        <v>1</v>
      </c>
      <c r="CH254" s="50">
        <f t="shared" si="562"/>
        <v>1</v>
      </c>
      <c r="CI254" s="50">
        <f t="shared" si="563"/>
        <v>1</v>
      </c>
      <c r="CJ254" s="50">
        <f t="shared" si="564"/>
        <v>1</v>
      </c>
      <c r="CK254" s="50">
        <f t="shared" si="564"/>
        <v>0</v>
      </c>
      <c r="CL254" s="50">
        <f t="shared" si="564"/>
        <v>0</v>
      </c>
      <c r="CM254" s="51">
        <f t="shared" si="587"/>
        <v>0</v>
      </c>
      <c r="CN254" s="33">
        <f>ROUND(IF(BS254=0,0,HLOOKUP(BS$14,Villagers!$B$1:$V$33,BS254+3,FALSE)),)</f>
        <v>5</v>
      </c>
      <c r="CO254" s="14">
        <f>ROUND(IF(BT254=0,0,HLOOKUP(BT$14,Villagers!$B$1:$V$33,BT254+3,FALSE)),)</f>
        <v>0</v>
      </c>
      <c r="CP254" s="14">
        <f>ROUND(IF(BU254=0,0,HLOOKUP(BU$14,Villagers!$B$1:$V$33,BU254+3,FALSE)),)</f>
        <v>0</v>
      </c>
      <c r="CQ254" s="14">
        <f>ROUND(IF(BV254=0,0,HLOOKUP(BV$14,Villagers!$B$1:$V$33,BV254+3,FALSE)),)</f>
        <v>0</v>
      </c>
      <c r="CR254" s="14">
        <f>ROUND(IF(BW254=0,0,HLOOKUP(BW$14,Villagers!$B$1:$V$33,BW254+3,FALSE)),)</f>
        <v>0</v>
      </c>
      <c r="CS254" s="14">
        <f>ROUND(IF(BX254=0,0,HLOOKUP(BX$14,Villagers!$B$1:$V$33,BX254+3,FALSE)),)</f>
        <v>0</v>
      </c>
      <c r="CT254" s="14">
        <f>ROUND(IF(BY254=0,0,HLOOKUP(BY$14,Villagers!$B$1:$V$33,BY254+3,FALSE)),)</f>
        <v>0</v>
      </c>
      <c r="CU254" s="14">
        <f>ROUND(IF(BZ254=0,0,HLOOKUP(BZ$14,Villagers!$B$1:$V$33,BZ254+3,FALSE)),)</f>
        <v>0</v>
      </c>
      <c r="CV254" s="14">
        <f>ROUND(IF(CA254=0,0,HLOOKUP(CA$14,Villagers!$B$1:$V$33,CA254+3,FALSE)),)</f>
        <v>0</v>
      </c>
      <c r="CW254" s="14">
        <f>ROUND(IF(CB254=0,0,HLOOKUP(CB$14,Villagers!$B$1:$V$33,CB254+3,FALSE)),)</f>
        <v>0</v>
      </c>
      <c r="CX254" s="14">
        <f>ROUND(IF(CC254=0,0,HLOOKUP(CC$14,Villagers!$B$1:$V$33,CC254+3,FALSE)),)</f>
        <v>0</v>
      </c>
      <c r="CY254" s="14">
        <f>ROUND(IF(CD254=0,0,HLOOKUP(CD$14,Villagers!$B$1:$V$33,CD254+3,FALSE)),)</f>
        <v>0</v>
      </c>
      <c r="CZ254" s="14">
        <f>ROUND(IF(CE254=0,0,HLOOKUP(CE$14,Villagers!$B$1:$V$33,CE254+3,FALSE)),)</f>
        <v>5</v>
      </c>
      <c r="DA254" s="14">
        <f>ROUND(IF(CF254=0,0,HLOOKUP(CF$14,Villagers!$B$1:$V$33,CF254+3,FALSE)),)</f>
        <v>10</v>
      </c>
      <c r="DB254" s="14">
        <f>ROUND(IF(CG254=0,0,HLOOKUP(CG$14,Villagers!$B$1:$V$33,CG254+3,FALSE)),)</f>
        <v>10</v>
      </c>
      <c r="DC254" s="14">
        <f>ROUND(IF(CH254=0,0,HLOOKUP(CH$14,Villagers!$B$1:$V$33,CH254+3,FALSE)),)</f>
        <v>0</v>
      </c>
      <c r="DD254" s="14">
        <f>ROUND(IF(CI254=0,0,HLOOKUP(CI$14,Villagers!$B$1:$V$33,CI254+3,FALSE)),)</f>
        <v>0</v>
      </c>
      <c r="DE254" s="14">
        <f>ROUND(IF(CJ254=0,0,HLOOKUP(CJ$14,Villagers!$B$1:$V$33,CJ254+3,FALSE)),)</f>
        <v>2</v>
      </c>
      <c r="DF254" s="370">
        <f>ROUND(IF(CK254=0,0,HLOOKUP(CK$14,Villagers!$B$1:$V$33,CK254+3,FALSE)),)</f>
        <v>0</v>
      </c>
      <c r="DG254" s="370">
        <f>ROUND(IF(CL254=0,0,HLOOKUP(CL$14,Villagers!$B$1:$V$33,CL254+3,FALSE)),)</f>
        <v>0</v>
      </c>
      <c r="DH254" s="34">
        <f>ROUND(IF(CM254=0,0,HLOOKUP(CM$14,Villagers!$B$1:$V$33,CM254+3,FALSE)),)</f>
        <v>0</v>
      </c>
      <c r="DI254" s="109">
        <f t="shared" si="526"/>
        <v>0</v>
      </c>
      <c r="DJ254" s="50">
        <f t="shared" si="527"/>
        <v>0</v>
      </c>
      <c r="DK254" s="50">
        <f t="shared" si="528"/>
        <v>0</v>
      </c>
      <c r="DL254" s="50">
        <f t="shared" si="529"/>
        <v>0</v>
      </c>
      <c r="DM254" s="50">
        <f t="shared" si="530"/>
        <v>0</v>
      </c>
      <c r="DN254" s="50">
        <f t="shared" si="531"/>
        <v>0</v>
      </c>
      <c r="DO254" s="50">
        <f t="shared" si="532"/>
        <v>0</v>
      </c>
      <c r="DP254" s="50">
        <f t="shared" si="533"/>
        <v>0</v>
      </c>
      <c r="DQ254" s="50">
        <f t="shared" si="510"/>
        <v>0</v>
      </c>
      <c r="DR254" s="50">
        <f t="shared" si="511"/>
        <v>0</v>
      </c>
      <c r="DS254" s="96">
        <f>Miscelaneous!$D$4*Miscelaneous!$D$2^($CI254-1)</f>
        <v>1000</v>
      </c>
      <c r="DT254" s="333">
        <f t="shared" si="490"/>
        <v>1</v>
      </c>
      <c r="DU254" s="81">
        <v>1</v>
      </c>
      <c r="DV254" s="79">
        <f t="shared" si="512"/>
        <v>0</v>
      </c>
      <c r="DW254" s="79">
        <f t="shared" si="513"/>
        <v>0</v>
      </c>
      <c r="DX254" s="79">
        <f t="shared" si="514"/>
        <v>0</v>
      </c>
      <c r="DY254" s="79">
        <v>1</v>
      </c>
      <c r="DZ254" s="79">
        <f t="shared" si="515"/>
        <v>0</v>
      </c>
      <c r="EA254" s="79">
        <f t="shared" si="516"/>
        <v>0</v>
      </c>
      <c r="EB254" s="79">
        <f t="shared" si="517"/>
        <v>0</v>
      </c>
      <c r="EC254" s="79">
        <f t="shared" si="518"/>
        <v>0</v>
      </c>
      <c r="ED254" s="79">
        <v>1</v>
      </c>
      <c r="EE254" s="79">
        <v>1</v>
      </c>
      <c r="EF254" s="79">
        <f t="shared" si="519"/>
        <v>0</v>
      </c>
      <c r="EG254" s="79">
        <v>1</v>
      </c>
      <c r="EH254" s="79">
        <v>1</v>
      </c>
      <c r="EI254" s="79">
        <v>1</v>
      </c>
      <c r="EJ254" s="79">
        <v>1</v>
      </c>
      <c r="EK254" s="79">
        <v>1</v>
      </c>
      <c r="EL254" s="79">
        <v>1</v>
      </c>
      <c r="EM254" s="143">
        <f t="shared" si="520"/>
        <v>0</v>
      </c>
      <c r="EN254" s="143">
        <f t="shared" si="521"/>
        <v>0</v>
      </c>
      <c r="EO254" s="82">
        <f t="shared" si="522"/>
        <v>0</v>
      </c>
    </row>
    <row r="255" spans="1:145" x14ac:dyDescent="0.25">
      <c r="A255">
        <v>241</v>
      </c>
      <c r="B255" s="172" t="e">
        <f t="shared" si="491"/>
        <v>#N/A</v>
      </c>
      <c r="C255" s="121" t="e">
        <f t="shared" ref="C255:E255" si="604">AJ255-SUM(AB255:AB259)</f>
        <v>#N/A</v>
      </c>
      <c r="D255" s="122" t="e">
        <f t="shared" si="604"/>
        <v>#N/A</v>
      </c>
      <c r="E255" s="122" t="e">
        <f t="shared" si="604"/>
        <v>#N/A</v>
      </c>
      <c r="F255" s="176" t="e">
        <f t="shared" si="473"/>
        <v>#N/A</v>
      </c>
      <c r="G255" s="121">
        <f t="shared" si="493"/>
        <v>208</v>
      </c>
      <c r="H255" s="176" t="e">
        <f t="shared" si="494"/>
        <v>#N/A</v>
      </c>
      <c r="I255" s="48">
        <v>1</v>
      </c>
      <c r="J255" s="39"/>
      <c r="K255" s="350">
        <v>1</v>
      </c>
      <c r="L255" s="34" t="e">
        <f t="shared" si="474"/>
        <v>#N/A</v>
      </c>
      <c r="M255" s="38" t="e">
        <f>(HLOOKUP(J255,'Construction Times'!$B$3:$W$34,L255+2,FALSE)*HLOOKUP("hq modifier",'Construction Times'!$W$3:$W$34,BS255+2,FALSE))*(1-$H$9)</f>
        <v>#N/A</v>
      </c>
      <c r="N255" s="426" t="e">
        <f t="shared" si="495"/>
        <v>#N/A</v>
      </c>
      <c r="O255" s="427"/>
      <c r="P255" s="430" t="e">
        <f t="shared" si="496"/>
        <v>#N/A</v>
      </c>
      <c r="Q255" s="431"/>
      <c r="R255" s="103">
        <f t="shared" si="524"/>
        <v>0</v>
      </c>
      <c r="S255" s="104">
        <f t="shared" si="524"/>
        <v>0</v>
      </c>
      <c r="T255" s="104">
        <f t="shared" si="525"/>
        <v>0</v>
      </c>
      <c r="U255" s="104">
        <f t="shared" si="525"/>
        <v>0</v>
      </c>
      <c r="V255" s="104">
        <f t="shared" si="525"/>
        <v>9.9999999999999995E-8</v>
      </c>
      <c r="W255" s="104">
        <f t="shared" si="525"/>
        <v>0</v>
      </c>
      <c r="X255" s="104">
        <f t="shared" si="584"/>
        <v>0</v>
      </c>
      <c r="Y255" s="104">
        <f t="shared" si="584"/>
        <v>9.9999999999999995E-8</v>
      </c>
      <c r="Z255" s="104">
        <f t="shared" si="584"/>
        <v>9.9999999999999995E-8</v>
      </c>
      <c r="AA255" s="105">
        <f t="shared" si="584"/>
        <v>9.9999999999999995E-8</v>
      </c>
      <c r="AB255" s="101" t="e">
        <f>$DT255*HLOOKUP($J255,'Construction Costs (timber)'!$B$1:$V$32,'Construction Planner'!$L255+2,FALSE)</f>
        <v>#N/A</v>
      </c>
      <c r="AC255" s="14" t="e">
        <f>$DT255*HLOOKUP($J255,'Construction Costs (clay)'!$B$1:$V$32,'Construction Planner'!$L255+2,FALSE)</f>
        <v>#N/A</v>
      </c>
      <c r="AD255" s="14" t="e">
        <f>$DT255*HLOOKUP($J255,'Construction Costs (iron)'!$B$1:$V$32,'Construction Planner'!$L255+2,FALSE)</f>
        <v>#N/A</v>
      </c>
      <c r="AE255" s="34" t="e">
        <f t="shared" si="537"/>
        <v>#N/A</v>
      </c>
      <c r="AF255" s="33" t="e">
        <f t="shared" si="475"/>
        <v>#N/A</v>
      </c>
      <c r="AG255" s="14" t="e">
        <f t="shared" si="476"/>
        <v>#N/A</v>
      </c>
      <c r="AH255" s="14" t="e">
        <f t="shared" si="477"/>
        <v>#N/A</v>
      </c>
      <c r="AI255" s="34" t="e">
        <f t="shared" si="538"/>
        <v>#N/A</v>
      </c>
      <c r="AJ255" s="49" t="e">
        <f t="shared" si="498"/>
        <v>#N/A</v>
      </c>
      <c r="AK255" s="49" t="e">
        <f t="shared" si="499"/>
        <v>#N/A</v>
      </c>
      <c r="AL255" s="49" t="e">
        <f t="shared" si="500"/>
        <v>#N/A</v>
      </c>
      <c r="AM255" s="25">
        <f t="shared" si="478"/>
        <v>30</v>
      </c>
      <c r="AN255" s="25">
        <f t="shared" si="479"/>
        <v>30</v>
      </c>
      <c r="AO255" s="25">
        <f t="shared" si="480"/>
        <v>30</v>
      </c>
      <c r="AP255" s="52" t="e">
        <f t="shared" si="501"/>
        <v>#N/A</v>
      </c>
      <c r="AQ255" s="53" t="e">
        <f t="shared" si="501"/>
        <v>#N/A</v>
      </c>
      <c r="AR255" s="54" t="e">
        <f t="shared" si="501"/>
        <v>#N/A</v>
      </c>
      <c r="AS255" s="316">
        <f t="shared" si="593"/>
        <v>0</v>
      </c>
      <c r="AT255" s="106">
        <f>_xlfn.IFNA($M255/VLOOKUP($BT255,'Unit information'!$A$2:$K$29,2,FALSE)*R255,0)*(1+$E$9)</f>
        <v>0</v>
      </c>
      <c r="AU255" s="107">
        <f>_xlfn.IFNA($M255/VLOOKUP($BT255,'Unit information'!$A$2:$K$29,3,FALSE)*S255,0)*(1+$E$9)</f>
        <v>0</v>
      </c>
      <c r="AV255" s="107">
        <f>_xlfn.IFNA($M255/VLOOKUP($BT255,'Unit information'!$A$2:$K$29,4,FALSE)*T255,0)*(1+$E$9)</f>
        <v>0</v>
      </c>
      <c r="AW255" s="107">
        <f>_xlfn.IFNA($M255/VLOOKUP($BT255,'Unit information'!$A$2:$K$29,5,FALSE)*U255,0)*(1+$E$9)</f>
        <v>0</v>
      </c>
      <c r="AX255" s="107">
        <f>_xlfn.IFNA($M255/VLOOKUP($BU255,'Unit information'!$A$2:$K$29,6,FALSE)*V255,0)*(1+$E$9)</f>
        <v>0</v>
      </c>
      <c r="AY255" s="107">
        <f>_xlfn.IFNA($M255/VLOOKUP($BU255,'Unit information'!$A$2:$K$29,7,FALSE)*W255,0)*(1+$E$9)</f>
        <v>0</v>
      </c>
      <c r="AZ255" s="107">
        <f>_xlfn.IFNA($M255/VLOOKUP($BU255,'Unit information'!$A$2:$K$29,8,FALSE)*X255,0)*(1+$E$9)</f>
        <v>0</v>
      </c>
      <c r="BA255" s="107">
        <f>_xlfn.IFNA($M255/VLOOKUP($BU255,'Unit information'!$A$2:$K$29,9,FALSE)*Y255,0)*(1+$E$9)</f>
        <v>0</v>
      </c>
      <c r="BB255" s="107">
        <f>_xlfn.IFNA($M255/VLOOKUP($BV255,'Unit information'!$A$2:$K$29,10,FALSE)*Z255,0)*(1+$E$9)</f>
        <v>0</v>
      </c>
      <c r="BC255" s="108">
        <f>_xlfn.IFNA($M255/VLOOKUP($BV255,'Unit information'!$A$2:$K$29,11,FALSE)*AA255,0)*(1+$E$9)</f>
        <v>0</v>
      </c>
      <c r="BD255" s="106">
        <f t="shared" si="481"/>
        <v>0</v>
      </c>
      <c r="BE255" s="107">
        <f t="shared" si="482"/>
        <v>0</v>
      </c>
      <c r="BF255" s="108">
        <f t="shared" si="483"/>
        <v>0</v>
      </c>
      <c r="BG255" s="25" t="e">
        <f t="shared" si="484"/>
        <v>#N/A</v>
      </c>
      <c r="BH255" s="25" t="e">
        <f t="shared" si="485"/>
        <v>#N/A</v>
      </c>
      <c r="BI255" s="25" t="e">
        <f t="shared" si="486"/>
        <v>#N/A</v>
      </c>
      <c r="BJ255" s="27" t="e">
        <f t="shared" si="487"/>
        <v>#N/A</v>
      </c>
      <c r="BK255" s="18" t="e">
        <f t="shared" si="488"/>
        <v>#N/A</v>
      </c>
      <c r="BL255" s="18" t="e">
        <f t="shared" si="489"/>
        <v>#N/A</v>
      </c>
      <c r="BM255" s="28" t="e">
        <f t="shared" si="540"/>
        <v>#N/A</v>
      </c>
      <c r="BN255" s="33">
        <f>HLOOKUP("maximum population",Miscelaneous!$C$1:$C$33,CH255+3,FALSE)</f>
        <v>240</v>
      </c>
      <c r="BO255" s="14">
        <f t="shared" si="502"/>
        <v>32</v>
      </c>
      <c r="BP255" s="14">
        <f t="shared" si="503"/>
        <v>0</v>
      </c>
      <c r="BQ255" s="14">
        <f t="shared" si="504"/>
        <v>208</v>
      </c>
      <c r="BR255" s="34" t="e">
        <f>HLOOKUP(J255,Villagers!$B$1:$V$33,L255+3,FALSE)-HLOOKUP(J255,Villagers!$B$1:$V$33,L255+2,FALSE)</f>
        <v>#N/A</v>
      </c>
      <c r="BS255" s="49">
        <f t="shared" si="505"/>
        <v>1</v>
      </c>
      <c r="BT255" s="50">
        <f t="shared" si="506"/>
        <v>0</v>
      </c>
      <c r="BU255" s="50">
        <f t="shared" si="507"/>
        <v>0</v>
      </c>
      <c r="BV255" s="50">
        <f t="shared" si="508"/>
        <v>0</v>
      </c>
      <c r="BW255" s="50">
        <f t="shared" si="575"/>
        <v>0</v>
      </c>
      <c r="BX255" s="50">
        <f t="shared" si="576"/>
        <v>0</v>
      </c>
      <c r="BY255" s="50">
        <f t="shared" si="576"/>
        <v>0</v>
      </c>
      <c r="BZ255" s="50">
        <f t="shared" si="554"/>
        <v>0</v>
      </c>
      <c r="CA255" s="50">
        <f t="shared" si="555"/>
        <v>0</v>
      </c>
      <c r="CB255" s="50">
        <f t="shared" si="556"/>
        <v>1</v>
      </c>
      <c r="CC255" s="50">
        <f t="shared" si="557"/>
        <v>0</v>
      </c>
      <c r="CD255" s="50">
        <f t="shared" si="558"/>
        <v>0</v>
      </c>
      <c r="CE255" s="50">
        <f t="shared" si="559"/>
        <v>1</v>
      </c>
      <c r="CF255" s="50">
        <f t="shared" si="560"/>
        <v>1</v>
      </c>
      <c r="CG255" s="50">
        <f t="shared" si="561"/>
        <v>1</v>
      </c>
      <c r="CH255" s="50">
        <f t="shared" si="562"/>
        <v>1</v>
      </c>
      <c r="CI255" s="50">
        <f t="shared" si="563"/>
        <v>1</v>
      </c>
      <c r="CJ255" s="50">
        <f t="shared" si="564"/>
        <v>1</v>
      </c>
      <c r="CK255" s="50">
        <f t="shared" si="564"/>
        <v>0</v>
      </c>
      <c r="CL255" s="50">
        <f t="shared" si="564"/>
        <v>0</v>
      </c>
      <c r="CM255" s="51">
        <f t="shared" ref="CM255:CM318" si="605">IF($J254=CM$14,$L254,CM254)</f>
        <v>0</v>
      </c>
      <c r="CN255" s="33">
        <f>ROUND(IF(BS255=0,0,HLOOKUP(BS$14,Villagers!$B$1:$V$33,BS255+3,FALSE)),)</f>
        <v>5</v>
      </c>
      <c r="CO255" s="14">
        <f>ROUND(IF(BT255=0,0,HLOOKUP(BT$14,Villagers!$B$1:$V$33,BT255+3,FALSE)),)</f>
        <v>0</v>
      </c>
      <c r="CP255" s="14">
        <f>ROUND(IF(BU255=0,0,HLOOKUP(BU$14,Villagers!$B$1:$V$33,BU255+3,FALSE)),)</f>
        <v>0</v>
      </c>
      <c r="CQ255" s="14">
        <f>ROUND(IF(BV255=0,0,HLOOKUP(BV$14,Villagers!$B$1:$V$33,BV255+3,FALSE)),)</f>
        <v>0</v>
      </c>
      <c r="CR255" s="14">
        <f>ROUND(IF(BW255=0,0,HLOOKUP(BW$14,Villagers!$B$1:$V$33,BW255+3,FALSE)),)</f>
        <v>0</v>
      </c>
      <c r="CS255" s="14">
        <f>ROUND(IF(BX255=0,0,HLOOKUP(BX$14,Villagers!$B$1:$V$33,BX255+3,FALSE)),)</f>
        <v>0</v>
      </c>
      <c r="CT255" s="14">
        <f>ROUND(IF(BY255=0,0,HLOOKUP(BY$14,Villagers!$B$1:$V$33,BY255+3,FALSE)),)</f>
        <v>0</v>
      </c>
      <c r="CU255" s="14">
        <f>ROUND(IF(BZ255=0,0,HLOOKUP(BZ$14,Villagers!$B$1:$V$33,BZ255+3,FALSE)),)</f>
        <v>0</v>
      </c>
      <c r="CV255" s="14">
        <f>ROUND(IF(CA255=0,0,HLOOKUP(CA$14,Villagers!$B$1:$V$33,CA255+3,FALSE)),)</f>
        <v>0</v>
      </c>
      <c r="CW255" s="14">
        <f>ROUND(IF(CB255=0,0,HLOOKUP(CB$14,Villagers!$B$1:$V$33,CB255+3,FALSE)),)</f>
        <v>0</v>
      </c>
      <c r="CX255" s="14">
        <f>ROUND(IF(CC255=0,0,HLOOKUP(CC$14,Villagers!$B$1:$V$33,CC255+3,FALSE)),)</f>
        <v>0</v>
      </c>
      <c r="CY255" s="14">
        <f>ROUND(IF(CD255=0,0,HLOOKUP(CD$14,Villagers!$B$1:$V$33,CD255+3,FALSE)),)</f>
        <v>0</v>
      </c>
      <c r="CZ255" s="14">
        <f>ROUND(IF(CE255=0,0,HLOOKUP(CE$14,Villagers!$B$1:$V$33,CE255+3,FALSE)),)</f>
        <v>5</v>
      </c>
      <c r="DA255" s="14">
        <f>ROUND(IF(CF255=0,0,HLOOKUP(CF$14,Villagers!$B$1:$V$33,CF255+3,FALSE)),)</f>
        <v>10</v>
      </c>
      <c r="DB255" s="14">
        <f>ROUND(IF(CG255=0,0,HLOOKUP(CG$14,Villagers!$B$1:$V$33,CG255+3,FALSE)),)</f>
        <v>10</v>
      </c>
      <c r="DC255" s="14">
        <f>ROUND(IF(CH255=0,0,HLOOKUP(CH$14,Villagers!$B$1:$V$33,CH255+3,FALSE)),)</f>
        <v>0</v>
      </c>
      <c r="DD255" s="14">
        <f>ROUND(IF(CI255=0,0,HLOOKUP(CI$14,Villagers!$B$1:$V$33,CI255+3,FALSE)),)</f>
        <v>0</v>
      </c>
      <c r="DE255" s="14">
        <f>ROUND(IF(CJ255=0,0,HLOOKUP(CJ$14,Villagers!$B$1:$V$33,CJ255+3,FALSE)),)</f>
        <v>2</v>
      </c>
      <c r="DF255" s="370">
        <f>ROUND(IF(CK255=0,0,HLOOKUP(CK$14,Villagers!$B$1:$V$33,CK255+3,FALSE)),)</f>
        <v>0</v>
      </c>
      <c r="DG255" s="370">
        <f>ROUND(IF(CL255=0,0,HLOOKUP(CL$14,Villagers!$B$1:$V$33,CL255+3,FALSE)),)</f>
        <v>0</v>
      </c>
      <c r="DH255" s="34">
        <f>ROUND(IF(CM255=0,0,HLOOKUP(CM$14,Villagers!$B$1:$V$33,CM255+3,FALSE)),)</f>
        <v>0</v>
      </c>
      <c r="DI255" s="109">
        <f t="shared" si="526"/>
        <v>0</v>
      </c>
      <c r="DJ255" s="50">
        <f t="shared" si="527"/>
        <v>0</v>
      </c>
      <c r="DK255" s="50">
        <f t="shared" si="528"/>
        <v>0</v>
      </c>
      <c r="DL255" s="50">
        <f t="shared" si="529"/>
        <v>0</v>
      </c>
      <c r="DM255" s="50">
        <f t="shared" si="530"/>
        <v>0</v>
      </c>
      <c r="DN255" s="50">
        <f t="shared" si="531"/>
        <v>0</v>
      </c>
      <c r="DO255" s="50">
        <f t="shared" si="532"/>
        <v>0</v>
      </c>
      <c r="DP255" s="50">
        <f t="shared" si="533"/>
        <v>0</v>
      </c>
      <c r="DQ255" s="50">
        <f t="shared" si="510"/>
        <v>0</v>
      </c>
      <c r="DR255" s="50">
        <f t="shared" si="511"/>
        <v>0</v>
      </c>
      <c r="DS255" s="96">
        <f>Miscelaneous!$D$4*Miscelaneous!$D$2^($CI255-1)</f>
        <v>1000</v>
      </c>
      <c r="DT255" s="333">
        <f t="shared" si="490"/>
        <v>1</v>
      </c>
      <c r="DU255" s="81">
        <v>1</v>
      </c>
      <c r="DV255" s="79">
        <f t="shared" si="512"/>
        <v>0</v>
      </c>
      <c r="DW255" s="79">
        <f t="shared" si="513"/>
        <v>0</v>
      </c>
      <c r="DX255" s="79">
        <f t="shared" si="514"/>
        <v>0</v>
      </c>
      <c r="DY255" s="79">
        <v>1</v>
      </c>
      <c r="DZ255" s="79">
        <f t="shared" si="515"/>
        <v>0</v>
      </c>
      <c r="EA255" s="79">
        <f t="shared" si="516"/>
        <v>0</v>
      </c>
      <c r="EB255" s="79">
        <f t="shared" si="517"/>
        <v>0</v>
      </c>
      <c r="EC255" s="79">
        <f t="shared" si="518"/>
        <v>0</v>
      </c>
      <c r="ED255" s="79">
        <v>1</v>
      </c>
      <c r="EE255" s="79">
        <v>1</v>
      </c>
      <c r="EF255" s="79">
        <f t="shared" si="519"/>
        <v>0</v>
      </c>
      <c r="EG255" s="79">
        <v>1</v>
      </c>
      <c r="EH255" s="79">
        <v>1</v>
      </c>
      <c r="EI255" s="79">
        <v>1</v>
      </c>
      <c r="EJ255" s="79">
        <v>1</v>
      </c>
      <c r="EK255" s="79">
        <v>1</v>
      </c>
      <c r="EL255" s="79">
        <v>1</v>
      </c>
      <c r="EM255" s="143">
        <f t="shared" si="520"/>
        <v>0</v>
      </c>
      <c r="EN255" s="143">
        <f t="shared" si="521"/>
        <v>0</v>
      </c>
      <c r="EO255" s="82">
        <f t="shared" si="522"/>
        <v>0</v>
      </c>
    </row>
    <row r="256" spans="1:145" x14ac:dyDescent="0.25">
      <c r="A256">
        <v>242</v>
      </c>
      <c r="B256" s="172" t="e">
        <f t="shared" si="491"/>
        <v>#N/A</v>
      </c>
      <c r="C256" s="121" t="e">
        <f t="shared" ref="C256:E256" si="606">AJ256-SUM(AB256:AB260)</f>
        <v>#N/A</v>
      </c>
      <c r="D256" s="122" t="e">
        <f t="shared" si="606"/>
        <v>#N/A</v>
      </c>
      <c r="E256" s="122" t="e">
        <f t="shared" si="606"/>
        <v>#N/A</v>
      </c>
      <c r="F256" s="176" t="e">
        <f t="shared" si="473"/>
        <v>#N/A</v>
      </c>
      <c r="G256" s="121">
        <f t="shared" si="493"/>
        <v>208</v>
      </c>
      <c r="H256" s="176" t="e">
        <f t="shared" si="494"/>
        <v>#N/A</v>
      </c>
      <c r="I256" s="48">
        <v>1</v>
      </c>
      <c r="J256" s="39"/>
      <c r="K256" s="350">
        <v>1</v>
      </c>
      <c r="L256" s="34" t="e">
        <f t="shared" si="474"/>
        <v>#N/A</v>
      </c>
      <c r="M256" s="38" t="e">
        <f>(HLOOKUP(J256,'Construction Times'!$B$3:$W$34,L256+2,FALSE)*HLOOKUP("hq modifier",'Construction Times'!$W$3:$W$34,BS256+2,FALSE))*(1-$H$9)</f>
        <v>#N/A</v>
      </c>
      <c r="N256" s="426" t="e">
        <f t="shared" si="495"/>
        <v>#N/A</v>
      </c>
      <c r="O256" s="427"/>
      <c r="P256" s="430" t="e">
        <f t="shared" si="496"/>
        <v>#N/A</v>
      </c>
      <c r="Q256" s="431"/>
      <c r="R256" s="103">
        <f t="shared" si="524"/>
        <v>0</v>
      </c>
      <c r="S256" s="104">
        <f t="shared" si="524"/>
        <v>0</v>
      </c>
      <c r="T256" s="104">
        <f t="shared" si="525"/>
        <v>0</v>
      </c>
      <c r="U256" s="104">
        <f t="shared" si="525"/>
        <v>0</v>
      </c>
      <c r="V256" s="104">
        <f t="shared" si="525"/>
        <v>9.9999999999999995E-8</v>
      </c>
      <c r="W256" s="104">
        <f t="shared" si="525"/>
        <v>0</v>
      </c>
      <c r="X256" s="104">
        <f t="shared" si="584"/>
        <v>0</v>
      </c>
      <c r="Y256" s="104">
        <f t="shared" si="584"/>
        <v>9.9999999999999995E-8</v>
      </c>
      <c r="Z256" s="104">
        <f t="shared" si="584"/>
        <v>9.9999999999999995E-8</v>
      </c>
      <c r="AA256" s="105">
        <f t="shared" si="584"/>
        <v>9.9999999999999995E-8</v>
      </c>
      <c r="AB256" s="101" t="e">
        <f>$DT256*HLOOKUP($J256,'Construction Costs (timber)'!$B$1:$V$32,'Construction Planner'!$L256+2,FALSE)</f>
        <v>#N/A</v>
      </c>
      <c r="AC256" s="14" t="e">
        <f>$DT256*HLOOKUP($J256,'Construction Costs (clay)'!$B$1:$V$32,'Construction Planner'!$L256+2,FALSE)</f>
        <v>#N/A</v>
      </c>
      <c r="AD256" s="14" t="e">
        <f>$DT256*HLOOKUP($J256,'Construction Costs (iron)'!$B$1:$V$32,'Construction Planner'!$L256+2,FALSE)</f>
        <v>#N/A</v>
      </c>
      <c r="AE256" s="34" t="e">
        <f t="shared" si="537"/>
        <v>#N/A</v>
      </c>
      <c r="AF256" s="33" t="e">
        <f t="shared" si="475"/>
        <v>#N/A</v>
      </c>
      <c r="AG256" s="14" t="e">
        <f t="shared" si="476"/>
        <v>#N/A</v>
      </c>
      <c r="AH256" s="14" t="e">
        <f t="shared" si="477"/>
        <v>#N/A</v>
      </c>
      <c r="AI256" s="34" t="e">
        <f t="shared" si="538"/>
        <v>#N/A</v>
      </c>
      <c r="AJ256" s="49" t="e">
        <f t="shared" si="498"/>
        <v>#N/A</v>
      </c>
      <c r="AK256" s="49" t="e">
        <f t="shared" si="499"/>
        <v>#N/A</v>
      </c>
      <c r="AL256" s="49" t="e">
        <f t="shared" si="500"/>
        <v>#N/A</v>
      </c>
      <c r="AM256" s="25">
        <f t="shared" si="478"/>
        <v>30</v>
      </c>
      <c r="AN256" s="25">
        <f t="shared" si="479"/>
        <v>30</v>
      </c>
      <c r="AO256" s="25">
        <f t="shared" si="480"/>
        <v>30</v>
      </c>
      <c r="AP256" s="52" t="e">
        <f t="shared" si="501"/>
        <v>#N/A</v>
      </c>
      <c r="AQ256" s="53" t="e">
        <f t="shared" si="501"/>
        <v>#N/A</v>
      </c>
      <c r="AR256" s="54" t="e">
        <f t="shared" si="501"/>
        <v>#N/A</v>
      </c>
      <c r="AS256" s="316">
        <f t="shared" si="593"/>
        <v>0</v>
      </c>
      <c r="AT256" s="106">
        <f>_xlfn.IFNA($M256/VLOOKUP($BT256,'Unit information'!$A$2:$K$29,2,FALSE)*R256,0)*(1+$E$9)</f>
        <v>0</v>
      </c>
      <c r="AU256" s="107">
        <f>_xlfn.IFNA($M256/VLOOKUP($BT256,'Unit information'!$A$2:$K$29,3,FALSE)*S256,0)*(1+$E$9)</f>
        <v>0</v>
      </c>
      <c r="AV256" s="107">
        <f>_xlfn.IFNA($M256/VLOOKUP($BT256,'Unit information'!$A$2:$K$29,4,FALSE)*T256,0)*(1+$E$9)</f>
        <v>0</v>
      </c>
      <c r="AW256" s="107">
        <f>_xlfn.IFNA($M256/VLOOKUP($BT256,'Unit information'!$A$2:$K$29,5,FALSE)*U256,0)*(1+$E$9)</f>
        <v>0</v>
      </c>
      <c r="AX256" s="107">
        <f>_xlfn.IFNA($M256/VLOOKUP($BU256,'Unit information'!$A$2:$K$29,6,FALSE)*V256,0)*(1+$E$9)</f>
        <v>0</v>
      </c>
      <c r="AY256" s="107">
        <f>_xlfn.IFNA($M256/VLOOKUP($BU256,'Unit information'!$A$2:$K$29,7,FALSE)*W256,0)*(1+$E$9)</f>
        <v>0</v>
      </c>
      <c r="AZ256" s="107">
        <f>_xlfn.IFNA($M256/VLOOKUP($BU256,'Unit information'!$A$2:$K$29,8,FALSE)*X256,0)*(1+$E$9)</f>
        <v>0</v>
      </c>
      <c r="BA256" s="107">
        <f>_xlfn.IFNA($M256/VLOOKUP($BU256,'Unit information'!$A$2:$K$29,9,FALSE)*Y256,0)*(1+$E$9)</f>
        <v>0</v>
      </c>
      <c r="BB256" s="107">
        <f>_xlfn.IFNA($M256/VLOOKUP($BV256,'Unit information'!$A$2:$K$29,10,FALSE)*Z256,0)*(1+$E$9)</f>
        <v>0</v>
      </c>
      <c r="BC256" s="108">
        <f>_xlfn.IFNA($M256/VLOOKUP($BV256,'Unit information'!$A$2:$K$29,11,FALSE)*AA256,0)*(1+$E$9)</f>
        <v>0</v>
      </c>
      <c r="BD256" s="106">
        <f t="shared" si="481"/>
        <v>0</v>
      </c>
      <c r="BE256" s="107">
        <f t="shared" si="482"/>
        <v>0</v>
      </c>
      <c r="BF256" s="108">
        <f t="shared" si="483"/>
        <v>0</v>
      </c>
      <c r="BG256" s="25" t="e">
        <f t="shared" si="484"/>
        <v>#N/A</v>
      </c>
      <c r="BH256" s="25" t="e">
        <f t="shared" si="485"/>
        <v>#N/A</v>
      </c>
      <c r="BI256" s="25" t="e">
        <f t="shared" si="486"/>
        <v>#N/A</v>
      </c>
      <c r="BJ256" s="27" t="e">
        <f t="shared" si="487"/>
        <v>#N/A</v>
      </c>
      <c r="BK256" s="18" t="e">
        <f t="shared" si="488"/>
        <v>#N/A</v>
      </c>
      <c r="BL256" s="18" t="e">
        <f t="shared" si="489"/>
        <v>#N/A</v>
      </c>
      <c r="BM256" s="28" t="e">
        <f t="shared" si="540"/>
        <v>#N/A</v>
      </c>
      <c r="BN256" s="33">
        <f>HLOOKUP("maximum population",Miscelaneous!$C$1:$C$33,CH256+3,FALSE)</f>
        <v>240</v>
      </c>
      <c r="BO256" s="14">
        <f t="shared" si="502"/>
        <v>32</v>
      </c>
      <c r="BP256" s="14">
        <f t="shared" si="503"/>
        <v>0</v>
      </c>
      <c r="BQ256" s="14">
        <f t="shared" si="504"/>
        <v>208</v>
      </c>
      <c r="BR256" s="34" t="e">
        <f>HLOOKUP(J256,Villagers!$B$1:$V$33,L256+3,FALSE)-HLOOKUP(J256,Villagers!$B$1:$V$33,L256+2,FALSE)</f>
        <v>#N/A</v>
      </c>
      <c r="BS256" s="49">
        <f t="shared" si="505"/>
        <v>1</v>
      </c>
      <c r="BT256" s="50">
        <f t="shared" si="506"/>
        <v>0</v>
      </c>
      <c r="BU256" s="50">
        <f t="shared" si="507"/>
        <v>0</v>
      </c>
      <c r="BV256" s="50">
        <f t="shared" si="508"/>
        <v>0</v>
      </c>
      <c r="BW256" s="50">
        <f t="shared" ref="BW256:BY262" si="607">IF($J255=BW$14,$L255,BW255)</f>
        <v>0</v>
      </c>
      <c r="BX256" s="50">
        <f t="shared" si="607"/>
        <v>0</v>
      </c>
      <c r="BY256" s="50">
        <f t="shared" si="607"/>
        <v>0</v>
      </c>
      <c r="BZ256" s="50">
        <f t="shared" si="554"/>
        <v>0</v>
      </c>
      <c r="CA256" s="50">
        <f t="shared" si="555"/>
        <v>0</v>
      </c>
      <c r="CB256" s="50">
        <f t="shared" si="556"/>
        <v>1</v>
      </c>
      <c r="CC256" s="50">
        <f t="shared" si="557"/>
        <v>0</v>
      </c>
      <c r="CD256" s="50">
        <f t="shared" si="558"/>
        <v>0</v>
      </c>
      <c r="CE256" s="50">
        <f t="shared" si="559"/>
        <v>1</v>
      </c>
      <c r="CF256" s="50">
        <f t="shared" si="560"/>
        <v>1</v>
      </c>
      <c r="CG256" s="50">
        <f t="shared" si="561"/>
        <v>1</v>
      </c>
      <c r="CH256" s="50">
        <f t="shared" si="562"/>
        <v>1</v>
      </c>
      <c r="CI256" s="50">
        <f t="shared" si="563"/>
        <v>1</v>
      </c>
      <c r="CJ256" s="50">
        <f t="shared" si="564"/>
        <v>1</v>
      </c>
      <c r="CK256" s="50">
        <f t="shared" si="564"/>
        <v>0</v>
      </c>
      <c r="CL256" s="50">
        <f t="shared" si="564"/>
        <v>0</v>
      </c>
      <c r="CM256" s="51">
        <f t="shared" si="605"/>
        <v>0</v>
      </c>
      <c r="CN256" s="33">
        <f>ROUND(IF(BS256=0,0,HLOOKUP(BS$14,Villagers!$B$1:$V$33,BS256+3,FALSE)),)</f>
        <v>5</v>
      </c>
      <c r="CO256" s="14">
        <f>ROUND(IF(BT256=0,0,HLOOKUP(BT$14,Villagers!$B$1:$V$33,BT256+3,FALSE)),)</f>
        <v>0</v>
      </c>
      <c r="CP256" s="14">
        <f>ROUND(IF(BU256=0,0,HLOOKUP(BU$14,Villagers!$B$1:$V$33,BU256+3,FALSE)),)</f>
        <v>0</v>
      </c>
      <c r="CQ256" s="14">
        <f>ROUND(IF(BV256=0,0,HLOOKUP(BV$14,Villagers!$B$1:$V$33,BV256+3,FALSE)),)</f>
        <v>0</v>
      </c>
      <c r="CR256" s="14">
        <f>ROUND(IF(BW256=0,0,HLOOKUP(BW$14,Villagers!$B$1:$V$33,BW256+3,FALSE)),)</f>
        <v>0</v>
      </c>
      <c r="CS256" s="14">
        <f>ROUND(IF(BX256=0,0,HLOOKUP(BX$14,Villagers!$B$1:$V$33,BX256+3,FALSE)),)</f>
        <v>0</v>
      </c>
      <c r="CT256" s="14">
        <f>ROUND(IF(BY256=0,0,HLOOKUP(BY$14,Villagers!$B$1:$V$33,BY256+3,FALSE)),)</f>
        <v>0</v>
      </c>
      <c r="CU256" s="14">
        <f>ROUND(IF(BZ256=0,0,HLOOKUP(BZ$14,Villagers!$B$1:$V$33,BZ256+3,FALSE)),)</f>
        <v>0</v>
      </c>
      <c r="CV256" s="14">
        <f>ROUND(IF(CA256=0,0,HLOOKUP(CA$14,Villagers!$B$1:$V$33,CA256+3,FALSE)),)</f>
        <v>0</v>
      </c>
      <c r="CW256" s="14">
        <f>ROUND(IF(CB256=0,0,HLOOKUP(CB$14,Villagers!$B$1:$V$33,CB256+3,FALSE)),)</f>
        <v>0</v>
      </c>
      <c r="CX256" s="14">
        <f>ROUND(IF(CC256=0,0,HLOOKUP(CC$14,Villagers!$B$1:$V$33,CC256+3,FALSE)),)</f>
        <v>0</v>
      </c>
      <c r="CY256" s="14">
        <f>ROUND(IF(CD256=0,0,HLOOKUP(CD$14,Villagers!$B$1:$V$33,CD256+3,FALSE)),)</f>
        <v>0</v>
      </c>
      <c r="CZ256" s="14">
        <f>ROUND(IF(CE256=0,0,HLOOKUP(CE$14,Villagers!$B$1:$V$33,CE256+3,FALSE)),)</f>
        <v>5</v>
      </c>
      <c r="DA256" s="14">
        <f>ROUND(IF(CF256=0,0,HLOOKUP(CF$14,Villagers!$B$1:$V$33,CF256+3,FALSE)),)</f>
        <v>10</v>
      </c>
      <c r="DB256" s="14">
        <f>ROUND(IF(CG256=0,0,HLOOKUP(CG$14,Villagers!$B$1:$V$33,CG256+3,FALSE)),)</f>
        <v>10</v>
      </c>
      <c r="DC256" s="14">
        <f>ROUND(IF(CH256=0,0,HLOOKUP(CH$14,Villagers!$B$1:$V$33,CH256+3,FALSE)),)</f>
        <v>0</v>
      </c>
      <c r="DD256" s="14">
        <f>ROUND(IF(CI256=0,0,HLOOKUP(CI$14,Villagers!$B$1:$V$33,CI256+3,FALSE)),)</f>
        <v>0</v>
      </c>
      <c r="DE256" s="14">
        <f>ROUND(IF(CJ256=0,0,HLOOKUP(CJ$14,Villagers!$B$1:$V$33,CJ256+3,FALSE)),)</f>
        <v>2</v>
      </c>
      <c r="DF256" s="370">
        <f>ROUND(IF(CK256=0,0,HLOOKUP(CK$14,Villagers!$B$1:$V$33,CK256+3,FALSE)),)</f>
        <v>0</v>
      </c>
      <c r="DG256" s="370">
        <f>ROUND(IF(CL256=0,0,HLOOKUP(CL$14,Villagers!$B$1:$V$33,CL256+3,FALSE)),)</f>
        <v>0</v>
      </c>
      <c r="DH256" s="34">
        <f>ROUND(IF(CM256=0,0,HLOOKUP(CM$14,Villagers!$B$1:$V$33,CM256+3,FALSE)),)</f>
        <v>0</v>
      </c>
      <c r="DI256" s="109">
        <f t="shared" si="526"/>
        <v>0</v>
      </c>
      <c r="DJ256" s="50">
        <f t="shared" si="527"/>
        <v>0</v>
      </c>
      <c r="DK256" s="50">
        <f t="shared" si="528"/>
        <v>0</v>
      </c>
      <c r="DL256" s="50">
        <f t="shared" si="529"/>
        <v>0</v>
      </c>
      <c r="DM256" s="50">
        <f t="shared" si="530"/>
        <v>0</v>
      </c>
      <c r="DN256" s="50">
        <f t="shared" si="531"/>
        <v>0</v>
      </c>
      <c r="DO256" s="50">
        <f t="shared" si="532"/>
        <v>0</v>
      </c>
      <c r="DP256" s="50">
        <f t="shared" si="533"/>
        <v>0</v>
      </c>
      <c r="DQ256" s="50">
        <f t="shared" si="510"/>
        <v>0</v>
      </c>
      <c r="DR256" s="50">
        <f t="shared" si="511"/>
        <v>0</v>
      </c>
      <c r="DS256" s="96">
        <f>Miscelaneous!$D$4*Miscelaneous!$D$2^($CI256-1)</f>
        <v>1000</v>
      </c>
      <c r="DT256" s="333">
        <f t="shared" si="490"/>
        <v>1</v>
      </c>
      <c r="DU256" s="81">
        <v>1</v>
      </c>
      <c r="DV256" s="79">
        <f t="shared" si="512"/>
        <v>0</v>
      </c>
      <c r="DW256" s="79">
        <f t="shared" si="513"/>
        <v>0</v>
      </c>
      <c r="DX256" s="79">
        <f t="shared" si="514"/>
        <v>0</v>
      </c>
      <c r="DY256" s="79">
        <v>1</v>
      </c>
      <c r="DZ256" s="79">
        <f t="shared" si="515"/>
        <v>0</v>
      </c>
      <c r="EA256" s="79">
        <f t="shared" si="516"/>
        <v>0</v>
      </c>
      <c r="EB256" s="79">
        <f t="shared" si="517"/>
        <v>0</v>
      </c>
      <c r="EC256" s="79">
        <f t="shared" si="518"/>
        <v>0</v>
      </c>
      <c r="ED256" s="79">
        <v>1</v>
      </c>
      <c r="EE256" s="79">
        <v>1</v>
      </c>
      <c r="EF256" s="79">
        <f t="shared" si="519"/>
        <v>0</v>
      </c>
      <c r="EG256" s="79">
        <v>1</v>
      </c>
      <c r="EH256" s="79">
        <v>1</v>
      </c>
      <c r="EI256" s="79">
        <v>1</v>
      </c>
      <c r="EJ256" s="79">
        <v>1</v>
      </c>
      <c r="EK256" s="79">
        <v>1</v>
      </c>
      <c r="EL256" s="79">
        <v>1</v>
      </c>
      <c r="EM256" s="143">
        <f t="shared" si="520"/>
        <v>0</v>
      </c>
      <c r="EN256" s="143">
        <f t="shared" si="521"/>
        <v>0</v>
      </c>
      <c r="EO256" s="82">
        <f t="shared" si="522"/>
        <v>0</v>
      </c>
    </row>
    <row r="257" spans="1:145" x14ac:dyDescent="0.25">
      <c r="A257">
        <v>243</v>
      </c>
      <c r="B257" s="172" t="e">
        <f t="shared" si="491"/>
        <v>#N/A</v>
      </c>
      <c r="C257" s="121" t="e">
        <f t="shared" ref="C257:E257" si="608">AJ257-SUM(AB257:AB261)</f>
        <v>#N/A</v>
      </c>
      <c r="D257" s="122" t="e">
        <f t="shared" si="608"/>
        <v>#N/A</v>
      </c>
      <c r="E257" s="122" t="e">
        <f t="shared" si="608"/>
        <v>#N/A</v>
      </c>
      <c r="F257" s="176" t="e">
        <f t="shared" si="473"/>
        <v>#N/A</v>
      </c>
      <c r="G257" s="121">
        <f t="shared" si="493"/>
        <v>208</v>
      </c>
      <c r="H257" s="176" t="e">
        <f t="shared" si="494"/>
        <v>#N/A</v>
      </c>
      <c r="I257" s="48">
        <v>1</v>
      </c>
      <c r="J257" s="39"/>
      <c r="K257" s="350">
        <v>1</v>
      </c>
      <c r="L257" s="34" t="e">
        <f t="shared" si="474"/>
        <v>#N/A</v>
      </c>
      <c r="M257" s="38" t="e">
        <f>(HLOOKUP(J257,'Construction Times'!$B$3:$W$34,L257+2,FALSE)*HLOOKUP("hq modifier",'Construction Times'!$W$3:$W$34,BS257+2,FALSE))*(1-$H$9)</f>
        <v>#N/A</v>
      </c>
      <c r="N257" s="426" t="e">
        <f t="shared" si="495"/>
        <v>#N/A</v>
      </c>
      <c r="O257" s="427"/>
      <c r="P257" s="430" t="e">
        <f t="shared" si="496"/>
        <v>#N/A</v>
      </c>
      <c r="Q257" s="431"/>
      <c r="R257" s="103">
        <f t="shared" si="524"/>
        <v>0</v>
      </c>
      <c r="S257" s="104">
        <f t="shared" si="524"/>
        <v>0</v>
      </c>
      <c r="T257" s="104">
        <f t="shared" si="525"/>
        <v>0</v>
      </c>
      <c r="U257" s="104">
        <f t="shared" si="525"/>
        <v>0</v>
      </c>
      <c r="V257" s="104">
        <f t="shared" si="525"/>
        <v>9.9999999999999995E-8</v>
      </c>
      <c r="W257" s="104">
        <f t="shared" si="525"/>
        <v>0</v>
      </c>
      <c r="X257" s="104">
        <f t="shared" si="584"/>
        <v>0</v>
      </c>
      <c r="Y257" s="104">
        <f t="shared" si="584"/>
        <v>9.9999999999999995E-8</v>
      </c>
      <c r="Z257" s="104">
        <f t="shared" si="584"/>
        <v>9.9999999999999995E-8</v>
      </c>
      <c r="AA257" s="105">
        <f t="shared" si="584"/>
        <v>9.9999999999999995E-8</v>
      </c>
      <c r="AB257" s="101" t="e">
        <f>$DT257*HLOOKUP($J257,'Construction Costs (timber)'!$B$1:$V$32,'Construction Planner'!$L257+2,FALSE)</f>
        <v>#N/A</v>
      </c>
      <c r="AC257" s="14" t="e">
        <f>$DT257*HLOOKUP($J257,'Construction Costs (clay)'!$B$1:$V$32,'Construction Planner'!$L257+2,FALSE)</f>
        <v>#N/A</v>
      </c>
      <c r="AD257" s="14" t="e">
        <f>$DT257*HLOOKUP($J257,'Construction Costs (iron)'!$B$1:$V$32,'Construction Planner'!$L257+2,FALSE)</f>
        <v>#N/A</v>
      </c>
      <c r="AE257" s="34" t="e">
        <f t="shared" si="537"/>
        <v>#N/A</v>
      </c>
      <c r="AF257" s="33" t="e">
        <f t="shared" si="475"/>
        <v>#N/A</v>
      </c>
      <c r="AG257" s="14" t="e">
        <f t="shared" si="476"/>
        <v>#N/A</v>
      </c>
      <c r="AH257" s="14" t="e">
        <f t="shared" si="477"/>
        <v>#N/A</v>
      </c>
      <c r="AI257" s="34" t="e">
        <f t="shared" si="538"/>
        <v>#N/A</v>
      </c>
      <c r="AJ257" s="49" t="e">
        <f t="shared" si="498"/>
        <v>#N/A</v>
      </c>
      <c r="AK257" s="49" t="e">
        <f t="shared" si="499"/>
        <v>#N/A</v>
      </c>
      <c r="AL257" s="49" t="e">
        <f t="shared" si="500"/>
        <v>#N/A</v>
      </c>
      <c r="AM257" s="25">
        <f t="shared" si="478"/>
        <v>30</v>
      </c>
      <c r="AN257" s="25">
        <f t="shared" si="479"/>
        <v>30</v>
      </c>
      <c r="AO257" s="25">
        <f t="shared" si="480"/>
        <v>30</v>
      </c>
      <c r="AP257" s="52" t="e">
        <f t="shared" si="501"/>
        <v>#N/A</v>
      </c>
      <c r="AQ257" s="53" t="e">
        <f t="shared" si="501"/>
        <v>#N/A</v>
      </c>
      <c r="AR257" s="54" t="e">
        <f t="shared" si="501"/>
        <v>#N/A</v>
      </c>
      <c r="AS257" s="316">
        <f t="shared" si="593"/>
        <v>0</v>
      </c>
      <c r="AT257" s="106">
        <f>_xlfn.IFNA($M257/VLOOKUP($BT257,'Unit information'!$A$2:$K$29,2,FALSE)*R257,0)*(1+$E$9)</f>
        <v>0</v>
      </c>
      <c r="AU257" s="107">
        <f>_xlfn.IFNA($M257/VLOOKUP($BT257,'Unit information'!$A$2:$K$29,3,FALSE)*S257,0)*(1+$E$9)</f>
        <v>0</v>
      </c>
      <c r="AV257" s="107">
        <f>_xlfn.IFNA($M257/VLOOKUP($BT257,'Unit information'!$A$2:$K$29,4,FALSE)*T257,0)*(1+$E$9)</f>
        <v>0</v>
      </c>
      <c r="AW257" s="107">
        <f>_xlfn.IFNA($M257/VLOOKUP($BT257,'Unit information'!$A$2:$K$29,5,FALSE)*U257,0)*(1+$E$9)</f>
        <v>0</v>
      </c>
      <c r="AX257" s="107">
        <f>_xlfn.IFNA($M257/VLOOKUP($BU257,'Unit information'!$A$2:$K$29,6,FALSE)*V257,0)*(1+$E$9)</f>
        <v>0</v>
      </c>
      <c r="AY257" s="107">
        <f>_xlfn.IFNA($M257/VLOOKUP($BU257,'Unit information'!$A$2:$K$29,7,FALSE)*W257,0)*(1+$E$9)</f>
        <v>0</v>
      </c>
      <c r="AZ257" s="107">
        <f>_xlfn.IFNA($M257/VLOOKUP($BU257,'Unit information'!$A$2:$K$29,8,FALSE)*X257,0)*(1+$E$9)</f>
        <v>0</v>
      </c>
      <c r="BA257" s="107">
        <f>_xlfn.IFNA($M257/VLOOKUP($BU257,'Unit information'!$A$2:$K$29,9,FALSE)*Y257,0)*(1+$E$9)</f>
        <v>0</v>
      </c>
      <c r="BB257" s="107">
        <f>_xlfn.IFNA($M257/VLOOKUP($BV257,'Unit information'!$A$2:$K$29,10,FALSE)*Z257,0)*(1+$E$9)</f>
        <v>0</v>
      </c>
      <c r="BC257" s="108">
        <f>_xlfn.IFNA($M257/VLOOKUP($BV257,'Unit information'!$A$2:$K$29,11,FALSE)*AA257,0)*(1+$E$9)</f>
        <v>0</v>
      </c>
      <c r="BD257" s="106">
        <f t="shared" si="481"/>
        <v>0</v>
      </c>
      <c r="BE257" s="107">
        <f t="shared" si="482"/>
        <v>0</v>
      </c>
      <c r="BF257" s="108">
        <f t="shared" si="483"/>
        <v>0</v>
      </c>
      <c r="BG257" s="25" t="e">
        <f t="shared" si="484"/>
        <v>#N/A</v>
      </c>
      <c r="BH257" s="25" t="e">
        <f t="shared" si="485"/>
        <v>#N/A</v>
      </c>
      <c r="BI257" s="25" t="e">
        <f t="shared" si="486"/>
        <v>#N/A</v>
      </c>
      <c r="BJ257" s="27" t="e">
        <f t="shared" si="487"/>
        <v>#N/A</v>
      </c>
      <c r="BK257" s="18" t="e">
        <f t="shared" si="488"/>
        <v>#N/A</v>
      </c>
      <c r="BL257" s="18" t="e">
        <f t="shared" si="489"/>
        <v>#N/A</v>
      </c>
      <c r="BM257" s="28" t="e">
        <f t="shared" si="540"/>
        <v>#N/A</v>
      </c>
      <c r="BN257" s="33">
        <f>HLOOKUP("maximum population",Miscelaneous!$C$1:$C$33,CH257+3,FALSE)</f>
        <v>240</v>
      </c>
      <c r="BO257" s="14">
        <f t="shared" si="502"/>
        <v>32</v>
      </c>
      <c r="BP257" s="14">
        <f t="shared" si="503"/>
        <v>0</v>
      </c>
      <c r="BQ257" s="14">
        <f t="shared" si="504"/>
        <v>208</v>
      </c>
      <c r="BR257" s="34" t="e">
        <f>HLOOKUP(J257,Villagers!$B$1:$V$33,L257+3,FALSE)-HLOOKUP(J257,Villagers!$B$1:$V$33,L257+2,FALSE)</f>
        <v>#N/A</v>
      </c>
      <c r="BS257" s="49">
        <f t="shared" si="505"/>
        <v>1</v>
      </c>
      <c r="BT257" s="50">
        <f t="shared" si="506"/>
        <v>0</v>
      </c>
      <c r="BU257" s="50">
        <f t="shared" si="507"/>
        <v>0</v>
      </c>
      <c r="BV257" s="50">
        <f t="shared" si="508"/>
        <v>0</v>
      </c>
      <c r="BW257" s="50">
        <f t="shared" si="607"/>
        <v>0</v>
      </c>
      <c r="BX257" s="50">
        <f t="shared" si="607"/>
        <v>0</v>
      </c>
      <c r="BY257" s="50">
        <f t="shared" si="607"/>
        <v>0</v>
      </c>
      <c r="BZ257" s="50">
        <f t="shared" si="554"/>
        <v>0</v>
      </c>
      <c r="CA257" s="50">
        <f t="shared" si="555"/>
        <v>0</v>
      </c>
      <c r="CB257" s="50">
        <f t="shared" si="556"/>
        <v>1</v>
      </c>
      <c r="CC257" s="50">
        <f t="shared" si="557"/>
        <v>0</v>
      </c>
      <c r="CD257" s="50">
        <f t="shared" si="558"/>
        <v>0</v>
      </c>
      <c r="CE257" s="50">
        <f t="shared" si="559"/>
        <v>1</v>
      </c>
      <c r="CF257" s="50">
        <f t="shared" si="560"/>
        <v>1</v>
      </c>
      <c r="CG257" s="50">
        <f t="shared" si="561"/>
        <v>1</v>
      </c>
      <c r="CH257" s="50">
        <f t="shared" si="562"/>
        <v>1</v>
      </c>
      <c r="CI257" s="50">
        <f t="shared" si="563"/>
        <v>1</v>
      </c>
      <c r="CJ257" s="50">
        <f t="shared" si="564"/>
        <v>1</v>
      </c>
      <c r="CK257" s="50">
        <f t="shared" si="564"/>
        <v>0</v>
      </c>
      <c r="CL257" s="50">
        <f t="shared" si="564"/>
        <v>0</v>
      </c>
      <c r="CM257" s="51">
        <f t="shared" si="605"/>
        <v>0</v>
      </c>
      <c r="CN257" s="33">
        <f>ROUND(IF(BS257=0,0,HLOOKUP(BS$14,Villagers!$B$1:$V$33,BS257+3,FALSE)),)</f>
        <v>5</v>
      </c>
      <c r="CO257" s="14">
        <f>ROUND(IF(BT257=0,0,HLOOKUP(BT$14,Villagers!$B$1:$V$33,BT257+3,FALSE)),)</f>
        <v>0</v>
      </c>
      <c r="CP257" s="14">
        <f>ROUND(IF(BU257=0,0,HLOOKUP(BU$14,Villagers!$B$1:$V$33,BU257+3,FALSE)),)</f>
        <v>0</v>
      </c>
      <c r="CQ257" s="14">
        <f>ROUND(IF(BV257=0,0,HLOOKUP(BV$14,Villagers!$B$1:$V$33,BV257+3,FALSE)),)</f>
        <v>0</v>
      </c>
      <c r="CR257" s="14">
        <f>ROUND(IF(BW257=0,0,HLOOKUP(BW$14,Villagers!$B$1:$V$33,BW257+3,FALSE)),)</f>
        <v>0</v>
      </c>
      <c r="CS257" s="14">
        <f>ROUND(IF(BX257=0,0,HLOOKUP(BX$14,Villagers!$B$1:$V$33,BX257+3,FALSE)),)</f>
        <v>0</v>
      </c>
      <c r="CT257" s="14">
        <f>ROUND(IF(BY257=0,0,HLOOKUP(BY$14,Villagers!$B$1:$V$33,BY257+3,FALSE)),)</f>
        <v>0</v>
      </c>
      <c r="CU257" s="14">
        <f>ROUND(IF(BZ257=0,0,HLOOKUP(BZ$14,Villagers!$B$1:$V$33,BZ257+3,FALSE)),)</f>
        <v>0</v>
      </c>
      <c r="CV257" s="14">
        <f>ROUND(IF(CA257=0,0,HLOOKUP(CA$14,Villagers!$B$1:$V$33,CA257+3,FALSE)),)</f>
        <v>0</v>
      </c>
      <c r="CW257" s="14">
        <f>ROUND(IF(CB257=0,0,HLOOKUP(CB$14,Villagers!$B$1:$V$33,CB257+3,FALSE)),)</f>
        <v>0</v>
      </c>
      <c r="CX257" s="14">
        <f>ROUND(IF(CC257=0,0,HLOOKUP(CC$14,Villagers!$B$1:$V$33,CC257+3,FALSE)),)</f>
        <v>0</v>
      </c>
      <c r="CY257" s="14">
        <f>ROUND(IF(CD257=0,0,HLOOKUP(CD$14,Villagers!$B$1:$V$33,CD257+3,FALSE)),)</f>
        <v>0</v>
      </c>
      <c r="CZ257" s="14">
        <f>ROUND(IF(CE257=0,0,HLOOKUP(CE$14,Villagers!$B$1:$V$33,CE257+3,FALSE)),)</f>
        <v>5</v>
      </c>
      <c r="DA257" s="14">
        <f>ROUND(IF(CF257=0,0,HLOOKUP(CF$14,Villagers!$B$1:$V$33,CF257+3,FALSE)),)</f>
        <v>10</v>
      </c>
      <c r="DB257" s="14">
        <f>ROUND(IF(CG257=0,0,HLOOKUP(CG$14,Villagers!$B$1:$V$33,CG257+3,FALSE)),)</f>
        <v>10</v>
      </c>
      <c r="DC257" s="14">
        <f>ROUND(IF(CH257=0,0,HLOOKUP(CH$14,Villagers!$B$1:$V$33,CH257+3,FALSE)),)</f>
        <v>0</v>
      </c>
      <c r="DD257" s="14">
        <f>ROUND(IF(CI257=0,0,HLOOKUP(CI$14,Villagers!$B$1:$V$33,CI257+3,FALSE)),)</f>
        <v>0</v>
      </c>
      <c r="DE257" s="14">
        <f>ROUND(IF(CJ257=0,0,HLOOKUP(CJ$14,Villagers!$B$1:$V$33,CJ257+3,FALSE)),)</f>
        <v>2</v>
      </c>
      <c r="DF257" s="370">
        <f>ROUND(IF(CK257=0,0,HLOOKUP(CK$14,Villagers!$B$1:$V$33,CK257+3,FALSE)),)</f>
        <v>0</v>
      </c>
      <c r="DG257" s="370">
        <f>ROUND(IF(CL257=0,0,HLOOKUP(CL$14,Villagers!$B$1:$V$33,CL257+3,FALSE)),)</f>
        <v>0</v>
      </c>
      <c r="DH257" s="34">
        <f>ROUND(IF(CM257=0,0,HLOOKUP(CM$14,Villagers!$B$1:$V$33,CM257+3,FALSE)),)</f>
        <v>0</v>
      </c>
      <c r="DI257" s="109">
        <f t="shared" si="526"/>
        <v>0</v>
      </c>
      <c r="DJ257" s="50">
        <f t="shared" si="527"/>
        <v>0</v>
      </c>
      <c r="DK257" s="50">
        <f t="shared" si="528"/>
        <v>0</v>
      </c>
      <c r="DL257" s="50">
        <f t="shared" si="529"/>
        <v>0</v>
      </c>
      <c r="DM257" s="50">
        <f t="shared" si="530"/>
        <v>0</v>
      </c>
      <c r="DN257" s="50">
        <f t="shared" si="531"/>
        <v>0</v>
      </c>
      <c r="DO257" s="50">
        <f t="shared" si="532"/>
        <v>0</v>
      </c>
      <c r="DP257" s="50">
        <f t="shared" si="533"/>
        <v>0</v>
      </c>
      <c r="DQ257" s="50">
        <f t="shared" si="510"/>
        <v>0</v>
      </c>
      <c r="DR257" s="50">
        <f t="shared" si="511"/>
        <v>0</v>
      </c>
      <c r="DS257" s="96">
        <f>Miscelaneous!$D$4*Miscelaneous!$D$2^($CI257-1)</f>
        <v>1000</v>
      </c>
      <c r="DT257" s="333">
        <f t="shared" si="490"/>
        <v>1</v>
      </c>
      <c r="DU257" s="81">
        <v>1</v>
      </c>
      <c r="DV257" s="79">
        <f t="shared" si="512"/>
        <v>0</v>
      </c>
      <c r="DW257" s="79">
        <f t="shared" si="513"/>
        <v>0</v>
      </c>
      <c r="DX257" s="79">
        <f t="shared" si="514"/>
        <v>0</v>
      </c>
      <c r="DY257" s="79">
        <v>1</v>
      </c>
      <c r="DZ257" s="79">
        <f t="shared" si="515"/>
        <v>0</v>
      </c>
      <c r="EA257" s="79">
        <f t="shared" si="516"/>
        <v>0</v>
      </c>
      <c r="EB257" s="79">
        <f t="shared" si="517"/>
        <v>0</v>
      </c>
      <c r="EC257" s="79">
        <f t="shared" si="518"/>
        <v>0</v>
      </c>
      <c r="ED257" s="79">
        <v>1</v>
      </c>
      <c r="EE257" s="79">
        <v>1</v>
      </c>
      <c r="EF257" s="79">
        <f t="shared" si="519"/>
        <v>0</v>
      </c>
      <c r="EG257" s="79">
        <v>1</v>
      </c>
      <c r="EH257" s="79">
        <v>1</v>
      </c>
      <c r="EI257" s="79">
        <v>1</v>
      </c>
      <c r="EJ257" s="79">
        <v>1</v>
      </c>
      <c r="EK257" s="79">
        <v>1</v>
      </c>
      <c r="EL257" s="79">
        <v>1</v>
      </c>
      <c r="EM257" s="143">
        <f t="shared" si="520"/>
        <v>0</v>
      </c>
      <c r="EN257" s="143">
        <f t="shared" si="521"/>
        <v>0</v>
      </c>
      <c r="EO257" s="82">
        <f t="shared" si="522"/>
        <v>0</v>
      </c>
    </row>
    <row r="258" spans="1:145" x14ac:dyDescent="0.25">
      <c r="A258">
        <v>244</v>
      </c>
      <c r="B258" s="172" t="e">
        <f t="shared" si="491"/>
        <v>#N/A</v>
      </c>
      <c r="C258" s="121" t="e">
        <f t="shared" ref="C258:E258" si="609">AJ258-SUM(AB258:AB262)</f>
        <v>#N/A</v>
      </c>
      <c r="D258" s="122" t="e">
        <f t="shared" si="609"/>
        <v>#N/A</v>
      </c>
      <c r="E258" s="122" t="e">
        <f t="shared" si="609"/>
        <v>#N/A</v>
      </c>
      <c r="F258" s="176" t="e">
        <f t="shared" si="473"/>
        <v>#N/A</v>
      </c>
      <c r="G258" s="121">
        <f t="shared" si="493"/>
        <v>208</v>
      </c>
      <c r="H258" s="176" t="e">
        <f t="shared" si="494"/>
        <v>#N/A</v>
      </c>
      <c r="I258" s="48">
        <v>1</v>
      </c>
      <c r="J258" s="39"/>
      <c r="K258" s="350">
        <v>1</v>
      </c>
      <c r="L258" s="34" t="e">
        <f t="shared" si="474"/>
        <v>#N/A</v>
      </c>
      <c r="M258" s="38" t="e">
        <f>(HLOOKUP(J258,'Construction Times'!$B$3:$W$34,L258+2,FALSE)*HLOOKUP("hq modifier",'Construction Times'!$W$3:$W$34,BS258+2,FALSE))*(1-$H$9)</f>
        <v>#N/A</v>
      </c>
      <c r="N258" s="426" t="e">
        <f t="shared" si="495"/>
        <v>#N/A</v>
      </c>
      <c r="O258" s="427"/>
      <c r="P258" s="430" t="e">
        <f t="shared" si="496"/>
        <v>#N/A</v>
      </c>
      <c r="Q258" s="431"/>
      <c r="R258" s="103">
        <f t="shared" si="524"/>
        <v>0</v>
      </c>
      <c r="S258" s="104">
        <f t="shared" si="524"/>
        <v>0</v>
      </c>
      <c r="T258" s="104">
        <f t="shared" si="525"/>
        <v>0</v>
      </c>
      <c r="U258" s="104">
        <f t="shared" si="525"/>
        <v>0</v>
      </c>
      <c r="V258" s="104">
        <f t="shared" si="525"/>
        <v>9.9999999999999995E-8</v>
      </c>
      <c r="W258" s="104">
        <f t="shared" si="525"/>
        <v>0</v>
      </c>
      <c r="X258" s="104">
        <f t="shared" si="584"/>
        <v>0</v>
      </c>
      <c r="Y258" s="104">
        <f t="shared" si="584"/>
        <v>9.9999999999999995E-8</v>
      </c>
      <c r="Z258" s="104">
        <f t="shared" si="584"/>
        <v>9.9999999999999995E-8</v>
      </c>
      <c r="AA258" s="105">
        <f t="shared" si="584"/>
        <v>9.9999999999999995E-8</v>
      </c>
      <c r="AB258" s="101" t="e">
        <f>$DT258*HLOOKUP($J258,'Construction Costs (timber)'!$B$1:$V$32,'Construction Planner'!$L258+2,FALSE)</f>
        <v>#N/A</v>
      </c>
      <c r="AC258" s="14" t="e">
        <f>$DT258*HLOOKUP($J258,'Construction Costs (clay)'!$B$1:$V$32,'Construction Planner'!$L258+2,FALSE)</f>
        <v>#N/A</v>
      </c>
      <c r="AD258" s="14" t="e">
        <f>$DT258*HLOOKUP($J258,'Construction Costs (iron)'!$B$1:$V$32,'Construction Planner'!$L258+2,FALSE)</f>
        <v>#N/A</v>
      </c>
      <c r="AE258" s="34" t="e">
        <f t="shared" si="537"/>
        <v>#N/A</v>
      </c>
      <c r="AF258" s="33" t="e">
        <f t="shared" si="475"/>
        <v>#N/A</v>
      </c>
      <c r="AG258" s="14" t="e">
        <f t="shared" si="476"/>
        <v>#N/A</v>
      </c>
      <c r="AH258" s="14" t="e">
        <f t="shared" si="477"/>
        <v>#N/A</v>
      </c>
      <c r="AI258" s="34" t="e">
        <f t="shared" si="538"/>
        <v>#N/A</v>
      </c>
      <c r="AJ258" s="49" t="e">
        <f t="shared" si="498"/>
        <v>#N/A</v>
      </c>
      <c r="AK258" s="49" t="e">
        <f t="shared" si="499"/>
        <v>#N/A</v>
      </c>
      <c r="AL258" s="49" t="e">
        <f t="shared" si="500"/>
        <v>#N/A</v>
      </c>
      <c r="AM258" s="25">
        <f t="shared" si="478"/>
        <v>30</v>
      </c>
      <c r="AN258" s="25">
        <f t="shared" si="479"/>
        <v>30</v>
      </c>
      <c r="AO258" s="25">
        <f t="shared" si="480"/>
        <v>30</v>
      </c>
      <c r="AP258" s="52" t="e">
        <f t="shared" si="501"/>
        <v>#N/A</v>
      </c>
      <c r="AQ258" s="53" t="e">
        <f t="shared" si="501"/>
        <v>#N/A</v>
      </c>
      <c r="AR258" s="54" t="e">
        <f t="shared" si="501"/>
        <v>#N/A</v>
      </c>
      <c r="AS258" s="316">
        <f t="shared" si="593"/>
        <v>0</v>
      </c>
      <c r="AT258" s="106">
        <f>_xlfn.IFNA($M258/VLOOKUP($BT258,'Unit information'!$A$2:$K$29,2,FALSE)*R258,0)*(1+$E$9)</f>
        <v>0</v>
      </c>
      <c r="AU258" s="107">
        <f>_xlfn.IFNA($M258/VLOOKUP($BT258,'Unit information'!$A$2:$K$29,3,FALSE)*S258,0)*(1+$E$9)</f>
        <v>0</v>
      </c>
      <c r="AV258" s="107">
        <f>_xlfn.IFNA($M258/VLOOKUP($BT258,'Unit information'!$A$2:$K$29,4,FALSE)*T258,0)*(1+$E$9)</f>
        <v>0</v>
      </c>
      <c r="AW258" s="107">
        <f>_xlfn.IFNA($M258/VLOOKUP($BT258,'Unit information'!$A$2:$K$29,5,FALSE)*U258,0)*(1+$E$9)</f>
        <v>0</v>
      </c>
      <c r="AX258" s="107">
        <f>_xlfn.IFNA($M258/VLOOKUP($BU258,'Unit information'!$A$2:$K$29,6,FALSE)*V258,0)*(1+$E$9)</f>
        <v>0</v>
      </c>
      <c r="AY258" s="107">
        <f>_xlfn.IFNA($M258/VLOOKUP($BU258,'Unit information'!$A$2:$K$29,7,FALSE)*W258,0)*(1+$E$9)</f>
        <v>0</v>
      </c>
      <c r="AZ258" s="107">
        <f>_xlfn.IFNA($M258/VLOOKUP($BU258,'Unit information'!$A$2:$K$29,8,FALSE)*X258,0)*(1+$E$9)</f>
        <v>0</v>
      </c>
      <c r="BA258" s="107">
        <f>_xlfn.IFNA($M258/VLOOKUP($BU258,'Unit information'!$A$2:$K$29,9,FALSE)*Y258,0)*(1+$E$9)</f>
        <v>0</v>
      </c>
      <c r="BB258" s="107">
        <f>_xlfn.IFNA($M258/VLOOKUP($BV258,'Unit information'!$A$2:$K$29,10,FALSE)*Z258,0)*(1+$E$9)</f>
        <v>0</v>
      </c>
      <c r="BC258" s="108">
        <f>_xlfn.IFNA($M258/VLOOKUP($BV258,'Unit information'!$A$2:$K$29,11,FALSE)*AA258,0)*(1+$E$9)</f>
        <v>0</v>
      </c>
      <c r="BD258" s="106">
        <f t="shared" si="481"/>
        <v>0</v>
      </c>
      <c r="BE258" s="107">
        <f t="shared" si="482"/>
        <v>0</v>
      </c>
      <c r="BF258" s="108">
        <f t="shared" si="483"/>
        <v>0</v>
      </c>
      <c r="BG258" s="25" t="e">
        <f t="shared" si="484"/>
        <v>#N/A</v>
      </c>
      <c r="BH258" s="25" t="e">
        <f t="shared" si="485"/>
        <v>#N/A</v>
      </c>
      <c r="BI258" s="25" t="e">
        <f t="shared" si="486"/>
        <v>#N/A</v>
      </c>
      <c r="BJ258" s="27" t="e">
        <f t="shared" si="487"/>
        <v>#N/A</v>
      </c>
      <c r="BK258" s="18" t="e">
        <f t="shared" si="488"/>
        <v>#N/A</v>
      </c>
      <c r="BL258" s="18" t="e">
        <f t="shared" si="489"/>
        <v>#N/A</v>
      </c>
      <c r="BM258" s="28" t="e">
        <f t="shared" si="540"/>
        <v>#N/A</v>
      </c>
      <c r="BN258" s="33">
        <f>HLOOKUP("maximum population",Miscelaneous!$C$1:$C$33,CH258+3,FALSE)</f>
        <v>240</v>
      </c>
      <c r="BO258" s="14">
        <f t="shared" si="502"/>
        <v>32</v>
      </c>
      <c r="BP258" s="14">
        <f t="shared" si="503"/>
        <v>0</v>
      </c>
      <c r="BQ258" s="14">
        <f t="shared" si="504"/>
        <v>208</v>
      </c>
      <c r="BR258" s="34" t="e">
        <f>HLOOKUP(J258,Villagers!$B$1:$V$33,L258+3,FALSE)-HLOOKUP(J258,Villagers!$B$1:$V$33,L258+2,FALSE)</f>
        <v>#N/A</v>
      </c>
      <c r="BS258" s="49">
        <f t="shared" si="505"/>
        <v>1</v>
      </c>
      <c r="BT258" s="50">
        <f t="shared" si="506"/>
        <v>0</v>
      </c>
      <c r="BU258" s="50">
        <f t="shared" si="507"/>
        <v>0</v>
      </c>
      <c r="BV258" s="50">
        <f t="shared" si="508"/>
        <v>0</v>
      </c>
      <c r="BW258" s="50">
        <f t="shared" si="607"/>
        <v>0</v>
      </c>
      <c r="BX258" s="50">
        <f t="shared" si="607"/>
        <v>0</v>
      </c>
      <c r="BY258" s="50">
        <f t="shared" si="607"/>
        <v>0</v>
      </c>
      <c r="BZ258" s="50">
        <f t="shared" si="554"/>
        <v>0</v>
      </c>
      <c r="CA258" s="50">
        <f t="shared" si="555"/>
        <v>0</v>
      </c>
      <c r="CB258" s="50">
        <f t="shared" si="556"/>
        <v>1</v>
      </c>
      <c r="CC258" s="50">
        <f t="shared" si="557"/>
        <v>0</v>
      </c>
      <c r="CD258" s="50">
        <f t="shared" si="558"/>
        <v>0</v>
      </c>
      <c r="CE258" s="50">
        <f t="shared" si="559"/>
        <v>1</v>
      </c>
      <c r="CF258" s="50">
        <f t="shared" si="560"/>
        <v>1</v>
      </c>
      <c r="CG258" s="50">
        <f t="shared" si="561"/>
        <v>1</v>
      </c>
      <c r="CH258" s="50">
        <f t="shared" si="562"/>
        <v>1</v>
      </c>
      <c r="CI258" s="50">
        <f t="shared" si="563"/>
        <v>1</v>
      </c>
      <c r="CJ258" s="50">
        <f t="shared" si="564"/>
        <v>1</v>
      </c>
      <c r="CK258" s="50">
        <f t="shared" si="564"/>
        <v>0</v>
      </c>
      <c r="CL258" s="50">
        <f t="shared" si="564"/>
        <v>0</v>
      </c>
      <c r="CM258" s="51">
        <f t="shared" si="605"/>
        <v>0</v>
      </c>
      <c r="CN258" s="33">
        <f>ROUND(IF(BS258=0,0,HLOOKUP(BS$14,Villagers!$B$1:$V$33,BS258+3,FALSE)),)</f>
        <v>5</v>
      </c>
      <c r="CO258" s="14">
        <f>ROUND(IF(BT258=0,0,HLOOKUP(BT$14,Villagers!$B$1:$V$33,BT258+3,FALSE)),)</f>
        <v>0</v>
      </c>
      <c r="CP258" s="14">
        <f>ROUND(IF(BU258=0,0,HLOOKUP(BU$14,Villagers!$B$1:$V$33,BU258+3,FALSE)),)</f>
        <v>0</v>
      </c>
      <c r="CQ258" s="14">
        <f>ROUND(IF(BV258=0,0,HLOOKUP(BV$14,Villagers!$B$1:$V$33,BV258+3,FALSE)),)</f>
        <v>0</v>
      </c>
      <c r="CR258" s="14">
        <f>ROUND(IF(BW258=0,0,HLOOKUP(BW$14,Villagers!$B$1:$V$33,BW258+3,FALSE)),)</f>
        <v>0</v>
      </c>
      <c r="CS258" s="14">
        <f>ROUND(IF(BX258=0,0,HLOOKUP(BX$14,Villagers!$B$1:$V$33,BX258+3,FALSE)),)</f>
        <v>0</v>
      </c>
      <c r="CT258" s="14">
        <f>ROUND(IF(BY258=0,0,HLOOKUP(BY$14,Villagers!$B$1:$V$33,BY258+3,FALSE)),)</f>
        <v>0</v>
      </c>
      <c r="CU258" s="14">
        <f>ROUND(IF(BZ258=0,0,HLOOKUP(BZ$14,Villagers!$B$1:$V$33,BZ258+3,FALSE)),)</f>
        <v>0</v>
      </c>
      <c r="CV258" s="14">
        <f>ROUND(IF(CA258=0,0,HLOOKUP(CA$14,Villagers!$B$1:$V$33,CA258+3,FALSE)),)</f>
        <v>0</v>
      </c>
      <c r="CW258" s="14">
        <f>ROUND(IF(CB258=0,0,HLOOKUP(CB$14,Villagers!$B$1:$V$33,CB258+3,FALSE)),)</f>
        <v>0</v>
      </c>
      <c r="CX258" s="14">
        <f>ROUND(IF(CC258=0,0,HLOOKUP(CC$14,Villagers!$B$1:$V$33,CC258+3,FALSE)),)</f>
        <v>0</v>
      </c>
      <c r="CY258" s="14">
        <f>ROUND(IF(CD258=0,0,HLOOKUP(CD$14,Villagers!$B$1:$V$33,CD258+3,FALSE)),)</f>
        <v>0</v>
      </c>
      <c r="CZ258" s="14">
        <f>ROUND(IF(CE258=0,0,HLOOKUP(CE$14,Villagers!$B$1:$V$33,CE258+3,FALSE)),)</f>
        <v>5</v>
      </c>
      <c r="DA258" s="14">
        <f>ROUND(IF(CF258=0,0,HLOOKUP(CF$14,Villagers!$B$1:$V$33,CF258+3,FALSE)),)</f>
        <v>10</v>
      </c>
      <c r="DB258" s="14">
        <f>ROUND(IF(CG258=0,0,HLOOKUP(CG$14,Villagers!$B$1:$V$33,CG258+3,FALSE)),)</f>
        <v>10</v>
      </c>
      <c r="DC258" s="14">
        <f>ROUND(IF(CH258=0,0,HLOOKUP(CH$14,Villagers!$B$1:$V$33,CH258+3,FALSE)),)</f>
        <v>0</v>
      </c>
      <c r="DD258" s="14">
        <f>ROUND(IF(CI258=0,0,HLOOKUP(CI$14,Villagers!$B$1:$V$33,CI258+3,FALSE)),)</f>
        <v>0</v>
      </c>
      <c r="DE258" s="14">
        <f>ROUND(IF(CJ258=0,0,HLOOKUP(CJ$14,Villagers!$B$1:$V$33,CJ258+3,FALSE)),)</f>
        <v>2</v>
      </c>
      <c r="DF258" s="370">
        <f>ROUND(IF(CK258=0,0,HLOOKUP(CK$14,Villagers!$B$1:$V$33,CK258+3,FALSE)),)</f>
        <v>0</v>
      </c>
      <c r="DG258" s="370">
        <f>ROUND(IF(CL258=0,0,HLOOKUP(CL$14,Villagers!$B$1:$V$33,CL258+3,FALSE)),)</f>
        <v>0</v>
      </c>
      <c r="DH258" s="34">
        <f>ROUND(IF(CM258=0,0,HLOOKUP(CM$14,Villagers!$B$1:$V$33,CM258+3,FALSE)),)</f>
        <v>0</v>
      </c>
      <c r="DI258" s="109">
        <f t="shared" si="526"/>
        <v>0</v>
      </c>
      <c r="DJ258" s="50">
        <f t="shared" si="527"/>
        <v>0</v>
      </c>
      <c r="DK258" s="50">
        <f t="shared" si="528"/>
        <v>0</v>
      </c>
      <c r="DL258" s="50">
        <f t="shared" si="529"/>
        <v>0</v>
      </c>
      <c r="DM258" s="50">
        <f t="shared" si="530"/>
        <v>0</v>
      </c>
      <c r="DN258" s="50">
        <f t="shared" si="531"/>
        <v>0</v>
      </c>
      <c r="DO258" s="50">
        <f t="shared" si="532"/>
        <v>0</v>
      </c>
      <c r="DP258" s="50">
        <f t="shared" si="533"/>
        <v>0</v>
      </c>
      <c r="DQ258" s="50">
        <f t="shared" si="510"/>
        <v>0</v>
      </c>
      <c r="DR258" s="50">
        <f t="shared" si="511"/>
        <v>0</v>
      </c>
      <c r="DS258" s="96">
        <f>Miscelaneous!$D$4*Miscelaneous!$D$2^($CI258-1)</f>
        <v>1000</v>
      </c>
      <c r="DT258" s="333">
        <f t="shared" si="490"/>
        <v>1</v>
      </c>
      <c r="DU258" s="81">
        <v>1</v>
      </c>
      <c r="DV258" s="79">
        <f t="shared" si="512"/>
        <v>0</v>
      </c>
      <c r="DW258" s="79">
        <f t="shared" si="513"/>
        <v>0</v>
      </c>
      <c r="DX258" s="79">
        <f t="shared" si="514"/>
        <v>0</v>
      </c>
      <c r="DY258" s="79">
        <v>1</v>
      </c>
      <c r="DZ258" s="79">
        <f t="shared" si="515"/>
        <v>0</v>
      </c>
      <c r="EA258" s="79">
        <f t="shared" si="516"/>
        <v>0</v>
      </c>
      <c r="EB258" s="79">
        <f t="shared" si="517"/>
        <v>0</v>
      </c>
      <c r="EC258" s="79">
        <f t="shared" si="518"/>
        <v>0</v>
      </c>
      <c r="ED258" s="79">
        <v>1</v>
      </c>
      <c r="EE258" s="79">
        <v>1</v>
      </c>
      <c r="EF258" s="79">
        <f t="shared" si="519"/>
        <v>0</v>
      </c>
      <c r="EG258" s="79">
        <v>1</v>
      </c>
      <c r="EH258" s="79">
        <v>1</v>
      </c>
      <c r="EI258" s="79">
        <v>1</v>
      </c>
      <c r="EJ258" s="79">
        <v>1</v>
      </c>
      <c r="EK258" s="79">
        <v>1</v>
      </c>
      <c r="EL258" s="79">
        <v>1</v>
      </c>
      <c r="EM258" s="143">
        <f t="shared" si="520"/>
        <v>0</v>
      </c>
      <c r="EN258" s="143">
        <f t="shared" si="521"/>
        <v>0</v>
      </c>
      <c r="EO258" s="82">
        <f t="shared" si="522"/>
        <v>0</v>
      </c>
    </row>
    <row r="259" spans="1:145" x14ac:dyDescent="0.25">
      <c r="A259">
        <v>245</v>
      </c>
      <c r="B259" s="172" t="e">
        <f t="shared" si="491"/>
        <v>#N/A</v>
      </c>
      <c r="C259" s="121" t="e">
        <f t="shared" ref="C259:E259" si="610">AJ259-SUM(AB259:AB263)</f>
        <v>#N/A</v>
      </c>
      <c r="D259" s="122" t="e">
        <f t="shared" si="610"/>
        <v>#N/A</v>
      </c>
      <c r="E259" s="122" t="e">
        <f t="shared" si="610"/>
        <v>#N/A</v>
      </c>
      <c r="F259" s="176" t="e">
        <f t="shared" si="473"/>
        <v>#N/A</v>
      </c>
      <c r="G259" s="121">
        <f t="shared" si="493"/>
        <v>208</v>
      </c>
      <c r="H259" s="176" t="e">
        <f t="shared" si="494"/>
        <v>#N/A</v>
      </c>
      <c r="I259" s="48">
        <v>1</v>
      </c>
      <c r="J259" s="39"/>
      <c r="K259" s="350">
        <v>1</v>
      </c>
      <c r="L259" s="34" t="e">
        <f t="shared" si="474"/>
        <v>#N/A</v>
      </c>
      <c r="M259" s="38" t="e">
        <f>(HLOOKUP(J259,'Construction Times'!$B$3:$W$34,L259+2,FALSE)*HLOOKUP("hq modifier",'Construction Times'!$W$3:$W$34,BS259+2,FALSE))*(1-$H$9)</f>
        <v>#N/A</v>
      </c>
      <c r="N259" s="426" t="e">
        <f t="shared" si="495"/>
        <v>#N/A</v>
      </c>
      <c r="O259" s="427"/>
      <c r="P259" s="430" t="e">
        <f t="shared" si="496"/>
        <v>#N/A</v>
      </c>
      <c r="Q259" s="431"/>
      <c r="R259" s="103">
        <f t="shared" si="524"/>
        <v>0</v>
      </c>
      <c r="S259" s="104">
        <f t="shared" si="524"/>
        <v>0</v>
      </c>
      <c r="T259" s="104">
        <f t="shared" si="525"/>
        <v>0</v>
      </c>
      <c r="U259" s="104">
        <f t="shared" si="525"/>
        <v>0</v>
      </c>
      <c r="V259" s="104">
        <f t="shared" si="525"/>
        <v>9.9999999999999995E-8</v>
      </c>
      <c r="W259" s="104">
        <f t="shared" si="525"/>
        <v>0</v>
      </c>
      <c r="X259" s="104">
        <f t="shared" si="584"/>
        <v>0</v>
      </c>
      <c r="Y259" s="104">
        <f t="shared" si="584"/>
        <v>9.9999999999999995E-8</v>
      </c>
      <c r="Z259" s="104">
        <f t="shared" si="584"/>
        <v>9.9999999999999995E-8</v>
      </c>
      <c r="AA259" s="105">
        <f t="shared" si="584"/>
        <v>9.9999999999999995E-8</v>
      </c>
      <c r="AB259" s="101" t="e">
        <f>$DT259*HLOOKUP($J259,'Construction Costs (timber)'!$B$1:$V$32,'Construction Planner'!$L259+2,FALSE)</f>
        <v>#N/A</v>
      </c>
      <c r="AC259" s="14" t="e">
        <f>$DT259*HLOOKUP($J259,'Construction Costs (clay)'!$B$1:$V$32,'Construction Planner'!$L259+2,FALSE)</f>
        <v>#N/A</v>
      </c>
      <c r="AD259" s="14" t="e">
        <f>$DT259*HLOOKUP($J259,'Construction Costs (iron)'!$B$1:$V$32,'Construction Planner'!$L259+2,FALSE)</f>
        <v>#N/A</v>
      </c>
      <c r="AE259" s="34" t="e">
        <f t="shared" si="537"/>
        <v>#N/A</v>
      </c>
      <c r="AF259" s="33" t="e">
        <f t="shared" si="475"/>
        <v>#N/A</v>
      </c>
      <c r="AG259" s="14" t="e">
        <f t="shared" si="476"/>
        <v>#N/A</v>
      </c>
      <c r="AH259" s="14" t="e">
        <f t="shared" si="477"/>
        <v>#N/A</v>
      </c>
      <c r="AI259" s="34" t="e">
        <f t="shared" si="538"/>
        <v>#N/A</v>
      </c>
      <c r="AJ259" s="49" t="e">
        <f t="shared" si="498"/>
        <v>#N/A</v>
      </c>
      <c r="AK259" s="49" t="e">
        <f t="shared" si="499"/>
        <v>#N/A</v>
      </c>
      <c r="AL259" s="49" t="e">
        <f t="shared" si="500"/>
        <v>#N/A</v>
      </c>
      <c r="AM259" s="25">
        <f t="shared" si="478"/>
        <v>30</v>
      </c>
      <c r="AN259" s="25">
        <f t="shared" si="479"/>
        <v>30</v>
      </c>
      <c r="AO259" s="25">
        <f t="shared" si="480"/>
        <v>30</v>
      </c>
      <c r="AP259" s="52" t="e">
        <f t="shared" si="501"/>
        <v>#N/A</v>
      </c>
      <c r="AQ259" s="53" t="e">
        <f t="shared" si="501"/>
        <v>#N/A</v>
      </c>
      <c r="AR259" s="54" t="e">
        <f t="shared" si="501"/>
        <v>#N/A</v>
      </c>
      <c r="AS259" s="316">
        <f t="shared" si="593"/>
        <v>0</v>
      </c>
      <c r="AT259" s="106">
        <f>_xlfn.IFNA($M259/VLOOKUP($BT259,'Unit information'!$A$2:$K$29,2,FALSE)*R259,0)*(1+$E$9)</f>
        <v>0</v>
      </c>
      <c r="AU259" s="107">
        <f>_xlfn.IFNA($M259/VLOOKUP($BT259,'Unit information'!$A$2:$K$29,3,FALSE)*S259,0)*(1+$E$9)</f>
        <v>0</v>
      </c>
      <c r="AV259" s="107">
        <f>_xlfn.IFNA($M259/VLOOKUP($BT259,'Unit information'!$A$2:$K$29,4,FALSE)*T259,0)*(1+$E$9)</f>
        <v>0</v>
      </c>
      <c r="AW259" s="107">
        <f>_xlfn.IFNA($M259/VLOOKUP($BT259,'Unit information'!$A$2:$K$29,5,FALSE)*U259,0)*(1+$E$9)</f>
        <v>0</v>
      </c>
      <c r="AX259" s="107">
        <f>_xlfn.IFNA($M259/VLOOKUP($BU259,'Unit information'!$A$2:$K$29,6,FALSE)*V259,0)*(1+$E$9)</f>
        <v>0</v>
      </c>
      <c r="AY259" s="107">
        <f>_xlfn.IFNA($M259/VLOOKUP($BU259,'Unit information'!$A$2:$K$29,7,FALSE)*W259,0)*(1+$E$9)</f>
        <v>0</v>
      </c>
      <c r="AZ259" s="107">
        <f>_xlfn.IFNA($M259/VLOOKUP($BU259,'Unit information'!$A$2:$K$29,8,FALSE)*X259,0)*(1+$E$9)</f>
        <v>0</v>
      </c>
      <c r="BA259" s="107">
        <f>_xlfn.IFNA($M259/VLOOKUP($BU259,'Unit information'!$A$2:$K$29,9,FALSE)*Y259,0)*(1+$E$9)</f>
        <v>0</v>
      </c>
      <c r="BB259" s="107">
        <f>_xlfn.IFNA($M259/VLOOKUP($BV259,'Unit information'!$A$2:$K$29,10,FALSE)*Z259,0)*(1+$E$9)</f>
        <v>0</v>
      </c>
      <c r="BC259" s="108">
        <f>_xlfn.IFNA($M259/VLOOKUP($BV259,'Unit information'!$A$2:$K$29,11,FALSE)*AA259,0)*(1+$E$9)</f>
        <v>0</v>
      </c>
      <c r="BD259" s="106">
        <f t="shared" si="481"/>
        <v>0</v>
      </c>
      <c r="BE259" s="107">
        <f t="shared" si="482"/>
        <v>0</v>
      </c>
      <c r="BF259" s="108">
        <f t="shared" si="483"/>
        <v>0</v>
      </c>
      <c r="BG259" s="25" t="e">
        <f t="shared" si="484"/>
        <v>#N/A</v>
      </c>
      <c r="BH259" s="25" t="e">
        <f t="shared" si="485"/>
        <v>#N/A</v>
      </c>
      <c r="BI259" s="25" t="e">
        <f t="shared" si="486"/>
        <v>#N/A</v>
      </c>
      <c r="BJ259" s="27" t="e">
        <f t="shared" si="487"/>
        <v>#N/A</v>
      </c>
      <c r="BK259" s="18" t="e">
        <f t="shared" si="488"/>
        <v>#N/A</v>
      </c>
      <c r="BL259" s="18" t="e">
        <f t="shared" si="489"/>
        <v>#N/A</v>
      </c>
      <c r="BM259" s="28" t="e">
        <f t="shared" si="540"/>
        <v>#N/A</v>
      </c>
      <c r="BN259" s="33">
        <f>HLOOKUP("maximum population",Miscelaneous!$C$1:$C$33,CH259+3,FALSE)</f>
        <v>240</v>
      </c>
      <c r="BO259" s="14">
        <f t="shared" si="502"/>
        <v>32</v>
      </c>
      <c r="BP259" s="14">
        <f t="shared" si="503"/>
        <v>0</v>
      </c>
      <c r="BQ259" s="14">
        <f t="shared" si="504"/>
        <v>208</v>
      </c>
      <c r="BR259" s="34" t="e">
        <f>HLOOKUP(J259,Villagers!$B$1:$V$33,L259+3,FALSE)-HLOOKUP(J259,Villagers!$B$1:$V$33,L259+2,FALSE)</f>
        <v>#N/A</v>
      </c>
      <c r="BS259" s="49">
        <f t="shared" si="505"/>
        <v>1</v>
      </c>
      <c r="BT259" s="50">
        <f t="shared" si="506"/>
        <v>0</v>
      </c>
      <c r="BU259" s="50">
        <f t="shared" si="507"/>
        <v>0</v>
      </c>
      <c r="BV259" s="50">
        <f t="shared" si="508"/>
        <v>0</v>
      </c>
      <c r="BW259" s="50">
        <f t="shared" si="607"/>
        <v>0</v>
      </c>
      <c r="BX259" s="50">
        <f t="shared" si="607"/>
        <v>0</v>
      </c>
      <c r="BY259" s="50">
        <f t="shared" si="607"/>
        <v>0</v>
      </c>
      <c r="BZ259" s="50">
        <f t="shared" si="554"/>
        <v>0</v>
      </c>
      <c r="CA259" s="50">
        <f t="shared" si="555"/>
        <v>0</v>
      </c>
      <c r="CB259" s="50">
        <f t="shared" si="556"/>
        <v>1</v>
      </c>
      <c r="CC259" s="50">
        <f t="shared" si="557"/>
        <v>0</v>
      </c>
      <c r="CD259" s="50">
        <f t="shared" si="558"/>
        <v>0</v>
      </c>
      <c r="CE259" s="50">
        <f t="shared" si="559"/>
        <v>1</v>
      </c>
      <c r="CF259" s="50">
        <f t="shared" si="560"/>
        <v>1</v>
      </c>
      <c r="CG259" s="50">
        <f t="shared" si="561"/>
        <v>1</v>
      </c>
      <c r="CH259" s="50">
        <f t="shared" si="562"/>
        <v>1</v>
      </c>
      <c r="CI259" s="50">
        <f t="shared" si="563"/>
        <v>1</v>
      </c>
      <c r="CJ259" s="50">
        <f t="shared" si="564"/>
        <v>1</v>
      </c>
      <c r="CK259" s="50">
        <f t="shared" si="564"/>
        <v>0</v>
      </c>
      <c r="CL259" s="50">
        <f t="shared" si="564"/>
        <v>0</v>
      </c>
      <c r="CM259" s="51">
        <f t="shared" si="605"/>
        <v>0</v>
      </c>
      <c r="CN259" s="33">
        <f>ROUND(IF(BS259=0,0,HLOOKUP(BS$14,Villagers!$B$1:$V$33,BS259+3,FALSE)),)</f>
        <v>5</v>
      </c>
      <c r="CO259" s="14">
        <f>ROUND(IF(BT259=0,0,HLOOKUP(BT$14,Villagers!$B$1:$V$33,BT259+3,FALSE)),)</f>
        <v>0</v>
      </c>
      <c r="CP259" s="14">
        <f>ROUND(IF(BU259=0,0,HLOOKUP(BU$14,Villagers!$B$1:$V$33,BU259+3,FALSE)),)</f>
        <v>0</v>
      </c>
      <c r="CQ259" s="14">
        <f>ROUND(IF(BV259=0,0,HLOOKUP(BV$14,Villagers!$B$1:$V$33,BV259+3,FALSE)),)</f>
        <v>0</v>
      </c>
      <c r="CR259" s="14">
        <f>ROUND(IF(BW259=0,0,HLOOKUP(BW$14,Villagers!$B$1:$V$33,BW259+3,FALSE)),)</f>
        <v>0</v>
      </c>
      <c r="CS259" s="14">
        <f>ROUND(IF(BX259=0,0,HLOOKUP(BX$14,Villagers!$B$1:$V$33,BX259+3,FALSE)),)</f>
        <v>0</v>
      </c>
      <c r="CT259" s="14">
        <f>ROUND(IF(BY259=0,0,HLOOKUP(BY$14,Villagers!$B$1:$V$33,BY259+3,FALSE)),)</f>
        <v>0</v>
      </c>
      <c r="CU259" s="14">
        <f>ROUND(IF(BZ259=0,0,HLOOKUP(BZ$14,Villagers!$B$1:$V$33,BZ259+3,FALSE)),)</f>
        <v>0</v>
      </c>
      <c r="CV259" s="14">
        <f>ROUND(IF(CA259=0,0,HLOOKUP(CA$14,Villagers!$B$1:$V$33,CA259+3,FALSE)),)</f>
        <v>0</v>
      </c>
      <c r="CW259" s="14">
        <f>ROUND(IF(CB259=0,0,HLOOKUP(CB$14,Villagers!$B$1:$V$33,CB259+3,FALSE)),)</f>
        <v>0</v>
      </c>
      <c r="CX259" s="14">
        <f>ROUND(IF(CC259=0,0,HLOOKUP(CC$14,Villagers!$B$1:$V$33,CC259+3,FALSE)),)</f>
        <v>0</v>
      </c>
      <c r="CY259" s="14">
        <f>ROUND(IF(CD259=0,0,HLOOKUP(CD$14,Villagers!$B$1:$V$33,CD259+3,FALSE)),)</f>
        <v>0</v>
      </c>
      <c r="CZ259" s="14">
        <f>ROUND(IF(CE259=0,0,HLOOKUP(CE$14,Villagers!$B$1:$V$33,CE259+3,FALSE)),)</f>
        <v>5</v>
      </c>
      <c r="DA259" s="14">
        <f>ROUND(IF(CF259=0,0,HLOOKUP(CF$14,Villagers!$B$1:$V$33,CF259+3,FALSE)),)</f>
        <v>10</v>
      </c>
      <c r="DB259" s="14">
        <f>ROUND(IF(CG259=0,0,HLOOKUP(CG$14,Villagers!$B$1:$V$33,CG259+3,FALSE)),)</f>
        <v>10</v>
      </c>
      <c r="DC259" s="14">
        <f>ROUND(IF(CH259=0,0,HLOOKUP(CH$14,Villagers!$B$1:$V$33,CH259+3,FALSE)),)</f>
        <v>0</v>
      </c>
      <c r="DD259" s="14">
        <f>ROUND(IF(CI259=0,0,HLOOKUP(CI$14,Villagers!$B$1:$V$33,CI259+3,FALSE)),)</f>
        <v>0</v>
      </c>
      <c r="DE259" s="14">
        <f>ROUND(IF(CJ259=0,0,HLOOKUP(CJ$14,Villagers!$B$1:$V$33,CJ259+3,FALSE)),)</f>
        <v>2</v>
      </c>
      <c r="DF259" s="370">
        <f>ROUND(IF(CK259=0,0,HLOOKUP(CK$14,Villagers!$B$1:$V$33,CK259+3,FALSE)),)</f>
        <v>0</v>
      </c>
      <c r="DG259" s="370">
        <f>ROUND(IF(CL259=0,0,HLOOKUP(CL$14,Villagers!$B$1:$V$33,CL259+3,FALSE)),)</f>
        <v>0</v>
      </c>
      <c r="DH259" s="34">
        <f>ROUND(IF(CM259=0,0,HLOOKUP(CM$14,Villagers!$B$1:$V$33,CM259+3,FALSE)),)</f>
        <v>0</v>
      </c>
      <c r="DI259" s="109">
        <f t="shared" si="526"/>
        <v>0</v>
      </c>
      <c r="DJ259" s="50">
        <f t="shared" si="527"/>
        <v>0</v>
      </c>
      <c r="DK259" s="50">
        <f t="shared" si="528"/>
        <v>0</v>
      </c>
      <c r="DL259" s="50">
        <f t="shared" si="529"/>
        <v>0</v>
      </c>
      <c r="DM259" s="50">
        <f t="shared" si="530"/>
        <v>0</v>
      </c>
      <c r="DN259" s="50">
        <f t="shared" si="531"/>
        <v>0</v>
      </c>
      <c r="DO259" s="50">
        <f t="shared" si="532"/>
        <v>0</v>
      </c>
      <c r="DP259" s="50">
        <f t="shared" si="533"/>
        <v>0</v>
      </c>
      <c r="DQ259" s="50">
        <f t="shared" si="510"/>
        <v>0</v>
      </c>
      <c r="DR259" s="50">
        <f t="shared" si="511"/>
        <v>0</v>
      </c>
      <c r="DS259" s="96">
        <f>Miscelaneous!$D$4*Miscelaneous!$D$2^($CI259-1)</f>
        <v>1000</v>
      </c>
      <c r="DT259" s="333">
        <f t="shared" si="490"/>
        <v>1</v>
      </c>
      <c r="DU259" s="81">
        <v>1</v>
      </c>
      <c r="DV259" s="79">
        <f t="shared" si="512"/>
        <v>0</v>
      </c>
      <c r="DW259" s="79">
        <f t="shared" si="513"/>
        <v>0</v>
      </c>
      <c r="DX259" s="79">
        <f t="shared" si="514"/>
        <v>0</v>
      </c>
      <c r="DY259" s="79">
        <v>1</v>
      </c>
      <c r="DZ259" s="79">
        <f t="shared" si="515"/>
        <v>0</v>
      </c>
      <c r="EA259" s="79">
        <f t="shared" si="516"/>
        <v>0</v>
      </c>
      <c r="EB259" s="79">
        <f t="shared" si="517"/>
        <v>0</v>
      </c>
      <c r="EC259" s="79">
        <f t="shared" si="518"/>
        <v>0</v>
      </c>
      <c r="ED259" s="79">
        <v>1</v>
      </c>
      <c r="EE259" s="79">
        <v>1</v>
      </c>
      <c r="EF259" s="79">
        <f t="shared" si="519"/>
        <v>0</v>
      </c>
      <c r="EG259" s="79">
        <v>1</v>
      </c>
      <c r="EH259" s="79">
        <v>1</v>
      </c>
      <c r="EI259" s="79">
        <v>1</v>
      </c>
      <c r="EJ259" s="79">
        <v>1</v>
      </c>
      <c r="EK259" s="79">
        <v>1</v>
      </c>
      <c r="EL259" s="79">
        <v>1</v>
      </c>
      <c r="EM259" s="143">
        <f t="shared" si="520"/>
        <v>0</v>
      </c>
      <c r="EN259" s="143">
        <f t="shared" si="521"/>
        <v>0</v>
      </c>
      <c r="EO259" s="82">
        <f t="shared" si="522"/>
        <v>0</v>
      </c>
    </row>
    <row r="260" spans="1:145" x14ac:dyDescent="0.25">
      <c r="A260">
        <v>246</v>
      </c>
      <c r="B260" s="172" t="e">
        <f t="shared" si="491"/>
        <v>#N/A</v>
      </c>
      <c r="C260" s="121" t="e">
        <f t="shared" ref="C260:E260" si="611">AJ260-SUM(AB260:AB264)</f>
        <v>#N/A</v>
      </c>
      <c r="D260" s="122" t="e">
        <f t="shared" si="611"/>
        <v>#N/A</v>
      </c>
      <c r="E260" s="122" t="e">
        <f t="shared" si="611"/>
        <v>#N/A</v>
      </c>
      <c r="F260" s="176" t="e">
        <f t="shared" si="473"/>
        <v>#N/A</v>
      </c>
      <c r="G260" s="121">
        <f t="shared" si="493"/>
        <v>208</v>
      </c>
      <c r="H260" s="176" t="e">
        <f t="shared" si="494"/>
        <v>#N/A</v>
      </c>
      <c r="I260" s="48">
        <v>1</v>
      </c>
      <c r="J260" s="39"/>
      <c r="K260" s="350">
        <v>1</v>
      </c>
      <c r="L260" s="34" t="e">
        <f t="shared" si="474"/>
        <v>#N/A</v>
      </c>
      <c r="M260" s="38" t="e">
        <f>(HLOOKUP(J260,'Construction Times'!$B$3:$W$34,L260+2,FALSE)*HLOOKUP("hq modifier",'Construction Times'!$W$3:$W$34,BS260+2,FALSE))*(1-$H$9)</f>
        <v>#N/A</v>
      </c>
      <c r="N260" s="426" t="e">
        <f t="shared" si="495"/>
        <v>#N/A</v>
      </c>
      <c r="O260" s="427"/>
      <c r="P260" s="430" t="e">
        <f t="shared" si="496"/>
        <v>#N/A</v>
      </c>
      <c r="Q260" s="431"/>
      <c r="R260" s="103">
        <f t="shared" si="524"/>
        <v>0</v>
      </c>
      <c r="S260" s="104">
        <f t="shared" si="524"/>
        <v>0</v>
      </c>
      <c r="T260" s="104">
        <f t="shared" si="525"/>
        <v>0</v>
      </c>
      <c r="U260" s="104">
        <f t="shared" si="525"/>
        <v>0</v>
      </c>
      <c r="V260" s="104">
        <f t="shared" si="525"/>
        <v>9.9999999999999995E-8</v>
      </c>
      <c r="W260" s="104">
        <f t="shared" si="525"/>
        <v>0</v>
      </c>
      <c r="X260" s="104">
        <f t="shared" si="584"/>
        <v>0</v>
      </c>
      <c r="Y260" s="104">
        <f t="shared" si="584"/>
        <v>9.9999999999999995E-8</v>
      </c>
      <c r="Z260" s="104">
        <f t="shared" si="584"/>
        <v>9.9999999999999995E-8</v>
      </c>
      <c r="AA260" s="105">
        <f t="shared" si="584"/>
        <v>9.9999999999999995E-8</v>
      </c>
      <c r="AB260" s="101" t="e">
        <f>$DT260*HLOOKUP($J260,'Construction Costs (timber)'!$B$1:$V$32,'Construction Planner'!$L260+2,FALSE)</f>
        <v>#N/A</v>
      </c>
      <c r="AC260" s="14" t="e">
        <f>$DT260*HLOOKUP($J260,'Construction Costs (clay)'!$B$1:$V$32,'Construction Planner'!$L260+2,FALSE)</f>
        <v>#N/A</v>
      </c>
      <c r="AD260" s="14" t="e">
        <f>$DT260*HLOOKUP($J260,'Construction Costs (iron)'!$B$1:$V$32,'Construction Planner'!$L260+2,FALSE)</f>
        <v>#N/A</v>
      </c>
      <c r="AE260" s="34" t="e">
        <f t="shared" si="537"/>
        <v>#N/A</v>
      </c>
      <c r="AF260" s="33" t="e">
        <f t="shared" si="475"/>
        <v>#N/A</v>
      </c>
      <c r="AG260" s="14" t="e">
        <f t="shared" si="476"/>
        <v>#N/A</v>
      </c>
      <c r="AH260" s="14" t="e">
        <f t="shared" si="477"/>
        <v>#N/A</v>
      </c>
      <c r="AI260" s="34" t="e">
        <f t="shared" si="538"/>
        <v>#N/A</v>
      </c>
      <c r="AJ260" s="49" t="e">
        <f t="shared" si="498"/>
        <v>#N/A</v>
      </c>
      <c r="AK260" s="49" t="e">
        <f t="shared" si="499"/>
        <v>#N/A</v>
      </c>
      <c r="AL260" s="49" t="e">
        <f t="shared" si="500"/>
        <v>#N/A</v>
      </c>
      <c r="AM260" s="25">
        <f t="shared" si="478"/>
        <v>30</v>
      </c>
      <c r="AN260" s="25">
        <f t="shared" si="479"/>
        <v>30</v>
      </c>
      <c r="AO260" s="25">
        <f t="shared" si="480"/>
        <v>30</v>
      </c>
      <c r="AP260" s="52" t="e">
        <f t="shared" si="501"/>
        <v>#N/A</v>
      </c>
      <c r="AQ260" s="53" t="e">
        <f t="shared" si="501"/>
        <v>#N/A</v>
      </c>
      <c r="AR260" s="54" t="e">
        <f t="shared" si="501"/>
        <v>#N/A</v>
      </c>
      <c r="AS260" s="316">
        <f t="shared" ref="AS260:AS275" si="612">AS259</f>
        <v>0</v>
      </c>
      <c r="AT260" s="106">
        <f>_xlfn.IFNA($M260/VLOOKUP($BT260,'Unit information'!$A$2:$K$29,2,FALSE)*R260,0)*(1+$E$9)</f>
        <v>0</v>
      </c>
      <c r="AU260" s="107">
        <f>_xlfn.IFNA($M260/VLOOKUP($BT260,'Unit information'!$A$2:$K$29,3,FALSE)*S260,0)*(1+$E$9)</f>
        <v>0</v>
      </c>
      <c r="AV260" s="107">
        <f>_xlfn.IFNA($M260/VLOOKUP($BT260,'Unit information'!$A$2:$K$29,4,FALSE)*T260,0)*(1+$E$9)</f>
        <v>0</v>
      </c>
      <c r="AW260" s="107">
        <f>_xlfn.IFNA($M260/VLOOKUP($BT260,'Unit information'!$A$2:$K$29,5,FALSE)*U260,0)*(1+$E$9)</f>
        <v>0</v>
      </c>
      <c r="AX260" s="107">
        <f>_xlfn.IFNA($M260/VLOOKUP($BU260,'Unit information'!$A$2:$K$29,6,FALSE)*V260,0)*(1+$E$9)</f>
        <v>0</v>
      </c>
      <c r="AY260" s="107">
        <f>_xlfn.IFNA($M260/VLOOKUP($BU260,'Unit information'!$A$2:$K$29,7,FALSE)*W260,0)*(1+$E$9)</f>
        <v>0</v>
      </c>
      <c r="AZ260" s="107">
        <f>_xlfn.IFNA($M260/VLOOKUP($BU260,'Unit information'!$A$2:$K$29,8,FALSE)*X260,0)*(1+$E$9)</f>
        <v>0</v>
      </c>
      <c r="BA260" s="107">
        <f>_xlfn.IFNA($M260/VLOOKUP($BU260,'Unit information'!$A$2:$K$29,9,FALSE)*Y260,0)*(1+$E$9)</f>
        <v>0</v>
      </c>
      <c r="BB260" s="107">
        <f>_xlfn.IFNA($M260/VLOOKUP($BV260,'Unit information'!$A$2:$K$29,10,FALSE)*Z260,0)*(1+$E$9)</f>
        <v>0</v>
      </c>
      <c r="BC260" s="108">
        <f>_xlfn.IFNA($M260/VLOOKUP($BV260,'Unit information'!$A$2:$K$29,11,FALSE)*AA260,0)*(1+$E$9)</f>
        <v>0</v>
      </c>
      <c r="BD260" s="106">
        <f t="shared" si="481"/>
        <v>0</v>
      </c>
      <c r="BE260" s="107">
        <f t="shared" si="482"/>
        <v>0</v>
      </c>
      <c r="BF260" s="108">
        <f t="shared" si="483"/>
        <v>0</v>
      </c>
      <c r="BG260" s="25" t="e">
        <f t="shared" si="484"/>
        <v>#N/A</v>
      </c>
      <c r="BH260" s="25" t="e">
        <f t="shared" si="485"/>
        <v>#N/A</v>
      </c>
      <c r="BI260" s="25" t="e">
        <f t="shared" si="486"/>
        <v>#N/A</v>
      </c>
      <c r="BJ260" s="27" t="e">
        <f t="shared" si="487"/>
        <v>#N/A</v>
      </c>
      <c r="BK260" s="18" t="e">
        <f t="shared" si="488"/>
        <v>#N/A</v>
      </c>
      <c r="BL260" s="18" t="e">
        <f t="shared" si="489"/>
        <v>#N/A</v>
      </c>
      <c r="BM260" s="28" t="e">
        <f t="shared" si="540"/>
        <v>#N/A</v>
      </c>
      <c r="BN260" s="33">
        <f>HLOOKUP("maximum population",Miscelaneous!$C$1:$C$33,CH260+3,FALSE)</f>
        <v>240</v>
      </c>
      <c r="BO260" s="14">
        <f t="shared" si="502"/>
        <v>32</v>
      </c>
      <c r="BP260" s="14">
        <f t="shared" si="503"/>
        <v>0</v>
      </c>
      <c r="BQ260" s="14">
        <f t="shared" si="504"/>
        <v>208</v>
      </c>
      <c r="BR260" s="34" t="e">
        <f>HLOOKUP(J260,Villagers!$B$1:$V$33,L260+3,FALSE)-HLOOKUP(J260,Villagers!$B$1:$V$33,L260+2,FALSE)</f>
        <v>#N/A</v>
      </c>
      <c r="BS260" s="49">
        <f t="shared" si="505"/>
        <v>1</v>
      </c>
      <c r="BT260" s="50">
        <f t="shared" si="506"/>
        <v>0</v>
      </c>
      <c r="BU260" s="50">
        <f t="shared" si="507"/>
        <v>0</v>
      </c>
      <c r="BV260" s="50">
        <f t="shared" si="508"/>
        <v>0</v>
      </c>
      <c r="BW260" s="50">
        <f t="shared" si="607"/>
        <v>0</v>
      </c>
      <c r="BX260" s="50">
        <f t="shared" si="607"/>
        <v>0</v>
      </c>
      <c r="BY260" s="50">
        <f t="shared" si="607"/>
        <v>0</v>
      </c>
      <c r="BZ260" s="50">
        <f t="shared" si="554"/>
        <v>0</v>
      </c>
      <c r="CA260" s="50">
        <f t="shared" si="555"/>
        <v>0</v>
      </c>
      <c r="CB260" s="50">
        <f t="shared" si="556"/>
        <v>1</v>
      </c>
      <c r="CC260" s="50">
        <f t="shared" si="557"/>
        <v>0</v>
      </c>
      <c r="CD260" s="50">
        <f t="shared" si="558"/>
        <v>0</v>
      </c>
      <c r="CE260" s="50">
        <f t="shared" si="559"/>
        <v>1</v>
      </c>
      <c r="CF260" s="50">
        <f t="shared" si="560"/>
        <v>1</v>
      </c>
      <c r="CG260" s="50">
        <f t="shared" si="561"/>
        <v>1</v>
      </c>
      <c r="CH260" s="50">
        <f t="shared" si="562"/>
        <v>1</v>
      </c>
      <c r="CI260" s="50">
        <f t="shared" si="563"/>
        <v>1</v>
      </c>
      <c r="CJ260" s="50">
        <f t="shared" si="564"/>
        <v>1</v>
      </c>
      <c r="CK260" s="50">
        <f t="shared" si="564"/>
        <v>0</v>
      </c>
      <c r="CL260" s="50">
        <f t="shared" si="564"/>
        <v>0</v>
      </c>
      <c r="CM260" s="51">
        <f t="shared" si="605"/>
        <v>0</v>
      </c>
      <c r="CN260" s="33">
        <f>ROUND(IF(BS260=0,0,HLOOKUP(BS$14,Villagers!$B$1:$V$33,BS260+3,FALSE)),)</f>
        <v>5</v>
      </c>
      <c r="CO260" s="14">
        <f>ROUND(IF(BT260=0,0,HLOOKUP(BT$14,Villagers!$B$1:$V$33,BT260+3,FALSE)),)</f>
        <v>0</v>
      </c>
      <c r="CP260" s="14">
        <f>ROUND(IF(BU260=0,0,HLOOKUP(BU$14,Villagers!$B$1:$V$33,BU260+3,FALSE)),)</f>
        <v>0</v>
      </c>
      <c r="CQ260" s="14">
        <f>ROUND(IF(BV260=0,0,HLOOKUP(BV$14,Villagers!$B$1:$V$33,BV260+3,FALSE)),)</f>
        <v>0</v>
      </c>
      <c r="CR260" s="14">
        <f>ROUND(IF(BW260=0,0,HLOOKUP(BW$14,Villagers!$B$1:$V$33,BW260+3,FALSE)),)</f>
        <v>0</v>
      </c>
      <c r="CS260" s="14">
        <f>ROUND(IF(BX260=0,0,HLOOKUP(BX$14,Villagers!$B$1:$V$33,BX260+3,FALSE)),)</f>
        <v>0</v>
      </c>
      <c r="CT260" s="14">
        <f>ROUND(IF(BY260=0,0,HLOOKUP(BY$14,Villagers!$B$1:$V$33,BY260+3,FALSE)),)</f>
        <v>0</v>
      </c>
      <c r="CU260" s="14">
        <f>ROUND(IF(BZ260=0,0,HLOOKUP(BZ$14,Villagers!$B$1:$V$33,BZ260+3,FALSE)),)</f>
        <v>0</v>
      </c>
      <c r="CV260" s="14">
        <f>ROUND(IF(CA260=0,0,HLOOKUP(CA$14,Villagers!$B$1:$V$33,CA260+3,FALSE)),)</f>
        <v>0</v>
      </c>
      <c r="CW260" s="14">
        <f>ROUND(IF(CB260=0,0,HLOOKUP(CB$14,Villagers!$B$1:$V$33,CB260+3,FALSE)),)</f>
        <v>0</v>
      </c>
      <c r="CX260" s="14">
        <f>ROUND(IF(CC260=0,0,HLOOKUP(CC$14,Villagers!$B$1:$V$33,CC260+3,FALSE)),)</f>
        <v>0</v>
      </c>
      <c r="CY260" s="14">
        <f>ROUND(IF(CD260=0,0,HLOOKUP(CD$14,Villagers!$B$1:$V$33,CD260+3,FALSE)),)</f>
        <v>0</v>
      </c>
      <c r="CZ260" s="14">
        <f>ROUND(IF(CE260=0,0,HLOOKUP(CE$14,Villagers!$B$1:$V$33,CE260+3,FALSE)),)</f>
        <v>5</v>
      </c>
      <c r="DA260" s="14">
        <f>ROUND(IF(CF260=0,0,HLOOKUP(CF$14,Villagers!$B$1:$V$33,CF260+3,FALSE)),)</f>
        <v>10</v>
      </c>
      <c r="DB260" s="14">
        <f>ROUND(IF(CG260=0,0,HLOOKUP(CG$14,Villagers!$B$1:$V$33,CG260+3,FALSE)),)</f>
        <v>10</v>
      </c>
      <c r="DC260" s="14">
        <f>ROUND(IF(CH260=0,0,HLOOKUP(CH$14,Villagers!$B$1:$V$33,CH260+3,FALSE)),)</f>
        <v>0</v>
      </c>
      <c r="DD260" s="14">
        <f>ROUND(IF(CI260=0,0,HLOOKUP(CI$14,Villagers!$B$1:$V$33,CI260+3,FALSE)),)</f>
        <v>0</v>
      </c>
      <c r="DE260" s="14">
        <f>ROUND(IF(CJ260=0,0,HLOOKUP(CJ$14,Villagers!$B$1:$V$33,CJ260+3,FALSE)),)</f>
        <v>2</v>
      </c>
      <c r="DF260" s="370">
        <f>ROUND(IF(CK260=0,0,HLOOKUP(CK$14,Villagers!$B$1:$V$33,CK260+3,FALSE)),)</f>
        <v>0</v>
      </c>
      <c r="DG260" s="370">
        <f>ROUND(IF(CL260=0,0,HLOOKUP(CL$14,Villagers!$B$1:$V$33,CL260+3,FALSE)),)</f>
        <v>0</v>
      </c>
      <c r="DH260" s="34">
        <f>ROUND(IF(CM260=0,0,HLOOKUP(CM$14,Villagers!$B$1:$V$33,CM260+3,FALSE)),)</f>
        <v>0</v>
      </c>
      <c r="DI260" s="109">
        <f t="shared" si="526"/>
        <v>0</v>
      </c>
      <c r="DJ260" s="50">
        <f t="shared" si="527"/>
        <v>0</v>
      </c>
      <c r="DK260" s="50">
        <f t="shared" si="528"/>
        <v>0</v>
      </c>
      <c r="DL260" s="50">
        <f t="shared" si="529"/>
        <v>0</v>
      </c>
      <c r="DM260" s="50">
        <f t="shared" si="530"/>
        <v>0</v>
      </c>
      <c r="DN260" s="50">
        <f t="shared" si="531"/>
        <v>0</v>
      </c>
      <c r="DO260" s="50">
        <f t="shared" si="532"/>
        <v>0</v>
      </c>
      <c r="DP260" s="50">
        <f t="shared" si="533"/>
        <v>0</v>
      </c>
      <c r="DQ260" s="50">
        <f t="shared" si="510"/>
        <v>0</v>
      </c>
      <c r="DR260" s="50">
        <f t="shared" si="511"/>
        <v>0</v>
      </c>
      <c r="DS260" s="96">
        <f>Miscelaneous!$D$4*Miscelaneous!$D$2^($CI260-1)</f>
        <v>1000</v>
      </c>
      <c r="DT260" s="333">
        <f t="shared" si="490"/>
        <v>1</v>
      </c>
      <c r="DU260" s="81">
        <v>1</v>
      </c>
      <c r="DV260" s="79">
        <f t="shared" si="512"/>
        <v>0</v>
      </c>
      <c r="DW260" s="79">
        <f t="shared" si="513"/>
        <v>0</v>
      </c>
      <c r="DX260" s="79">
        <f t="shared" si="514"/>
        <v>0</v>
      </c>
      <c r="DY260" s="79">
        <v>1</v>
      </c>
      <c r="DZ260" s="79">
        <f t="shared" si="515"/>
        <v>0</v>
      </c>
      <c r="EA260" s="79">
        <f t="shared" si="516"/>
        <v>0</v>
      </c>
      <c r="EB260" s="79">
        <f t="shared" si="517"/>
        <v>0</v>
      </c>
      <c r="EC260" s="79">
        <f t="shared" si="518"/>
        <v>0</v>
      </c>
      <c r="ED260" s="79">
        <v>1</v>
      </c>
      <c r="EE260" s="79">
        <v>1</v>
      </c>
      <c r="EF260" s="79">
        <f t="shared" si="519"/>
        <v>0</v>
      </c>
      <c r="EG260" s="79">
        <v>1</v>
      </c>
      <c r="EH260" s="79">
        <v>1</v>
      </c>
      <c r="EI260" s="79">
        <v>1</v>
      </c>
      <c r="EJ260" s="79">
        <v>1</v>
      </c>
      <c r="EK260" s="79">
        <v>1</v>
      </c>
      <c r="EL260" s="79">
        <v>1</v>
      </c>
      <c r="EM260" s="143">
        <f t="shared" si="520"/>
        <v>0</v>
      </c>
      <c r="EN260" s="143">
        <f t="shared" si="521"/>
        <v>0</v>
      </c>
      <c r="EO260" s="82">
        <f t="shared" si="522"/>
        <v>0</v>
      </c>
    </row>
    <row r="261" spans="1:145" x14ac:dyDescent="0.25">
      <c r="A261">
        <v>247</v>
      </c>
      <c r="B261" s="172" t="e">
        <f t="shared" si="491"/>
        <v>#N/A</v>
      </c>
      <c r="C261" s="121" t="e">
        <f t="shared" ref="C261:E261" si="613">AJ261-SUM(AB261:AB265)</f>
        <v>#N/A</v>
      </c>
      <c r="D261" s="122" t="e">
        <f t="shared" si="613"/>
        <v>#N/A</v>
      </c>
      <c r="E261" s="122" t="e">
        <f t="shared" si="613"/>
        <v>#N/A</v>
      </c>
      <c r="F261" s="176" t="e">
        <f t="shared" si="473"/>
        <v>#N/A</v>
      </c>
      <c r="G261" s="121">
        <f t="shared" si="493"/>
        <v>208</v>
      </c>
      <c r="H261" s="176" t="e">
        <f t="shared" si="494"/>
        <v>#N/A</v>
      </c>
      <c r="I261" s="48">
        <v>1</v>
      </c>
      <c r="J261" s="39"/>
      <c r="K261" s="350">
        <v>1</v>
      </c>
      <c r="L261" s="34" t="e">
        <f t="shared" si="474"/>
        <v>#N/A</v>
      </c>
      <c r="M261" s="38" t="e">
        <f>(HLOOKUP(J261,'Construction Times'!$B$3:$W$34,L261+2,FALSE)*HLOOKUP("hq modifier",'Construction Times'!$W$3:$W$34,BS261+2,FALSE))*(1-$H$9)</f>
        <v>#N/A</v>
      </c>
      <c r="N261" s="426" t="e">
        <f t="shared" si="495"/>
        <v>#N/A</v>
      </c>
      <c r="O261" s="427"/>
      <c r="P261" s="430" t="e">
        <f t="shared" si="496"/>
        <v>#N/A</v>
      </c>
      <c r="Q261" s="431"/>
      <c r="R261" s="103">
        <f t="shared" si="524"/>
        <v>0</v>
      </c>
      <c r="S261" s="104">
        <f t="shared" si="524"/>
        <v>0</v>
      </c>
      <c r="T261" s="104">
        <f t="shared" si="525"/>
        <v>0</v>
      </c>
      <c r="U261" s="104">
        <f t="shared" si="525"/>
        <v>0</v>
      </c>
      <c r="V261" s="104">
        <f t="shared" si="525"/>
        <v>9.9999999999999995E-8</v>
      </c>
      <c r="W261" s="104">
        <f t="shared" si="525"/>
        <v>0</v>
      </c>
      <c r="X261" s="104">
        <f t="shared" si="584"/>
        <v>0</v>
      </c>
      <c r="Y261" s="104">
        <f t="shared" si="584"/>
        <v>9.9999999999999995E-8</v>
      </c>
      <c r="Z261" s="104">
        <f t="shared" si="584"/>
        <v>9.9999999999999995E-8</v>
      </c>
      <c r="AA261" s="105">
        <f t="shared" si="584"/>
        <v>9.9999999999999995E-8</v>
      </c>
      <c r="AB261" s="101" t="e">
        <f>$DT261*HLOOKUP($J261,'Construction Costs (timber)'!$B$1:$V$32,'Construction Planner'!$L261+2,FALSE)</f>
        <v>#N/A</v>
      </c>
      <c r="AC261" s="14" t="e">
        <f>$DT261*HLOOKUP($J261,'Construction Costs (clay)'!$B$1:$V$32,'Construction Planner'!$L261+2,FALSE)</f>
        <v>#N/A</v>
      </c>
      <c r="AD261" s="14" t="e">
        <f>$DT261*HLOOKUP($J261,'Construction Costs (iron)'!$B$1:$V$32,'Construction Planner'!$L261+2,FALSE)</f>
        <v>#N/A</v>
      </c>
      <c r="AE261" s="34" t="e">
        <f t="shared" si="537"/>
        <v>#N/A</v>
      </c>
      <c r="AF261" s="33" t="e">
        <f t="shared" si="475"/>
        <v>#N/A</v>
      </c>
      <c r="AG261" s="14" t="e">
        <f t="shared" si="476"/>
        <v>#N/A</v>
      </c>
      <c r="AH261" s="14" t="e">
        <f t="shared" si="477"/>
        <v>#N/A</v>
      </c>
      <c r="AI261" s="34" t="e">
        <f t="shared" si="538"/>
        <v>#N/A</v>
      </c>
      <c r="AJ261" s="49" t="e">
        <f t="shared" si="498"/>
        <v>#N/A</v>
      </c>
      <c r="AK261" s="49" t="e">
        <f t="shared" si="499"/>
        <v>#N/A</v>
      </c>
      <c r="AL261" s="49" t="e">
        <f t="shared" si="500"/>
        <v>#N/A</v>
      </c>
      <c r="AM261" s="25">
        <f t="shared" si="478"/>
        <v>30</v>
      </c>
      <c r="AN261" s="25">
        <f t="shared" si="479"/>
        <v>30</v>
      </c>
      <c r="AO261" s="25">
        <f t="shared" si="480"/>
        <v>30</v>
      </c>
      <c r="AP261" s="52" t="e">
        <f t="shared" si="501"/>
        <v>#N/A</v>
      </c>
      <c r="AQ261" s="53" t="e">
        <f t="shared" si="501"/>
        <v>#N/A</v>
      </c>
      <c r="AR261" s="54" t="e">
        <f t="shared" si="501"/>
        <v>#N/A</v>
      </c>
      <c r="AS261" s="316">
        <f t="shared" si="612"/>
        <v>0</v>
      </c>
      <c r="AT261" s="106">
        <f>_xlfn.IFNA($M261/VLOOKUP($BT261,'Unit information'!$A$2:$K$29,2,FALSE)*R261,0)*(1+$E$9)</f>
        <v>0</v>
      </c>
      <c r="AU261" s="107">
        <f>_xlfn.IFNA($M261/VLOOKUP($BT261,'Unit information'!$A$2:$K$29,3,FALSE)*S261,0)*(1+$E$9)</f>
        <v>0</v>
      </c>
      <c r="AV261" s="107">
        <f>_xlfn.IFNA($M261/VLOOKUP($BT261,'Unit information'!$A$2:$K$29,4,FALSE)*T261,0)*(1+$E$9)</f>
        <v>0</v>
      </c>
      <c r="AW261" s="107">
        <f>_xlfn.IFNA($M261/VLOOKUP($BT261,'Unit information'!$A$2:$K$29,5,FALSE)*U261,0)*(1+$E$9)</f>
        <v>0</v>
      </c>
      <c r="AX261" s="107">
        <f>_xlfn.IFNA($M261/VLOOKUP($BU261,'Unit information'!$A$2:$K$29,6,FALSE)*V261,0)*(1+$E$9)</f>
        <v>0</v>
      </c>
      <c r="AY261" s="107">
        <f>_xlfn.IFNA($M261/VLOOKUP($BU261,'Unit information'!$A$2:$K$29,7,FALSE)*W261,0)*(1+$E$9)</f>
        <v>0</v>
      </c>
      <c r="AZ261" s="107">
        <f>_xlfn.IFNA($M261/VLOOKUP($BU261,'Unit information'!$A$2:$K$29,8,FALSE)*X261,0)*(1+$E$9)</f>
        <v>0</v>
      </c>
      <c r="BA261" s="107">
        <f>_xlfn.IFNA($M261/VLOOKUP($BU261,'Unit information'!$A$2:$K$29,9,FALSE)*Y261,0)*(1+$E$9)</f>
        <v>0</v>
      </c>
      <c r="BB261" s="107">
        <f>_xlfn.IFNA($M261/VLOOKUP($BV261,'Unit information'!$A$2:$K$29,10,FALSE)*Z261,0)*(1+$E$9)</f>
        <v>0</v>
      </c>
      <c r="BC261" s="108">
        <f>_xlfn.IFNA($M261/VLOOKUP($BV261,'Unit information'!$A$2:$K$29,11,FALSE)*AA261,0)*(1+$E$9)</f>
        <v>0</v>
      </c>
      <c r="BD261" s="106">
        <f t="shared" si="481"/>
        <v>0</v>
      </c>
      <c r="BE261" s="107">
        <f t="shared" si="482"/>
        <v>0</v>
      </c>
      <c r="BF261" s="108">
        <f t="shared" si="483"/>
        <v>0</v>
      </c>
      <c r="BG261" s="25" t="e">
        <f t="shared" si="484"/>
        <v>#N/A</v>
      </c>
      <c r="BH261" s="25" t="e">
        <f t="shared" si="485"/>
        <v>#N/A</v>
      </c>
      <c r="BI261" s="25" t="e">
        <f t="shared" si="486"/>
        <v>#N/A</v>
      </c>
      <c r="BJ261" s="27" t="e">
        <f t="shared" si="487"/>
        <v>#N/A</v>
      </c>
      <c r="BK261" s="18" t="e">
        <f t="shared" si="488"/>
        <v>#N/A</v>
      </c>
      <c r="BL261" s="18" t="e">
        <f t="shared" si="489"/>
        <v>#N/A</v>
      </c>
      <c r="BM261" s="28" t="e">
        <f t="shared" si="540"/>
        <v>#N/A</v>
      </c>
      <c r="BN261" s="33">
        <f>HLOOKUP("maximum population",Miscelaneous!$C$1:$C$33,CH261+3,FALSE)</f>
        <v>240</v>
      </c>
      <c r="BO261" s="14">
        <f t="shared" si="502"/>
        <v>32</v>
      </c>
      <c r="BP261" s="14">
        <f t="shared" si="503"/>
        <v>0</v>
      </c>
      <c r="BQ261" s="14">
        <f t="shared" si="504"/>
        <v>208</v>
      </c>
      <c r="BR261" s="34" t="e">
        <f>HLOOKUP(J261,Villagers!$B$1:$V$33,L261+3,FALSE)-HLOOKUP(J261,Villagers!$B$1:$V$33,L261+2,FALSE)</f>
        <v>#N/A</v>
      </c>
      <c r="BS261" s="49">
        <f t="shared" si="505"/>
        <v>1</v>
      </c>
      <c r="BT261" s="50">
        <f t="shared" si="506"/>
        <v>0</v>
      </c>
      <c r="BU261" s="50">
        <f t="shared" si="507"/>
        <v>0</v>
      </c>
      <c r="BV261" s="50">
        <f t="shared" si="508"/>
        <v>0</v>
      </c>
      <c r="BW261" s="50">
        <f t="shared" si="607"/>
        <v>0</v>
      </c>
      <c r="BX261" s="50">
        <f t="shared" si="607"/>
        <v>0</v>
      </c>
      <c r="BY261" s="50">
        <f t="shared" si="607"/>
        <v>0</v>
      </c>
      <c r="BZ261" s="50">
        <f t="shared" si="554"/>
        <v>0</v>
      </c>
      <c r="CA261" s="50">
        <f t="shared" si="555"/>
        <v>0</v>
      </c>
      <c r="CB261" s="50">
        <f t="shared" si="556"/>
        <v>1</v>
      </c>
      <c r="CC261" s="50">
        <f t="shared" si="557"/>
        <v>0</v>
      </c>
      <c r="CD261" s="50">
        <f t="shared" si="558"/>
        <v>0</v>
      </c>
      <c r="CE261" s="50">
        <f t="shared" si="559"/>
        <v>1</v>
      </c>
      <c r="CF261" s="50">
        <f t="shared" si="560"/>
        <v>1</v>
      </c>
      <c r="CG261" s="50">
        <f t="shared" si="561"/>
        <v>1</v>
      </c>
      <c r="CH261" s="50">
        <f t="shared" si="562"/>
        <v>1</v>
      </c>
      <c r="CI261" s="50">
        <f t="shared" si="563"/>
        <v>1</v>
      </c>
      <c r="CJ261" s="50">
        <f t="shared" si="564"/>
        <v>1</v>
      </c>
      <c r="CK261" s="50">
        <f t="shared" si="564"/>
        <v>0</v>
      </c>
      <c r="CL261" s="50">
        <f t="shared" si="564"/>
        <v>0</v>
      </c>
      <c r="CM261" s="51">
        <f t="shared" si="605"/>
        <v>0</v>
      </c>
      <c r="CN261" s="33">
        <f>ROUND(IF(BS261=0,0,HLOOKUP(BS$14,Villagers!$B$1:$V$33,BS261+3,FALSE)),)</f>
        <v>5</v>
      </c>
      <c r="CO261" s="14">
        <f>ROUND(IF(BT261=0,0,HLOOKUP(BT$14,Villagers!$B$1:$V$33,BT261+3,FALSE)),)</f>
        <v>0</v>
      </c>
      <c r="CP261" s="14">
        <f>ROUND(IF(BU261=0,0,HLOOKUP(BU$14,Villagers!$B$1:$V$33,BU261+3,FALSE)),)</f>
        <v>0</v>
      </c>
      <c r="CQ261" s="14">
        <f>ROUND(IF(BV261=0,0,HLOOKUP(BV$14,Villagers!$B$1:$V$33,BV261+3,FALSE)),)</f>
        <v>0</v>
      </c>
      <c r="CR261" s="14">
        <f>ROUND(IF(BW261=0,0,HLOOKUP(BW$14,Villagers!$B$1:$V$33,BW261+3,FALSE)),)</f>
        <v>0</v>
      </c>
      <c r="CS261" s="14">
        <f>ROUND(IF(BX261=0,0,HLOOKUP(BX$14,Villagers!$B$1:$V$33,BX261+3,FALSE)),)</f>
        <v>0</v>
      </c>
      <c r="CT261" s="14">
        <f>ROUND(IF(BY261=0,0,HLOOKUP(BY$14,Villagers!$B$1:$V$33,BY261+3,FALSE)),)</f>
        <v>0</v>
      </c>
      <c r="CU261" s="14">
        <f>ROUND(IF(BZ261=0,0,HLOOKUP(BZ$14,Villagers!$B$1:$V$33,BZ261+3,FALSE)),)</f>
        <v>0</v>
      </c>
      <c r="CV261" s="14">
        <f>ROUND(IF(CA261=0,0,HLOOKUP(CA$14,Villagers!$B$1:$V$33,CA261+3,FALSE)),)</f>
        <v>0</v>
      </c>
      <c r="CW261" s="14">
        <f>ROUND(IF(CB261=0,0,HLOOKUP(CB$14,Villagers!$B$1:$V$33,CB261+3,FALSE)),)</f>
        <v>0</v>
      </c>
      <c r="CX261" s="14">
        <f>ROUND(IF(CC261=0,0,HLOOKUP(CC$14,Villagers!$B$1:$V$33,CC261+3,FALSE)),)</f>
        <v>0</v>
      </c>
      <c r="CY261" s="14">
        <f>ROUND(IF(CD261=0,0,HLOOKUP(CD$14,Villagers!$B$1:$V$33,CD261+3,FALSE)),)</f>
        <v>0</v>
      </c>
      <c r="CZ261" s="14">
        <f>ROUND(IF(CE261=0,0,HLOOKUP(CE$14,Villagers!$B$1:$V$33,CE261+3,FALSE)),)</f>
        <v>5</v>
      </c>
      <c r="DA261" s="14">
        <f>ROUND(IF(CF261=0,0,HLOOKUP(CF$14,Villagers!$B$1:$V$33,CF261+3,FALSE)),)</f>
        <v>10</v>
      </c>
      <c r="DB261" s="14">
        <f>ROUND(IF(CG261=0,0,HLOOKUP(CG$14,Villagers!$B$1:$V$33,CG261+3,FALSE)),)</f>
        <v>10</v>
      </c>
      <c r="DC261" s="14">
        <f>ROUND(IF(CH261=0,0,HLOOKUP(CH$14,Villagers!$B$1:$V$33,CH261+3,FALSE)),)</f>
        <v>0</v>
      </c>
      <c r="DD261" s="14">
        <f>ROUND(IF(CI261=0,0,HLOOKUP(CI$14,Villagers!$B$1:$V$33,CI261+3,FALSE)),)</f>
        <v>0</v>
      </c>
      <c r="DE261" s="14">
        <f>ROUND(IF(CJ261=0,0,HLOOKUP(CJ$14,Villagers!$B$1:$V$33,CJ261+3,FALSE)),)</f>
        <v>2</v>
      </c>
      <c r="DF261" s="370">
        <f>ROUND(IF(CK261=0,0,HLOOKUP(CK$14,Villagers!$B$1:$V$33,CK261+3,FALSE)),)</f>
        <v>0</v>
      </c>
      <c r="DG261" s="370">
        <f>ROUND(IF(CL261=0,0,HLOOKUP(CL$14,Villagers!$B$1:$V$33,CL261+3,FALSE)),)</f>
        <v>0</v>
      </c>
      <c r="DH261" s="34">
        <f>ROUND(IF(CM261=0,0,HLOOKUP(CM$14,Villagers!$B$1:$V$33,CM261+3,FALSE)),)</f>
        <v>0</v>
      </c>
      <c r="DI261" s="109">
        <f t="shared" si="526"/>
        <v>0</v>
      </c>
      <c r="DJ261" s="50">
        <f t="shared" si="527"/>
        <v>0</v>
      </c>
      <c r="DK261" s="50">
        <f t="shared" si="528"/>
        <v>0</v>
      </c>
      <c r="DL261" s="50">
        <f t="shared" si="529"/>
        <v>0</v>
      </c>
      <c r="DM261" s="50">
        <f t="shared" si="530"/>
        <v>0</v>
      </c>
      <c r="DN261" s="50">
        <f t="shared" si="531"/>
        <v>0</v>
      </c>
      <c r="DO261" s="50">
        <f t="shared" si="532"/>
        <v>0</v>
      </c>
      <c r="DP261" s="50">
        <f t="shared" si="533"/>
        <v>0</v>
      </c>
      <c r="DQ261" s="50">
        <f t="shared" si="510"/>
        <v>0</v>
      </c>
      <c r="DR261" s="50">
        <f t="shared" si="511"/>
        <v>0</v>
      </c>
      <c r="DS261" s="96">
        <f>Miscelaneous!$D$4*Miscelaneous!$D$2^($CI261-1)</f>
        <v>1000</v>
      </c>
      <c r="DT261" s="333">
        <f t="shared" si="490"/>
        <v>1</v>
      </c>
      <c r="DU261" s="81">
        <v>1</v>
      </c>
      <c r="DV261" s="79">
        <f t="shared" si="512"/>
        <v>0</v>
      </c>
      <c r="DW261" s="79">
        <f t="shared" si="513"/>
        <v>0</v>
      </c>
      <c r="DX261" s="79">
        <f t="shared" si="514"/>
        <v>0</v>
      </c>
      <c r="DY261" s="79">
        <v>1</v>
      </c>
      <c r="DZ261" s="79">
        <f t="shared" si="515"/>
        <v>0</v>
      </c>
      <c r="EA261" s="79">
        <f t="shared" si="516"/>
        <v>0</v>
      </c>
      <c r="EB261" s="79">
        <f t="shared" si="517"/>
        <v>0</v>
      </c>
      <c r="EC261" s="79">
        <f t="shared" si="518"/>
        <v>0</v>
      </c>
      <c r="ED261" s="79">
        <v>1</v>
      </c>
      <c r="EE261" s="79">
        <v>1</v>
      </c>
      <c r="EF261" s="79">
        <f t="shared" si="519"/>
        <v>0</v>
      </c>
      <c r="EG261" s="79">
        <v>1</v>
      </c>
      <c r="EH261" s="79">
        <v>1</v>
      </c>
      <c r="EI261" s="79">
        <v>1</v>
      </c>
      <c r="EJ261" s="79">
        <v>1</v>
      </c>
      <c r="EK261" s="79">
        <v>1</v>
      </c>
      <c r="EL261" s="79">
        <v>1</v>
      </c>
      <c r="EM261" s="143">
        <f t="shared" si="520"/>
        <v>0</v>
      </c>
      <c r="EN261" s="143">
        <f t="shared" si="521"/>
        <v>0</v>
      </c>
      <c r="EO261" s="82">
        <f t="shared" si="522"/>
        <v>0</v>
      </c>
    </row>
    <row r="262" spans="1:145" x14ac:dyDescent="0.25">
      <c r="A262">
        <v>248</v>
      </c>
      <c r="B262" s="172" t="e">
        <f t="shared" si="491"/>
        <v>#N/A</v>
      </c>
      <c r="C262" s="121" t="e">
        <f t="shared" ref="C262:E262" si="614">AJ262-SUM(AB262:AB266)</f>
        <v>#N/A</v>
      </c>
      <c r="D262" s="122" t="e">
        <f t="shared" si="614"/>
        <v>#N/A</v>
      </c>
      <c r="E262" s="122" t="e">
        <f t="shared" si="614"/>
        <v>#N/A</v>
      </c>
      <c r="F262" s="176" t="e">
        <f t="shared" si="473"/>
        <v>#N/A</v>
      </c>
      <c r="G262" s="121">
        <f t="shared" si="493"/>
        <v>208</v>
      </c>
      <c r="H262" s="176" t="e">
        <f t="shared" si="494"/>
        <v>#N/A</v>
      </c>
      <c r="I262" s="48">
        <v>1</v>
      </c>
      <c r="J262" s="39"/>
      <c r="K262" s="350">
        <v>1</v>
      </c>
      <c r="L262" s="34" t="e">
        <f t="shared" si="474"/>
        <v>#N/A</v>
      </c>
      <c r="M262" s="38" t="e">
        <f>(HLOOKUP(J262,'Construction Times'!$B$3:$W$34,L262+2,FALSE)*HLOOKUP("hq modifier",'Construction Times'!$W$3:$W$34,BS262+2,FALSE))*(1-$H$9)</f>
        <v>#N/A</v>
      </c>
      <c r="N262" s="426" t="e">
        <f t="shared" si="495"/>
        <v>#N/A</v>
      </c>
      <c r="O262" s="427"/>
      <c r="P262" s="430" t="e">
        <f t="shared" si="496"/>
        <v>#N/A</v>
      </c>
      <c r="Q262" s="431"/>
      <c r="R262" s="103">
        <f t="shared" si="524"/>
        <v>0</v>
      </c>
      <c r="S262" s="104">
        <f t="shared" si="524"/>
        <v>0</v>
      </c>
      <c r="T262" s="104">
        <f t="shared" si="525"/>
        <v>0</v>
      </c>
      <c r="U262" s="104">
        <f t="shared" si="525"/>
        <v>0</v>
      </c>
      <c r="V262" s="104">
        <f t="shared" si="525"/>
        <v>9.9999999999999995E-8</v>
      </c>
      <c r="W262" s="104">
        <f t="shared" si="525"/>
        <v>0</v>
      </c>
      <c r="X262" s="104">
        <f t="shared" si="584"/>
        <v>0</v>
      </c>
      <c r="Y262" s="104">
        <f t="shared" si="584"/>
        <v>9.9999999999999995E-8</v>
      </c>
      <c r="Z262" s="104">
        <f t="shared" si="584"/>
        <v>9.9999999999999995E-8</v>
      </c>
      <c r="AA262" s="105">
        <f t="shared" si="584"/>
        <v>9.9999999999999995E-8</v>
      </c>
      <c r="AB262" s="101" t="e">
        <f>$DT262*HLOOKUP($J262,'Construction Costs (timber)'!$B$1:$V$32,'Construction Planner'!$L262+2,FALSE)</f>
        <v>#N/A</v>
      </c>
      <c r="AC262" s="14" t="e">
        <f>$DT262*HLOOKUP($J262,'Construction Costs (clay)'!$B$1:$V$32,'Construction Planner'!$L262+2,FALSE)</f>
        <v>#N/A</v>
      </c>
      <c r="AD262" s="14" t="e">
        <f>$DT262*HLOOKUP($J262,'Construction Costs (iron)'!$B$1:$V$32,'Construction Planner'!$L262+2,FALSE)</f>
        <v>#N/A</v>
      </c>
      <c r="AE262" s="34" t="e">
        <f t="shared" si="537"/>
        <v>#N/A</v>
      </c>
      <c r="AF262" s="33" t="e">
        <f t="shared" si="475"/>
        <v>#N/A</v>
      </c>
      <c r="AG262" s="14" t="e">
        <f t="shared" si="476"/>
        <v>#N/A</v>
      </c>
      <c r="AH262" s="14" t="e">
        <f t="shared" si="477"/>
        <v>#N/A</v>
      </c>
      <c r="AI262" s="34" t="e">
        <f t="shared" si="538"/>
        <v>#N/A</v>
      </c>
      <c r="AJ262" s="49" t="e">
        <f t="shared" si="498"/>
        <v>#N/A</v>
      </c>
      <c r="AK262" s="49" t="e">
        <f t="shared" si="499"/>
        <v>#N/A</v>
      </c>
      <c r="AL262" s="49" t="e">
        <f t="shared" si="500"/>
        <v>#N/A</v>
      </c>
      <c r="AM262" s="25">
        <f t="shared" si="478"/>
        <v>30</v>
      </c>
      <c r="AN262" s="25">
        <f t="shared" si="479"/>
        <v>30</v>
      </c>
      <c r="AO262" s="25">
        <f t="shared" si="480"/>
        <v>30</v>
      </c>
      <c r="AP262" s="52" t="e">
        <f t="shared" si="501"/>
        <v>#N/A</v>
      </c>
      <c r="AQ262" s="53" t="e">
        <f t="shared" si="501"/>
        <v>#N/A</v>
      </c>
      <c r="AR262" s="54" t="e">
        <f t="shared" si="501"/>
        <v>#N/A</v>
      </c>
      <c r="AS262" s="316">
        <f t="shared" si="612"/>
        <v>0</v>
      </c>
      <c r="AT262" s="106">
        <f>_xlfn.IFNA($M262/VLOOKUP($BT262,'Unit information'!$A$2:$K$29,2,FALSE)*R262,0)*(1+$E$9)</f>
        <v>0</v>
      </c>
      <c r="AU262" s="107">
        <f>_xlfn.IFNA($M262/VLOOKUP($BT262,'Unit information'!$A$2:$K$29,3,FALSE)*S262,0)*(1+$E$9)</f>
        <v>0</v>
      </c>
      <c r="AV262" s="107">
        <f>_xlfn.IFNA($M262/VLOOKUP($BT262,'Unit information'!$A$2:$K$29,4,FALSE)*T262,0)*(1+$E$9)</f>
        <v>0</v>
      </c>
      <c r="AW262" s="107">
        <f>_xlfn.IFNA($M262/VLOOKUP($BT262,'Unit information'!$A$2:$K$29,5,FALSE)*U262,0)*(1+$E$9)</f>
        <v>0</v>
      </c>
      <c r="AX262" s="107">
        <f>_xlfn.IFNA($M262/VLOOKUP($BU262,'Unit information'!$A$2:$K$29,6,FALSE)*V262,0)*(1+$E$9)</f>
        <v>0</v>
      </c>
      <c r="AY262" s="107">
        <f>_xlfn.IFNA($M262/VLOOKUP($BU262,'Unit information'!$A$2:$K$29,7,FALSE)*W262,0)*(1+$E$9)</f>
        <v>0</v>
      </c>
      <c r="AZ262" s="107">
        <f>_xlfn.IFNA($M262/VLOOKUP($BU262,'Unit information'!$A$2:$K$29,8,FALSE)*X262,0)*(1+$E$9)</f>
        <v>0</v>
      </c>
      <c r="BA262" s="107">
        <f>_xlfn.IFNA($M262/VLOOKUP($BU262,'Unit information'!$A$2:$K$29,9,FALSE)*Y262,0)*(1+$E$9)</f>
        <v>0</v>
      </c>
      <c r="BB262" s="107">
        <f>_xlfn.IFNA($M262/VLOOKUP($BV262,'Unit information'!$A$2:$K$29,10,FALSE)*Z262,0)*(1+$E$9)</f>
        <v>0</v>
      </c>
      <c r="BC262" s="108">
        <f>_xlfn.IFNA($M262/VLOOKUP($BV262,'Unit information'!$A$2:$K$29,11,FALSE)*AA262,0)*(1+$E$9)</f>
        <v>0</v>
      </c>
      <c r="BD262" s="106">
        <f t="shared" si="481"/>
        <v>0</v>
      </c>
      <c r="BE262" s="107">
        <f t="shared" si="482"/>
        <v>0</v>
      </c>
      <c r="BF262" s="108">
        <f t="shared" si="483"/>
        <v>0</v>
      </c>
      <c r="BG262" s="25" t="e">
        <f t="shared" si="484"/>
        <v>#N/A</v>
      </c>
      <c r="BH262" s="25" t="e">
        <f t="shared" si="485"/>
        <v>#N/A</v>
      </c>
      <c r="BI262" s="25" t="e">
        <f t="shared" si="486"/>
        <v>#N/A</v>
      </c>
      <c r="BJ262" s="27" t="e">
        <f t="shared" si="487"/>
        <v>#N/A</v>
      </c>
      <c r="BK262" s="18" t="e">
        <f t="shared" si="488"/>
        <v>#N/A</v>
      </c>
      <c r="BL262" s="18" t="e">
        <f t="shared" si="489"/>
        <v>#N/A</v>
      </c>
      <c r="BM262" s="28" t="e">
        <f t="shared" si="540"/>
        <v>#N/A</v>
      </c>
      <c r="BN262" s="33">
        <f>HLOOKUP("maximum population",Miscelaneous!$C$1:$C$33,CH262+3,FALSE)</f>
        <v>240</v>
      </c>
      <c r="BO262" s="14">
        <f t="shared" si="502"/>
        <v>32</v>
      </c>
      <c r="BP262" s="14">
        <f t="shared" si="503"/>
        <v>0</v>
      </c>
      <c r="BQ262" s="14">
        <f t="shared" si="504"/>
        <v>208</v>
      </c>
      <c r="BR262" s="34" t="e">
        <f>HLOOKUP(J262,Villagers!$B$1:$V$33,L262+3,FALSE)-HLOOKUP(J262,Villagers!$B$1:$V$33,L262+2,FALSE)</f>
        <v>#N/A</v>
      </c>
      <c r="BS262" s="49">
        <f t="shared" si="505"/>
        <v>1</v>
      </c>
      <c r="BT262" s="50">
        <f t="shared" si="506"/>
        <v>0</v>
      </c>
      <c r="BU262" s="50">
        <f t="shared" si="507"/>
        <v>0</v>
      </c>
      <c r="BV262" s="50">
        <f t="shared" si="508"/>
        <v>0</v>
      </c>
      <c r="BW262" s="50">
        <f t="shared" si="607"/>
        <v>0</v>
      </c>
      <c r="BX262" s="50">
        <f t="shared" si="607"/>
        <v>0</v>
      </c>
      <c r="BY262" s="50">
        <f t="shared" si="607"/>
        <v>0</v>
      </c>
      <c r="BZ262" s="50">
        <f t="shared" si="554"/>
        <v>0</v>
      </c>
      <c r="CA262" s="50">
        <f t="shared" si="555"/>
        <v>0</v>
      </c>
      <c r="CB262" s="50">
        <f t="shared" si="556"/>
        <v>1</v>
      </c>
      <c r="CC262" s="50">
        <f t="shared" si="557"/>
        <v>0</v>
      </c>
      <c r="CD262" s="50">
        <f t="shared" si="558"/>
        <v>0</v>
      </c>
      <c r="CE262" s="50">
        <f t="shared" si="559"/>
        <v>1</v>
      </c>
      <c r="CF262" s="50">
        <f t="shared" si="560"/>
        <v>1</v>
      </c>
      <c r="CG262" s="50">
        <f t="shared" si="561"/>
        <v>1</v>
      </c>
      <c r="CH262" s="50">
        <f t="shared" si="562"/>
        <v>1</v>
      </c>
      <c r="CI262" s="50">
        <f t="shared" si="563"/>
        <v>1</v>
      </c>
      <c r="CJ262" s="50">
        <f t="shared" si="564"/>
        <v>1</v>
      </c>
      <c r="CK262" s="50">
        <f t="shared" si="564"/>
        <v>0</v>
      </c>
      <c r="CL262" s="50">
        <f t="shared" si="564"/>
        <v>0</v>
      </c>
      <c r="CM262" s="51">
        <f t="shared" si="605"/>
        <v>0</v>
      </c>
      <c r="CN262" s="33">
        <f>ROUND(IF(BS262=0,0,HLOOKUP(BS$14,Villagers!$B$1:$V$33,BS262+3,FALSE)),)</f>
        <v>5</v>
      </c>
      <c r="CO262" s="14">
        <f>ROUND(IF(BT262=0,0,HLOOKUP(BT$14,Villagers!$B$1:$V$33,BT262+3,FALSE)),)</f>
        <v>0</v>
      </c>
      <c r="CP262" s="14">
        <f>ROUND(IF(BU262=0,0,HLOOKUP(BU$14,Villagers!$B$1:$V$33,BU262+3,FALSE)),)</f>
        <v>0</v>
      </c>
      <c r="CQ262" s="14">
        <f>ROUND(IF(BV262=0,0,HLOOKUP(BV$14,Villagers!$B$1:$V$33,BV262+3,FALSE)),)</f>
        <v>0</v>
      </c>
      <c r="CR262" s="14">
        <f>ROUND(IF(BW262=0,0,HLOOKUP(BW$14,Villagers!$B$1:$V$33,BW262+3,FALSE)),)</f>
        <v>0</v>
      </c>
      <c r="CS262" s="14">
        <f>ROUND(IF(BX262=0,0,HLOOKUP(BX$14,Villagers!$B$1:$V$33,BX262+3,FALSE)),)</f>
        <v>0</v>
      </c>
      <c r="CT262" s="14">
        <f>ROUND(IF(BY262=0,0,HLOOKUP(BY$14,Villagers!$B$1:$V$33,BY262+3,FALSE)),)</f>
        <v>0</v>
      </c>
      <c r="CU262" s="14">
        <f>ROUND(IF(BZ262=0,0,HLOOKUP(BZ$14,Villagers!$B$1:$V$33,BZ262+3,FALSE)),)</f>
        <v>0</v>
      </c>
      <c r="CV262" s="14">
        <f>ROUND(IF(CA262=0,0,HLOOKUP(CA$14,Villagers!$B$1:$V$33,CA262+3,FALSE)),)</f>
        <v>0</v>
      </c>
      <c r="CW262" s="14">
        <f>ROUND(IF(CB262=0,0,HLOOKUP(CB$14,Villagers!$B$1:$V$33,CB262+3,FALSE)),)</f>
        <v>0</v>
      </c>
      <c r="CX262" s="14">
        <f>ROUND(IF(CC262=0,0,HLOOKUP(CC$14,Villagers!$B$1:$V$33,CC262+3,FALSE)),)</f>
        <v>0</v>
      </c>
      <c r="CY262" s="14">
        <f>ROUND(IF(CD262=0,0,HLOOKUP(CD$14,Villagers!$B$1:$V$33,CD262+3,FALSE)),)</f>
        <v>0</v>
      </c>
      <c r="CZ262" s="14">
        <f>ROUND(IF(CE262=0,0,HLOOKUP(CE$14,Villagers!$B$1:$V$33,CE262+3,FALSE)),)</f>
        <v>5</v>
      </c>
      <c r="DA262" s="14">
        <f>ROUND(IF(CF262=0,0,HLOOKUP(CF$14,Villagers!$B$1:$V$33,CF262+3,FALSE)),)</f>
        <v>10</v>
      </c>
      <c r="DB262" s="14">
        <f>ROUND(IF(CG262=0,0,HLOOKUP(CG$14,Villagers!$B$1:$V$33,CG262+3,FALSE)),)</f>
        <v>10</v>
      </c>
      <c r="DC262" s="14">
        <f>ROUND(IF(CH262=0,0,HLOOKUP(CH$14,Villagers!$B$1:$V$33,CH262+3,FALSE)),)</f>
        <v>0</v>
      </c>
      <c r="DD262" s="14">
        <f>ROUND(IF(CI262=0,0,HLOOKUP(CI$14,Villagers!$B$1:$V$33,CI262+3,FALSE)),)</f>
        <v>0</v>
      </c>
      <c r="DE262" s="14">
        <f>ROUND(IF(CJ262=0,0,HLOOKUP(CJ$14,Villagers!$B$1:$V$33,CJ262+3,FALSE)),)</f>
        <v>2</v>
      </c>
      <c r="DF262" s="370">
        <f>ROUND(IF(CK262=0,0,HLOOKUP(CK$14,Villagers!$B$1:$V$33,CK262+3,FALSE)),)</f>
        <v>0</v>
      </c>
      <c r="DG262" s="370">
        <f>ROUND(IF(CL262=0,0,HLOOKUP(CL$14,Villagers!$B$1:$V$33,CL262+3,FALSE)),)</f>
        <v>0</v>
      </c>
      <c r="DH262" s="34">
        <f>ROUND(IF(CM262=0,0,HLOOKUP(CM$14,Villagers!$B$1:$V$33,CM262+3,FALSE)),)</f>
        <v>0</v>
      </c>
      <c r="DI262" s="109">
        <f t="shared" si="526"/>
        <v>0</v>
      </c>
      <c r="DJ262" s="50">
        <f t="shared" si="527"/>
        <v>0</v>
      </c>
      <c r="DK262" s="50">
        <f t="shared" si="528"/>
        <v>0</v>
      </c>
      <c r="DL262" s="50">
        <f t="shared" si="529"/>
        <v>0</v>
      </c>
      <c r="DM262" s="50">
        <f t="shared" si="530"/>
        <v>0</v>
      </c>
      <c r="DN262" s="50">
        <f t="shared" si="531"/>
        <v>0</v>
      </c>
      <c r="DO262" s="50">
        <f t="shared" si="532"/>
        <v>0</v>
      </c>
      <c r="DP262" s="50">
        <f t="shared" si="533"/>
        <v>0</v>
      </c>
      <c r="DQ262" s="50">
        <f t="shared" si="510"/>
        <v>0</v>
      </c>
      <c r="DR262" s="50">
        <f t="shared" si="511"/>
        <v>0</v>
      </c>
      <c r="DS262" s="96">
        <f>Miscelaneous!$D$4*Miscelaneous!$D$2^($CI262-1)</f>
        <v>1000</v>
      </c>
      <c r="DT262" s="333">
        <f t="shared" si="490"/>
        <v>1</v>
      </c>
      <c r="DU262" s="81">
        <v>1</v>
      </c>
      <c r="DV262" s="79">
        <f t="shared" si="512"/>
        <v>0</v>
      </c>
      <c r="DW262" s="79">
        <f t="shared" si="513"/>
        <v>0</v>
      </c>
      <c r="DX262" s="79">
        <f t="shared" si="514"/>
        <v>0</v>
      </c>
      <c r="DY262" s="79">
        <v>1</v>
      </c>
      <c r="DZ262" s="79">
        <f t="shared" si="515"/>
        <v>0</v>
      </c>
      <c r="EA262" s="79">
        <f t="shared" si="516"/>
        <v>0</v>
      </c>
      <c r="EB262" s="79">
        <f t="shared" si="517"/>
        <v>0</v>
      </c>
      <c r="EC262" s="79">
        <f t="shared" si="518"/>
        <v>0</v>
      </c>
      <c r="ED262" s="79">
        <v>1</v>
      </c>
      <c r="EE262" s="79">
        <v>1</v>
      </c>
      <c r="EF262" s="79">
        <f t="shared" si="519"/>
        <v>0</v>
      </c>
      <c r="EG262" s="79">
        <v>1</v>
      </c>
      <c r="EH262" s="79">
        <v>1</v>
      </c>
      <c r="EI262" s="79">
        <v>1</v>
      </c>
      <c r="EJ262" s="79">
        <v>1</v>
      </c>
      <c r="EK262" s="79">
        <v>1</v>
      </c>
      <c r="EL262" s="79">
        <v>1</v>
      </c>
      <c r="EM262" s="143">
        <f t="shared" si="520"/>
        <v>0</v>
      </c>
      <c r="EN262" s="143">
        <f t="shared" si="521"/>
        <v>0</v>
      </c>
      <c r="EO262" s="82">
        <f t="shared" si="522"/>
        <v>0</v>
      </c>
    </row>
    <row r="263" spans="1:145" x14ac:dyDescent="0.25">
      <c r="A263">
        <v>249</v>
      </c>
      <c r="B263" s="172" t="e">
        <f t="shared" si="491"/>
        <v>#N/A</v>
      </c>
      <c r="C263" s="121" t="e">
        <f t="shared" ref="C263:E263" si="615">AJ263-SUM(AB263:AB267)</f>
        <v>#N/A</v>
      </c>
      <c r="D263" s="122" t="e">
        <f t="shared" si="615"/>
        <v>#N/A</v>
      </c>
      <c r="E263" s="122" t="e">
        <f t="shared" si="615"/>
        <v>#N/A</v>
      </c>
      <c r="F263" s="176" t="e">
        <f t="shared" si="473"/>
        <v>#N/A</v>
      </c>
      <c r="G263" s="121">
        <f t="shared" si="493"/>
        <v>208</v>
      </c>
      <c r="H263" s="176" t="e">
        <f t="shared" si="494"/>
        <v>#N/A</v>
      </c>
      <c r="I263" s="48">
        <v>1</v>
      </c>
      <c r="J263" s="39"/>
      <c r="K263" s="350">
        <v>1</v>
      </c>
      <c r="L263" s="34" t="e">
        <f t="shared" si="474"/>
        <v>#N/A</v>
      </c>
      <c r="M263" s="38" t="e">
        <f>(HLOOKUP(J263,'Construction Times'!$B$3:$W$34,L263+2,FALSE)*HLOOKUP("hq modifier",'Construction Times'!$W$3:$W$34,BS263+2,FALSE))*(1-$H$9)</f>
        <v>#N/A</v>
      </c>
      <c r="N263" s="426" t="e">
        <f t="shared" si="495"/>
        <v>#N/A</v>
      </c>
      <c r="O263" s="427"/>
      <c r="P263" s="430" t="e">
        <f t="shared" si="496"/>
        <v>#N/A</v>
      </c>
      <c r="Q263" s="431"/>
      <c r="R263" s="103">
        <f t="shared" si="524"/>
        <v>0</v>
      </c>
      <c r="S263" s="104">
        <f t="shared" si="524"/>
        <v>0</v>
      </c>
      <c r="T263" s="104">
        <f t="shared" si="525"/>
        <v>0</v>
      </c>
      <c r="U263" s="104">
        <f t="shared" si="525"/>
        <v>0</v>
      </c>
      <c r="V263" s="104">
        <f t="shared" si="525"/>
        <v>9.9999999999999995E-8</v>
      </c>
      <c r="W263" s="104">
        <f t="shared" si="525"/>
        <v>0</v>
      </c>
      <c r="X263" s="104">
        <f t="shared" si="584"/>
        <v>0</v>
      </c>
      <c r="Y263" s="104">
        <f t="shared" si="584"/>
        <v>9.9999999999999995E-8</v>
      </c>
      <c r="Z263" s="104">
        <f t="shared" si="584"/>
        <v>9.9999999999999995E-8</v>
      </c>
      <c r="AA263" s="105">
        <f t="shared" si="584"/>
        <v>9.9999999999999995E-8</v>
      </c>
      <c r="AB263" s="101" t="e">
        <f>$DT263*HLOOKUP($J263,'Construction Costs (timber)'!$B$1:$V$32,'Construction Planner'!$L263+2,FALSE)</f>
        <v>#N/A</v>
      </c>
      <c r="AC263" s="14" t="e">
        <f>$DT263*HLOOKUP($J263,'Construction Costs (clay)'!$B$1:$V$32,'Construction Planner'!$L263+2,FALSE)</f>
        <v>#N/A</v>
      </c>
      <c r="AD263" s="14" t="e">
        <f>$DT263*HLOOKUP($J263,'Construction Costs (iron)'!$B$1:$V$32,'Construction Planner'!$L263+2,FALSE)</f>
        <v>#N/A</v>
      </c>
      <c r="AE263" s="34" t="e">
        <f t="shared" si="537"/>
        <v>#N/A</v>
      </c>
      <c r="AF263" s="33" t="e">
        <f t="shared" si="475"/>
        <v>#N/A</v>
      </c>
      <c r="AG263" s="14" t="e">
        <f t="shared" si="476"/>
        <v>#N/A</v>
      </c>
      <c r="AH263" s="14" t="e">
        <f t="shared" si="477"/>
        <v>#N/A</v>
      </c>
      <c r="AI263" s="34" t="e">
        <f t="shared" si="538"/>
        <v>#N/A</v>
      </c>
      <c r="AJ263" s="49" t="e">
        <f t="shared" si="498"/>
        <v>#N/A</v>
      </c>
      <c r="AK263" s="49" t="e">
        <f t="shared" si="499"/>
        <v>#N/A</v>
      </c>
      <c r="AL263" s="49" t="e">
        <f t="shared" si="500"/>
        <v>#N/A</v>
      </c>
      <c r="AM263" s="25">
        <f t="shared" si="478"/>
        <v>30</v>
      </c>
      <c r="AN263" s="25">
        <f t="shared" si="479"/>
        <v>30</v>
      </c>
      <c r="AO263" s="25">
        <f t="shared" si="480"/>
        <v>30</v>
      </c>
      <c r="AP263" s="52" t="e">
        <f t="shared" si="501"/>
        <v>#N/A</v>
      </c>
      <c r="AQ263" s="53" t="e">
        <f t="shared" si="501"/>
        <v>#N/A</v>
      </c>
      <c r="AR263" s="54" t="e">
        <f t="shared" si="501"/>
        <v>#N/A</v>
      </c>
      <c r="AS263" s="316">
        <f t="shared" si="612"/>
        <v>0</v>
      </c>
      <c r="AT263" s="106">
        <f>_xlfn.IFNA($M263/VLOOKUP($BT263,'Unit information'!$A$2:$K$29,2,FALSE)*R263,0)*(1+$E$9)</f>
        <v>0</v>
      </c>
      <c r="AU263" s="107">
        <f>_xlfn.IFNA($M263/VLOOKUP($BT263,'Unit information'!$A$2:$K$29,3,FALSE)*S263,0)*(1+$E$9)</f>
        <v>0</v>
      </c>
      <c r="AV263" s="107">
        <f>_xlfn.IFNA($M263/VLOOKUP($BT263,'Unit information'!$A$2:$K$29,4,FALSE)*T263,0)*(1+$E$9)</f>
        <v>0</v>
      </c>
      <c r="AW263" s="107">
        <f>_xlfn.IFNA($M263/VLOOKUP($BT263,'Unit information'!$A$2:$K$29,5,FALSE)*U263,0)*(1+$E$9)</f>
        <v>0</v>
      </c>
      <c r="AX263" s="107">
        <f>_xlfn.IFNA($M263/VLOOKUP($BU263,'Unit information'!$A$2:$K$29,6,FALSE)*V263,0)*(1+$E$9)</f>
        <v>0</v>
      </c>
      <c r="AY263" s="107">
        <f>_xlfn.IFNA($M263/VLOOKUP($BU263,'Unit information'!$A$2:$K$29,7,FALSE)*W263,0)*(1+$E$9)</f>
        <v>0</v>
      </c>
      <c r="AZ263" s="107">
        <f>_xlfn.IFNA($M263/VLOOKUP($BU263,'Unit information'!$A$2:$K$29,8,FALSE)*X263,0)*(1+$E$9)</f>
        <v>0</v>
      </c>
      <c r="BA263" s="107">
        <f>_xlfn.IFNA($M263/VLOOKUP($BU263,'Unit information'!$A$2:$K$29,9,FALSE)*Y263,0)*(1+$E$9)</f>
        <v>0</v>
      </c>
      <c r="BB263" s="107">
        <f>_xlfn.IFNA($M263/VLOOKUP($BV263,'Unit information'!$A$2:$K$29,10,FALSE)*Z263,0)*(1+$E$9)</f>
        <v>0</v>
      </c>
      <c r="BC263" s="108">
        <f>_xlfn.IFNA($M263/VLOOKUP($BV263,'Unit information'!$A$2:$K$29,11,FALSE)*AA263,0)*(1+$E$9)</f>
        <v>0</v>
      </c>
      <c r="BD263" s="106">
        <f t="shared" si="481"/>
        <v>0</v>
      </c>
      <c r="BE263" s="107">
        <f t="shared" si="482"/>
        <v>0</v>
      </c>
      <c r="BF263" s="108">
        <f t="shared" si="483"/>
        <v>0</v>
      </c>
      <c r="BG263" s="25" t="e">
        <f t="shared" si="484"/>
        <v>#N/A</v>
      </c>
      <c r="BH263" s="25" t="e">
        <f t="shared" si="485"/>
        <v>#N/A</v>
      </c>
      <c r="BI263" s="25" t="e">
        <f t="shared" si="486"/>
        <v>#N/A</v>
      </c>
      <c r="BJ263" s="27" t="e">
        <f t="shared" si="487"/>
        <v>#N/A</v>
      </c>
      <c r="BK263" s="18" t="e">
        <f t="shared" si="488"/>
        <v>#N/A</v>
      </c>
      <c r="BL263" s="18" t="e">
        <f t="shared" si="489"/>
        <v>#N/A</v>
      </c>
      <c r="BM263" s="28" t="e">
        <f t="shared" si="540"/>
        <v>#N/A</v>
      </c>
      <c r="BN263" s="33">
        <f>HLOOKUP("maximum population",Miscelaneous!$C$1:$C$33,CH263+3,FALSE)</f>
        <v>240</v>
      </c>
      <c r="BO263" s="14">
        <f t="shared" si="502"/>
        <v>32</v>
      </c>
      <c r="BP263" s="14">
        <f t="shared" si="503"/>
        <v>0</v>
      </c>
      <c r="BQ263" s="14">
        <f t="shared" si="504"/>
        <v>208</v>
      </c>
      <c r="BR263" s="34" t="e">
        <f>HLOOKUP(J263,Villagers!$B$1:$V$33,L263+3,FALSE)-HLOOKUP(J263,Villagers!$B$1:$V$33,L263+2,FALSE)</f>
        <v>#N/A</v>
      </c>
      <c r="BS263" s="49">
        <f t="shared" si="505"/>
        <v>1</v>
      </c>
      <c r="BT263" s="50">
        <f t="shared" si="506"/>
        <v>0</v>
      </c>
      <c r="BU263" s="50">
        <f t="shared" si="507"/>
        <v>0</v>
      </c>
      <c r="BV263" s="50">
        <f t="shared" si="508"/>
        <v>0</v>
      </c>
      <c r="BW263" s="50">
        <f>IF($J262=BW$14,$L262,BW262)</f>
        <v>0</v>
      </c>
      <c r="BX263" s="50">
        <f t="shared" ref="BX263:BY271" si="616">IF($J262=BX$14,$L262,BX262)</f>
        <v>0</v>
      </c>
      <c r="BY263" s="50">
        <f t="shared" si="616"/>
        <v>0</v>
      </c>
      <c r="BZ263" s="50">
        <f t="shared" si="554"/>
        <v>0</v>
      </c>
      <c r="CA263" s="50">
        <f t="shared" si="555"/>
        <v>0</v>
      </c>
      <c r="CB263" s="50">
        <f t="shared" si="556"/>
        <v>1</v>
      </c>
      <c r="CC263" s="50">
        <f t="shared" si="557"/>
        <v>0</v>
      </c>
      <c r="CD263" s="50">
        <f t="shared" si="558"/>
        <v>0</v>
      </c>
      <c r="CE263" s="50">
        <f t="shared" si="559"/>
        <v>1</v>
      </c>
      <c r="CF263" s="50">
        <f t="shared" si="560"/>
        <v>1</v>
      </c>
      <c r="CG263" s="50">
        <f t="shared" si="561"/>
        <v>1</v>
      </c>
      <c r="CH263" s="50">
        <f t="shared" si="562"/>
        <v>1</v>
      </c>
      <c r="CI263" s="50">
        <f t="shared" si="563"/>
        <v>1</v>
      </c>
      <c r="CJ263" s="50">
        <f t="shared" si="564"/>
        <v>1</v>
      </c>
      <c r="CK263" s="50">
        <f t="shared" si="564"/>
        <v>0</v>
      </c>
      <c r="CL263" s="50">
        <f t="shared" si="564"/>
        <v>0</v>
      </c>
      <c r="CM263" s="51">
        <f t="shared" si="605"/>
        <v>0</v>
      </c>
      <c r="CN263" s="33">
        <f>ROUND(IF(BS263=0,0,HLOOKUP(BS$14,Villagers!$B$1:$V$33,BS263+3,FALSE)),)</f>
        <v>5</v>
      </c>
      <c r="CO263" s="14">
        <f>ROUND(IF(BT263=0,0,HLOOKUP(BT$14,Villagers!$B$1:$V$33,BT263+3,FALSE)),)</f>
        <v>0</v>
      </c>
      <c r="CP263" s="14">
        <f>ROUND(IF(BU263=0,0,HLOOKUP(BU$14,Villagers!$B$1:$V$33,BU263+3,FALSE)),)</f>
        <v>0</v>
      </c>
      <c r="CQ263" s="14">
        <f>ROUND(IF(BV263=0,0,HLOOKUP(BV$14,Villagers!$B$1:$V$33,BV263+3,FALSE)),)</f>
        <v>0</v>
      </c>
      <c r="CR263" s="14">
        <f>ROUND(IF(BW263=0,0,HLOOKUP(BW$14,Villagers!$B$1:$V$33,BW263+3,FALSE)),)</f>
        <v>0</v>
      </c>
      <c r="CS263" s="14">
        <f>ROUND(IF(BX263=0,0,HLOOKUP(BX$14,Villagers!$B$1:$V$33,BX263+3,FALSE)),)</f>
        <v>0</v>
      </c>
      <c r="CT263" s="14">
        <f>ROUND(IF(BY263=0,0,HLOOKUP(BY$14,Villagers!$B$1:$V$33,BY263+3,FALSE)),)</f>
        <v>0</v>
      </c>
      <c r="CU263" s="14">
        <f>ROUND(IF(BZ263=0,0,HLOOKUP(BZ$14,Villagers!$B$1:$V$33,BZ263+3,FALSE)),)</f>
        <v>0</v>
      </c>
      <c r="CV263" s="14">
        <f>ROUND(IF(CA263=0,0,HLOOKUP(CA$14,Villagers!$B$1:$V$33,CA263+3,FALSE)),)</f>
        <v>0</v>
      </c>
      <c r="CW263" s="14">
        <f>ROUND(IF(CB263=0,0,HLOOKUP(CB$14,Villagers!$B$1:$V$33,CB263+3,FALSE)),)</f>
        <v>0</v>
      </c>
      <c r="CX263" s="14">
        <f>ROUND(IF(CC263=0,0,HLOOKUP(CC$14,Villagers!$B$1:$V$33,CC263+3,FALSE)),)</f>
        <v>0</v>
      </c>
      <c r="CY263" s="14">
        <f>ROUND(IF(CD263=0,0,HLOOKUP(CD$14,Villagers!$B$1:$V$33,CD263+3,FALSE)),)</f>
        <v>0</v>
      </c>
      <c r="CZ263" s="14">
        <f>ROUND(IF(CE263=0,0,HLOOKUP(CE$14,Villagers!$B$1:$V$33,CE263+3,FALSE)),)</f>
        <v>5</v>
      </c>
      <c r="DA263" s="14">
        <f>ROUND(IF(CF263=0,0,HLOOKUP(CF$14,Villagers!$B$1:$V$33,CF263+3,FALSE)),)</f>
        <v>10</v>
      </c>
      <c r="DB263" s="14">
        <f>ROUND(IF(CG263=0,0,HLOOKUP(CG$14,Villagers!$B$1:$V$33,CG263+3,FALSE)),)</f>
        <v>10</v>
      </c>
      <c r="DC263" s="14">
        <f>ROUND(IF(CH263=0,0,HLOOKUP(CH$14,Villagers!$B$1:$V$33,CH263+3,FALSE)),)</f>
        <v>0</v>
      </c>
      <c r="DD263" s="14">
        <f>ROUND(IF(CI263=0,0,HLOOKUP(CI$14,Villagers!$B$1:$V$33,CI263+3,FALSE)),)</f>
        <v>0</v>
      </c>
      <c r="DE263" s="14">
        <f>ROUND(IF(CJ263=0,0,HLOOKUP(CJ$14,Villagers!$B$1:$V$33,CJ263+3,FALSE)),)</f>
        <v>2</v>
      </c>
      <c r="DF263" s="370">
        <f>ROUND(IF(CK263=0,0,HLOOKUP(CK$14,Villagers!$B$1:$V$33,CK263+3,FALSE)),)</f>
        <v>0</v>
      </c>
      <c r="DG263" s="370">
        <f>ROUND(IF(CL263=0,0,HLOOKUP(CL$14,Villagers!$B$1:$V$33,CL263+3,FALSE)),)</f>
        <v>0</v>
      </c>
      <c r="DH263" s="34">
        <f>ROUND(IF(CM263=0,0,HLOOKUP(CM$14,Villagers!$B$1:$V$33,CM263+3,FALSE)),)</f>
        <v>0</v>
      </c>
      <c r="DI263" s="109">
        <f t="shared" si="526"/>
        <v>0</v>
      </c>
      <c r="DJ263" s="50">
        <f t="shared" si="527"/>
        <v>0</v>
      </c>
      <c r="DK263" s="50">
        <f t="shared" si="528"/>
        <v>0</v>
      </c>
      <c r="DL263" s="50">
        <f t="shared" si="529"/>
        <v>0</v>
      </c>
      <c r="DM263" s="50">
        <f t="shared" si="530"/>
        <v>0</v>
      </c>
      <c r="DN263" s="50">
        <f t="shared" si="531"/>
        <v>0</v>
      </c>
      <c r="DO263" s="50">
        <f t="shared" si="532"/>
        <v>0</v>
      </c>
      <c r="DP263" s="50">
        <f t="shared" si="533"/>
        <v>0</v>
      </c>
      <c r="DQ263" s="50">
        <f t="shared" si="510"/>
        <v>0</v>
      </c>
      <c r="DR263" s="50">
        <f t="shared" si="511"/>
        <v>0</v>
      </c>
      <c r="DS263" s="96">
        <f>Miscelaneous!$D$4*Miscelaneous!$D$2^($CI263-1)</f>
        <v>1000</v>
      </c>
      <c r="DT263" s="333">
        <f t="shared" si="490"/>
        <v>1</v>
      </c>
      <c r="DU263" s="81">
        <v>1</v>
      </c>
      <c r="DV263" s="79">
        <f t="shared" si="512"/>
        <v>0</v>
      </c>
      <c r="DW263" s="79">
        <f t="shared" si="513"/>
        <v>0</v>
      </c>
      <c r="DX263" s="79">
        <f t="shared" si="514"/>
        <v>0</v>
      </c>
      <c r="DY263" s="79">
        <v>1</v>
      </c>
      <c r="DZ263" s="79">
        <f t="shared" si="515"/>
        <v>0</v>
      </c>
      <c r="EA263" s="79">
        <f t="shared" si="516"/>
        <v>0</v>
      </c>
      <c r="EB263" s="79">
        <f t="shared" si="517"/>
        <v>0</v>
      </c>
      <c r="EC263" s="79">
        <f t="shared" si="518"/>
        <v>0</v>
      </c>
      <c r="ED263" s="79">
        <v>1</v>
      </c>
      <c r="EE263" s="79">
        <v>1</v>
      </c>
      <c r="EF263" s="79">
        <f t="shared" si="519"/>
        <v>0</v>
      </c>
      <c r="EG263" s="79">
        <v>1</v>
      </c>
      <c r="EH263" s="79">
        <v>1</v>
      </c>
      <c r="EI263" s="79">
        <v>1</v>
      </c>
      <c r="EJ263" s="79">
        <v>1</v>
      </c>
      <c r="EK263" s="79">
        <v>1</v>
      </c>
      <c r="EL263" s="79">
        <v>1</v>
      </c>
      <c r="EM263" s="143">
        <f t="shared" si="520"/>
        <v>0</v>
      </c>
      <c r="EN263" s="143">
        <f t="shared" si="521"/>
        <v>0</v>
      </c>
      <c r="EO263" s="82">
        <f t="shared" si="522"/>
        <v>0</v>
      </c>
    </row>
    <row r="264" spans="1:145" x14ac:dyDescent="0.25">
      <c r="A264">
        <v>250</v>
      </c>
      <c r="B264" s="172" t="e">
        <f t="shared" si="491"/>
        <v>#N/A</v>
      </c>
      <c r="C264" s="121" t="e">
        <f t="shared" ref="C264:E264" si="617">AJ264-SUM(AB264:AB268)</f>
        <v>#N/A</v>
      </c>
      <c r="D264" s="122" t="e">
        <f t="shared" si="617"/>
        <v>#N/A</v>
      </c>
      <c r="E264" s="122" t="e">
        <f t="shared" si="617"/>
        <v>#N/A</v>
      </c>
      <c r="F264" s="176" t="e">
        <f t="shared" si="473"/>
        <v>#N/A</v>
      </c>
      <c r="G264" s="121">
        <f t="shared" si="493"/>
        <v>208</v>
      </c>
      <c r="H264" s="176" t="e">
        <f t="shared" si="494"/>
        <v>#N/A</v>
      </c>
      <c r="I264" s="48">
        <v>1</v>
      </c>
      <c r="J264" s="39"/>
      <c r="K264" s="350">
        <v>1</v>
      </c>
      <c r="L264" s="34" t="e">
        <f t="shared" si="474"/>
        <v>#N/A</v>
      </c>
      <c r="M264" s="38" t="e">
        <f>(HLOOKUP(J264,'Construction Times'!$B$3:$W$34,L264+2,FALSE)*HLOOKUP("hq modifier",'Construction Times'!$W$3:$W$34,BS264+2,FALSE))*(1-$H$9)</f>
        <v>#N/A</v>
      </c>
      <c r="N264" s="426" t="e">
        <f t="shared" si="495"/>
        <v>#N/A</v>
      </c>
      <c r="O264" s="427"/>
      <c r="P264" s="430" t="e">
        <f t="shared" si="496"/>
        <v>#N/A</v>
      </c>
      <c r="Q264" s="431"/>
      <c r="R264" s="103">
        <f t="shared" si="524"/>
        <v>0</v>
      </c>
      <c r="S264" s="104">
        <f t="shared" si="524"/>
        <v>0</v>
      </c>
      <c r="T264" s="104">
        <f t="shared" si="525"/>
        <v>0</v>
      </c>
      <c r="U264" s="104">
        <f t="shared" si="525"/>
        <v>0</v>
      </c>
      <c r="V264" s="104">
        <f t="shared" si="525"/>
        <v>9.9999999999999995E-8</v>
      </c>
      <c r="W264" s="104">
        <f t="shared" si="525"/>
        <v>0</v>
      </c>
      <c r="X264" s="104">
        <f t="shared" si="584"/>
        <v>0</v>
      </c>
      <c r="Y264" s="104">
        <f t="shared" si="584"/>
        <v>9.9999999999999995E-8</v>
      </c>
      <c r="Z264" s="104">
        <f t="shared" si="584"/>
        <v>9.9999999999999995E-8</v>
      </c>
      <c r="AA264" s="105">
        <f t="shared" si="584"/>
        <v>9.9999999999999995E-8</v>
      </c>
      <c r="AB264" s="101" t="e">
        <f>$DT264*HLOOKUP($J264,'Construction Costs (timber)'!$B$1:$V$32,'Construction Planner'!$L264+2,FALSE)</f>
        <v>#N/A</v>
      </c>
      <c r="AC264" s="14" t="e">
        <f>$DT264*HLOOKUP($J264,'Construction Costs (clay)'!$B$1:$V$32,'Construction Planner'!$L264+2,FALSE)</f>
        <v>#N/A</v>
      </c>
      <c r="AD264" s="14" t="e">
        <f>$DT264*HLOOKUP($J264,'Construction Costs (iron)'!$B$1:$V$32,'Construction Planner'!$L264+2,FALSE)</f>
        <v>#N/A</v>
      </c>
      <c r="AE264" s="34" t="e">
        <f t="shared" si="537"/>
        <v>#N/A</v>
      </c>
      <c r="AF264" s="33" t="e">
        <f t="shared" si="475"/>
        <v>#N/A</v>
      </c>
      <c r="AG264" s="14" t="e">
        <f t="shared" si="476"/>
        <v>#N/A</v>
      </c>
      <c r="AH264" s="14" t="e">
        <f t="shared" si="477"/>
        <v>#N/A</v>
      </c>
      <c r="AI264" s="34" t="e">
        <f t="shared" si="538"/>
        <v>#N/A</v>
      </c>
      <c r="AJ264" s="49" t="e">
        <f t="shared" si="498"/>
        <v>#N/A</v>
      </c>
      <c r="AK264" s="49" t="e">
        <f t="shared" si="499"/>
        <v>#N/A</v>
      </c>
      <c r="AL264" s="49" t="e">
        <f t="shared" si="500"/>
        <v>#N/A</v>
      </c>
      <c r="AM264" s="25">
        <f t="shared" si="478"/>
        <v>30</v>
      </c>
      <c r="AN264" s="25">
        <f t="shared" si="479"/>
        <v>30</v>
      </c>
      <c r="AO264" s="25">
        <f t="shared" si="480"/>
        <v>30</v>
      </c>
      <c r="AP264" s="52" t="e">
        <f t="shared" si="501"/>
        <v>#N/A</v>
      </c>
      <c r="AQ264" s="53" t="e">
        <f t="shared" si="501"/>
        <v>#N/A</v>
      </c>
      <c r="AR264" s="54" t="e">
        <f t="shared" si="501"/>
        <v>#N/A</v>
      </c>
      <c r="AS264" s="316">
        <f t="shared" si="612"/>
        <v>0</v>
      </c>
      <c r="AT264" s="106">
        <f>_xlfn.IFNA($M264/VLOOKUP($BT264,'Unit information'!$A$2:$K$29,2,FALSE)*R264,0)*(1+$E$9)</f>
        <v>0</v>
      </c>
      <c r="AU264" s="107">
        <f>_xlfn.IFNA($M264/VLOOKUP($BT264,'Unit information'!$A$2:$K$29,3,FALSE)*S264,0)*(1+$E$9)</f>
        <v>0</v>
      </c>
      <c r="AV264" s="107">
        <f>_xlfn.IFNA($M264/VLOOKUP($BT264,'Unit information'!$A$2:$K$29,4,FALSE)*T264,0)*(1+$E$9)</f>
        <v>0</v>
      </c>
      <c r="AW264" s="107">
        <f>_xlfn.IFNA($M264/VLOOKUP($BT264,'Unit information'!$A$2:$K$29,5,FALSE)*U264,0)*(1+$E$9)</f>
        <v>0</v>
      </c>
      <c r="AX264" s="107">
        <f>_xlfn.IFNA($M264/VLOOKUP($BU264,'Unit information'!$A$2:$K$29,6,FALSE)*V264,0)*(1+$E$9)</f>
        <v>0</v>
      </c>
      <c r="AY264" s="107">
        <f>_xlfn.IFNA($M264/VLOOKUP($BU264,'Unit information'!$A$2:$K$29,7,FALSE)*W264,0)*(1+$E$9)</f>
        <v>0</v>
      </c>
      <c r="AZ264" s="107">
        <f>_xlfn.IFNA($M264/VLOOKUP($BU264,'Unit information'!$A$2:$K$29,8,FALSE)*X264,0)*(1+$E$9)</f>
        <v>0</v>
      </c>
      <c r="BA264" s="107">
        <f>_xlfn.IFNA($M264/VLOOKUP($BU264,'Unit information'!$A$2:$K$29,9,FALSE)*Y264,0)*(1+$E$9)</f>
        <v>0</v>
      </c>
      <c r="BB264" s="107">
        <f>_xlfn.IFNA($M264/VLOOKUP($BV264,'Unit information'!$A$2:$K$29,10,FALSE)*Z264,0)*(1+$E$9)</f>
        <v>0</v>
      </c>
      <c r="BC264" s="108">
        <f>_xlfn.IFNA($M264/VLOOKUP($BV264,'Unit information'!$A$2:$K$29,11,FALSE)*AA264,0)*(1+$E$9)</f>
        <v>0</v>
      </c>
      <c r="BD264" s="106">
        <f t="shared" si="481"/>
        <v>0</v>
      </c>
      <c r="BE264" s="107">
        <f t="shared" si="482"/>
        <v>0</v>
      </c>
      <c r="BF264" s="108">
        <f t="shared" si="483"/>
        <v>0</v>
      </c>
      <c r="BG264" s="25" t="e">
        <f t="shared" si="484"/>
        <v>#N/A</v>
      </c>
      <c r="BH264" s="25" t="e">
        <f t="shared" si="485"/>
        <v>#N/A</v>
      </c>
      <c r="BI264" s="25" t="e">
        <f t="shared" si="486"/>
        <v>#N/A</v>
      </c>
      <c r="BJ264" s="27" t="e">
        <f t="shared" si="487"/>
        <v>#N/A</v>
      </c>
      <c r="BK264" s="18" t="e">
        <f t="shared" si="488"/>
        <v>#N/A</v>
      </c>
      <c r="BL264" s="18" t="e">
        <f t="shared" si="489"/>
        <v>#N/A</v>
      </c>
      <c r="BM264" s="28" t="e">
        <f t="shared" si="540"/>
        <v>#N/A</v>
      </c>
      <c r="BN264" s="33">
        <f>HLOOKUP("maximum population",Miscelaneous!$C$1:$C$33,CH264+3,FALSE)</f>
        <v>240</v>
      </c>
      <c r="BO264" s="14">
        <f t="shared" si="502"/>
        <v>32</v>
      </c>
      <c r="BP264" s="14">
        <f t="shared" si="503"/>
        <v>0</v>
      </c>
      <c r="BQ264" s="14">
        <f t="shared" si="504"/>
        <v>208</v>
      </c>
      <c r="BR264" s="34" t="e">
        <f>HLOOKUP(J264,Villagers!$B$1:$V$33,L264+3,FALSE)-HLOOKUP(J264,Villagers!$B$1:$V$33,L264+2,FALSE)</f>
        <v>#N/A</v>
      </c>
      <c r="BS264" s="49">
        <f t="shared" si="505"/>
        <v>1</v>
      </c>
      <c r="BT264" s="50">
        <f t="shared" si="506"/>
        <v>0</v>
      </c>
      <c r="BU264" s="50">
        <f t="shared" si="507"/>
        <v>0</v>
      </c>
      <c r="BV264" s="50">
        <f t="shared" si="508"/>
        <v>0</v>
      </c>
      <c r="BW264" s="50">
        <f t="shared" ref="BW264:BW271" si="618">IF($J263=BW$14,$L263,BW263)</f>
        <v>0</v>
      </c>
      <c r="BX264" s="50">
        <f t="shared" si="616"/>
        <v>0</v>
      </c>
      <c r="BY264" s="50">
        <f t="shared" si="616"/>
        <v>0</v>
      </c>
      <c r="BZ264" s="50">
        <f t="shared" si="554"/>
        <v>0</v>
      </c>
      <c r="CA264" s="50">
        <f t="shared" si="555"/>
        <v>0</v>
      </c>
      <c r="CB264" s="50">
        <f t="shared" si="556"/>
        <v>1</v>
      </c>
      <c r="CC264" s="50">
        <f t="shared" si="557"/>
        <v>0</v>
      </c>
      <c r="CD264" s="50">
        <f t="shared" si="558"/>
        <v>0</v>
      </c>
      <c r="CE264" s="50">
        <f t="shared" si="559"/>
        <v>1</v>
      </c>
      <c r="CF264" s="50">
        <f t="shared" si="560"/>
        <v>1</v>
      </c>
      <c r="CG264" s="50">
        <f t="shared" si="561"/>
        <v>1</v>
      </c>
      <c r="CH264" s="50">
        <f t="shared" si="562"/>
        <v>1</v>
      </c>
      <c r="CI264" s="50">
        <f t="shared" si="563"/>
        <v>1</v>
      </c>
      <c r="CJ264" s="50">
        <f t="shared" si="564"/>
        <v>1</v>
      </c>
      <c r="CK264" s="50">
        <f t="shared" si="564"/>
        <v>0</v>
      </c>
      <c r="CL264" s="50">
        <f t="shared" si="564"/>
        <v>0</v>
      </c>
      <c r="CM264" s="51">
        <f t="shared" si="605"/>
        <v>0</v>
      </c>
      <c r="CN264" s="33">
        <f>ROUND(IF(BS264=0,0,HLOOKUP(BS$14,Villagers!$B$1:$V$33,BS264+3,FALSE)),)</f>
        <v>5</v>
      </c>
      <c r="CO264" s="14">
        <f>ROUND(IF(BT264=0,0,HLOOKUP(BT$14,Villagers!$B$1:$V$33,BT264+3,FALSE)),)</f>
        <v>0</v>
      </c>
      <c r="CP264" s="14">
        <f>ROUND(IF(BU264=0,0,HLOOKUP(BU$14,Villagers!$B$1:$V$33,BU264+3,FALSE)),)</f>
        <v>0</v>
      </c>
      <c r="CQ264" s="14">
        <f>ROUND(IF(BV264=0,0,HLOOKUP(BV$14,Villagers!$B$1:$V$33,BV264+3,FALSE)),)</f>
        <v>0</v>
      </c>
      <c r="CR264" s="14">
        <f>ROUND(IF(BW264=0,0,HLOOKUP(BW$14,Villagers!$B$1:$V$33,BW264+3,FALSE)),)</f>
        <v>0</v>
      </c>
      <c r="CS264" s="14">
        <f>ROUND(IF(BX264=0,0,HLOOKUP(BX$14,Villagers!$B$1:$V$33,BX264+3,FALSE)),)</f>
        <v>0</v>
      </c>
      <c r="CT264" s="14">
        <f>ROUND(IF(BY264=0,0,HLOOKUP(BY$14,Villagers!$B$1:$V$33,BY264+3,FALSE)),)</f>
        <v>0</v>
      </c>
      <c r="CU264" s="14">
        <f>ROUND(IF(BZ264=0,0,HLOOKUP(BZ$14,Villagers!$B$1:$V$33,BZ264+3,FALSE)),)</f>
        <v>0</v>
      </c>
      <c r="CV264" s="14">
        <f>ROUND(IF(CA264=0,0,HLOOKUP(CA$14,Villagers!$B$1:$V$33,CA264+3,FALSE)),)</f>
        <v>0</v>
      </c>
      <c r="CW264" s="14">
        <f>ROUND(IF(CB264=0,0,HLOOKUP(CB$14,Villagers!$B$1:$V$33,CB264+3,FALSE)),)</f>
        <v>0</v>
      </c>
      <c r="CX264" s="14">
        <f>ROUND(IF(CC264=0,0,HLOOKUP(CC$14,Villagers!$B$1:$V$33,CC264+3,FALSE)),)</f>
        <v>0</v>
      </c>
      <c r="CY264" s="14">
        <f>ROUND(IF(CD264=0,0,HLOOKUP(CD$14,Villagers!$B$1:$V$33,CD264+3,FALSE)),)</f>
        <v>0</v>
      </c>
      <c r="CZ264" s="14">
        <f>ROUND(IF(CE264=0,0,HLOOKUP(CE$14,Villagers!$B$1:$V$33,CE264+3,FALSE)),)</f>
        <v>5</v>
      </c>
      <c r="DA264" s="14">
        <f>ROUND(IF(CF264=0,0,HLOOKUP(CF$14,Villagers!$B$1:$V$33,CF264+3,FALSE)),)</f>
        <v>10</v>
      </c>
      <c r="DB264" s="14">
        <f>ROUND(IF(CG264=0,0,HLOOKUP(CG$14,Villagers!$B$1:$V$33,CG264+3,FALSE)),)</f>
        <v>10</v>
      </c>
      <c r="DC264" s="14">
        <f>ROUND(IF(CH264=0,0,HLOOKUP(CH$14,Villagers!$B$1:$V$33,CH264+3,FALSE)),)</f>
        <v>0</v>
      </c>
      <c r="DD264" s="14">
        <f>ROUND(IF(CI264=0,0,HLOOKUP(CI$14,Villagers!$B$1:$V$33,CI264+3,FALSE)),)</f>
        <v>0</v>
      </c>
      <c r="DE264" s="14">
        <f>ROUND(IF(CJ264=0,0,HLOOKUP(CJ$14,Villagers!$B$1:$V$33,CJ264+3,FALSE)),)</f>
        <v>2</v>
      </c>
      <c r="DF264" s="370">
        <f>ROUND(IF(CK264=0,0,HLOOKUP(CK$14,Villagers!$B$1:$V$33,CK264+3,FALSE)),)</f>
        <v>0</v>
      </c>
      <c r="DG264" s="370">
        <f>ROUND(IF(CL264=0,0,HLOOKUP(CL$14,Villagers!$B$1:$V$33,CL264+3,FALSE)),)</f>
        <v>0</v>
      </c>
      <c r="DH264" s="34">
        <f>ROUND(IF(CM264=0,0,HLOOKUP(CM$14,Villagers!$B$1:$V$33,CM264+3,FALSE)),)</f>
        <v>0</v>
      </c>
      <c r="DI264" s="109">
        <f t="shared" si="526"/>
        <v>0</v>
      </c>
      <c r="DJ264" s="50">
        <f t="shared" si="527"/>
        <v>0</v>
      </c>
      <c r="DK264" s="50">
        <f t="shared" si="528"/>
        <v>0</v>
      </c>
      <c r="DL264" s="50">
        <f t="shared" si="529"/>
        <v>0</v>
      </c>
      <c r="DM264" s="50">
        <f t="shared" si="530"/>
        <v>0</v>
      </c>
      <c r="DN264" s="50">
        <f t="shared" si="531"/>
        <v>0</v>
      </c>
      <c r="DO264" s="50">
        <f t="shared" si="532"/>
        <v>0</v>
      </c>
      <c r="DP264" s="50">
        <f t="shared" si="533"/>
        <v>0</v>
      </c>
      <c r="DQ264" s="50">
        <f t="shared" si="510"/>
        <v>0</v>
      </c>
      <c r="DR264" s="50">
        <f t="shared" si="511"/>
        <v>0</v>
      </c>
      <c r="DS264" s="96">
        <f>Miscelaneous!$D$4*Miscelaneous!$D$2^($CI264-1)</f>
        <v>1000</v>
      </c>
      <c r="DT264" s="333">
        <f t="shared" si="490"/>
        <v>1</v>
      </c>
      <c r="DU264" s="81">
        <v>1</v>
      </c>
      <c r="DV264" s="79">
        <f t="shared" si="512"/>
        <v>0</v>
      </c>
      <c r="DW264" s="79">
        <f t="shared" si="513"/>
        <v>0</v>
      </c>
      <c r="DX264" s="79">
        <f t="shared" si="514"/>
        <v>0</v>
      </c>
      <c r="DY264" s="79">
        <v>1</v>
      </c>
      <c r="DZ264" s="79">
        <f t="shared" si="515"/>
        <v>0</v>
      </c>
      <c r="EA264" s="79">
        <f t="shared" si="516"/>
        <v>0</v>
      </c>
      <c r="EB264" s="79">
        <f t="shared" si="517"/>
        <v>0</v>
      </c>
      <c r="EC264" s="79">
        <f t="shared" si="518"/>
        <v>0</v>
      </c>
      <c r="ED264" s="79">
        <v>1</v>
      </c>
      <c r="EE264" s="79">
        <v>1</v>
      </c>
      <c r="EF264" s="79">
        <f t="shared" si="519"/>
        <v>0</v>
      </c>
      <c r="EG264" s="79">
        <v>1</v>
      </c>
      <c r="EH264" s="79">
        <v>1</v>
      </c>
      <c r="EI264" s="79">
        <v>1</v>
      </c>
      <c r="EJ264" s="79">
        <v>1</v>
      </c>
      <c r="EK264" s="79">
        <v>1</v>
      </c>
      <c r="EL264" s="79">
        <v>1</v>
      </c>
      <c r="EM264" s="143">
        <f t="shared" si="520"/>
        <v>0</v>
      </c>
      <c r="EN264" s="143">
        <f t="shared" si="521"/>
        <v>0</v>
      </c>
      <c r="EO264" s="82">
        <f t="shared" si="522"/>
        <v>0</v>
      </c>
    </row>
    <row r="265" spans="1:145" x14ac:dyDescent="0.25">
      <c r="A265">
        <v>251</v>
      </c>
      <c r="B265" s="172" t="e">
        <f t="shared" si="491"/>
        <v>#N/A</v>
      </c>
      <c r="C265" s="121" t="e">
        <f t="shared" ref="C265:E265" si="619">AJ265-SUM(AB265:AB269)</f>
        <v>#N/A</v>
      </c>
      <c r="D265" s="122" t="e">
        <f t="shared" si="619"/>
        <v>#N/A</v>
      </c>
      <c r="E265" s="122" t="e">
        <f t="shared" si="619"/>
        <v>#N/A</v>
      </c>
      <c r="F265" s="176" t="e">
        <f t="shared" si="473"/>
        <v>#N/A</v>
      </c>
      <c r="G265" s="121">
        <f t="shared" si="493"/>
        <v>208</v>
      </c>
      <c r="H265" s="176" t="e">
        <f t="shared" si="494"/>
        <v>#N/A</v>
      </c>
      <c r="I265" s="48">
        <v>1</v>
      </c>
      <c r="J265" s="39"/>
      <c r="K265" s="350">
        <v>1</v>
      </c>
      <c r="L265" s="34" t="e">
        <f t="shared" si="474"/>
        <v>#N/A</v>
      </c>
      <c r="M265" s="38" t="e">
        <f>(HLOOKUP(J265,'Construction Times'!$B$3:$W$34,L265+2,FALSE)*HLOOKUP("hq modifier",'Construction Times'!$W$3:$W$34,BS265+2,FALSE))*(1-$H$9)</f>
        <v>#N/A</v>
      </c>
      <c r="N265" s="426" t="e">
        <f t="shared" si="495"/>
        <v>#N/A</v>
      </c>
      <c r="O265" s="427"/>
      <c r="P265" s="430" t="e">
        <f t="shared" si="496"/>
        <v>#N/A</v>
      </c>
      <c r="Q265" s="431"/>
      <c r="R265" s="103">
        <f t="shared" si="524"/>
        <v>0</v>
      </c>
      <c r="S265" s="104">
        <f t="shared" si="524"/>
        <v>0</v>
      </c>
      <c r="T265" s="104">
        <f t="shared" si="525"/>
        <v>0</v>
      </c>
      <c r="U265" s="104">
        <f t="shared" si="525"/>
        <v>0</v>
      </c>
      <c r="V265" s="104">
        <f t="shared" si="525"/>
        <v>9.9999999999999995E-8</v>
      </c>
      <c r="W265" s="104">
        <f t="shared" si="525"/>
        <v>0</v>
      </c>
      <c r="X265" s="104">
        <f t="shared" si="584"/>
        <v>0</v>
      </c>
      <c r="Y265" s="104">
        <f t="shared" si="584"/>
        <v>9.9999999999999995E-8</v>
      </c>
      <c r="Z265" s="104">
        <f t="shared" si="584"/>
        <v>9.9999999999999995E-8</v>
      </c>
      <c r="AA265" s="105">
        <f t="shared" si="584"/>
        <v>9.9999999999999995E-8</v>
      </c>
      <c r="AB265" s="101" t="e">
        <f>$DT265*HLOOKUP($J265,'Construction Costs (timber)'!$B$1:$V$32,'Construction Planner'!$L265+2,FALSE)</f>
        <v>#N/A</v>
      </c>
      <c r="AC265" s="14" t="e">
        <f>$DT265*HLOOKUP($J265,'Construction Costs (clay)'!$B$1:$V$32,'Construction Planner'!$L265+2,FALSE)</f>
        <v>#N/A</v>
      </c>
      <c r="AD265" s="14" t="e">
        <f>$DT265*HLOOKUP($J265,'Construction Costs (iron)'!$B$1:$V$32,'Construction Planner'!$L265+2,FALSE)</f>
        <v>#N/A</v>
      </c>
      <c r="AE265" s="34" t="e">
        <f t="shared" si="537"/>
        <v>#N/A</v>
      </c>
      <c r="AF265" s="33" t="e">
        <f t="shared" si="475"/>
        <v>#N/A</v>
      </c>
      <c r="AG265" s="14" t="e">
        <f t="shared" si="476"/>
        <v>#N/A</v>
      </c>
      <c r="AH265" s="14" t="e">
        <f t="shared" si="477"/>
        <v>#N/A</v>
      </c>
      <c r="AI265" s="34" t="e">
        <f t="shared" si="538"/>
        <v>#N/A</v>
      </c>
      <c r="AJ265" s="49" t="e">
        <f t="shared" si="498"/>
        <v>#N/A</v>
      </c>
      <c r="AK265" s="49" t="e">
        <f t="shared" si="499"/>
        <v>#N/A</v>
      </c>
      <c r="AL265" s="49" t="e">
        <f t="shared" si="500"/>
        <v>#N/A</v>
      </c>
      <c r="AM265" s="25">
        <f t="shared" si="478"/>
        <v>30</v>
      </c>
      <c r="AN265" s="25">
        <f t="shared" si="479"/>
        <v>30</v>
      </c>
      <c r="AO265" s="25">
        <f t="shared" si="480"/>
        <v>30</v>
      </c>
      <c r="AP265" s="52" t="e">
        <f t="shared" si="501"/>
        <v>#N/A</v>
      </c>
      <c r="AQ265" s="53" t="e">
        <f t="shared" si="501"/>
        <v>#N/A</v>
      </c>
      <c r="AR265" s="54" t="e">
        <f t="shared" si="501"/>
        <v>#N/A</v>
      </c>
      <c r="AS265" s="316">
        <f t="shared" si="612"/>
        <v>0</v>
      </c>
      <c r="AT265" s="106">
        <f>_xlfn.IFNA($M265/VLOOKUP($BT265,'Unit information'!$A$2:$K$29,2,FALSE)*R265,0)*(1+$E$9)</f>
        <v>0</v>
      </c>
      <c r="AU265" s="107">
        <f>_xlfn.IFNA($M265/VLOOKUP($BT265,'Unit information'!$A$2:$K$29,3,FALSE)*S265,0)*(1+$E$9)</f>
        <v>0</v>
      </c>
      <c r="AV265" s="107">
        <f>_xlfn.IFNA($M265/VLOOKUP($BT265,'Unit information'!$A$2:$K$29,4,FALSE)*T265,0)*(1+$E$9)</f>
        <v>0</v>
      </c>
      <c r="AW265" s="107">
        <f>_xlfn.IFNA($M265/VLOOKUP($BT265,'Unit information'!$A$2:$K$29,5,FALSE)*U265,0)*(1+$E$9)</f>
        <v>0</v>
      </c>
      <c r="AX265" s="107">
        <f>_xlfn.IFNA($M265/VLOOKUP($BU265,'Unit information'!$A$2:$K$29,6,FALSE)*V265,0)*(1+$E$9)</f>
        <v>0</v>
      </c>
      <c r="AY265" s="107">
        <f>_xlfn.IFNA($M265/VLOOKUP($BU265,'Unit information'!$A$2:$K$29,7,FALSE)*W265,0)*(1+$E$9)</f>
        <v>0</v>
      </c>
      <c r="AZ265" s="107">
        <f>_xlfn.IFNA($M265/VLOOKUP($BU265,'Unit information'!$A$2:$K$29,8,FALSE)*X265,0)*(1+$E$9)</f>
        <v>0</v>
      </c>
      <c r="BA265" s="107">
        <f>_xlfn.IFNA($M265/VLOOKUP($BU265,'Unit information'!$A$2:$K$29,9,FALSE)*Y265,0)*(1+$E$9)</f>
        <v>0</v>
      </c>
      <c r="BB265" s="107">
        <f>_xlfn.IFNA($M265/VLOOKUP($BV265,'Unit information'!$A$2:$K$29,10,FALSE)*Z265,0)*(1+$E$9)</f>
        <v>0</v>
      </c>
      <c r="BC265" s="108">
        <f>_xlfn.IFNA($M265/VLOOKUP($BV265,'Unit information'!$A$2:$K$29,11,FALSE)*AA265,0)*(1+$E$9)</f>
        <v>0</v>
      </c>
      <c r="BD265" s="106">
        <f t="shared" si="481"/>
        <v>0</v>
      </c>
      <c r="BE265" s="107">
        <f t="shared" si="482"/>
        <v>0</v>
      </c>
      <c r="BF265" s="108">
        <f t="shared" si="483"/>
        <v>0</v>
      </c>
      <c r="BG265" s="25" t="e">
        <f t="shared" si="484"/>
        <v>#N/A</v>
      </c>
      <c r="BH265" s="25" t="e">
        <f t="shared" si="485"/>
        <v>#N/A</v>
      </c>
      <c r="BI265" s="25" t="e">
        <f t="shared" si="486"/>
        <v>#N/A</v>
      </c>
      <c r="BJ265" s="27" t="e">
        <f t="shared" si="487"/>
        <v>#N/A</v>
      </c>
      <c r="BK265" s="18" t="e">
        <f t="shared" si="488"/>
        <v>#N/A</v>
      </c>
      <c r="BL265" s="18" t="e">
        <f t="shared" si="489"/>
        <v>#N/A</v>
      </c>
      <c r="BM265" s="28" t="e">
        <f t="shared" si="540"/>
        <v>#N/A</v>
      </c>
      <c r="BN265" s="33">
        <f>HLOOKUP("maximum population",Miscelaneous!$C$1:$C$33,CH265+3,FALSE)</f>
        <v>240</v>
      </c>
      <c r="BO265" s="14">
        <f t="shared" si="502"/>
        <v>32</v>
      </c>
      <c r="BP265" s="14">
        <f t="shared" si="503"/>
        <v>0</v>
      </c>
      <c r="BQ265" s="14">
        <f t="shared" si="504"/>
        <v>208</v>
      </c>
      <c r="BR265" s="34" t="e">
        <f>HLOOKUP(J265,Villagers!$B$1:$V$33,L265+3,FALSE)-HLOOKUP(J265,Villagers!$B$1:$V$33,L265+2,FALSE)</f>
        <v>#N/A</v>
      </c>
      <c r="BS265" s="49">
        <f t="shared" si="505"/>
        <v>1</v>
      </c>
      <c r="BT265" s="50">
        <f t="shared" si="506"/>
        <v>0</v>
      </c>
      <c r="BU265" s="50">
        <f t="shared" si="507"/>
        <v>0</v>
      </c>
      <c r="BV265" s="50">
        <f t="shared" si="508"/>
        <v>0</v>
      </c>
      <c r="BW265" s="50">
        <f t="shared" si="618"/>
        <v>0</v>
      </c>
      <c r="BX265" s="50">
        <f t="shared" si="616"/>
        <v>0</v>
      </c>
      <c r="BY265" s="50">
        <f t="shared" si="616"/>
        <v>0</v>
      </c>
      <c r="BZ265" s="50">
        <f t="shared" si="554"/>
        <v>0</v>
      </c>
      <c r="CA265" s="50">
        <f t="shared" si="555"/>
        <v>0</v>
      </c>
      <c r="CB265" s="50">
        <f t="shared" si="556"/>
        <v>1</v>
      </c>
      <c r="CC265" s="50">
        <f t="shared" si="557"/>
        <v>0</v>
      </c>
      <c r="CD265" s="50">
        <f t="shared" si="558"/>
        <v>0</v>
      </c>
      <c r="CE265" s="50">
        <f t="shared" si="559"/>
        <v>1</v>
      </c>
      <c r="CF265" s="50">
        <f t="shared" si="560"/>
        <v>1</v>
      </c>
      <c r="CG265" s="50">
        <f t="shared" si="561"/>
        <v>1</v>
      </c>
      <c r="CH265" s="50">
        <f t="shared" si="562"/>
        <v>1</v>
      </c>
      <c r="CI265" s="50">
        <f t="shared" si="563"/>
        <v>1</v>
      </c>
      <c r="CJ265" s="50">
        <f t="shared" si="564"/>
        <v>1</v>
      </c>
      <c r="CK265" s="50">
        <f t="shared" si="564"/>
        <v>0</v>
      </c>
      <c r="CL265" s="50">
        <f t="shared" si="564"/>
        <v>0</v>
      </c>
      <c r="CM265" s="51">
        <f t="shared" si="605"/>
        <v>0</v>
      </c>
      <c r="CN265" s="33">
        <f>ROUND(IF(BS265=0,0,HLOOKUP(BS$14,Villagers!$B$1:$V$33,BS265+3,FALSE)),)</f>
        <v>5</v>
      </c>
      <c r="CO265" s="14">
        <f>ROUND(IF(BT265=0,0,HLOOKUP(BT$14,Villagers!$B$1:$V$33,BT265+3,FALSE)),)</f>
        <v>0</v>
      </c>
      <c r="CP265" s="14">
        <f>ROUND(IF(BU265=0,0,HLOOKUP(BU$14,Villagers!$B$1:$V$33,BU265+3,FALSE)),)</f>
        <v>0</v>
      </c>
      <c r="CQ265" s="14">
        <f>ROUND(IF(BV265=0,0,HLOOKUP(BV$14,Villagers!$B$1:$V$33,BV265+3,FALSE)),)</f>
        <v>0</v>
      </c>
      <c r="CR265" s="14">
        <f>ROUND(IF(BW265=0,0,HLOOKUP(BW$14,Villagers!$B$1:$V$33,BW265+3,FALSE)),)</f>
        <v>0</v>
      </c>
      <c r="CS265" s="14">
        <f>ROUND(IF(BX265=0,0,HLOOKUP(BX$14,Villagers!$B$1:$V$33,BX265+3,FALSE)),)</f>
        <v>0</v>
      </c>
      <c r="CT265" s="14">
        <f>ROUND(IF(BY265=0,0,HLOOKUP(BY$14,Villagers!$B$1:$V$33,BY265+3,FALSE)),)</f>
        <v>0</v>
      </c>
      <c r="CU265" s="14">
        <f>ROUND(IF(BZ265=0,0,HLOOKUP(BZ$14,Villagers!$B$1:$V$33,BZ265+3,FALSE)),)</f>
        <v>0</v>
      </c>
      <c r="CV265" s="14">
        <f>ROUND(IF(CA265=0,0,HLOOKUP(CA$14,Villagers!$B$1:$V$33,CA265+3,FALSE)),)</f>
        <v>0</v>
      </c>
      <c r="CW265" s="14">
        <f>ROUND(IF(CB265=0,0,HLOOKUP(CB$14,Villagers!$B$1:$V$33,CB265+3,FALSE)),)</f>
        <v>0</v>
      </c>
      <c r="CX265" s="14">
        <f>ROUND(IF(CC265=0,0,HLOOKUP(CC$14,Villagers!$B$1:$V$33,CC265+3,FALSE)),)</f>
        <v>0</v>
      </c>
      <c r="CY265" s="14">
        <f>ROUND(IF(CD265=0,0,HLOOKUP(CD$14,Villagers!$B$1:$V$33,CD265+3,FALSE)),)</f>
        <v>0</v>
      </c>
      <c r="CZ265" s="14">
        <f>ROUND(IF(CE265=0,0,HLOOKUP(CE$14,Villagers!$B$1:$V$33,CE265+3,FALSE)),)</f>
        <v>5</v>
      </c>
      <c r="DA265" s="14">
        <f>ROUND(IF(CF265=0,0,HLOOKUP(CF$14,Villagers!$B$1:$V$33,CF265+3,FALSE)),)</f>
        <v>10</v>
      </c>
      <c r="DB265" s="14">
        <f>ROUND(IF(CG265=0,0,HLOOKUP(CG$14,Villagers!$B$1:$V$33,CG265+3,FALSE)),)</f>
        <v>10</v>
      </c>
      <c r="DC265" s="14">
        <f>ROUND(IF(CH265=0,0,HLOOKUP(CH$14,Villagers!$B$1:$V$33,CH265+3,FALSE)),)</f>
        <v>0</v>
      </c>
      <c r="DD265" s="14">
        <f>ROUND(IF(CI265=0,0,HLOOKUP(CI$14,Villagers!$B$1:$V$33,CI265+3,FALSE)),)</f>
        <v>0</v>
      </c>
      <c r="DE265" s="14">
        <f>ROUND(IF(CJ265=0,0,HLOOKUP(CJ$14,Villagers!$B$1:$V$33,CJ265+3,FALSE)),)</f>
        <v>2</v>
      </c>
      <c r="DF265" s="370">
        <f>ROUND(IF(CK265=0,0,HLOOKUP(CK$14,Villagers!$B$1:$V$33,CK265+3,FALSE)),)</f>
        <v>0</v>
      </c>
      <c r="DG265" s="370">
        <f>ROUND(IF(CL265=0,0,HLOOKUP(CL$14,Villagers!$B$1:$V$33,CL265+3,FALSE)),)</f>
        <v>0</v>
      </c>
      <c r="DH265" s="34">
        <f>ROUND(IF(CM265=0,0,HLOOKUP(CM$14,Villagers!$B$1:$V$33,CM265+3,FALSE)),)</f>
        <v>0</v>
      </c>
      <c r="DI265" s="109">
        <f t="shared" si="526"/>
        <v>0</v>
      </c>
      <c r="DJ265" s="50">
        <f t="shared" si="527"/>
        <v>0</v>
      </c>
      <c r="DK265" s="50">
        <f t="shared" si="528"/>
        <v>0</v>
      </c>
      <c r="DL265" s="50">
        <f t="shared" si="529"/>
        <v>0</v>
      </c>
      <c r="DM265" s="50">
        <f t="shared" si="530"/>
        <v>0</v>
      </c>
      <c r="DN265" s="50">
        <f t="shared" si="531"/>
        <v>0</v>
      </c>
      <c r="DO265" s="50">
        <f t="shared" si="532"/>
        <v>0</v>
      </c>
      <c r="DP265" s="50">
        <f t="shared" si="533"/>
        <v>0</v>
      </c>
      <c r="DQ265" s="50">
        <f t="shared" si="510"/>
        <v>0</v>
      </c>
      <c r="DR265" s="50">
        <f t="shared" si="511"/>
        <v>0</v>
      </c>
      <c r="DS265" s="96">
        <f>Miscelaneous!$D$4*Miscelaneous!$D$2^($CI265-1)</f>
        <v>1000</v>
      </c>
      <c r="DT265" s="333">
        <f t="shared" si="490"/>
        <v>1</v>
      </c>
      <c r="DU265" s="81">
        <v>1</v>
      </c>
      <c r="DV265" s="79">
        <f t="shared" si="512"/>
        <v>0</v>
      </c>
      <c r="DW265" s="79">
        <f t="shared" si="513"/>
        <v>0</v>
      </c>
      <c r="DX265" s="79">
        <f t="shared" si="514"/>
        <v>0</v>
      </c>
      <c r="DY265" s="79">
        <v>1</v>
      </c>
      <c r="DZ265" s="79">
        <f t="shared" si="515"/>
        <v>0</v>
      </c>
      <c r="EA265" s="79">
        <f t="shared" si="516"/>
        <v>0</v>
      </c>
      <c r="EB265" s="79">
        <f t="shared" si="517"/>
        <v>0</v>
      </c>
      <c r="EC265" s="79">
        <f t="shared" si="518"/>
        <v>0</v>
      </c>
      <c r="ED265" s="79">
        <v>1</v>
      </c>
      <c r="EE265" s="79">
        <v>1</v>
      </c>
      <c r="EF265" s="79">
        <f t="shared" si="519"/>
        <v>0</v>
      </c>
      <c r="EG265" s="79">
        <v>1</v>
      </c>
      <c r="EH265" s="79">
        <v>1</v>
      </c>
      <c r="EI265" s="79">
        <v>1</v>
      </c>
      <c r="EJ265" s="79">
        <v>1</v>
      </c>
      <c r="EK265" s="79">
        <v>1</v>
      </c>
      <c r="EL265" s="79">
        <v>1</v>
      </c>
      <c r="EM265" s="143">
        <f t="shared" si="520"/>
        <v>0</v>
      </c>
      <c r="EN265" s="143">
        <f t="shared" si="521"/>
        <v>0</v>
      </c>
      <c r="EO265" s="82">
        <f t="shared" si="522"/>
        <v>0</v>
      </c>
    </row>
    <row r="266" spans="1:145" x14ac:dyDescent="0.25">
      <c r="A266">
        <v>252</v>
      </c>
      <c r="B266" s="172" t="e">
        <f t="shared" si="491"/>
        <v>#N/A</v>
      </c>
      <c r="C266" s="121" t="e">
        <f t="shared" ref="C266:E266" si="620">AJ266-SUM(AB266:AB270)</f>
        <v>#N/A</v>
      </c>
      <c r="D266" s="122" t="e">
        <f t="shared" si="620"/>
        <v>#N/A</v>
      </c>
      <c r="E266" s="122" t="e">
        <f t="shared" si="620"/>
        <v>#N/A</v>
      </c>
      <c r="F266" s="176" t="e">
        <f t="shared" si="473"/>
        <v>#N/A</v>
      </c>
      <c r="G266" s="121">
        <f t="shared" si="493"/>
        <v>208</v>
      </c>
      <c r="H266" s="176" t="e">
        <f t="shared" si="494"/>
        <v>#N/A</v>
      </c>
      <c r="I266" s="48">
        <v>1</v>
      </c>
      <c r="J266" s="39"/>
      <c r="K266" s="350">
        <v>1</v>
      </c>
      <c r="L266" s="34" t="e">
        <f t="shared" si="474"/>
        <v>#N/A</v>
      </c>
      <c r="M266" s="38" t="e">
        <f>(HLOOKUP(J266,'Construction Times'!$B$3:$W$34,L266+2,FALSE)*HLOOKUP("hq modifier",'Construction Times'!$W$3:$W$34,BS266+2,FALSE))*(1-$H$9)</f>
        <v>#N/A</v>
      </c>
      <c r="N266" s="426" t="e">
        <f t="shared" si="495"/>
        <v>#N/A</v>
      </c>
      <c r="O266" s="427"/>
      <c r="P266" s="430" t="e">
        <f t="shared" si="496"/>
        <v>#N/A</v>
      </c>
      <c r="Q266" s="431"/>
      <c r="R266" s="103">
        <f t="shared" si="524"/>
        <v>0</v>
      </c>
      <c r="S266" s="104">
        <f t="shared" si="524"/>
        <v>0</v>
      </c>
      <c r="T266" s="104">
        <f t="shared" si="525"/>
        <v>0</v>
      </c>
      <c r="U266" s="104">
        <f t="shared" si="525"/>
        <v>0</v>
      </c>
      <c r="V266" s="104">
        <f t="shared" si="525"/>
        <v>9.9999999999999995E-8</v>
      </c>
      <c r="W266" s="104">
        <f t="shared" si="525"/>
        <v>0</v>
      </c>
      <c r="X266" s="104">
        <f t="shared" si="584"/>
        <v>0</v>
      </c>
      <c r="Y266" s="104">
        <f t="shared" si="584"/>
        <v>9.9999999999999995E-8</v>
      </c>
      <c r="Z266" s="104">
        <f t="shared" si="584"/>
        <v>9.9999999999999995E-8</v>
      </c>
      <c r="AA266" s="105">
        <f t="shared" si="584"/>
        <v>9.9999999999999995E-8</v>
      </c>
      <c r="AB266" s="101" t="e">
        <f>$DT266*HLOOKUP($J266,'Construction Costs (timber)'!$B$1:$V$32,'Construction Planner'!$L266+2,FALSE)</f>
        <v>#N/A</v>
      </c>
      <c r="AC266" s="14" t="e">
        <f>$DT266*HLOOKUP($J266,'Construction Costs (clay)'!$B$1:$V$32,'Construction Planner'!$L266+2,FALSE)</f>
        <v>#N/A</v>
      </c>
      <c r="AD266" s="14" t="e">
        <f>$DT266*HLOOKUP($J266,'Construction Costs (iron)'!$B$1:$V$32,'Construction Planner'!$L266+2,FALSE)</f>
        <v>#N/A</v>
      </c>
      <c r="AE266" s="34" t="e">
        <f t="shared" si="537"/>
        <v>#N/A</v>
      </c>
      <c r="AF266" s="33" t="e">
        <f t="shared" si="475"/>
        <v>#N/A</v>
      </c>
      <c r="AG266" s="14" t="e">
        <f t="shared" si="476"/>
        <v>#N/A</v>
      </c>
      <c r="AH266" s="14" t="e">
        <f t="shared" si="477"/>
        <v>#N/A</v>
      </c>
      <c r="AI266" s="34" t="e">
        <f t="shared" si="538"/>
        <v>#N/A</v>
      </c>
      <c r="AJ266" s="49" t="e">
        <f t="shared" si="498"/>
        <v>#N/A</v>
      </c>
      <c r="AK266" s="49" t="e">
        <f t="shared" si="499"/>
        <v>#N/A</v>
      </c>
      <c r="AL266" s="49" t="e">
        <f t="shared" si="500"/>
        <v>#N/A</v>
      </c>
      <c r="AM266" s="25">
        <f t="shared" si="478"/>
        <v>30</v>
      </c>
      <c r="AN266" s="25">
        <f t="shared" si="479"/>
        <v>30</v>
      </c>
      <c r="AO266" s="25">
        <f t="shared" si="480"/>
        <v>30</v>
      </c>
      <c r="AP266" s="52" t="e">
        <f t="shared" si="501"/>
        <v>#N/A</v>
      </c>
      <c r="AQ266" s="53" t="e">
        <f t="shared" si="501"/>
        <v>#N/A</v>
      </c>
      <c r="AR266" s="54" t="e">
        <f t="shared" si="501"/>
        <v>#N/A</v>
      </c>
      <c r="AS266" s="316">
        <f t="shared" si="612"/>
        <v>0</v>
      </c>
      <c r="AT266" s="106">
        <f>_xlfn.IFNA($M266/VLOOKUP($BT266,'Unit information'!$A$2:$K$29,2,FALSE)*R266,0)*(1+$E$9)</f>
        <v>0</v>
      </c>
      <c r="AU266" s="107">
        <f>_xlfn.IFNA($M266/VLOOKUP($BT266,'Unit information'!$A$2:$K$29,3,FALSE)*S266,0)*(1+$E$9)</f>
        <v>0</v>
      </c>
      <c r="AV266" s="107">
        <f>_xlfn.IFNA($M266/VLOOKUP($BT266,'Unit information'!$A$2:$K$29,4,FALSE)*T266,0)*(1+$E$9)</f>
        <v>0</v>
      </c>
      <c r="AW266" s="107">
        <f>_xlfn.IFNA($M266/VLOOKUP($BT266,'Unit information'!$A$2:$K$29,5,FALSE)*U266,0)*(1+$E$9)</f>
        <v>0</v>
      </c>
      <c r="AX266" s="107">
        <f>_xlfn.IFNA($M266/VLOOKUP($BU266,'Unit information'!$A$2:$K$29,6,FALSE)*V266,0)*(1+$E$9)</f>
        <v>0</v>
      </c>
      <c r="AY266" s="107">
        <f>_xlfn.IFNA($M266/VLOOKUP($BU266,'Unit information'!$A$2:$K$29,7,FALSE)*W266,0)*(1+$E$9)</f>
        <v>0</v>
      </c>
      <c r="AZ266" s="107">
        <f>_xlfn.IFNA($M266/VLOOKUP($BU266,'Unit information'!$A$2:$K$29,8,FALSE)*X266,0)*(1+$E$9)</f>
        <v>0</v>
      </c>
      <c r="BA266" s="107">
        <f>_xlfn.IFNA($M266/VLOOKUP($BU266,'Unit information'!$A$2:$K$29,9,FALSE)*Y266,0)*(1+$E$9)</f>
        <v>0</v>
      </c>
      <c r="BB266" s="107">
        <f>_xlfn.IFNA($M266/VLOOKUP($BV266,'Unit information'!$A$2:$K$29,10,FALSE)*Z266,0)*(1+$E$9)</f>
        <v>0</v>
      </c>
      <c r="BC266" s="108">
        <f>_xlfn.IFNA($M266/VLOOKUP($BV266,'Unit information'!$A$2:$K$29,11,FALSE)*AA266,0)*(1+$E$9)</f>
        <v>0</v>
      </c>
      <c r="BD266" s="106">
        <f t="shared" si="481"/>
        <v>0</v>
      </c>
      <c r="BE266" s="107">
        <f t="shared" si="482"/>
        <v>0</v>
      </c>
      <c r="BF266" s="108">
        <f t="shared" si="483"/>
        <v>0</v>
      </c>
      <c r="BG266" s="25" t="e">
        <f t="shared" si="484"/>
        <v>#N/A</v>
      </c>
      <c r="BH266" s="25" t="e">
        <f t="shared" si="485"/>
        <v>#N/A</v>
      </c>
      <c r="BI266" s="25" t="e">
        <f t="shared" si="486"/>
        <v>#N/A</v>
      </c>
      <c r="BJ266" s="27" t="e">
        <f t="shared" si="487"/>
        <v>#N/A</v>
      </c>
      <c r="BK266" s="18" t="e">
        <f t="shared" si="488"/>
        <v>#N/A</v>
      </c>
      <c r="BL266" s="18" t="e">
        <f t="shared" si="489"/>
        <v>#N/A</v>
      </c>
      <c r="BM266" s="28" t="e">
        <f t="shared" si="540"/>
        <v>#N/A</v>
      </c>
      <c r="BN266" s="33">
        <f>HLOOKUP("maximum population",Miscelaneous!$C$1:$C$33,CH266+3,FALSE)</f>
        <v>240</v>
      </c>
      <c r="BO266" s="14">
        <f t="shared" si="502"/>
        <v>32</v>
      </c>
      <c r="BP266" s="14">
        <f t="shared" si="503"/>
        <v>0</v>
      </c>
      <c r="BQ266" s="14">
        <f t="shared" si="504"/>
        <v>208</v>
      </c>
      <c r="BR266" s="34" t="e">
        <f>HLOOKUP(J266,Villagers!$B$1:$V$33,L266+3,FALSE)-HLOOKUP(J266,Villagers!$B$1:$V$33,L266+2,FALSE)</f>
        <v>#N/A</v>
      </c>
      <c r="BS266" s="49">
        <f t="shared" si="505"/>
        <v>1</v>
      </c>
      <c r="BT266" s="50">
        <f t="shared" si="506"/>
        <v>0</v>
      </c>
      <c r="BU266" s="50">
        <f t="shared" si="507"/>
        <v>0</v>
      </c>
      <c r="BV266" s="50">
        <f t="shared" si="508"/>
        <v>0</v>
      </c>
      <c r="BW266" s="50">
        <f t="shared" si="618"/>
        <v>0</v>
      </c>
      <c r="BX266" s="50">
        <f t="shared" si="616"/>
        <v>0</v>
      </c>
      <c r="BY266" s="50">
        <f t="shared" si="616"/>
        <v>0</v>
      </c>
      <c r="BZ266" s="50">
        <f t="shared" si="554"/>
        <v>0</v>
      </c>
      <c r="CA266" s="50">
        <f t="shared" si="555"/>
        <v>0</v>
      </c>
      <c r="CB266" s="50">
        <f t="shared" si="556"/>
        <v>1</v>
      </c>
      <c r="CC266" s="50">
        <f t="shared" si="557"/>
        <v>0</v>
      </c>
      <c r="CD266" s="50">
        <f t="shared" si="558"/>
        <v>0</v>
      </c>
      <c r="CE266" s="50">
        <f t="shared" si="559"/>
        <v>1</v>
      </c>
      <c r="CF266" s="50">
        <f t="shared" si="560"/>
        <v>1</v>
      </c>
      <c r="CG266" s="50">
        <f t="shared" si="561"/>
        <v>1</v>
      </c>
      <c r="CH266" s="50">
        <f t="shared" si="562"/>
        <v>1</v>
      </c>
      <c r="CI266" s="50">
        <f t="shared" si="563"/>
        <v>1</v>
      </c>
      <c r="CJ266" s="50">
        <f t="shared" si="564"/>
        <v>1</v>
      </c>
      <c r="CK266" s="50">
        <f t="shared" si="564"/>
        <v>0</v>
      </c>
      <c r="CL266" s="50">
        <f t="shared" si="564"/>
        <v>0</v>
      </c>
      <c r="CM266" s="51">
        <f t="shared" si="605"/>
        <v>0</v>
      </c>
      <c r="CN266" s="33">
        <f>ROUND(IF(BS266=0,0,HLOOKUP(BS$14,Villagers!$B$1:$V$33,BS266+3,FALSE)),)</f>
        <v>5</v>
      </c>
      <c r="CO266" s="14">
        <f>ROUND(IF(BT266=0,0,HLOOKUP(BT$14,Villagers!$B$1:$V$33,BT266+3,FALSE)),)</f>
        <v>0</v>
      </c>
      <c r="CP266" s="14">
        <f>ROUND(IF(BU266=0,0,HLOOKUP(BU$14,Villagers!$B$1:$V$33,BU266+3,FALSE)),)</f>
        <v>0</v>
      </c>
      <c r="CQ266" s="14">
        <f>ROUND(IF(BV266=0,0,HLOOKUP(BV$14,Villagers!$B$1:$V$33,BV266+3,FALSE)),)</f>
        <v>0</v>
      </c>
      <c r="CR266" s="14">
        <f>ROUND(IF(BW266=0,0,HLOOKUP(BW$14,Villagers!$B$1:$V$33,BW266+3,FALSE)),)</f>
        <v>0</v>
      </c>
      <c r="CS266" s="14">
        <f>ROUND(IF(BX266=0,0,HLOOKUP(BX$14,Villagers!$B$1:$V$33,BX266+3,FALSE)),)</f>
        <v>0</v>
      </c>
      <c r="CT266" s="14">
        <f>ROUND(IF(BY266=0,0,HLOOKUP(BY$14,Villagers!$B$1:$V$33,BY266+3,FALSE)),)</f>
        <v>0</v>
      </c>
      <c r="CU266" s="14">
        <f>ROUND(IF(BZ266=0,0,HLOOKUP(BZ$14,Villagers!$B$1:$V$33,BZ266+3,FALSE)),)</f>
        <v>0</v>
      </c>
      <c r="CV266" s="14">
        <f>ROUND(IF(CA266=0,0,HLOOKUP(CA$14,Villagers!$B$1:$V$33,CA266+3,FALSE)),)</f>
        <v>0</v>
      </c>
      <c r="CW266" s="14">
        <f>ROUND(IF(CB266=0,0,HLOOKUP(CB$14,Villagers!$B$1:$V$33,CB266+3,FALSE)),)</f>
        <v>0</v>
      </c>
      <c r="CX266" s="14">
        <f>ROUND(IF(CC266=0,0,HLOOKUP(CC$14,Villagers!$B$1:$V$33,CC266+3,FALSE)),)</f>
        <v>0</v>
      </c>
      <c r="CY266" s="14">
        <f>ROUND(IF(CD266=0,0,HLOOKUP(CD$14,Villagers!$B$1:$V$33,CD266+3,FALSE)),)</f>
        <v>0</v>
      </c>
      <c r="CZ266" s="14">
        <f>ROUND(IF(CE266=0,0,HLOOKUP(CE$14,Villagers!$B$1:$V$33,CE266+3,FALSE)),)</f>
        <v>5</v>
      </c>
      <c r="DA266" s="14">
        <f>ROUND(IF(CF266=0,0,HLOOKUP(CF$14,Villagers!$B$1:$V$33,CF266+3,FALSE)),)</f>
        <v>10</v>
      </c>
      <c r="DB266" s="14">
        <f>ROUND(IF(CG266=0,0,HLOOKUP(CG$14,Villagers!$B$1:$V$33,CG266+3,FALSE)),)</f>
        <v>10</v>
      </c>
      <c r="DC266" s="14">
        <f>ROUND(IF(CH266=0,0,HLOOKUP(CH$14,Villagers!$B$1:$V$33,CH266+3,FALSE)),)</f>
        <v>0</v>
      </c>
      <c r="DD266" s="14">
        <f>ROUND(IF(CI266=0,0,HLOOKUP(CI$14,Villagers!$B$1:$V$33,CI266+3,FALSE)),)</f>
        <v>0</v>
      </c>
      <c r="DE266" s="14">
        <f>ROUND(IF(CJ266=0,0,HLOOKUP(CJ$14,Villagers!$B$1:$V$33,CJ266+3,FALSE)),)</f>
        <v>2</v>
      </c>
      <c r="DF266" s="370">
        <f>ROUND(IF(CK266=0,0,HLOOKUP(CK$14,Villagers!$B$1:$V$33,CK266+3,FALSE)),)</f>
        <v>0</v>
      </c>
      <c r="DG266" s="370">
        <f>ROUND(IF(CL266=0,0,HLOOKUP(CL$14,Villagers!$B$1:$V$33,CL266+3,FALSE)),)</f>
        <v>0</v>
      </c>
      <c r="DH266" s="34">
        <f>ROUND(IF(CM266=0,0,HLOOKUP(CM$14,Villagers!$B$1:$V$33,CM266+3,FALSE)),)</f>
        <v>0</v>
      </c>
      <c r="DI266" s="109">
        <f t="shared" si="526"/>
        <v>0</v>
      </c>
      <c r="DJ266" s="50">
        <f t="shared" si="527"/>
        <v>0</v>
      </c>
      <c r="DK266" s="50">
        <f t="shared" si="528"/>
        <v>0</v>
      </c>
      <c r="DL266" s="50">
        <f t="shared" si="529"/>
        <v>0</v>
      </c>
      <c r="DM266" s="50">
        <f t="shared" si="530"/>
        <v>0</v>
      </c>
      <c r="DN266" s="50">
        <f t="shared" si="531"/>
        <v>0</v>
      </c>
      <c r="DO266" s="50">
        <f t="shared" si="532"/>
        <v>0</v>
      </c>
      <c r="DP266" s="50">
        <f t="shared" si="533"/>
        <v>0</v>
      </c>
      <c r="DQ266" s="50">
        <f t="shared" si="510"/>
        <v>0</v>
      </c>
      <c r="DR266" s="50">
        <f t="shared" si="511"/>
        <v>0</v>
      </c>
      <c r="DS266" s="96">
        <f>Miscelaneous!$D$4*Miscelaneous!$D$2^($CI266-1)</f>
        <v>1000</v>
      </c>
      <c r="DT266" s="333">
        <f t="shared" si="490"/>
        <v>1</v>
      </c>
      <c r="DU266" s="81">
        <v>1</v>
      </c>
      <c r="DV266" s="79">
        <f t="shared" si="512"/>
        <v>0</v>
      </c>
      <c r="DW266" s="79">
        <f t="shared" si="513"/>
        <v>0</v>
      </c>
      <c r="DX266" s="79">
        <f t="shared" si="514"/>
        <v>0</v>
      </c>
      <c r="DY266" s="79">
        <v>1</v>
      </c>
      <c r="DZ266" s="79">
        <f t="shared" si="515"/>
        <v>0</v>
      </c>
      <c r="EA266" s="79">
        <f t="shared" si="516"/>
        <v>0</v>
      </c>
      <c r="EB266" s="79">
        <f t="shared" si="517"/>
        <v>0</v>
      </c>
      <c r="EC266" s="79">
        <f t="shared" si="518"/>
        <v>0</v>
      </c>
      <c r="ED266" s="79">
        <v>1</v>
      </c>
      <c r="EE266" s="79">
        <v>1</v>
      </c>
      <c r="EF266" s="79">
        <f t="shared" si="519"/>
        <v>0</v>
      </c>
      <c r="EG266" s="79">
        <v>1</v>
      </c>
      <c r="EH266" s="79">
        <v>1</v>
      </c>
      <c r="EI266" s="79">
        <v>1</v>
      </c>
      <c r="EJ266" s="79">
        <v>1</v>
      </c>
      <c r="EK266" s="79">
        <v>1</v>
      </c>
      <c r="EL266" s="79">
        <v>1</v>
      </c>
      <c r="EM266" s="143">
        <f t="shared" si="520"/>
        <v>0</v>
      </c>
      <c r="EN266" s="143">
        <f t="shared" si="521"/>
        <v>0</v>
      </c>
      <c r="EO266" s="82">
        <f t="shared" si="522"/>
        <v>0</v>
      </c>
    </row>
    <row r="267" spans="1:145" x14ac:dyDescent="0.25">
      <c r="A267">
        <v>253</v>
      </c>
      <c r="B267" s="172" t="e">
        <f t="shared" si="491"/>
        <v>#N/A</v>
      </c>
      <c r="C267" s="121" t="e">
        <f t="shared" ref="C267:E267" si="621">AJ267-SUM(AB267:AB271)</f>
        <v>#N/A</v>
      </c>
      <c r="D267" s="122" t="e">
        <f t="shared" si="621"/>
        <v>#N/A</v>
      </c>
      <c r="E267" s="122" t="e">
        <f t="shared" si="621"/>
        <v>#N/A</v>
      </c>
      <c r="F267" s="176" t="e">
        <f t="shared" si="473"/>
        <v>#N/A</v>
      </c>
      <c r="G267" s="121">
        <f t="shared" si="493"/>
        <v>208</v>
      </c>
      <c r="H267" s="176" t="e">
        <f t="shared" si="494"/>
        <v>#N/A</v>
      </c>
      <c r="I267" s="48">
        <v>1</v>
      </c>
      <c r="J267" s="39"/>
      <c r="K267" s="350">
        <v>1</v>
      </c>
      <c r="L267" s="34" t="e">
        <f t="shared" si="474"/>
        <v>#N/A</v>
      </c>
      <c r="M267" s="38" t="e">
        <f>(HLOOKUP(J267,'Construction Times'!$B$3:$W$34,L267+2,FALSE)*HLOOKUP("hq modifier",'Construction Times'!$W$3:$W$34,BS267+2,FALSE))*(1-$H$9)</f>
        <v>#N/A</v>
      </c>
      <c r="N267" s="426" t="e">
        <f t="shared" si="495"/>
        <v>#N/A</v>
      </c>
      <c r="O267" s="427"/>
      <c r="P267" s="430" t="e">
        <f t="shared" si="496"/>
        <v>#N/A</v>
      </c>
      <c r="Q267" s="431"/>
      <c r="R267" s="103">
        <f t="shared" si="524"/>
        <v>0</v>
      </c>
      <c r="S267" s="104">
        <f t="shared" si="524"/>
        <v>0</v>
      </c>
      <c r="T267" s="104">
        <f t="shared" si="525"/>
        <v>0</v>
      </c>
      <c r="U267" s="104">
        <f t="shared" si="525"/>
        <v>0</v>
      </c>
      <c r="V267" s="104">
        <f t="shared" si="525"/>
        <v>9.9999999999999995E-8</v>
      </c>
      <c r="W267" s="104">
        <f t="shared" si="525"/>
        <v>0</v>
      </c>
      <c r="X267" s="104">
        <f t="shared" si="584"/>
        <v>0</v>
      </c>
      <c r="Y267" s="104">
        <f t="shared" si="584"/>
        <v>9.9999999999999995E-8</v>
      </c>
      <c r="Z267" s="104">
        <f t="shared" si="584"/>
        <v>9.9999999999999995E-8</v>
      </c>
      <c r="AA267" s="105">
        <f t="shared" si="584"/>
        <v>9.9999999999999995E-8</v>
      </c>
      <c r="AB267" s="101" t="e">
        <f>$DT267*HLOOKUP($J267,'Construction Costs (timber)'!$B$1:$V$32,'Construction Planner'!$L267+2,FALSE)</f>
        <v>#N/A</v>
      </c>
      <c r="AC267" s="14" t="e">
        <f>$DT267*HLOOKUP($J267,'Construction Costs (clay)'!$B$1:$V$32,'Construction Planner'!$L267+2,FALSE)</f>
        <v>#N/A</v>
      </c>
      <c r="AD267" s="14" t="e">
        <f>$DT267*HLOOKUP($J267,'Construction Costs (iron)'!$B$1:$V$32,'Construction Planner'!$L267+2,FALSE)</f>
        <v>#N/A</v>
      </c>
      <c r="AE267" s="34" t="e">
        <f t="shared" si="537"/>
        <v>#N/A</v>
      </c>
      <c r="AF267" s="33" t="e">
        <f t="shared" si="475"/>
        <v>#N/A</v>
      </c>
      <c r="AG267" s="14" t="e">
        <f t="shared" si="476"/>
        <v>#N/A</v>
      </c>
      <c r="AH267" s="14" t="e">
        <f t="shared" si="477"/>
        <v>#N/A</v>
      </c>
      <c r="AI267" s="34" t="e">
        <f t="shared" si="538"/>
        <v>#N/A</v>
      </c>
      <c r="AJ267" s="49" t="e">
        <f t="shared" si="498"/>
        <v>#N/A</v>
      </c>
      <c r="AK267" s="49" t="e">
        <f t="shared" si="499"/>
        <v>#N/A</v>
      </c>
      <c r="AL267" s="49" t="e">
        <f t="shared" si="500"/>
        <v>#N/A</v>
      </c>
      <c r="AM267" s="25">
        <f t="shared" si="478"/>
        <v>30</v>
      </c>
      <c r="AN267" s="25">
        <f t="shared" si="479"/>
        <v>30</v>
      </c>
      <c r="AO267" s="25">
        <f t="shared" si="480"/>
        <v>30</v>
      </c>
      <c r="AP267" s="52" t="e">
        <f t="shared" si="501"/>
        <v>#N/A</v>
      </c>
      <c r="AQ267" s="53" t="e">
        <f t="shared" si="501"/>
        <v>#N/A</v>
      </c>
      <c r="AR267" s="54" t="e">
        <f t="shared" si="501"/>
        <v>#N/A</v>
      </c>
      <c r="AS267" s="316">
        <f t="shared" si="612"/>
        <v>0</v>
      </c>
      <c r="AT267" s="106">
        <f>_xlfn.IFNA($M267/VLOOKUP($BT267,'Unit information'!$A$2:$K$29,2,FALSE)*R267,0)*(1+$E$9)</f>
        <v>0</v>
      </c>
      <c r="AU267" s="107">
        <f>_xlfn.IFNA($M267/VLOOKUP($BT267,'Unit information'!$A$2:$K$29,3,FALSE)*S267,0)*(1+$E$9)</f>
        <v>0</v>
      </c>
      <c r="AV267" s="107">
        <f>_xlfn.IFNA($M267/VLOOKUP($BT267,'Unit information'!$A$2:$K$29,4,FALSE)*T267,0)*(1+$E$9)</f>
        <v>0</v>
      </c>
      <c r="AW267" s="107">
        <f>_xlfn.IFNA($M267/VLOOKUP($BT267,'Unit information'!$A$2:$K$29,5,FALSE)*U267,0)*(1+$E$9)</f>
        <v>0</v>
      </c>
      <c r="AX267" s="107">
        <f>_xlfn.IFNA($M267/VLOOKUP($BU267,'Unit information'!$A$2:$K$29,6,FALSE)*V267,0)*(1+$E$9)</f>
        <v>0</v>
      </c>
      <c r="AY267" s="107">
        <f>_xlfn.IFNA($M267/VLOOKUP($BU267,'Unit information'!$A$2:$K$29,7,FALSE)*W267,0)*(1+$E$9)</f>
        <v>0</v>
      </c>
      <c r="AZ267" s="107">
        <f>_xlfn.IFNA($M267/VLOOKUP($BU267,'Unit information'!$A$2:$K$29,8,FALSE)*X267,0)*(1+$E$9)</f>
        <v>0</v>
      </c>
      <c r="BA267" s="107">
        <f>_xlfn.IFNA($M267/VLOOKUP($BU267,'Unit information'!$A$2:$K$29,9,FALSE)*Y267,0)*(1+$E$9)</f>
        <v>0</v>
      </c>
      <c r="BB267" s="107">
        <f>_xlfn.IFNA($M267/VLOOKUP($BV267,'Unit information'!$A$2:$K$29,10,FALSE)*Z267,0)*(1+$E$9)</f>
        <v>0</v>
      </c>
      <c r="BC267" s="108">
        <f>_xlfn.IFNA($M267/VLOOKUP($BV267,'Unit information'!$A$2:$K$29,11,FALSE)*AA267,0)*(1+$E$9)</f>
        <v>0</v>
      </c>
      <c r="BD267" s="106">
        <f t="shared" si="481"/>
        <v>0</v>
      </c>
      <c r="BE267" s="107">
        <f t="shared" si="482"/>
        <v>0</v>
      </c>
      <c r="BF267" s="108">
        <f t="shared" si="483"/>
        <v>0</v>
      </c>
      <c r="BG267" s="25" t="e">
        <f t="shared" si="484"/>
        <v>#N/A</v>
      </c>
      <c r="BH267" s="25" t="e">
        <f t="shared" si="485"/>
        <v>#N/A</v>
      </c>
      <c r="BI267" s="25" t="e">
        <f t="shared" si="486"/>
        <v>#N/A</v>
      </c>
      <c r="BJ267" s="27" t="e">
        <f t="shared" si="487"/>
        <v>#N/A</v>
      </c>
      <c r="BK267" s="18" t="e">
        <f t="shared" si="488"/>
        <v>#N/A</v>
      </c>
      <c r="BL267" s="18" t="e">
        <f t="shared" si="489"/>
        <v>#N/A</v>
      </c>
      <c r="BM267" s="28" t="e">
        <f t="shared" si="540"/>
        <v>#N/A</v>
      </c>
      <c r="BN267" s="33">
        <f>HLOOKUP("maximum population",Miscelaneous!$C$1:$C$33,CH267+3,FALSE)</f>
        <v>240</v>
      </c>
      <c r="BO267" s="14">
        <f t="shared" si="502"/>
        <v>32</v>
      </c>
      <c r="BP267" s="14">
        <f t="shared" si="503"/>
        <v>0</v>
      </c>
      <c r="BQ267" s="14">
        <f t="shared" si="504"/>
        <v>208</v>
      </c>
      <c r="BR267" s="34" t="e">
        <f>HLOOKUP(J267,Villagers!$B$1:$V$33,L267+3,FALSE)-HLOOKUP(J267,Villagers!$B$1:$V$33,L267+2,FALSE)</f>
        <v>#N/A</v>
      </c>
      <c r="BS267" s="49">
        <f t="shared" si="505"/>
        <v>1</v>
      </c>
      <c r="BT267" s="50">
        <f t="shared" si="506"/>
        <v>0</v>
      </c>
      <c r="BU267" s="50">
        <f t="shared" si="507"/>
        <v>0</v>
      </c>
      <c r="BV267" s="50">
        <f t="shared" si="508"/>
        <v>0</v>
      </c>
      <c r="BW267" s="50">
        <f t="shared" si="618"/>
        <v>0</v>
      </c>
      <c r="BX267" s="50">
        <f t="shared" si="616"/>
        <v>0</v>
      </c>
      <c r="BY267" s="50">
        <f t="shared" si="616"/>
        <v>0</v>
      </c>
      <c r="BZ267" s="50">
        <f t="shared" si="554"/>
        <v>0</v>
      </c>
      <c r="CA267" s="50">
        <f t="shared" si="555"/>
        <v>0</v>
      </c>
      <c r="CB267" s="50">
        <f t="shared" si="556"/>
        <v>1</v>
      </c>
      <c r="CC267" s="50">
        <f t="shared" si="557"/>
        <v>0</v>
      </c>
      <c r="CD267" s="50">
        <f t="shared" si="558"/>
        <v>0</v>
      </c>
      <c r="CE267" s="50">
        <f t="shared" si="559"/>
        <v>1</v>
      </c>
      <c r="CF267" s="50">
        <f t="shared" si="560"/>
        <v>1</v>
      </c>
      <c r="CG267" s="50">
        <f t="shared" si="561"/>
        <v>1</v>
      </c>
      <c r="CH267" s="50">
        <f t="shared" si="562"/>
        <v>1</v>
      </c>
      <c r="CI267" s="50">
        <f t="shared" si="563"/>
        <v>1</v>
      </c>
      <c r="CJ267" s="50">
        <f t="shared" si="564"/>
        <v>1</v>
      </c>
      <c r="CK267" s="50">
        <f t="shared" si="564"/>
        <v>0</v>
      </c>
      <c r="CL267" s="50">
        <f t="shared" si="564"/>
        <v>0</v>
      </c>
      <c r="CM267" s="51">
        <f t="shared" si="605"/>
        <v>0</v>
      </c>
      <c r="CN267" s="33">
        <f>ROUND(IF(BS267=0,0,HLOOKUP(BS$14,Villagers!$B$1:$V$33,BS267+3,FALSE)),)</f>
        <v>5</v>
      </c>
      <c r="CO267" s="14">
        <f>ROUND(IF(BT267=0,0,HLOOKUP(BT$14,Villagers!$B$1:$V$33,BT267+3,FALSE)),)</f>
        <v>0</v>
      </c>
      <c r="CP267" s="14">
        <f>ROUND(IF(BU267=0,0,HLOOKUP(BU$14,Villagers!$B$1:$V$33,BU267+3,FALSE)),)</f>
        <v>0</v>
      </c>
      <c r="CQ267" s="14">
        <f>ROUND(IF(BV267=0,0,HLOOKUP(BV$14,Villagers!$B$1:$V$33,BV267+3,FALSE)),)</f>
        <v>0</v>
      </c>
      <c r="CR267" s="14">
        <f>ROUND(IF(BW267=0,0,HLOOKUP(BW$14,Villagers!$B$1:$V$33,BW267+3,FALSE)),)</f>
        <v>0</v>
      </c>
      <c r="CS267" s="14">
        <f>ROUND(IF(BX267=0,0,HLOOKUP(BX$14,Villagers!$B$1:$V$33,BX267+3,FALSE)),)</f>
        <v>0</v>
      </c>
      <c r="CT267" s="14">
        <f>ROUND(IF(BY267=0,0,HLOOKUP(BY$14,Villagers!$B$1:$V$33,BY267+3,FALSE)),)</f>
        <v>0</v>
      </c>
      <c r="CU267" s="14">
        <f>ROUND(IF(BZ267=0,0,HLOOKUP(BZ$14,Villagers!$B$1:$V$33,BZ267+3,FALSE)),)</f>
        <v>0</v>
      </c>
      <c r="CV267" s="14">
        <f>ROUND(IF(CA267=0,0,HLOOKUP(CA$14,Villagers!$B$1:$V$33,CA267+3,FALSE)),)</f>
        <v>0</v>
      </c>
      <c r="CW267" s="14">
        <f>ROUND(IF(CB267=0,0,HLOOKUP(CB$14,Villagers!$B$1:$V$33,CB267+3,FALSE)),)</f>
        <v>0</v>
      </c>
      <c r="CX267" s="14">
        <f>ROUND(IF(CC267=0,0,HLOOKUP(CC$14,Villagers!$B$1:$V$33,CC267+3,FALSE)),)</f>
        <v>0</v>
      </c>
      <c r="CY267" s="14">
        <f>ROUND(IF(CD267=0,0,HLOOKUP(CD$14,Villagers!$B$1:$V$33,CD267+3,FALSE)),)</f>
        <v>0</v>
      </c>
      <c r="CZ267" s="14">
        <f>ROUND(IF(CE267=0,0,HLOOKUP(CE$14,Villagers!$B$1:$V$33,CE267+3,FALSE)),)</f>
        <v>5</v>
      </c>
      <c r="DA267" s="14">
        <f>ROUND(IF(CF267=0,0,HLOOKUP(CF$14,Villagers!$B$1:$V$33,CF267+3,FALSE)),)</f>
        <v>10</v>
      </c>
      <c r="DB267" s="14">
        <f>ROUND(IF(CG267=0,0,HLOOKUP(CG$14,Villagers!$B$1:$V$33,CG267+3,FALSE)),)</f>
        <v>10</v>
      </c>
      <c r="DC267" s="14">
        <f>ROUND(IF(CH267=0,0,HLOOKUP(CH$14,Villagers!$B$1:$V$33,CH267+3,FALSE)),)</f>
        <v>0</v>
      </c>
      <c r="DD267" s="14">
        <f>ROUND(IF(CI267=0,0,HLOOKUP(CI$14,Villagers!$B$1:$V$33,CI267+3,FALSE)),)</f>
        <v>0</v>
      </c>
      <c r="DE267" s="14">
        <f>ROUND(IF(CJ267=0,0,HLOOKUP(CJ$14,Villagers!$B$1:$V$33,CJ267+3,FALSE)),)</f>
        <v>2</v>
      </c>
      <c r="DF267" s="370">
        <f>ROUND(IF(CK267=0,0,HLOOKUP(CK$14,Villagers!$B$1:$V$33,CK267+3,FALSE)),)</f>
        <v>0</v>
      </c>
      <c r="DG267" s="370">
        <f>ROUND(IF(CL267=0,0,HLOOKUP(CL$14,Villagers!$B$1:$V$33,CL267+3,FALSE)),)</f>
        <v>0</v>
      </c>
      <c r="DH267" s="34">
        <f>ROUND(IF(CM267=0,0,HLOOKUP(CM$14,Villagers!$B$1:$V$33,CM267+3,FALSE)),)</f>
        <v>0</v>
      </c>
      <c r="DI267" s="109">
        <f t="shared" si="526"/>
        <v>0</v>
      </c>
      <c r="DJ267" s="50">
        <f t="shared" si="527"/>
        <v>0</v>
      </c>
      <c r="DK267" s="50">
        <f t="shared" si="528"/>
        <v>0</v>
      </c>
      <c r="DL267" s="50">
        <f t="shared" si="529"/>
        <v>0</v>
      </c>
      <c r="DM267" s="50">
        <f t="shared" si="530"/>
        <v>0</v>
      </c>
      <c r="DN267" s="50">
        <f t="shared" si="531"/>
        <v>0</v>
      </c>
      <c r="DO267" s="50">
        <f t="shared" si="532"/>
        <v>0</v>
      </c>
      <c r="DP267" s="50">
        <f t="shared" si="533"/>
        <v>0</v>
      </c>
      <c r="DQ267" s="50">
        <f t="shared" si="510"/>
        <v>0</v>
      </c>
      <c r="DR267" s="50">
        <f t="shared" si="511"/>
        <v>0</v>
      </c>
      <c r="DS267" s="96">
        <f>Miscelaneous!$D$4*Miscelaneous!$D$2^($CI267-1)</f>
        <v>1000</v>
      </c>
      <c r="DT267" s="333">
        <f t="shared" si="490"/>
        <v>1</v>
      </c>
      <c r="DU267" s="81">
        <v>1</v>
      </c>
      <c r="DV267" s="79">
        <f t="shared" si="512"/>
        <v>0</v>
      </c>
      <c r="DW267" s="79">
        <f t="shared" si="513"/>
        <v>0</v>
      </c>
      <c r="DX267" s="79">
        <f t="shared" si="514"/>
        <v>0</v>
      </c>
      <c r="DY267" s="79">
        <v>1</v>
      </c>
      <c r="DZ267" s="79">
        <f t="shared" si="515"/>
        <v>0</v>
      </c>
      <c r="EA267" s="79">
        <f t="shared" si="516"/>
        <v>0</v>
      </c>
      <c r="EB267" s="79">
        <f t="shared" si="517"/>
        <v>0</v>
      </c>
      <c r="EC267" s="79">
        <f t="shared" si="518"/>
        <v>0</v>
      </c>
      <c r="ED267" s="79">
        <v>1</v>
      </c>
      <c r="EE267" s="79">
        <v>1</v>
      </c>
      <c r="EF267" s="79">
        <f t="shared" si="519"/>
        <v>0</v>
      </c>
      <c r="EG267" s="79">
        <v>1</v>
      </c>
      <c r="EH267" s="79">
        <v>1</v>
      </c>
      <c r="EI267" s="79">
        <v>1</v>
      </c>
      <c r="EJ267" s="79">
        <v>1</v>
      </c>
      <c r="EK267" s="79">
        <v>1</v>
      </c>
      <c r="EL267" s="79">
        <v>1</v>
      </c>
      <c r="EM267" s="143">
        <f t="shared" si="520"/>
        <v>0</v>
      </c>
      <c r="EN267" s="143">
        <f t="shared" si="521"/>
        <v>0</v>
      </c>
      <c r="EO267" s="82">
        <f t="shared" si="522"/>
        <v>0</v>
      </c>
    </row>
    <row r="268" spans="1:145" x14ac:dyDescent="0.25">
      <c r="A268">
        <v>254</v>
      </c>
      <c r="B268" s="172" t="e">
        <f t="shared" si="491"/>
        <v>#N/A</v>
      </c>
      <c r="C268" s="121" t="e">
        <f t="shared" ref="C268:E268" si="622">AJ268-SUM(AB268:AB272)</f>
        <v>#N/A</v>
      </c>
      <c r="D268" s="122" t="e">
        <f t="shared" si="622"/>
        <v>#N/A</v>
      </c>
      <c r="E268" s="122" t="e">
        <f t="shared" si="622"/>
        <v>#N/A</v>
      </c>
      <c r="F268" s="176" t="e">
        <f t="shared" si="473"/>
        <v>#N/A</v>
      </c>
      <c r="G268" s="121">
        <f t="shared" si="493"/>
        <v>208</v>
      </c>
      <c r="H268" s="176" t="e">
        <f t="shared" si="494"/>
        <v>#N/A</v>
      </c>
      <c r="I268" s="48">
        <v>1</v>
      </c>
      <c r="J268" s="39"/>
      <c r="K268" s="350">
        <v>1</v>
      </c>
      <c r="L268" s="34" t="e">
        <f t="shared" si="474"/>
        <v>#N/A</v>
      </c>
      <c r="M268" s="38" t="e">
        <f>(HLOOKUP(J268,'Construction Times'!$B$3:$W$34,L268+2,FALSE)*HLOOKUP("hq modifier",'Construction Times'!$W$3:$W$34,BS268+2,FALSE))*(1-$H$9)</f>
        <v>#N/A</v>
      </c>
      <c r="N268" s="426" t="e">
        <f t="shared" si="495"/>
        <v>#N/A</v>
      </c>
      <c r="O268" s="427"/>
      <c r="P268" s="430" t="e">
        <f t="shared" si="496"/>
        <v>#N/A</v>
      </c>
      <c r="Q268" s="431"/>
      <c r="R268" s="103">
        <f t="shared" si="524"/>
        <v>0</v>
      </c>
      <c r="S268" s="104">
        <f t="shared" si="524"/>
        <v>0</v>
      </c>
      <c r="T268" s="104">
        <f t="shared" si="525"/>
        <v>0</v>
      </c>
      <c r="U268" s="104">
        <f t="shared" si="525"/>
        <v>0</v>
      </c>
      <c r="V268" s="104">
        <f t="shared" si="525"/>
        <v>9.9999999999999995E-8</v>
      </c>
      <c r="W268" s="104">
        <f t="shared" si="525"/>
        <v>0</v>
      </c>
      <c r="X268" s="104">
        <f t="shared" si="584"/>
        <v>0</v>
      </c>
      <c r="Y268" s="104">
        <f t="shared" si="584"/>
        <v>9.9999999999999995E-8</v>
      </c>
      <c r="Z268" s="104">
        <f t="shared" si="584"/>
        <v>9.9999999999999995E-8</v>
      </c>
      <c r="AA268" s="105">
        <f t="shared" si="584"/>
        <v>9.9999999999999995E-8</v>
      </c>
      <c r="AB268" s="101" t="e">
        <f>$DT268*HLOOKUP($J268,'Construction Costs (timber)'!$B$1:$V$32,'Construction Planner'!$L268+2,FALSE)</f>
        <v>#N/A</v>
      </c>
      <c r="AC268" s="14" t="e">
        <f>$DT268*HLOOKUP($J268,'Construction Costs (clay)'!$B$1:$V$32,'Construction Planner'!$L268+2,FALSE)</f>
        <v>#N/A</v>
      </c>
      <c r="AD268" s="14" t="e">
        <f>$DT268*HLOOKUP($J268,'Construction Costs (iron)'!$B$1:$V$32,'Construction Planner'!$L268+2,FALSE)</f>
        <v>#N/A</v>
      </c>
      <c r="AE268" s="34" t="e">
        <f t="shared" si="537"/>
        <v>#N/A</v>
      </c>
      <c r="AF268" s="33" t="e">
        <f t="shared" si="475"/>
        <v>#N/A</v>
      </c>
      <c r="AG268" s="14" t="e">
        <f t="shared" si="476"/>
        <v>#N/A</v>
      </c>
      <c r="AH268" s="14" t="e">
        <f t="shared" si="477"/>
        <v>#N/A</v>
      </c>
      <c r="AI268" s="34" t="e">
        <f t="shared" si="538"/>
        <v>#N/A</v>
      </c>
      <c r="AJ268" s="49" t="e">
        <f t="shared" si="498"/>
        <v>#N/A</v>
      </c>
      <c r="AK268" s="49" t="e">
        <f t="shared" si="499"/>
        <v>#N/A</v>
      </c>
      <c r="AL268" s="49" t="e">
        <f t="shared" si="500"/>
        <v>#N/A</v>
      </c>
      <c r="AM268" s="25">
        <f t="shared" si="478"/>
        <v>30</v>
      </c>
      <c r="AN268" s="25">
        <f t="shared" si="479"/>
        <v>30</v>
      </c>
      <c r="AO268" s="25">
        <f t="shared" si="480"/>
        <v>30</v>
      </c>
      <c r="AP268" s="52" t="e">
        <f t="shared" si="501"/>
        <v>#N/A</v>
      </c>
      <c r="AQ268" s="53" t="e">
        <f t="shared" si="501"/>
        <v>#N/A</v>
      </c>
      <c r="AR268" s="54" t="e">
        <f t="shared" si="501"/>
        <v>#N/A</v>
      </c>
      <c r="AS268" s="316">
        <f t="shared" si="612"/>
        <v>0</v>
      </c>
      <c r="AT268" s="106">
        <f>_xlfn.IFNA($M268/VLOOKUP($BT268,'Unit information'!$A$2:$K$29,2,FALSE)*R268,0)*(1+$E$9)</f>
        <v>0</v>
      </c>
      <c r="AU268" s="107">
        <f>_xlfn.IFNA($M268/VLOOKUP($BT268,'Unit information'!$A$2:$K$29,3,FALSE)*S268,0)*(1+$E$9)</f>
        <v>0</v>
      </c>
      <c r="AV268" s="107">
        <f>_xlfn.IFNA($M268/VLOOKUP($BT268,'Unit information'!$A$2:$K$29,4,FALSE)*T268,0)*(1+$E$9)</f>
        <v>0</v>
      </c>
      <c r="AW268" s="107">
        <f>_xlfn.IFNA($M268/VLOOKUP($BT268,'Unit information'!$A$2:$K$29,5,FALSE)*U268,0)*(1+$E$9)</f>
        <v>0</v>
      </c>
      <c r="AX268" s="107">
        <f>_xlfn.IFNA($M268/VLOOKUP($BU268,'Unit information'!$A$2:$K$29,6,FALSE)*V268,0)*(1+$E$9)</f>
        <v>0</v>
      </c>
      <c r="AY268" s="107">
        <f>_xlfn.IFNA($M268/VLOOKUP($BU268,'Unit information'!$A$2:$K$29,7,FALSE)*W268,0)*(1+$E$9)</f>
        <v>0</v>
      </c>
      <c r="AZ268" s="107">
        <f>_xlfn.IFNA($M268/VLOOKUP($BU268,'Unit information'!$A$2:$K$29,8,FALSE)*X268,0)*(1+$E$9)</f>
        <v>0</v>
      </c>
      <c r="BA268" s="107">
        <f>_xlfn.IFNA($M268/VLOOKUP($BU268,'Unit information'!$A$2:$K$29,9,FALSE)*Y268,0)*(1+$E$9)</f>
        <v>0</v>
      </c>
      <c r="BB268" s="107">
        <f>_xlfn.IFNA($M268/VLOOKUP($BV268,'Unit information'!$A$2:$K$29,10,FALSE)*Z268,0)*(1+$E$9)</f>
        <v>0</v>
      </c>
      <c r="BC268" s="108">
        <f>_xlfn.IFNA($M268/VLOOKUP($BV268,'Unit information'!$A$2:$K$29,11,FALSE)*AA268,0)*(1+$E$9)</f>
        <v>0</v>
      </c>
      <c r="BD268" s="106">
        <f t="shared" si="481"/>
        <v>0</v>
      </c>
      <c r="BE268" s="107">
        <f t="shared" si="482"/>
        <v>0</v>
      </c>
      <c r="BF268" s="108">
        <f t="shared" si="483"/>
        <v>0</v>
      </c>
      <c r="BG268" s="25" t="e">
        <f t="shared" si="484"/>
        <v>#N/A</v>
      </c>
      <c r="BH268" s="25" t="e">
        <f t="shared" si="485"/>
        <v>#N/A</v>
      </c>
      <c r="BI268" s="25" t="e">
        <f t="shared" si="486"/>
        <v>#N/A</v>
      </c>
      <c r="BJ268" s="27" t="e">
        <f t="shared" si="487"/>
        <v>#N/A</v>
      </c>
      <c r="BK268" s="18" t="e">
        <f t="shared" si="488"/>
        <v>#N/A</v>
      </c>
      <c r="BL268" s="18" t="e">
        <f t="shared" si="489"/>
        <v>#N/A</v>
      </c>
      <c r="BM268" s="28" t="e">
        <f t="shared" si="540"/>
        <v>#N/A</v>
      </c>
      <c r="BN268" s="33">
        <f>HLOOKUP("maximum population",Miscelaneous!$C$1:$C$33,CH268+3,FALSE)</f>
        <v>240</v>
      </c>
      <c r="BO268" s="14">
        <f t="shared" si="502"/>
        <v>32</v>
      </c>
      <c r="BP268" s="14">
        <f t="shared" si="503"/>
        <v>0</v>
      </c>
      <c r="BQ268" s="14">
        <f t="shared" si="504"/>
        <v>208</v>
      </c>
      <c r="BR268" s="34" t="e">
        <f>HLOOKUP(J268,Villagers!$B$1:$V$33,L268+3,FALSE)-HLOOKUP(J268,Villagers!$B$1:$V$33,L268+2,FALSE)</f>
        <v>#N/A</v>
      </c>
      <c r="BS268" s="49">
        <f t="shared" si="505"/>
        <v>1</v>
      </c>
      <c r="BT268" s="50">
        <f t="shared" si="506"/>
        <v>0</v>
      </c>
      <c r="BU268" s="50">
        <f t="shared" si="507"/>
        <v>0</v>
      </c>
      <c r="BV268" s="50">
        <f t="shared" si="508"/>
        <v>0</v>
      </c>
      <c r="BW268" s="50">
        <f t="shared" si="618"/>
        <v>0</v>
      </c>
      <c r="BX268" s="50">
        <f t="shared" si="616"/>
        <v>0</v>
      </c>
      <c r="BY268" s="50">
        <f t="shared" si="616"/>
        <v>0</v>
      </c>
      <c r="BZ268" s="50">
        <f t="shared" si="554"/>
        <v>0</v>
      </c>
      <c r="CA268" s="50">
        <f t="shared" si="555"/>
        <v>0</v>
      </c>
      <c r="CB268" s="50">
        <f t="shared" si="556"/>
        <v>1</v>
      </c>
      <c r="CC268" s="50">
        <f t="shared" si="557"/>
        <v>0</v>
      </c>
      <c r="CD268" s="50">
        <f t="shared" si="558"/>
        <v>0</v>
      </c>
      <c r="CE268" s="50">
        <f t="shared" si="559"/>
        <v>1</v>
      </c>
      <c r="CF268" s="50">
        <f t="shared" si="560"/>
        <v>1</v>
      </c>
      <c r="CG268" s="50">
        <f t="shared" si="561"/>
        <v>1</v>
      </c>
      <c r="CH268" s="50">
        <f t="shared" si="562"/>
        <v>1</v>
      </c>
      <c r="CI268" s="50">
        <f t="shared" si="563"/>
        <v>1</v>
      </c>
      <c r="CJ268" s="50">
        <f t="shared" si="564"/>
        <v>1</v>
      </c>
      <c r="CK268" s="50">
        <f t="shared" si="564"/>
        <v>0</v>
      </c>
      <c r="CL268" s="50">
        <f t="shared" si="564"/>
        <v>0</v>
      </c>
      <c r="CM268" s="51">
        <f t="shared" si="605"/>
        <v>0</v>
      </c>
      <c r="CN268" s="33">
        <f>ROUND(IF(BS268=0,0,HLOOKUP(BS$14,Villagers!$B$1:$V$33,BS268+3,FALSE)),)</f>
        <v>5</v>
      </c>
      <c r="CO268" s="14">
        <f>ROUND(IF(BT268=0,0,HLOOKUP(BT$14,Villagers!$B$1:$V$33,BT268+3,FALSE)),)</f>
        <v>0</v>
      </c>
      <c r="CP268" s="14">
        <f>ROUND(IF(BU268=0,0,HLOOKUP(BU$14,Villagers!$B$1:$V$33,BU268+3,FALSE)),)</f>
        <v>0</v>
      </c>
      <c r="CQ268" s="14">
        <f>ROUND(IF(BV268=0,0,HLOOKUP(BV$14,Villagers!$B$1:$V$33,BV268+3,FALSE)),)</f>
        <v>0</v>
      </c>
      <c r="CR268" s="14">
        <f>ROUND(IF(BW268=0,0,HLOOKUP(BW$14,Villagers!$B$1:$V$33,BW268+3,FALSE)),)</f>
        <v>0</v>
      </c>
      <c r="CS268" s="14">
        <f>ROUND(IF(BX268=0,0,HLOOKUP(BX$14,Villagers!$B$1:$V$33,BX268+3,FALSE)),)</f>
        <v>0</v>
      </c>
      <c r="CT268" s="14">
        <f>ROUND(IF(BY268=0,0,HLOOKUP(BY$14,Villagers!$B$1:$V$33,BY268+3,FALSE)),)</f>
        <v>0</v>
      </c>
      <c r="CU268" s="14">
        <f>ROUND(IF(BZ268=0,0,HLOOKUP(BZ$14,Villagers!$B$1:$V$33,BZ268+3,FALSE)),)</f>
        <v>0</v>
      </c>
      <c r="CV268" s="14">
        <f>ROUND(IF(CA268=0,0,HLOOKUP(CA$14,Villagers!$B$1:$V$33,CA268+3,FALSE)),)</f>
        <v>0</v>
      </c>
      <c r="CW268" s="14">
        <f>ROUND(IF(CB268=0,0,HLOOKUP(CB$14,Villagers!$B$1:$V$33,CB268+3,FALSE)),)</f>
        <v>0</v>
      </c>
      <c r="CX268" s="14">
        <f>ROUND(IF(CC268=0,0,HLOOKUP(CC$14,Villagers!$B$1:$V$33,CC268+3,FALSE)),)</f>
        <v>0</v>
      </c>
      <c r="CY268" s="14">
        <f>ROUND(IF(CD268=0,0,HLOOKUP(CD$14,Villagers!$B$1:$V$33,CD268+3,FALSE)),)</f>
        <v>0</v>
      </c>
      <c r="CZ268" s="14">
        <f>ROUND(IF(CE268=0,0,HLOOKUP(CE$14,Villagers!$B$1:$V$33,CE268+3,FALSE)),)</f>
        <v>5</v>
      </c>
      <c r="DA268" s="14">
        <f>ROUND(IF(CF268=0,0,HLOOKUP(CF$14,Villagers!$B$1:$V$33,CF268+3,FALSE)),)</f>
        <v>10</v>
      </c>
      <c r="DB268" s="14">
        <f>ROUND(IF(CG268=0,0,HLOOKUP(CG$14,Villagers!$B$1:$V$33,CG268+3,FALSE)),)</f>
        <v>10</v>
      </c>
      <c r="DC268" s="14">
        <f>ROUND(IF(CH268=0,0,HLOOKUP(CH$14,Villagers!$B$1:$V$33,CH268+3,FALSE)),)</f>
        <v>0</v>
      </c>
      <c r="DD268" s="14">
        <f>ROUND(IF(CI268=0,0,HLOOKUP(CI$14,Villagers!$B$1:$V$33,CI268+3,FALSE)),)</f>
        <v>0</v>
      </c>
      <c r="DE268" s="14">
        <f>ROUND(IF(CJ268=0,0,HLOOKUP(CJ$14,Villagers!$B$1:$V$33,CJ268+3,FALSE)),)</f>
        <v>2</v>
      </c>
      <c r="DF268" s="370">
        <f>ROUND(IF(CK268=0,0,HLOOKUP(CK$14,Villagers!$B$1:$V$33,CK268+3,FALSE)),)</f>
        <v>0</v>
      </c>
      <c r="DG268" s="370">
        <f>ROUND(IF(CL268=0,0,HLOOKUP(CL$14,Villagers!$B$1:$V$33,CL268+3,FALSE)),)</f>
        <v>0</v>
      </c>
      <c r="DH268" s="34">
        <f>ROUND(IF(CM268=0,0,HLOOKUP(CM$14,Villagers!$B$1:$V$33,CM268+3,FALSE)),)</f>
        <v>0</v>
      </c>
      <c r="DI268" s="109">
        <f t="shared" si="526"/>
        <v>0</v>
      </c>
      <c r="DJ268" s="50">
        <f t="shared" si="527"/>
        <v>0</v>
      </c>
      <c r="DK268" s="50">
        <f t="shared" si="528"/>
        <v>0</v>
      </c>
      <c r="DL268" s="50">
        <f t="shared" si="529"/>
        <v>0</v>
      </c>
      <c r="DM268" s="50">
        <f t="shared" si="530"/>
        <v>0</v>
      </c>
      <c r="DN268" s="50">
        <f t="shared" si="531"/>
        <v>0</v>
      </c>
      <c r="DO268" s="50">
        <f t="shared" si="532"/>
        <v>0</v>
      </c>
      <c r="DP268" s="50">
        <f t="shared" si="533"/>
        <v>0</v>
      </c>
      <c r="DQ268" s="50">
        <f t="shared" si="510"/>
        <v>0</v>
      </c>
      <c r="DR268" s="50">
        <f t="shared" si="511"/>
        <v>0</v>
      </c>
      <c r="DS268" s="96">
        <f>Miscelaneous!$D$4*Miscelaneous!$D$2^($CI268-1)</f>
        <v>1000</v>
      </c>
      <c r="DT268" s="333">
        <f t="shared" si="490"/>
        <v>1</v>
      </c>
      <c r="DU268" s="81">
        <v>1</v>
      </c>
      <c r="DV268" s="79">
        <f t="shared" si="512"/>
        <v>0</v>
      </c>
      <c r="DW268" s="79">
        <f t="shared" si="513"/>
        <v>0</v>
      </c>
      <c r="DX268" s="79">
        <f t="shared" si="514"/>
        <v>0</v>
      </c>
      <c r="DY268" s="79">
        <v>1</v>
      </c>
      <c r="DZ268" s="79">
        <f t="shared" si="515"/>
        <v>0</v>
      </c>
      <c r="EA268" s="79">
        <f t="shared" si="516"/>
        <v>0</v>
      </c>
      <c r="EB268" s="79">
        <f t="shared" si="517"/>
        <v>0</v>
      </c>
      <c r="EC268" s="79">
        <f t="shared" si="518"/>
        <v>0</v>
      </c>
      <c r="ED268" s="79">
        <v>1</v>
      </c>
      <c r="EE268" s="79">
        <v>1</v>
      </c>
      <c r="EF268" s="79">
        <f t="shared" si="519"/>
        <v>0</v>
      </c>
      <c r="EG268" s="79">
        <v>1</v>
      </c>
      <c r="EH268" s="79">
        <v>1</v>
      </c>
      <c r="EI268" s="79">
        <v>1</v>
      </c>
      <c r="EJ268" s="79">
        <v>1</v>
      </c>
      <c r="EK268" s="79">
        <v>1</v>
      </c>
      <c r="EL268" s="79">
        <v>1</v>
      </c>
      <c r="EM268" s="143">
        <f t="shared" si="520"/>
        <v>0</v>
      </c>
      <c r="EN268" s="143">
        <f t="shared" si="521"/>
        <v>0</v>
      </c>
      <c r="EO268" s="82">
        <f t="shared" si="522"/>
        <v>0</v>
      </c>
    </row>
    <row r="269" spans="1:145" x14ac:dyDescent="0.25">
      <c r="A269">
        <v>255</v>
      </c>
      <c r="B269" s="172" t="e">
        <f t="shared" si="491"/>
        <v>#N/A</v>
      </c>
      <c r="C269" s="121" t="e">
        <f t="shared" ref="C269:E269" si="623">AJ269-SUM(AB269:AB273)</f>
        <v>#N/A</v>
      </c>
      <c r="D269" s="122" t="e">
        <f t="shared" si="623"/>
        <v>#N/A</v>
      </c>
      <c r="E269" s="122" t="e">
        <f t="shared" si="623"/>
        <v>#N/A</v>
      </c>
      <c r="F269" s="176" t="e">
        <f t="shared" si="473"/>
        <v>#N/A</v>
      </c>
      <c r="G269" s="121">
        <f t="shared" si="493"/>
        <v>208</v>
      </c>
      <c r="H269" s="176" t="e">
        <f t="shared" si="494"/>
        <v>#N/A</v>
      </c>
      <c r="I269" s="48">
        <v>1</v>
      </c>
      <c r="J269" s="39"/>
      <c r="K269" s="350">
        <v>1</v>
      </c>
      <c r="L269" s="34" t="e">
        <f t="shared" si="474"/>
        <v>#N/A</v>
      </c>
      <c r="M269" s="38" t="e">
        <f>(HLOOKUP(J269,'Construction Times'!$B$3:$W$34,L269+2,FALSE)*HLOOKUP("hq modifier",'Construction Times'!$W$3:$W$34,BS269+2,FALSE))*(1-$H$9)</f>
        <v>#N/A</v>
      </c>
      <c r="N269" s="426" t="e">
        <f t="shared" si="495"/>
        <v>#N/A</v>
      </c>
      <c r="O269" s="427"/>
      <c r="P269" s="430" t="e">
        <f t="shared" si="496"/>
        <v>#N/A</v>
      </c>
      <c r="Q269" s="431"/>
      <c r="R269" s="103">
        <f t="shared" si="524"/>
        <v>0</v>
      </c>
      <c r="S269" s="104">
        <f t="shared" si="524"/>
        <v>0</v>
      </c>
      <c r="T269" s="104">
        <f t="shared" si="525"/>
        <v>0</v>
      </c>
      <c r="U269" s="104">
        <f t="shared" si="525"/>
        <v>0</v>
      </c>
      <c r="V269" s="104">
        <f t="shared" si="525"/>
        <v>9.9999999999999995E-8</v>
      </c>
      <c r="W269" s="104">
        <f t="shared" si="525"/>
        <v>0</v>
      </c>
      <c r="X269" s="104">
        <f t="shared" si="584"/>
        <v>0</v>
      </c>
      <c r="Y269" s="104">
        <f t="shared" si="584"/>
        <v>9.9999999999999995E-8</v>
      </c>
      <c r="Z269" s="104">
        <f t="shared" si="584"/>
        <v>9.9999999999999995E-8</v>
      </c>
      <c r="AA269" s="105">
        <f t="shared" si="584"/>
        <v>9.9999999999999995E-8</v>
      </c>
      <c r="AB269" s="101" t="e">
        <f>$DT269*HLOOKUP($J269,'Construction Costs (timber)'!$B$1:$V$32,'Construction Planner'!$L269+2,FALSE)</f>
        <v>#N/A</v>
      </c>
      <c r="AC269" s="14" t="e">
        <f>$DT269*HLOOKUP($J269,'Construction Costs (clay)'!$B$1:$V$32,'Construction Planner'!$L269+2,FALSE)</f>
        <v>#N/A</v>
      </c>
      <c r="AD269" s="14" t="e">
        <f>$DT269*HLOOKUP($J269,'Construction Costs (iron)'!$B$1:$V$32,'Construction Planner'!$L269+2,FALSE)</f>
        <v>#N/A</v>
      </c>
      <c r="AE269" s="34" t="e">
        <f t="shared" si="537"/>
        <v>#N/A</v>
      </c>
      <c r="AF269" s="33" t="e">
        <f t="shared" si="475"/>
        <v>#N/A</v>
      </c>
      <c r="AG269" s="14" t="e">
        <f t="shared" si="476"/>
        <v>#N/A</v>
      </c>
      <c r="AH269" s="14" t="e">
        <f t="shared" si="477"/>
        <v>#N/A</v>
      </c>
      <c r="AI269" s="34" t="e">
        <f t="shared" si="538"/>
        <v>#N/A</v>
      </c>
      <c r="AJ269" s="49" t="e">
        <f t="shared" si="498"/>
        <v>#N/A</v>
      </c>
      <c r="AK269" s="49" t="e">
        <f t="shared" si="499"/>
        <v>#N/A</v>
      </c>
      <c r="AL269" s="49" t="e">
        <f t="shared" si="500"/>
        <v>#N/A</v>
      </c>
      <c r="AM269" s="25">
        <f t="shared" si="478"/>
        <v>30</v>
      </c>
      <c r="AN269" s="25">
        <f t="shared" si="479"/>
        <v>30</v>
      </c>
      <c r="AO269" s="25">
        <f t="shared" si="480"/>
        <v>30</v>
      </c>
      <c r="AP269" s="52" t="e">
        <f t="shared" si="501"/>
        <v>#N/A</v>
      </c>
      <c r="AQ269" s="53" t="e">
        <f t="shared" si="501"/>
        <v>#N/A</v>
      </c>
      <c r="AR269" s="54" t="e">
        <f t="shared" si="501"/>
        <v>#N/A</v>
      </c>
      <c r="AS269" s="316">
        <f t="shared" si="612"/>
        <v>0</v>
      </c>
      <c r="AT269" s="106">
        <f>_xlfn.IFNA($M269/VLOOKUP($BT269,'Unit information'!$A$2:$K$29,2,FALSE)*R269,0)*(1+$E$9)</f>
        <v>0</v>
      </c>
      <c r="AU269" s="107">
        <f>_xlfn.IFNA($M269/VLOOKUP($BT269,'Unit information'!$A$2:$K$29,3,FALSE)*S269,0)*(1+$E$9)</f>
        <v>0</v>
      </c>
      <c r="AV269" s="107">
        <f>_xlfn.IFNA($M269/VLOOKUP($BT269,'Unit information'!$A$2:$K$29,4,FALSE)*T269,0)*(1+$E$9)</f>
        <v>0</v>
      </c>
      <c r="AW269" s="107">
        <f>_xlfn.IFNA($M269/VLOOKUP($BT269,'Unit information'!$A$2:$K$29,5,FALSE)*U269,0)*(1+$E$9)</f>
        <v>0</v>
      </c>
      <c r="AX269" s="107">
        <f>_xlfn.IFNA($M269/VLOOKUP($BU269,'Unit information'!$A$2:$K$29,6,FALSE)*V269,0)*(1+$E$9)</f>
        <v>0</v>
      </c>
      <c r="AY269" s="107">
        <f>_xlfn.IFNA($M269/VLOOKUP($BU269,'Unit information'!$A$2:$K$29,7,FALSE)*W269,0)*(1+$E$9)</f>
        <v>0</v>
      </c>
      <c r="AZ269" s="107">
        <f>_xlfn.IFNA($M269/VLOOKUP($BU269,'Unit information'!$A$2:$K$29,8,FALSE)*X269,0)*(1+$E$9)</f>
        <v>0</v>
      </c>
      <c r="BA269" s="107">
        <f>_xlfn.IFNA($M269/VLOOKUP($BU269,'Unit information'!$A$2:$K$29,9,FALSE)*Y269,0)*(1+$E$9)</f>
        <v>0</v>
      </c>
      <c r="BB269" s="107">
        <f>_xlfn.IFNA($M269/VLOOKUP($BV269,'Unit information'!$A$2:$K$29,10,FALSE)*Z269,0)*(1+$E$9)</f>
        <v>0</v>
      </c>
      <c r="BC269" s="108">
        <f>_xlfn.IFNA($M269/VLOOKUP($BV269,'Unit information'!$A$2:$K$29,11,FALSE)*AA269,0)*(1+$E$9)</f>
        <v>0</v>
      </c>
      <c r="BD269" s="106">
        <f t="shared" si="481"/>
        <v>0</v>
      </c>
      <c r="BE269" s="107">
        <f t="shared" si="482"/>
        <v>0</v>
      </c>
      <c r="BF269" s="108">
        <f t="shared" si="483"/>
        <v>0</v>
      </c>
      <c r="BG269" s="25" t="e">
        <f t="shared" si="484"/>
        <v>#N/A</v>
      </c>
      <c r="BH269" s="25" t="e">
        <f t="shared" si="485"/>
        <v>#N/A</v>
      </c>
      <c r="BI269" s="25" t="e">
        <f t="shared" si="486"/>
        <v>#N/A</v>
      </c>
      <c r="BJ269" s="27" t="e">
        <f t="shared" si="487"/>
        <v>#N/A</v>
      </c>
      <c r="BK269" s="18" t="e">
        <f t="shared" si="488"/>
        <v>#N/A</v>
      </c>
      <c r="BL269" s="18" t="e">
        <f t="shared" si="489"/>
        <v>#N/A</v>
      </c>
      <c r="BM269" s="28" t="e">
        <f t="shared" si="540"/>
        <v>#N/A</v>
      </c>
      <c r="BN269" s="33">
        <f>HLOOKUP("maximum population",Miscelaneous!$C$1:$C$33,CH269+3,FALSE)</f>
        <v>240</v>
      </c>
      <c r="BO269" s="14">
        <f t="shared" si="502"/>
        <v>32</v>
      </c>
      <c r="BP269" s="14">
        <f t="shared" si="503"/>
        <v>0</v>
      </c>
      <c r="BQ269" s="14">
        <f t="shared" si="504"/>
        <v>208</v>
      </c>
      <c r="BR269" s="34" t="e">
        <f>HLOOKUP(J269,Villagers!$B$1:$V$33,L269+3,FALSE)-HLOOKUP(J269,Villagers!$B$1:$V$33,L269+2,FALSE)</f>
        <v>#N/A</v>
      </c>
      <c r="BS269" s="49">
        <f t="shared" si="505"/>
        <v>1</v>
      </c>
      <c r="BT269" s="50">
        <f t="shared" si="506"/>
        <v>0</v>
      </c>
      <c r="BU269" s="50">
        <f t="shared" si="507"/>
        <v>0</v>
      </c>
      <c r="BV269" s="50">
        <f t="shared" si="508"/>
        <v>0</v>
      </c>
      <c r="BW269" s="50">
        <f t="shared" si="618"/>
        <v>0</v>
      </c>
      <c r="BX269" s="50">
        <f t="shared" si="616"/>
        <v>0</v>
      </c>
      <c r="BY269" s="50">
        <f t="shared" si="616"/>
        <v>0</v>
      </c>
      <c r="BZ269" s="50">
        <f t="shared" si="554"/>
        <v>0</v>
      </c>
      <c r="CA269" s="50">
        <f t="shared" si="555"/>
        <v>0</v>
      </c>
      <c r="CB269" s="50">
        <f t="shared" si="556"/>
        <v>1</v>
      </c>
      <c r="CC269" s="50">
        <f t="shared" si="557"/>
        <v>0</v>
      </c>
      <c r="CD269" s="50">
        <f t="shared" si="558"/>
        <v>0</v>
      </c>
      <c r="CE269" s="50">
        <f t="shared" si="559"/>
        <v>1</v>
      </c>
      <c r="CF269" s="50">
        <f t="shared" si="560"/>
        <v>1</v>
      </c>
      <c r="CG269" s="50">
        <f t="shared" si="561"/>
        <v>1</v>
      </c>
      <c r="CH269" s="50">
        <f t="shared" si="562"/>
        <v>1</v>
      </c>
      <c r="CI269" s="50">
        <f t="shared" si="563"/>
        <v>1</v>
      </c>
      <c r="CJ269" s="50">
        <f t="shared" si="564"/>
        <v>1</v>
      </c>
      <c r="CK269" s="50">
        <f t="shared" si="564"/>
        <v>0</v>
      </c>
      <c r="CL269" s="50">
        <f t="shared" si="564"/>
        <v>0</v>
      </c>
      <c r="CM269" s="51">
        <f t="shared" si="605"/>
        <v>0</v>
      </c>
      <c r="CN269" s="33">
        <f>ROUND(IF(BS269=0,0,HLOOKUP(BS$14,Villagers!$B$1:$V$33,BS269+3,FALSE)),)</f>
        <v>5</v>
      </c>
      <c r="CO269" s="14">
        <f>ROUND(IF(BT269=0,0,HLOOKUP(BT$14,Villagers!$B$1:$V$33,BT269+3,FALSE)),)</f>
        <v>0</v>
      </c>
      <c r="CP269" s="14">
        <f>ROUND(IF(BU269=0,0,HLOOKUP(BU$14,Villagers!$B$1:$V$33,BU269+3,FALSE)),)</f>
        <v>0</v>
      </c>
      <c r="CQ269" s="14">
        <f>ROUND(IF(BV269=0,0,HLOOKUP(BV$14,Villagers!$B$1:$V$33,BV269+3,FALSE)),)</f>
        <v>0</v>
      </c>
      <c r="CR269" s="14">
        <f>ROUND(IF(BW269=0,0,HLOOKUP(BW$14,Villagers!$B$1:$V$33,BW269+3,FALSE)),)</f>
        <v>0</v>
      </c>
      <c r="CS269" s="14">
        <f>ROUND(IF(BX269=0,0,HLOOKUP(BX$14,Villagers!$B$1:$V$33,BX269+3,FALSE)),)</f>
        <v>0</v>
      </c>
      <c r="CT269" s="14">
        <f>ROUND(IF(BY269=0,0,HLOOKUP(BY$14,Villagers!$B$1:$V$33,BY269+3,FALSE)),)</f>
        <v>0</v>
      </c>
      <c r="CU269" s="14">
        <f>ROUND(IF(BZ269=0,0,HLOOKUP(BZ$14,Villagers!$B$1:$V$33,BZ269+3,FALSE)),)</f>
        <v>0</v>
      </c>
      <c r="CV269" s="14">
        <f>ROUND(IF(CA269=0,0,HLOOKUP(CA$14,Villagers!$B$1:$V$33,CA269+3,FALSE)),)</f>
        <v>0</v>
      </c>
      <c r="CW269" s="14">
        <f>ROUND(IF(CB269=0,0,HLOOKUP(CB$14,Villagers!$B$1:$V$33,CB269+3,FALSE)),)</f>
        <v>0</v>
      </c>
      <c r="CX269" s="14">
        <f>ROUND(IF(CC269=0,0,HLOOKUP(CC$14,Villagers!$B$1:$V$33,CC269+3,FALSE)),)</f>
        <v>0</v>
      </c>
      <c r="CY269" s="14">
        <f>ROUND(IF(CD269=0,0,HLOOKUP(CD$14,Villagers!$B$1:$V$33,CD269+3,FALSE)),)</f>
        <v>0</v>
      </c>
      <c r="CZ269" s="14">
        <f>ROUND(IF(CE269=0,0,HLOOKUP(CE$14,Villagers!$B$1:$V$33,CE269+3,FALSE)),)</f>
        <v>5</v>
      </c>
      <c r="DA269" s="14">
        <f>ROUND(IF(CF269=0,0,HLOOKUP(CF$14,Villagers!$B$1:$V$33,CF269+3,FALSE)),)</f>
        <v>10</v>
      </c>
      <c r="DB269" s="14">
        <f>ROUND(IF(CG269=0,0,HLOOKUP(CG$14,Villagers!$B$1:$V$33,CG269+3,FALSE)),)</f>
        <v>10</v>
      </c>
      <c r="DC269" s="14">
        <f>ROUND(IF(CH269=0,0,HLOOKUP(CH$14,Villagers!$B$1:$V$33,CH269+3,FALSE)),)</f>
        <v>0</v>
      </c>
      <c r="DD269" s="14">
        <f>ROUND(IF(CI269=0,0,HLOOKUP(CI$14,Villagers!$B$1:$V$33,CI269+3,FALSE)),)</f>
        <v>0</v>
      </c>
      <c r="DE269" s="14">
        <f>ROUND(IF(CJ269=0,0,HLOOKUP(CJ$14,Villagers!$B$1:$V$33,CJ269+3,FALSE)),)</f>
        <v>2</v>
      </c>
      <c r="DF269" s="370">
        <f>ROUND(IF(CK269=0,0,HLOOKUP(CK$14,Villagers!$B$1:$V$33,CK269+3,FALSE)),)</f>
        <v>0</v>
      </c>
      <c r="DG269" s="370">
        <f>ROUND(IF(CL269=0,0,HLOOKUP(CL$14,Villagers!$B$1:$V$33,CL269+3,FALSE)),)</f>
        <v>0</v>
      </c>
      <c r="DH269" s="34">
        <f>ROUND(IF(CM269=0,0,HLOOKUP(CM$14,Villagers!$B$1:$V$33,CM269+3,FALSE)),)</f>
        <v>0</v>
      </c>
      <c r="DI269" s="109">
        <f t="shared" si="526"/>
        <v>0</v>
      </c>
      <c r="DJ269" s="50">
        <f t="shared" si="527"/>
        <v>0</v>
      </c>
      <c r="DK269" s="50">
        <f t="shared" si="528"/>
        <v>0</v>
      </c>
      <c r="DL269" s="50">
        <f t="shared" si="529"/>
        <v>0</v>
      </c>
      <c r="DM269" s="50">
        <f t="shared" si="530"/>
        <v>0</v>
      </c>
      <c r="DN269" s="50">
        <f t="shared" si="531"/>
        <v>0</v>
      </c>
      <c r="DO269" s="50">
        <f t="shared" si="532"/>
        <v>0</v>
      </c>
      <c r="DP269" s="50">
        <f t="shared" si="533"/>
        <v>0</v>
      </c>
      <c r="DQ269" s="50">
        <f t="shared" si="510"/>
        <v>0</v>
      </c>
      <c r="DR269" s="50">
        <f t="shared" si="511"/>
        <v>0</v>
      </c>
      <c r="DS269" s="96">
        <f>Miscelaneous!$D$4*Miscelaneous!$D$2^($CI269-1)</f>
        <v>1000</v>
      </c>
      <c r="DT269" s="333">
        <f t="shared" si="490"/>
        <v>1</v>
      </c>
      <c r="DU269" s="81">
        <v>1</v>
      </c>
      <c r="DV269" s="79">
        <f t="shared" si="512"/>
        <v>0</v>
      </c>
      <c r="DW269" s="79">
        <f t="shared" si="513"/>
        <v>0</v>
      </c>
      <c r="DX269" s="79">
        <f t="shared" si="514"/>
        <v>0</v>
      </c>
      <c r="DY269" s="79">
        <v>1</v>
      </c>
      <c r="DZ269" s="79">
        <f t="shared" si="515"/>
        <v>0</v>
      </c>
      <c r="EA269" s="79">
        <f t="shared" si="516"/>
        <v>0</v>
      </c>
      <c r="EB269" s="79">
        <f t="shared" si="517"/>
        <v>0</v>
      </c>
      <c r="EC269" s="79">
        <f t="shared" si="518"/>
        <v>0</v>
      </c>
      <c r="ED269" s="79">
        <v>1</v>
      </c>
      <c r="EE269" s="79">
        <v>1</v>
      </c>
      <c r="EF269" s="79">
        <f t="shared" si="519"/>
        <v>0</v>
      </c>
      <c r="EG269" s="79">
        <v>1</v>
      </c>
      <c r="EH269" s="79">
        <v>1</v>
      </c>
      <c r="EI269" s="79">
        <v>1</v>
      </c>
      <c r="EJ269" s="79">
        <v>1</v>
      </c>
      <c r="EK269" s="79">
        <v>1</v>
      </c>
      <c r="EL269" s="79">
        <v>1</v>
      </c>
      <c r="EM269" s="143">
        <f t="shared" si="520"/>
        <v>0</v>
      </c>
      <c r="EN269" s="143">
        <f t="shared" si="521"/>
        <v>0</v>
      </c>
      <c r="EO269" s="82">
        <f t="shared" si="522"/>
        <v>0</v>
      </c>
    </row>
    <row r="270" spans="1:145" x14ac:dyDescent="0.25">
      <c r="A270">
        <v>256</v>
      </c>
      <c r="B270" s="172" t="e">
        <f t="shared" si="491"/>
        <v>#N/A</v>
      </c>
      <c r="C270" s="121" t="e">
        <f t="shared" ref="C270:E270" si="624">AJ270-SUM(AB270:AB274)</f>
        <v>#N/A</v>
      </c>
      <c r="D270" s="122" t="e">
        <f t="shared" si="624"/>
        <v>#N/A</v>
      </c>
      <c r="E270" s="122" t="e">
        <f t="shared" si="624"/>
        <v>#N/A</v>
      </c>
      <c r="F270" s="176" t="e">
        <f t="shared" si="473"/>
        <v>#N/A</v>
      </c>
      <c r="G270" s="121">
        <f t="shared" si="493"/>
        <v>208</v>
      </c>
      <c r="H270" s="176" t="e">
        <f t="shared" si="494"/>
        <v>#N/A</v>
      </c>
      <c r="I270" s="48">
        <v>1</v>
      </c>
      <c r="J270" s="39"/>
      <c r="K270" s="350">
        <v>1</v>
      </c>
      <c r="L270" s="34" t="e">
        <f t="shared" si="474"/>
        <v>#N/A</v>
      </c>
      <c r="M270" s="38" t="e">
        <f>(HLOOKUP(J270,'Construction Times'!$B$3:$W$34,L270+2,FALSE)*HLOOKUP("hq modifier",'Construction Times'!$W$3:$W$34,BS270+2,FALSE))*(1-$H$9)</f>
        <v>#N/A</v>
      </c>
      <c r="N270" s="426" t="e">
        <f t="shared" si="495"/>
        <v>#N/A</v>
      </c>
      <c r="O270" s="427"/>
      <c r="P270" s="430" t="e">
        <f t="shared" si="496"/>
        <v>#N/A</v>
      </c>
      <c r="Q270" s="431"/>
      <c r="R270" s="103">
        <f t="shared" si="524"/>
        <v>0</v>
      </c>
      <c r="S270" s="104">
        <f t="shared" si="524"/>
        <v>0</v>
      </c>
      <c r="T270" s="104">
        <f t="shared" si="525"/>
        <v>0</v>
      </c>
      <c r="U270" s="104">
        <f t="shared" si="525"/>
        <v>0</v>
      </c>
      <c r="V270" s="104">
        <f t="shared" si="525"/>
        <v>9.9999999999999995E-8</v>
      </c>
      <c r="W270" s="104">
        <f t="shared" si="525"/>
        <v>0</v>
      </c>
      <c r="X270" s="104">
        <f t="shared" si="584"/>
        <v>0</v>
      </c>
      <c r="Y270" s="104">
        <f t="shared" si="584"/>
        <v>9.9999999999999995E-8</v>
      </c>
      <c r="Z270" s="104">
        <f t="shared" si="584"/>
        <v>9.9999999999999995E-8</v>
      </c>
      <c r="AA270" s="105">
        <f t="shared" si="584"/>
        <v>9.9999999999999995E-8</v>
      </c>
      <c r="AB270" s="101" t="e">
        <f>$DT270*HLOOKUP($J270,'Construction Costs (timber)'!$B$1:$V$32,'Construction Planner'!$L270+2,FALSE)</f>
        <v>#N/A</v>
      </c>
      <c r="AC270" s="14" t="e">
        <f>$DT270*HLOOKUP($J270,'Construction Costs (clay)'!$B$1:$V$32,'Construction Planner'!$L270+2,FALSE)</f>
        <v>#N/A</v>
      </c>
      <c r="AD270" s="14" t="e">
        <f>$DT270*HLOOKUP($J270,'Construction Costs (iron)'!$B$1:$V$32,'Construction Planner'!$L270+2,FALSE)</f>
        <v>#N/A</v>
      </c>
      <c r="AE270" s="34" t="e">
        <f t="shared" si="537"/>
        <v>#N/A</v>
      </c>
      <c r="AF270" s="33" t="e">
        <f t="shared" si="475"/>
        <v>#N/A</v>
      </c>
      <c r="AG270" s="14" t="e">
        <f t="shared" si="476"/>
        <v>#N/A</v>
      </c>
      <c r="AH270" s="14" t="e">
        <f t="shared" si="477"/>
        <v>#N/A</v>
      </c>
      <c r="AI270" s="34" t="e">
        <f t="shared" si="538"/>
        <v>#N/A</v>
      </c>
      <c r="AJ270" s="49" t="e">
        <f t="shared" si="498"/>
        <v>#N/A</v>
      </c>
      <c r="AK270" s="49" t="e">
        <f t="shared" si="499"/>
        <v>#N/A</v>
      </c>
      <c r="AL270" s="49" t="e">
        <f t="shared" si="500"/>
        <v>#N/A</v>
      </c>
      <c r="AM270" s="25">
        <f t="shared" si="478"/>
        <v>30</v>
      </c>
      <c r="AN270" s="25">
        <f t="shared" si="479"/>
        <v>30</v>
      </c>
      <c r="AO270" s="25">
        <f t="shared" si="480"/>
        <v>30</v>
      </c>
      <c r="AP270" s="52" t="e">
        <f t="shared" si="501"/>
        <v>#N/A</v>
      </c>
      <c r="AQ270" s="53" t="e">
        <f t="shared" si="501"/>
        <v>#N/A</v>
      </c>
      <c r="AR270" s="54" t="e">
        <f t="shared" si="501"/>
        <v>#N/A</v>
      </c>
      <c r="AS270" s="316">
        <f t="shared" si="612"/>
        <v>0</v>
      </c>
      <c r="AT270" s="106">
        <f>_xlfn.IFNA($M270/VLOOKUP($BT270,'Unit information'!$A$2:$K$29,2,FALSE)*R270,0)*(1+$E$9)</f>
        <v>0</v>
      </c>
      <c r="AU270" s="107">
        <f>_xlfn.IFNA($M270/VLOOKUP($BT270,'Unit information'!$A$2:$K$29,3,FALSE)*S270,0)*(1+$E$9)</f>
        <v>0</v>
      </c>
      <c r="AV270" s="107">
        <f>_xlfn.IFNA($M270/VLOOKUP($BT270,'Unit information'!$A$2:$K$29,4,FALSE)*T270,0)*(1+$E$9)</f>
        <v>0</v>
      </c>
      <c r="AW270" s="107">
        <f>_xlfn.IFNA($M270/VLOOKUP($BT270,'Unit information'!$A$2:$K$29,5,FALSE)*U270,0)*(1+$E$9)</f>
        <v>0</v>
      </c>
      <c r="AX270" s="107">
        <f>_xlfn.IFNA($M270/VLOOKUP($BU270,'Unit information'!$A$2:$K$29,6,FALSE)*V270,0)*(1+$E$9)</f>
        <v>0</v>
      </c>
      <c r="AY270" s="107">
        <f>_xlfn.IFNA($M270/VLOOKUP($BU270,'Unit information'!$A$2:$K$29,7,FALSE)*W270,0)*(1+$E$9)</f>
        <v>0</v>
      </c>
      <c r="AZ270" s="107">
        <f>_xlfn.IFNA($M270/VLOOKUP($BU270,'Unit information'!$A$2:$K$29,8,FALSE)*X270,0)*(1+$E$9)</f>
        <v>0</v>
      </c>
      <c r="BA270" s="107">
        <f>_xlfn.IFNA($M270/VLOOKUP($BU270,'Unit information'!$A$2:$K$29,9,FALSE)*Y270,0)*(1+$E$9)</f>
        <v>0</v>
      </c>
      <c r="BB270" s="107">
        <f>_xlfn.IFNA($M270/VLOOKUP($BV270,'Unit information'!$A$2:$K$29,10,FALSE)*Z270,0)*(1+$E$9)</f>
        <v>0</v>
      </c>
      <c r="BC270" s="108">
        <f>_xlfn.IFNA($M270/VLOOKUP($BV270,'Unit information'!$A$2:$K$29,11,FALSE)*AA270,0)*(1+$E$9)</f>
        <v>0</v>
      </c>
      <c r="BD270" s="106">
        <f t="shared" si="481"/>
        <v>0</v>
      </c>
      <c r="BE270" s="107">
        <f t="shared" si="482"/>
        <v>0</v>
      </c>
      <c r="BF270" s="108">
        <f t="shared" si="483"/>
        <v>0</v>
      </c>
      <c r="BG270" s="25" t="e">
        <f t="shared" si="484"/>
        <v>#N/A</v>
      </c>
      <c r="BH270" s="25" t="e">
        <f t="shared" si="485"/>
        <v>#N/A</v>
      </c>
      <c r="BI270" s="25" t="e">
        <f t="shared" si="486"/>
        <v>#N/A</v>
      </c>
      <c r="BJ270" s="27" t="e">
        <f t="shared" si="487"/>
        <v>#N/A</v>
      </c>
      <c r="BK270" s="18" t="e">
        <f t="shared" si="488"/>
        <v>#N/A</v>
      </c>
      <c r="BL270" s="18" t="e">
        <f t="shared" si="489"/>
        <v>#N/A</v>
      </c>
      <c r="BM270" s="28" t="e">
        <f t="shared" si="540"/>
        <v>#N/A</v>
      </c>
      <c r="BN270" s="33">
        <f>HLOOKUP("maximum population",Miscelaneous!$C$1:$C$33,CH270+3,FALSE)</f>
        <v>240</v>
      </c>
      <c r="BO270" s="14">
        <f t="shared" si="502"/>
        <v>32</v>
      </c>
      <c r="BP270" s="14">
        <f t="shared" si="503"/>
        <v>0</v>
      </c>
      <c r="BQ270" s="14">
        <f t="shared" si="504"/>
        <v>208</v>
      </c>
      <c r="BR270" s="34" t="e">
        <f>HLOOKUP(J270,Villagers!$B$1:$V$33,L270+3,FALSE)-HLOOKUP(J270,Villagers!$B$1:$V$33,L270+2,FALSE)</f>
        <v>#N/A</v>
      </c>
      <c r="BS270" s="49">
        <f t="shared" si="505"/>
        <v>1</v>
      </c>
      <c r="BT270" s="50">
        <f t="shared" si="506"/>
        <v>0</v>
      </c>
      <c r="BU270" s="50">
        <f t="shared" si="507"/>
        <v>0</v>
      </c>
      <c r="BV270" s="50">
        <f t="shared" si="508"/>
        <v>0</v>
      </c>
      <c r="BW270" s="50">
        <f t="shared" si="618"/>
        <v>0</v>
      </c>
      <c r="BX270" s="50">
        <f t="shared" si="616"/>
        <v>0</v>
      </c>
      <c r="BY270" s="50">
        <f t="shared" si="616"/>
        <v>0</v>
      </c>
      <c r="BZ270" s="50">
        <f t="shared" si="554"/>
        <v>0</v>
      </c>
      <c r="CA270" s="50">
        <f t="shared" si="555"/>
        <v>0</v>
      </c>
      <c r="CB270" s="50">
        <f t="shared" si="556"/>
        <v>1</v>
      </c>
      <c r="CC270" s="50">
        <f t="shared" si="557"/>
        <v>0</v>
      </c>
      <c r="CD270" s="50">
        <f t="shared" si="558"/>
        <v>0</v>
      </c>
      <c r="CE270" s="50">
        <f t="shared" si="559"/>
        <v>1</v>
      </c>
      <c r="CF270" s="50">
        <f t="shared" si="560"/>
        <v>1</v>
      </c>
      <c r="CG270" s="50">
        <f t="shared" si="561"/>
        <v>1</v>
      </c>
      <c r="CH270" s="50">
        <f t="shared" si="562"/>
        <v>1</v>
      </c>
      <c r="CI270" s="50">
        <f t="shared" si="563"/>
        <v>1</v>
      </c>
      <c r="CJ270" s="50">
        <f t="shared" si="564"/>
        <v>1</v>
      </c>
      <c r="CK270" s="50">
        <f t="shared" si="564"/>
        <v>0</v>
      </c>
      <c r="CL270" s="50">
        <f t="shared" si="564"/>
        <v>0</v>
      </c>
      <c r="CM270" s="51">
        <f t="shared" si="605"/>
        <v>0</v>
      </c>
      <c r="CN270" s="33">
        <f>ROUND(IF(BS270=0,0,HLOOKUP(BS$14,Villagers!$B$1:$V$33,BS270+3,FALSE)),)</f>
        <v>5</v>
      </c>
      <c r="CO270" s="14">
        <f>ROUND(IF(BT270=0,0,HLOOKUP(BT$14,Villagers!$B$1:$V$33,BT270+3,FALSE)),)</f>
        <v>0</v>
      </c>
      <c r="CP270" s="14">
        <f>ROUND(IF(BU270=0,0,HLOOKUP(BU$14,Villagers!$B$1:$V$33,BU270+3,FALSE)),)</f>
        <v>0</v>
      </c>
      <c r="CQ270" s="14">
        <f>ROUND(IF(BV270=0,0,HLOOKUP(BV$14,Villagers!$B$1:$V$33,BV270+3,FALSE)),)</f>
        <v>0</v>
      </c>
      <c r="CR270" s="14">
        <f>ROUND(IF(BW270=0,0,HLOOKUP(BW$14,Villagers!$B$1:$V$33,BW270+3,FALSE)),)</f>
        <v>0</v>
      </c>
      <c r="CS270" s="14">
        <f>ROUND(IF(BX270=0,0,HLOOKUP(BX$14,Villagers!$B$1:$V$33,BX270+3,FALSE)),)</f>
        <v>0</v>
      </c>
      <c r="CT270" s="14">
        <f>ROUND(IF(BY270=0,0,HLOOKUP(BY$14,Villagers!$B$1:$V$33,BY270+3,FALSE)),)</f>
        <v>0</v>
      </c>
      <c r="CU270" s="14">
        <f>ROUND(IF(BZ270=0,0,HLOOKUP(BZ$14,Villagers!$B$1:$V$33,BZ270+3,FALSE)),)</f>
        <v>0</v>
      </c>
      <c r="CV270" s="14">
        <f>ROUND(IF(CA270=0,0,HLOOKUP(CA$14,Villagers!$B$1:$V$33,CA270+3,FALSE)),)</f>
        <v>0</v>
      </c>
      <c r="CW270" s="14">
        <f>ROUND(IF(CB270=0,0,HLOOKUP(CB$14,Villagers!$B$1:$V$33,CB270+3,FALSE)),)</f>
        <v>0</v>
      </c>
      <c r="CX270" s="14">
        <f>ROUND(IF(CC270=0,0,HLOOKUP(CC$14,Villagers!$B$1:$V$33,CC270+3,FALSE)),)</f>
        <v>0</v>
      </c>
      <c r="CY270" s="14">
        <f>ROUND(IF(CD270=0,0,HLOOKUP(CD$14,Villagers!$B$1:$V$33,CD270+3,FALSE)),)</f>
        <v>0</v>
      </c>
      <c r="CZ270" s="14">
        <f>ROUND(IF(CE270=0,0,HLOOKUP(CE$14,Villagers!$B$1:$V$33,CE270+3,FALSE)),)</f>
        <v>5</v>
      </c>
      <c r="DA270" s="14">
        <f>ROUND(IF(CF270=0,0,HLOOKUP(CF$14,Villagers!$B$1:$V$33,CF270+3,FALSE)),)</f>
        <v>10</v>
      </c>
      <c r="DB270" s="14">
        <f>ROUND(IF(CG270=0,0,HLOOKUP(CG$14,Villagers!$B$1:$V$33,CG270+3,FALSE)),)</f>
        <v>10</v>
      </c>
      <c r="DC270" s="14">
        <f>ROUND(IF(CH270=0,0,HLOOKUP(CH$14,Villagers!$B$1:$V$33,CH270+3,FALSE)),)</f>
        <v>0</v>
      </c>
      <c r="DD270" s="14">
        <f>ROUND(IF(CI270=0,0,HLOOKUP(CI$14,Villagers!$B$1:$V$33,CI270+3,FALSE)),)</f>
        <v>0</v>
      </c>
      <c r="DE270" s="14">
        <f>ROUND(IF(CJ270=0,0,HLOOKUP(CJ$14,Villagers!$B$1:$V$33,CJ270+3,FALSE)),)</f>
        <v>2</v>
      </c>
      <c r="DF270" s="370">
        <f>ROUND(IF(CK270=0,0,HLOOKUP(CK$14,Villagers!$B$1:$V$33,CK270+3,FALSE)),)</f>
        <v>0</v>
      </c>
      <c r="DG270" s="370">
        <f>ROUND(IF(CL270=0,0,HLOOKUP(CL$14,Villagers!$B$1:$V$33,CL270+3,FALSE)),)</f>
        <v>0</v>
      </c>
      <c r="DH270" s="34">
        <f>ROUND(IF(CM270=0,0,HLOOKUP(CM$14,Villagers!$B$1:$V$33,CM270+3,FALSE)),)</f>
        <v>0</v>
      </c>
      <c r="DI270" s="109">
        <f t="shared" si="526"/>
        <v>0</v>
      </c>
      <c r="DJ270" s="50">
        <f t="shared" si="527"/>
        <v>0</v>
      </c>
      <c r="DK270" s="50">
        <f t="shared" si="528"/>
        <v>0</v>
      </c>
      <c r="DL270" s="50">
        <f t="shared" si="529"/>
        <v>0</v>
      </c>
      <c r="DM270" s="50">
        <f t="shared" si="530"/>
        <v>0</v>
      </c>
      <c r="DN270" s="50">
        <f t="shared" si="531"/>
        <v>0</v>
      </c>
      <c r="DO270" s="50">
        <f t="shared" si="532"/>
        <v>0</v>
      </c>
      <c r="DP270" s="50">
        <f t="shared" si="533"/>
        <v>0</v>
      </c>
      <c r="DQ270" s="50">
        <f t="shared" si="510"/>
        <v>0</v>
      </c>
      <c r="DR270" s="50">
        <f t="shared" si="511"/>
        <v>0</v>
      </c>
      <c r="DS270" s="96">
        <f>Miscelaneous!$D$4*Miscelaneous!$D$2^($CI270-1)</f>
        <v>1000</v>
      </c>
      <c r="DT270" s="333">
        <f t="shared" si="490"/>
        <v>1</v>
      </c>
      <c r="DU270" s="81">
        <v>1</v>
      </c>
      <c r="DV270" s="79">
        <f t="shared" si="512"/>
        <v>0</v>
      </c>
      <c r="DW270" s="79">
        <f t="shared" si="513"/>
        <v>0</v>
      </c>
      <c r="DX270" s="79">
        <f t="shared" si="514"/>
        <v>0</v>
      </c>
      <c r="DY270" s="79">
        <v>1</v>
      </c>
      <c r="DZ270" s="79">
        <f t="shared" si="515"/>
        <v>0</v>
      </c>
      <c r="EA270" s="79">
        <f t="shared" si="516"/>
        <v>0</v>
      </c>
      <c r="EB270" s="79">
        <f t="shared" si="517"/>
        <v>0</v>
      </c>
      <c r="EC270" s="79">
        <f t="shared" si="518"/>
        <v>0</v>
      </c>
      <c r="ED270" s="79">
        <v>1</v>
      </c>
      <c r="EE270" s="79">
        <v>1</v>
      </c>
      <c r="EF270" s="79">
        <f t="shared" si="519"/>
        <v>0</v>
      </c>
      <c r="EG270" s="79">
        <v>1</v>
      </c>
      <c r="EH270" s="79">
        <v>1</v>
      </c>
      <c r="EI270" s="79">
        <v>1</v>
      </c>
      <c r="EJ270" s="79">
        <v>1</v>
      </c>
      <c r="EK270" s="79">
        <v>1</v>
      </c>
      <c r="EL270" s="79">
        <v>1</v>
      </c>
      <c r="EM270" s="143">
        <f t="shared" si="520"/>
        <v>0</v>
      </c>
      <c r="EN270" s="143">
        <f t="shared" si="521"/>
        <v>0</v>
      </c>
      <c r="EO270" s="82">
        <f t="shared" si="522"/>
        <v>0</v>
      </c>
    </row>
    <row r="271" spans="1:145" x14ac:dyDescent="0.25">
      <c r="A271">
        <v>257</v>
      </c>
      <c r="B271" s="172" t="e">
        <f t="shared" si="491"/>
        <v>#N/A</v>
      </c>
      <c r="C271" s="121" t="e">
        <f t="shared" ref="C271:E271" si="625">AJ271-SUM(AB271:AB275)</f>
        <v>#N/A</v>
      </c>
      <c r="D271" s="122" t="e">
        <f t="shared" si="625"/>
        <v>#N/A</v>
      </c>
      <c r="E271" s="122" t="e">
        <f t="shared" si="625"/>
        <v>#N/A</v>
      </c>
      <c r="F271" s="176" t="e">
        <f t="shared" ref="F271:F334" si="626">IF(AND(MAX(C271:E271)&gt;0,DS271-MAX(C271:E271)&lt;DS271),DS271-MAX(C271:E271),DS271)</f>
        <v>#N/A</v>
      </c>
      <c r="G271" s="121">
        <f t="shared" si="493"/>
        <v>208</v>
      </c>
      <c r="H271" s="176" t="e">
        <f t="shared" si="494"/>
        <v>#N/A</v>
      </c>
      <c r="I271" s="48">
        <v>1</v>
      </c>
      <c r="J271" s="39"/>
      <c r="K271" s="350">
        <v>1</v>
      </c>
      <c r="L271" s="34" t="e">
        <f t="shared" ref="L271:L334" si="627">HLOOKUP(J271,$BS$14:$CM$508,A272,FALSE)+K271</f>
        <v>#N/A</v>
      </c>
      <c r="M271" s="38" t="e">
        <f>(HLOOKUP(J271,'Construction Times'!$B$3:$W$34,L271+2,FALSE)*HLOOKUP("hq modifier",'Construction Times'!$W$3:$W$34,BS271+2,FALSE))*(1-$H$9)</f>
        <v>#N/A</v>
      </c>
      <c r="N271" s="426" t="e">
        <f t="shared" si="495"/>
        <v>#N/A</v>
      </c>
      <c r="O271" s="427"/>
      <c r="P271" s="430" t="e">
        <f t="shared" si="496"/>
        <v>#N/A</v>
      </c>
      <c r="Q271" s="431"/>
      <c r="R271" s="103">
        <f t="shared" si="524"/>
        <v>0</v>
      </c>
      <c r="S271" s="104">
        <f t="shared" si="524"/>
        <v>0</v>
      </c>
      <c r="T271" s="104">
        <f t="shared" si="525"/>
        <v>0</v>
      </c>
      <c r="U271" s="104">
        <f t="shared" si="525"/>
        <v>0</v>
      </c>
      <c r="V271" s="104">
        <f t="shared" si="525"/>
        <v>9.9999999999999995E-8</v>
      </c>
      <c r="W271" s="104">
        <f t="shared" si="525"/>
        <v>0</v>
      </c>
      <c r="X271" s="104">
        <f t="shared" si="584"/>
        <v>0</v>
      </c>
      <c r="Y271" s="104">
        <f t="shared" si="584"/>
        <v>9.9999999999999995E-8</v>
      </c>
      <c r="Z271" s="104">
        <f t="shared" si="584"/>
        <v>9.9999999999999995E-8</v>
      </c>
      <c r="AA271" s="105">
        <f t="shared" si="584"/>
        <v>9.9999999999999995E-8</v>
      </c>
      <c r="AB271" s="101" t="e">
        <f>$DT271*HLOOKUP($J271,'Construction Costs (timber)'!$B$1:$V$32,'Construction Planner'!$L271+2,FALSE)</f>
        <v>#N/A</v>
      </c>
      <c r="AC271" s="14" t="e">
        <f>$DT271*HLOOKUP($J271,'Construction Costs (clay)'!$B$1:$V$32,'Construction Planner'!$L271+2,FALSE)</f>
        <v>#N/A</v>
      </c>
      <c r="AD271" s="14" t="e">
        <f>$DT271*HLOOKUP($J271,'Construction Costs (iron)'!$B$1:$V$32,'Construction Planner'!$L271+2,FALSE)</f>
        <v>#N/A</v>
      </c>
      <c r="AE271" s="34" t="e">
        <f t="shared" si="537"/>
        <v>#N/A</v>
      </c>
      <c r="AF271" s="33" t="e">
        <f t="shared" ref="AF271:AF334" si="628">AB271*($AH$3/$M271)</f>
        <v>#N/A</v>
      </c>
      <c r="AG271" s="14" t="e">
        <f t="shared" ref="AG271:AG334" si="629">AC271*($AH$3/$M271)</f>
        <v>#N/A</v>
      </c>
      <c r="AH271" s="14" t="e">
        <f t="shared" ref="AH271:AH334" si="630">AD271*($AH$3/$M271)</f>
        <v>#N/A</v>
      </c>
      <c r="AI271" s="34" t="e">
        <f t="shared" si="538"/>
        <v>#N/A</v>
      </c>
      <c r="AJ271" s="49" t="e">
        <f t="shared" si="498"/>
        <v>#N/A</v>
      </c>
      <c r="AK271" s="49" t="e">
        <f t="shared" si="499"/>
        <v>#N/A</v>
      </c>
      <c r="AL271" s="49" t="e">
        <f t="shared" si="500"/>
        <v>#N/A</v>
      </c>
      <c r="AM271" s="25">
        <f t="shared" ref="AM271:AM334" si="631">IF(CE271 = 0,$E$3*5,$E$3*30*1.163118^(CE271-1))*(1+$B$10)</f>
        <v>30</v>
      </c>
      <c r="AN271" s="25">
        <f t="shared" ref="AN271:AN334" si="632">IF(CF271 = 0,$E$3*5,$E$3*30*1.163118^(CF271-1))*(1+$B$10)</f>
        <v>30</v>
      </c>
      <c r="AO271" s="25">
        <f t="shared" ref="AO271:AO334" si="633">IF(CG271 = 0,$E$3*5,$E$3*30*1.163118^(CG271-1))*(1+$B$10)</f>
        <v>30</v>
      </c>
      <c r="AP271" s="52" t="e">
        <f t="shared" si="501"/>
        <v>#N/A</v>
      </c>
      <c r="AQ271" s="53" t="e">
        <f t="shared" si="501"/>
        <v>#N/A</v>
      </c>
      <c r="AR271" s="54" t="e">
        <f t="shared" si="501"/>
        <v>#N/A</v>
      </c>
      <c r="AS271" s="316">
        <f t="shared" si="612"/>
        <v>0</v>
      </c>
      <c r="AT271" s="106">
        <f>_xlfn.IFNA($M271/VLOOKUP($BT271,'Unit information'!$A$2:$K$29,2,FALSE)*R271,0)*(1+$E$9)</f>
        <v>0</v>
      </c>
      <c r="AU271" s="107">
        <f>_xlfn.IFNA($M271/VLOOKUP($BT271,'Unit information'!$A$2:$K$29,3,FALSE)*S271,0)*(1+$E$9)</f>
        <v>0</v>
      </c>
      <c r="AV271" s="107">
        <f>_xlfn.IFNA($M271/VLOOKUP($BT271,'Unit information'!$A$2:$K$29,4,FALSE)*T271,0)*(1+$E$9)</f>
        <v>0</v>
      </c>
      <c r="AW271" s="107">
        <f>_xlfn.IFNA($M271/VLOOKUP($BT271,'Unit information'!$A$2:$K$29,5,FALSE)*U271,0)*(1+$E$9)</f>
        <v>0</v>
      </c>
      <c r="AX271" s="107">
        <f>_xlfn.IFNA($M271/VLOOKUP($BU271,'Unit information'!$A$2:$K$29,6,FALSE)*V271,0)*(1+$E$9)</f>
        <v>0</v>
      </c>
      <c r="AY271" s="107">
        <f>_xlfn.IFNA($M271/VLOOKUP($BU271,'Unit information'!$A$2:$K$29,7,FALSE)*W271,0)*(1+$E$9)</f>
        <v>0</v>
      </c>
      <c r="AZ271" s="107">
        <f>_xlfn.IFNA($M271/VLOOKUP($BU271,'Unit information'!$A$2:$K$29,8,FALSE)*X271,0)*(1+$E$9)</f>
        <v>0</v>
      </c>
      <c r="BA271" s="107">
        <f>_xlfn.IFNA($M271/VLOOKUP($BU271,'Unit information'!$A$2:$K$29,9,FALSE)*Y271,0)*(1+$E$9)</f>
        <v>0</v>
      </c>
      <c r="BB271" s="107">
        <f>_xlfn.IFNA($M271/VLOOKUP($BV271,'Unit information'!$A$2:$K$29,10,FALSE)*Z271,0)*(1+$E$9)</f>
        <v>0</v>
      </c>
      <c r="BC271" s="108">
        <f>_xlfn.IFNA($M271/VLOOKUP($BV271,'Unit information'!$A$2:$K$29,11,FALSE)*AA271,0)*(1+$E$9)</f>
        <v>0</v>
      </c>
      <c r="BD271" s="106">
        <f t="shared" ref="BD271:BD334" si="634">$AT271*50+$AU271*30+$AV271*60+$AX271*50+$AY271*125+$BA271*200+$BB271*300+$BC271*320</f>
        <v>0</v>
      </c>
      <c r="BE271" s="107">
        <f t="shared" ref="BE271:BE334" si="635">$AT271*30+$AU271*30+$AV271*30+$AX271*50+$AY271*100+$BA271*150+$BB271*200+$BC271*400</f>
        <v>0</v>
      </c>
      <c r="BF271" s="108">
        <f t="shared" ref="BF271:BF334" si="636">$AT271*10+$AU271*70+$AV271*40+$AX271*20+$AY271*250+$BA271*600+$BB271*200+$BC271*100</f>
        <v>0</v>
      </c>
      <c r="BG271" s="25" t="e">
        <f t="shared" ref="BG271:BG334" si="637">AM271+AP271</f>
        <v>#N/A</v>
      </c>
      <c r="BH271" s="25" t="e">
        <f t="shared" ref="BH271:BH334" si="638">AN271+AQ271</f>
        <v>#N/A</v>
      </c>
      <c r="BI271" s="25" t="e">
        <f t="shared" ref="BI271:BI334" si="639">AO271+AR271</f>
        <v>#N/A</v>
      </c>
      <c r="BJ271" s="27" t="e">
        <f t="shared" ref="BJ271:BJ334" si="640">IF(AJ271&gt;AB271,0,(AB271-AJ271)/BG271*$AK$3)</f>
        <v>#N/A</v>
      </c>
      <c r="BK271" s="18" t="e">
        <f t="shared" ref="BK271:BK334" si="641">IF(AK271&gt;AC271,0,(AC271-AK271)/BH271*$AK$3)</f>
        <v>#N/A</v>
      </c>
      <c r="BL271" s="18" t="e">
        <f t="shared" ref="BL271:BL334" si="642">IF(AL271&gt;AD271,0,(AD271-AL271)/BI271*$AK$3)</f>
        <v>#N/A</v>
      </c>
      <c r="BM271" s="28" t="e">
        <f t="shared" si="540"/>
        <v>#N/A</v>
      </c>
      <c r="BN271" s="33">
        <f>HLOOKUP("maximum population",Miscelaneous!$C$1:$C$33,CH271+3,FALSE)</f>
        <v>240</v>
      </c>
      <c r="BO271" s="14">
        <f t="shared" si="502"/>
        <v>32</v>
      </c>
      <c r="BP271" s="14">
        <f t="shared" si="503"/>
        <v>0</v>
      </c>
      <c r="BQ271" s="14">
        <f t="shared" si="504"/>
        <v>208</v>
      </c>
      <c r="BR271" s="34" t="e">
        <f>HLOOKUP(J271,Villagers!$B$1:$V$33,L271+3,FALSE)-HLOOKUP(J271,Villagers!$B$1:$V$33,L271+2,FALSE)</f>
        <v>#N/A</v>
      </c>
      <c r="BS271" s="49">
        <f t="shared" si="505"/>
        <v>1</v>
      </c>
      <c r="BT271" s="50">
        <f t="shared" si="506"/>
        <v>0</v>
      </c>
      <c r="BU271" s="50">
        <f t="shared" si="507"/>
        <v>0</v>
      </c>
      <c r="BV271" s="50">
        <f t="shared" si="508"/>
        <v>0</v>
      </c>
      <c r="BW271" s="50">
        <f t="shared" si="618"/>
        <v>0</v>
      </c>
      <c r="BX271" s="50">
        <f t="shared" si="616"/>
        <v>0</v>
      </c>
      <c r="BY271" s="50">
        <f t="shared" si="616"/>
        <v>0</v>
      </c>
      <c r="BZ271" s="50">
        <f t="shared" si="554"/>
        <v>0</v>
      </c>
      <c r="CA271" s="50">
        <f t="shared" si="555"/>
        <v>0</v>
      </c>
      <c r="CB271" s="50">
        <f t="shared" si="556"/>
        <v>1</v>
      </c>
      <c r="CC271" s="50">
        <f t="shared" si="557"/>
        <v>0</v>
      </c>
      <c r="CD271" s="50">
        <f t="shared" si="558"/>
        <v>0</v>
      </c>
      <c r="CE271" s="50">
        <f t="shared" si="559"/>
        <v>1</v>
      </c>
      <c r="CF271" s="50">
        <f t="shared" si="560"/>
        <v>1</v>
      </c>
      <c r="CG271" s="50">
        <f t="shared" si="561"/>
        <v>1</v>
      </c>
      <c r="CH271" s="50">
        <f t="shared" si="562"/>
        <v>1</v>
      </c>
      <c r="CI271" s="50">
        <f t="shared" si="563"/>
        <v>1</v>
      </c>
      <c r="CJ271" s="50">
        <f t="shared" si="564"/>
        <v>1</v>
      </c>
      <c r="CK271" s="50">
        <f t="shared" si="564"/>
        <v>0</v>
      </c>
      <c r="CL271" s="50">
        <f t="shared" si="564"/>
        <v>0</v>
      </c>
      <c r="CM271" s="51">
        <f t="shared" si="605"/>
        <v>0</v>
      </c>
      <c r="CN271" s="33">
        <f>ROUND(IF(BS271=0,0,HLOOKUP(BS$14,Villagers!$B$1:$V$33,BS271+3,FALSE)),)</f>
        <v>5</v>
      </c>
      <c r="CO271" s="14">
        <f>ROUND(IF(BT271=0,0,HLOOKUP(BT$14,Villagers!$B$1:$V$33,BT271+3,FALSE)),)</f>
        <v>0</v>
      </c>
      <c r="CP271" s="14">
        <f>ROUND(IF(BU271=0,0,HLOOKUP(BU$14,Villagers!$B$1:$V$33,BU271+3,FALSE)),)</f>
        <v>0</v>
      </c>
      <c r="CQ271" s="14">
        <f>ROUND(IF(BV271=0,0,HLOOKUP(BV$14,Villagers!$B$1:$V$33,BV271+3,FALSE)),)</f>
        <v>0</v>
      </c>
      <c r="CR271" s="14">
        <f>ROUND(IF(BW271=0,0,HLOOKUP(BW$14,Villagers!$B$1:$V$33,BW271+3,FALSE)),)</f>
        <v>0</v>
      </c>
      <c r="CS271" s="14">
        <f>ROUND(IF(BX271=0,0,HLOOKUP(BX$14,Villagers!$B$1:$V$33,BX271+3,FALSE)),)</f>
        <v>0</v>
      </c>
      <c r="CT271" s="14">
        <f>ROUND(IF(BY271=0,0,HLOOKUP(BY$14,Villagers!$B$1:$V$33,BY271+3,FALSE)),)</f>
        <v>0</v>
      </c>
      <c r="CU271" s="14">
        <f>ROUND(IF(BZ271=0,0,HLOOKUP(BZ$14,Villagers!$B$1:$V$33,BZ271+3,FALSE)),)</f>
        <v>0</v>
      </c>
      <c r="CV271" s="14">
        <f>ROUND(IF(CA271=0,0,HLOOKUP(CA$14,Villagers!$B$1:$V$33,CA271+3,FALSE)),)</f>
        <v>0</v>
      </c>
      <c r="CW271" s="14">
        <f>ROUND(IF(CB271=0,0,HLOOKUP(CB$14,Villagers!$B$1:$V$33,CB271+3,FALSE)),)</f>
        <v>0</v>
      </c>
      <c r="CX271" s="14">
        <f>ROUND(IF(CC271=0,0,HLOOKUP(CC$14,Villagers!$B$1:$V$33,CC271+3,FALSE)),)</f>
        <v>0</v>
      </c>
      <c r="CY271" s="14">
        <f>ROUND(IF(CD271=0,0,HLOOKUP(CD$14,Villagers!$B$1:$V$33,CD271+3,FALSE)),)</f>
        <v>0</v>
      </c>
      <c r="CZ271" s="14">
        <f>ROUND(IF(CE271=0,0,HLOOKUP(CE$14,Villagers!$B$1:$V$33,CE271+3,FALSE)),)</f>
        <v>5</v>
      </c>
      <c r="DA271" s="14">
        <f>ROUND(IF(CF271=0,0,HLOOKUP(CF$14,Villagers!$B$1:$V$33,CF271+3,FALSE)),)</f>
        <v>10</v>
      </c>
      <c r="DB271" s="14">
        <f>ROUND(IF(CG271=0,0,HLOOKUP(CG$14,Villagers!$B$1:$V$33,CG271+3,FALSE)),)</f>
        <v>10</v>
      </c>
      <c r="DC271" s="14">
        <f>ROUND(IF(CH271=0,0,HLOOKUP(CH$14,Villagers!$B$1:$V$33,CH271+3,FALSE)),)</f>
        <v>0</v>
      </c>
      <c r="DD271" s="14">
        <f>ROUND(IF(CI271=0,0,HLOOKUP(CI$14,Villagers!$B$1:$V$33,CI271+3,FALSE)),)</f>
        <v>0</v>
      </c>
      <c r="DE271" s="14">
        <f>ROUND(IF(CJ271=0,0,HLOOKUP(CJ$14,Villagers!$B$1:$V$33,CJ271+3,FALSE)),)</f>
        <v>2</v>
      </c>
      <c r="DF271" s="370">
        <f>ROUND(IF(CK271=0,0,HLOOKUP(CK$14,Villagers!$B$1:$V$33,CK271+3,FALSE)),)</f>
        <v>0</v>
      </c>
      <c r="DG271" s="370">
        <f>ROUND(IF(CL271=0,0,HLOOKUP(CL$14,Villagers!$B$1:$V$33,CL271+3,FALSE)),)</f>
        <v>0</v>
      </c>
      <c r="DH271" s="34">
        <f>ROUND(IF(CM271=0,0,HLOOKUP(CM$14,Villagers!$B$1:$V$33,CM271+3,FALSE)),)</f>
        <v>0</v>
      </c>
      <c r="DI271" s="109">
        <f t="shared" si="526"/>
        <v>0</v>
      </c>
      <c r="DJ271" s="50">
        <f t="shared" si="527"/>
        <v>0</v>
      </c>
      <c r="DK271" s="50">
        <f t="shared" si="528"/>
        <v>0</v>
      </c>
      <c r="DL271" s="50">
        <f t="shared" si="529"/>
        <v>0</v>
      </c>
      <c r="DM271" s="50">
        <f t="shared" si="530"/>
        <v>0</v>
      </c>
      <c r="DN271" s="50">
        <f t="shared" si="531"/>
        <v>0</v>
      </c>
      <c r="DO271" s="50">
        <f t="shared" si="532"/>
        <v>0</v>
      </c>
      <c r="DP271" s="50">
        <f t="shared" si="533"/>
        <v>0</v>
      </c>
      <c r="DQ271" s="50">
        <f t="shared" si="510"/>
        <v>0</v>
      </c>
      <c r="DR271" s="50">
        <f t="shared" si="511"/>
        <v>0</v>
      </c>
      <c r="DS271" s="96">
        <f>Miscelaneous!$D$4*Miscelaneous!$D$2^($CI271-1)</f>
        <v>1000</v>
      </c>
      <c r="DT271" s="333">
        <f t="shared" ref="DT271:DT334" si="643">IF(I271&lt;3,1,1.125^(I271-3))</f>
        <v>1</v>
      </c>
      <c r="DU271" s="81">
        <v>1</v>
      </c>
      <c r="DV271" s="79">
        <f t="shared" si="512"/>
        <v>0</v>
      </c>
      <c r="DW271" s="79">
        <f t="shared" si="513"/>
        <v>0</v>
      </c>
      <c r="DX271" s="79">
        <f t="shared" si="514"/>
        <v>0</v>
      </c>
      <c r="DY271" s="79">
        <v>1</v>
      </c>
      <c r="DZ271" s="79">
        <f t="shared" si="515"/>
        <v>0</v>
      </c>
      <c r="EA271" s="79">
        <f t="shared" si="516"/>
        <v>0</v>
      </c>
      <c r="EB271" s="79">
        <f t="shared" si="517"/>
        <v>0</v>
      </c>
      <c r="EC271" s="79">
        <f t="shared" si="518"/>
        <v>0</v>
      </c>
      <c r="ED271" s="79">
        <v>1</v>
      </c>
      <c r="EE271" s="79">
        <v>1</v>
      </c>
      <c r="EF271" s="79">
        <f t="shared" si="519"/>
        <v>0</v>
      </c>
      <c r="EG271" s="79">
        <v>1</v>
      </c>
      <c r="EH271" s="79">
        <v>1</v>
      </c>
      <c r="EI271" s="79">
        <v>1</v>
      </c>
      <c r="EJ271" s="79">
        <v>1</v>
      </c>
      <c r="EK271" s="79">
        <v>1</v>
      </c>
      <c r="EL271" s="79">
        <v>1</v>
      </c>
      <c r="EM271" s="143">
        <f t="shared" si="520"/>
        <v>0</v>
      </c>
      <c r="EN271" s="143">
        <f t="shared" si="521"/>
        <v>0</v>
      </c>
      <c r="EO271" s="82">
        <f t="shared" si="522"/>
        <v>0</v>
      </c>
    </row>
    <row r="272" spans="1:145" x14ac:dyDescent="0.25">
      <c r="A272">
        <v>258</v>
      </c>
      <c r="B272" s="172" t="e">
        <f t="shared" ref="B272:B335" si="644">BM272</f>
        <v>#N/A</v>
      </c>
      <c r="C272" s="121" t="e">
        <f t="shared" ref="C272:E272" si="645">AJ272-SUM(AB272:AB276)</f>
        <v>#N/A</v>
      </c>
      <c r="D272" s="122" t="e">
        <f t="shared" si="645"/>
        <v>#N/A</v>
      </c>
      <c r="E272" s="122" t="e">
        <f t="shared" si="645"/>
        <v>#N/A</v>
      </c>
      <c r="F272" s="176" t="e">
        <f t="shared" si="626"/>
        <v>#N/A</v>
      </c>
      <c r="G272" s="121">
        <f t="shared" ref="G272:G335" si="646">BQ272</f>
        <v>208</v>
      </c>
      <c r="H272" s="176" t="e">
        <f t="shared" ref="H272:H335" si="647">BQ272-SUM(BR272:BR276)</f>
        <v>#N/A</v>
      </c>
      <c r="I272" s="48">
        <v>1</v>
      </c>
      <c r="J272" s="39"/>
      <c r="K272" s="350">
        <v>1</v>
      </c>
      <c r="L272" s="34" t="e">
        <f t="shared" si="627"/>
        <v>#N/A</v>
      </c>
      <c r="M272" s="38" t="e">
        <f>(HLOOKUP(J272,'Construction Times'!$B$3:$W$34,L272+2,FALSE)*HLOOKUP("hq modifier",'Construction Times'!$W$3:$W$34,BS272+2,FALSE))*(1-$H$9)</f>
        <v>#N/A</v>
      </c>
      <c r="N272" s="426" t="e">
        <f t="shared" ref="N272:N335" si="648">P271+M271</f>
        <v>#N/A</v>
      </c>
      <c r="O272" s="427"/>
      <c r="P272" s="430" t="e">
        <f t="shared" ref="P272:P335" si="649">IF(MAX(AB272:AD272)&gt;DS272,"Speicher zu klein",IF(HLOOKUP(J272,$DU$14:$EO$509,A272+2,FALSE)=0,"Gebäude Vor. nicht erfüllt",N272+BM272))</f>
        <v>#N/A</v>
      </c>
      <c r="Q272" s="431"/>
      <c r="R272" s="103">
        <f t="shared" si="524"/>
        <v>0</v>
      </c>
      <c r="S272" s="104">
        <f t="shared" si="524"/>
        <v>0</v>
      </c>
      <c r="T272" s="104">
        <f t="shared" si="525"/>
        <v>0</v>
      </c>
      <c r="U272" s="104">
        <f t="shared" si="525"/>
        <v>0</v>
      </c>
      <c r="V272" s="104">
        <f t="shared" si="525"/>
        <v>9.9999999999999995E-8</v>
      </c>
      <c r="W272" s="104">
        <f t="shared" ref="W272" si="650">W271</f>
        <v>0</v>
      </c>
      <c r="X272" s="104">
        <f t="shared" si="584"/>
        <v>0</v>
      </c>
      <c r="Y272" s="104">
        <f t="shared" si="584"/>
        <v>9.9999999999999995E-8</v>
      </c>
      <c r="Z272" s="104">
        <f t="shared" si="584"/>
        <v>9.9999999999999995E-8</v>
      </c>
      <c r="AA272" s="105">
        <f t="shared" si="584"/>
        <v>9.9999999999999995E-8</v>
      </c>
      <c r="AB272" s="101" t="e">
        <f>$DT272*HLOOKUP($J272,'Construction Costs (timber)'!$B$1:$V$32,'Construction Planner'!$L272+2,FALSE)</f>
        <v>#N/A</v>
      </c>
      <c r="AC272" s="14" t="e">
        <f>$DT272*HLOOKUP($J272,'Construction Costs (clay)'!$B$1:$V$32,'Construction Planner'!$L272+2,FALSE)</f>
        <v>#N/A</v>
      </c>
      <c r="AD272" s="14" t="e">
        <f>$DT272*HLOOKUP($J272,'Construction Costs (iron)'!$B$1:$V$32,'Construction Planner'!$L272+2,FALSE)</f>
        <v>#N/A</v>
      </c>
      <c r="AE272" s="34" t="e">
        <f t="shared" si="537"/>
        <v>#N/A</v>
      </c>
      <c r="AF272" s="33" t="e">
        <f t="shared" si="628"/>
        <v>#N/A</v>
      </c>
      <c r="AG272" s="14" t="e">
        <f t="shared" si="629"/>
        <v>#N/A</v>
      </c>
      <c r="AH272" s="14" t="e">
        <f t="shared" si="630"/>
        <v>#N/A</v>
      </c>
      <c r="AI272" s="34" t="e">
        <f t="shared" si="538"/>
        <v>#N/A</v>
      </c>
      <c r="AJ272" s="49" t="e">
        <f t="shared" ref="AJ272:AJ335" si="651">(($N272-$N271)/$AK$3)*BG271+AJ271-AB271-BD271</f>
        <v>#N/A</v>
      </c>
      <c r="AK272" s="49" t="e">
        <f t="shared" ref="AK272:AK335" si="652">(($N272-$N271)/$AK$3)*BH271+AK271-AC271-BE271</f>
        <v>#N/A</v>
      </c>
      <c r="AL272" s="49" t="e">
        <f t="shared" ref="AL272:AL335" si="653">(($N272-$N271)/$AK$3)*BI271+AL271-AD271-BF271</f>
        <v>#N/A</v>
      </c>
      <c r="AM272" s="25">
        <f t="shared" si="631"/>
        <v>30</v>
      </c>
      <c r="AN272" s="25">
        <f t="shared" si="632"/>
        <v>30</v>
      </c>
      <c r="AO272" s="25">
        <f t="shared" si="633"/>
        <v>30</v>
      </c>
      <c r="AP272" s="52" t="e">
        <f t="shared" ref="AP272:AR335" si="654">($N272-$AK$6+$AK$9+1)*$AK$5/24/3*$AS272</f>
        <v>#N/A</v>
      </c>
      <c r="AQ272" s="53" t="e">
        <f t="shared" si="654"/>
        <v>#N/A</v>
      </c>
      <c r="AR272" s="54" t="e">
        <f t="shared" si="654"/>
        <v>#N/A</v>
      </c>
      <c r="AS272" s="316">
        <f t="shared" si="612"/>
        <v>0</v>
      </c>
      <c r="AT272" s="106">
        <f>_xlfn.IFNA($M272/VLOOKUP($BT272,'Unit information'!$A$2:$K$29,2,FALSE)*R272,0)*(1+$E$9)</f>
        <v>0</v>
      </c>
      <c r="AU272" s="107">
        <f>_xlfn.IFNA($M272/VLOOKUP($BT272,'Unit information'!$A$2:$K$29,3,FALSE)*S272,0)*(1+$E$9)</f>
        <v>0</v>
      </c>
      <c r="AV272" s="107">
        <f>_xlfn.IFNA($M272/VLOOKUP($BT272,'Unit information'!$A$2:$K$29,4,FALSE)*T272,0)*(1+$E$9)</f>
        <v>0</v>
      </c>
      <c r="AW272" s="107">
        <f>_xlfn.IFNA($M272/VLOOKUP($BT272,'Unit information'!$A$2:$K$29,5,FALSE)*U272,0)*(1+$E$9)</f>
        <v>0</v>
      </c>
      <c r="AX272" s="107">
        <f>_xlfn.IFNA($M272/VLOOKUP($BU272,'Unit information'!$A$2:$K$29,6,FALSE)*V272,0)*(1+$E$9)</f>
        <v>0</v>
      </c>
      <c r="AY272" s="107">
        <f>_xlfn.IFNA($M272/VLOOKUP($BU272,'Unit information'!$A$2:$K$29,7,FALSE)*W272,0)*(1+$E$9)</f>
        <v>0</v>
      </c>
      <c r="AZ272" s="107">
        <f>_xlfn.IFNA($M272/VLOOKUP($BU272,'Unit information'!$A$2:$K$29,8,FALSE)*X272,0)*(1+$E$9)</f>
        <v>0</v>
      </c>
      <c r="BA272" s="107">
        <f>_xlfn.IFNA($M272/VLOOKUP($BU272,'Unit information'!$A$2:$K$29,9,FALSE)*Y272,0)*(1+$E$9)</f>
        <v>0</v>
      </c>
      <c r="BB272" s="107">
        <f>_xlfn.IFNA($M272/VLOOKUP($BV272,'Unit information'!$A$2:$K$29,10,FALSE)*Z272,0)*(1+$E$9)</f>
        <v>0</v>
      </c>
      <c r="BC272" s="108">
        <f>_xlfn.IFNA($M272/VLOOKUP($BV272,'Unit information'!$A$2:$K$29,11,FALSE)*AA272,0)*(1+$E$9)</f>
        <v>0</v>
      </c>
      <c r="BD272" s="106">
        <f t="shared" si="634"/>
        <v>0</v>
      </c>
      <c r="BE272" s="107">
        <f t="shared" si="635"/>
        <v>0</v>
      </c>
      <c r="BF272" s="108">
        <f t="shared" si="636"/>
        <v>0</v>
      </c>
      <c r="BG272" s="25" t="e">
        <f t="shared" si="637"/>
        <v>#N/A</v>
      </c>
      <c r="BH272" s="25" t="e">
        <f t="shared" si="638"/>
        <v>#N/A</v>
      </c>
      <c r="BI272" s="25" t="e">
        <f t="shared" si="639"/>
        <v>#N/A</v>
      </c>
      <c r="BJ272" s="27" t="e">
        <f t="shared" si="640"/>
        <v>#N/A</v>
      </c>
      <c r="BK272" s="18" t="e">
        <f t="shared" si="641"/>
        <v>#N/A</v>
      </c>
      <c r="BL272" s="18" t="e">
        <f t="shared" si="642"/>
        <v>#N/A</v>
      </c>
      <c r="BM272" s="28" t="e">
        <f t="shared" si="540"/>
        <v>#N/A</v>
      </c>
      <c r="BN272" s="33">
        <f>HLOOKUP("maximum population",Miscelaneous!$C$1:$C$33,CH272+3,FALSE)</f>
        <v>240</v>
      </c>
      <c r="BO272" s="14">
        <f t="shared" ref="BO272:BO335" si="655">SUM(CN273:DH273)</f>
        <v>32</v>
      </c>
      <c r="BP272" s="14">
        <f t="shared" ref="BP272:BP335" si="656">SUM(DI272:DL272)+DM272*2+DN272*4+DO272*5+DP272*6+DQ272*5+DR272*8</f>
        <v>0</v>
      </c>
      <c r="BQ272" s="14">
        <f t="shared" ref="BQ272:BQ335" si="657">BN272-BO272-BP272</f>
        <v>208</v>
      </c>
      <c r="BR272" s="34" t="e">
        <f>HLOOKUP(J272,Villagers!$B$1:$V$33,L272+3,FALSE)-HLOOKUP(J272,Villagers!$B$1:$V$33,L272+2,FALSE)</f>
        <v>#N/A</v>
      </c>
      <c r="BS272" s="49">
        <f t="shared" ref="BS272:BS335" si="658">IF($J271=BS$14,$L271,BS271)</f>
        <v>1</v>
      </c>
      <c r="BT272" s="50">
        <f t="shared" ref="BT272:BT335" si="659">IF($J271=BT$14,$L271,BT271)</f>
        <v>0</v>
      </c>
      <c r="BU272" s="50">
        <f t="shared" ref="BU272:BU335" si="660">IF($J271=BU$14,$L271,BU271)</f>
        <v>0</v>
      </c>
      <c r="BV272" s="50">
        <f t="shared" ref="BV272:BV335" si="661">IF($J271=BV$14,$L271,BV271)</f>
        <v>0</v>
      </c>
      <c r="BW272" s="50">
        <f t="shared" ref="BW272:BY278" si="662">IF($J271=BW$14,$L271,BW271)</f>
        <v>0</v>
      </c>
      <c r="BX272" s="50">
        <f t="shared" si="662"/>
        <v>0</v>
      </c>
      <c r="BY272" s="50">
        <f t="shared" si="662"/>
        <v>0</v>
      </c>
      <c r="BZ272" s="50">
        <f t="shared" si="554"/>
        <v>0</v>
      </c>
      <c r="CA272" s="50">
        <f t="shared" si="555"/>
        <v>0</v>
      </c>
      <c r="CB272" s="50">
        <f t="shared" si="556"/>
        <v>1</v>
      </c>
      <c r="CC272" s="50">
        <f t="shared" si="557"/>
        <v>0</v>
      </c>
      <c r="CD272" s="50">
        <f t="shared" si="558"/>
        <v>0</v>
      </c>
      <c r="CE272" s="50">
        <f t="shared" si="559"/>
        <v>1</v>
      </c>
      <c r="CF272" s="50">
        <f t="shared" si="560"/>
        <v>1</v>
      </c>
      <c r="CG272" s="50">
        <f t="shared" si="561"/>
        <v>1</v>
      </c>
      <c r="CH272" s="50">
        <f t="shared" si="562"/>
        <v>1</v>
      </c>
      <c r="CI272" s="50">
        <f t="shared" si="563"/>
        <v>1</v>
      </c>
      <c r="CJ272" s="50">
        <f t="shared" si="564"/>
        <v>1</v>
      </c>
      <c r="CK272" s="50">
        <f t="shared" si="564"/>
        <v>0</v>
      </c>
      <c r="CL272" s="50">
        <f t="shared" si="564"/>
        <v>0</v>
      </c>
      <c r="CM272" s="51">
        <f t="shared" si="605"/>
        <v>0</v>
      </c>
      <c r="CN272" s="33">
        <f>ROUND(IF(BS272=0,0,HLOOKUP(BS$14,Villagers!$B$1:$V$33,BS272+3,FALSE)),)</f>
        <v>5</v>
      </c>
      <c r="CO272" s="14">
        <f>ROUND(IF(BT272=0,0,HLOOKUP(BT$14,Villagers!$B$1:$V$33,BT272+3,FALSE)),)</f>
        <v>0</v>
      </c>
      <c r="CP272" s="14">
        <f>ROUND(IF(BU272=0,0,HLOOKUP(BU$14,Villagers!$B$1:$V$33,BU272+3,FALSE)),)</f>
        <v>0</v>
      </c>
      <c r="CQ272" s="14">
        <f>ROUND(IF(BV272=0,0,HLOOKUP(BV$14,Villagers!$B$1:$V$33,BV272+3,FALSE)),)</f>
        <v>0</v>
      </c>
      <c r="CR272" s="14">
        <f>ROUND(IF(BW272=0,0,HLOOKUP(BW$14,Villagers!$B$1:$V$33,BW272+3,FALSE)),)</f>
        <v>0</v>
      </c>
      <c r="CS272" s="14">
        <f>ROUND(IF(BX272=0,0,HLOOKUP(BX$14,Villagers!$B$1:$V$33,BX272+3,FALSE)),)</f>
        <v>0</v>
      </c>
      <c r="CT272" s="14">
        <f>ROUND(IF(BY272=0,0,HLOOKUP(BY$14,Villagers!$B$1:$V$33,BY272+3,FALSE)),)</f>
        <v>0</v>
      </c>
      <c r="CU272" s="14">
        <f>ROUND(IF(BZ272=0,0,HLOOKUP(BZ$14,Villagers!$B$1:$V$33,BZ272+3,FALSE)),)</f>
        <v>0</v>
      </c>
      <c r="CV272" s="14">
        <f>ROUND(IF(CA272=0,0,HLOOKUP(CA$14,Villagers!$B$1:$V$33,CA272+3,FALSE)),)</f>
        <v>0</v>
      </c>
      <c r="CW272" s="14">
        <f>ROUND(IF(CB272=0,0,HLOOKUP(CB$14,Villagers!$B$1:$V$33,CB272+3,FALSE)),)</f>
        <v>0</v>
      </c>
      <c r="CX272" s="14">
        <f>ROUND(IF(CC272=0,0,HLOOKUP(CC$14,Villagers!$B$1:$V$33,CC272+3,FALSE)),)</f>
        <v>0</v>
      </c>
      <c r="CY272" s="14">
        <f>ROUND(IF(CD272=0,0,HLOOKUP(CD$14,Villagers!$B$1:$V$33,CD272+3,FALSE)),)</f>
        <v>0</v>
      </c>
      <c r="CZ272" s="14">
        <f>ROUND(IF(CE272=0,0,HLOOKUP(CE$14,Villagers!$B$1:$V$33,CE272+3,FALSE)),)</f>
        <v>5</v>
      </c>
      <c r="DA272" s="14">
        <f>ROUND(IF(CF272=0,0,HLOOKUP(CF$14,Villagers!$B$1:$V$33,CF272+3,FALSE)),)</f>
        <v>10</v>
      </c>
      <c r="DB272" s="14">
        <f>ROUND(IF(CG272=0,0,HLOOKUP(CG$14,Villagers!$B$1:$V$33,CG272+3,FALSE)),)</f>
        <v>10</v>
      </c>
      <c r="DC272" s="14">
        <f>ROUND(IF(CH272=0,0,HLOOKUP(CH$14,Villagers!$B$1:$V$33,CH272+3,FALSE)),)</f>
        <v>0</v>
      </c>
      <c r="DD272" s="14">
        <f>ROUND(IF(CI272=0,0,HLOOKUP(CI$14,Villagers!$B$1:$V$33,CI272+3,FALSE)),)</f>
        <v>0</v>
      </c>
      <c r="DE272" s="14">
        <f>ROUND(IF(CJ272=0,0,HLOOKUP(CJ$14,Villagers!$B$1:$V$33,CJ272+3,FALSE)),)</f>
        <v>2</v>
      </c>
      <c r="DF272" s="370">
        <f>ROUND(IF(CK272=0,0,HLOOKUP(CK$14,Villagers!$B$1:$V$33,CK272+3,FALSE)),)</f>
        <v>0</v>
      </c>
      <c r="DG272" s="370">
        <f>ROUND(IF(CL272=0,0,HLOOKUP(CL$14,Villagers!$B$1:$V$33,CL272+3,FALSE)),)</f>
        <v>0</v>
      </c>
      <c r="DH272" s="34">
        <f>ROUND(IF(CM272=0,0,HLOOKUP(CM$14,Villagers!$B$1:$V$33,CM272+3,FALSE)),)</f>
        <v>0</v>
      </c>
      <c r="DI272" s="109">
        <f t="shared" si="526"/>
        <v>0</v>
      </c>
      <c r="DJ272" s="50">
        <f t="shared" si="527"/>
        <v>0</v>
      </c>
      <c r="DK272" s="50">
        <f t="shared" si="528"/>
        <v>0</v>
      </c>
      <c r="DL272" s="50">
        <f t="shared" si="529"/>
        <v>0</v>
      </c>
      <c r="DM272" s="50">
        <f t="shared" si="530"/>
        <v>0</v>
      </c>
      <c r="DN272" s="50">
        <f t="shared" si="531"/>
        <v>0</v>
      </c>
      <c r="DO272" s="50">
        <f t="shared" si="532"/>
        <v>0</v>
      </c>
      <c r="DP272" s="50">
        <f t="shared" si="533"/>
        <v>0</v>
      </c>
      <c r="DQ272" s="50">
        <f t="shared" ref="DQ272:DQ335" si="663">ROUND(_xlfn.IFNA(DQ271+BB272,DQ271),0)</f>
        <v>0</v>
      </c>
      <c r="DR272" s="50">
        <f t="shared" ref="DR272:DR335" si="664">ROUND(_xlfn.IFNA(DR271+BC272,DR271),0)</f>
        <v>0</v>
      </c>
      <c r="DS272" s="96">
        <f>Miscelaneous!$D$4*Miscelaneous!$D$2^($CI272-1)</f>
        <v>1000</v>
      </c>
      <c r="DT272" s="333">
        <f t="shared" si="643"/>
        <v>1</v>
      </c>
      <c r="DU272" s="81">
        <v>1</v>
      </c>
      <c r="DV272" s="79">
        <f t="shared" ref="DV272:DV335" si="665">IF(BS272&gt;2,1,0)</f>
        <v>0</v>
      </c>
      <c r="DW272" s="79">
        <f t="shared" ref="DW272:DW335" si="666">IF(AND(BS272&gt;9,CA272&gt;4,BT272&gt;4)=TRUE,1,0)</f>
        <v>0</v>
      </c>
      <c r="DX272" s="79">
        <f t="shared" ref="DX272:DX335" si="667">IF(AND(BS272&gt;9,CA272&gt;9)=TRUE,1,0)</f>
        <v>0</v>
      </c>
      <c r="DY272" s="79">
        <v>1</v>
      </c>
      <c r="DZ272" s="79">
        <f t="shared" ref="DZ272:DZ335" si="668">IF(AND(BS272&gt;4,CH272&gt;4),1,0)</f>
        <v>0</v>
      </c>
      <c r="EA272" s="79">
        <f t="shared" ref="EA272:EA335" si="669">IF(AND(BS272&gt;4,CH272&gt;4),1,0)</f>
        <v>0</v>
      </c>
      <c r="EB272" s="79">
        <f t="shared" ref="EB272:EB335" si="670">IF(AND(BS272&gt;19,CA272&gt;19,CD272&gt;9)=TRUE,1,0)</f>
        <v>0</v>
      </c>
      <c r="EC272" s="79">
        <f t="shared" ref="EC272:EC335" si="671">IF(AND(BS272&gt;4,BT272&gt;0)=TRUE,1,0)</f>
        <v>0</v>
      </c>
      <c r="ED272" s="79">
        <v>1</v>
      </c>
      <c r="EE272" s="79">
        <v>1</v>
      </c>
      <c r="EF272" s="79">
        <f t="shared" ref="EF272:EF335" si="672">IF(AND(BS272&gt;2,CI272&gt;1),1,0)</f>
        <v>0</v>
      </c>
      <c r="EG272" s="79">
        <v>1</v>
      </c>
      <c r="EH272" s="79">
        <v>1</v>
      </c>
      <c r="EI272" s="79">
        <v>1</v>
      </c>
      <c r="EJ272" s="79">
        <v>1</v>
      </c>
      <c r="EK272" s="79">
        <v>1</v>
      </c>
      <c r="EL272" s="79">
        <v>1</v>
      </c>
      <c r="EM272" s="143">
        <f t="shared" ref="EM272:EM335" si="673">IF(CL272&gt;0,1,0)</f>
        <v>0</v>
      </c>
      <c r="EN272" s="143">
        <f t="shared" ref="EN272:EN335" si="674">IF(BZ272&gt;0,1,0)</f>
        <v>0</v>
      </c>
      <c r="EO272" s="82">
        <f t="shared" ref="EO272:EO335" si="675">IF(BT272&gt;0,1,0)</f>
        <v>0</v>
      </c>
    </row>
    <row r="273" spans="1:145" x14ac:dyDescent="0.25">
      <c r="A273">
        <v>259</v>
      </c>
      <c r="B273" s="172" t="e">
        <f t="shared" si="644"/>
        <v>#N/A</v>
      </c>
      <c r="C273" s="121" t="e">
        <f t="shared" ref="C273:E273" si="676">AJ273-SUM(AB273:AB277)</f>
        <v>#N/A</v>
      </c>
      <c r="D273" s="122" t="e">
        <f t="shared" si="676"/>
        <v>#N/A</v>
      </c>
      <c r="E273" s="122" t="e">
        <f t="shared" si="676"/>
        <v>#N/A</v>
      </c>
      <c r="F273" s="176" t="e">
        <f t="shared" si="626"/>
        <v>#N/A</v>
      </c>
      <c r="G273" s="121">
        <f t="shared" si="646"/>
        <v>208</v>
      </c>
      <c r="H273" s="176" t="e">
        <f t="shared" si="647"/>
        <v>#N/A</v>
      </c>
      <c r="I273" s="48">
        <v>1</v>
      </c>
      <c r="J273" s="39"/>
      <c r="K273" s="350">
        <v>1</v>
      </c>
      <c r="L273" s="34" t="e">
        <f t="shared" si="627"/>
        <v>#N/A</v>
      </c>
      <c r="M273" s="38" t="e">
        <f>(HLOOKUP(J273,'Construction Times'!$B$3:$W$34,L273+2,FALSE)*HLOOKUP("hq modifier",'Construction Times'!$W$3:$W$34,BS273+2,FALSE))*(1-$H$9)</f>
        <v>#N/A</v>
      </c>
      <c r="N273" s="426" t="e">
        <f t="shared" si="648"/>
        <v>#N/A</v>
      </c>
      <c r="O273" s="427"/>
      <c r="P273" s="430" t="e">
        <f t="shared" si="649"/>
        <v>#N/A</v>
      </c>
      <c r="Q273" s="431"/>
      <c r="R273" s="103">
        <f t="shared" ref="R273:S336" si="677">R272</f>
        <v>0</v>
      </c>
      <c r="S273" s="104">
        <f t="shared" si="677"/>
        <v>0</v>
      </c>
      <c r="T273" s="104">
        <f t="shared" ref="T273:W336" si="678">T272</f>
        <v>0</v>
      </c>
      <c r="U273" s="104">
        <f t="shared" si="678"/>
        <v>0</v>
      </c>
      <c r="V273" s="104">
        <f t="shared" si="678"/>
        <v>9.9999999999999995E-8</v>
      </c>
      <c r="W273" s="104">
        <f t="shared" si="678"/>
        <v>0</v>
      </c>
      <c r="X273" s="104">
        <f t="shared" si="584"/>
        <v>0</v>
      </c>
      <c r="Y273" s="104">
        <f t="shared" si="584"/>
        <v>9.9999999999999995E-8</v>
      </c>
      <c r="Z273" s="104">
        <f t="shared" si="584"/>
        <v>9.9999999999999995E-8</v>
      </c>
      <c r="AA273" s="105">
        <f t="shared" si="584"/>
        <v>9.9999999999999995E-8</v>
      </c>
      <c r="AB273" s="101" t="e">
        <f>$DT273*HLOOKUP($J273,'Construction Costs (timber)'!$B$1:$V$32,'Construction Planner'!$L273+2,FALSE)</f>
        <v>#N/A</v>
      </c>
      <c r="AC273" s="14" t="e">
        <f>$DT273*HLOOKUP($J273,'Construction Costs (clay)'!$B$1:$V$32,'Construction Planner'!$L273+2,FALSE)</f>
        <v>#N/A</v>
      </c>
      <c r="AD273" s="14" t="e">
        <f>$DT273*HLOOKUP($J273,'Construction Costs (iron)'!$B$1:$V$32,'Construction Planner'!$L273+2,FALSE)</f>
        <v>#N/A</v>
      </c>
      <c r="AE273" s="34" t="e">
        <f t="shared" si="537"/>
        <v>#N/A</v>
      </c>
      <c r="AF273" s="33" t="e">
        <f t="shared" si="628"/>
        <v>#N/A</v>
      </c>
      <c r="AG273" s="14" t="e">
        <f t="shared" si="629"/>
        <v>#N/A</v>
      </c>
      <c r="AH273" s="14" t="e">
        <f t="shared" si="630"/>
        <v>#N/A</v>
      </c>
      <c r="AI273" s="34" t="e">
        <f t="shared" si="538"/>
        <v>#N/A</v>
      </c>
      <c r="AJ273" s="49" t="e">
        <f t="shared" si="651"/>
        <v>#N/A</v>
      </c>
      <c r="AK273" s="49" t="e">
        <f t="shared" si="652"/>
        <v>#N/A</v>
      </c>
      <c r="AL273" s="49" t="e">
        <f t="shared" si="653"/>
        <v>#N/A</v>
      </c>
      <c r="AM273" s="25">
        <f t="shared" si="631"/>
        <v>30</v>
      </c>
      <c r="AN273" s="25">
        <f t="shared" si="632"/>
        <v>30</v>
      </c>
      <c r="AO273" s="25">
        <f t="shared" si="633"/>
        <v>30</v>
      </c>
      <c r="AP273" s="52" t="e">
        <f t="shared" si="654"/>
        <v>#N/A</v>
      </c>
      <c r="AQ273" s="53" t="e">
        <f t="shared" si="654"/>
        <v>#N/A</v>
      </c>
      <c r="AR273" s="54" t="e">
        <f t="shared" si="654"/>
        <v>#N/A</v>
      </c>
      <c r="AS273" s="316">
        <f t="shared" si="612"/>
        <v>0</v>
      </c>
      <c r="AT273" s="106">
        <f>_xlfn.IFNA($M273/VLOOKUP($BT273,'Unit information'!$A$2:$K$29,2,FALSE)*R273,0)*(1+$E$9)</f>
        <v>0</v>
      </c>
      <c r="AU273" s="107">
        <f>_xlfn.IFNA($M273/VLOOKUP($BT273,'Unit information'!$A$2:$K$29,3,FALSE)*S273,0)*(1+$E$9)</f>
        <v>0</v>
      </c>
      <c r="AV273" s="107">
        <f>_xlfn.IFNA($M273/VLOOKUP($BT273,'Unit information'!$A$2:$K$29,4,FALSE)*T273,0)*(1+$E$9)</f>
        <v>0</v>
      </c>
      <c r="AW273" s="107">
        <f>_xlfn.IFNA($M273/VLOOKUP($BT273,'Unit information'!$A$2:$K$29,5,FALSE)*U273,0)*(1+$E$9)</f>
        <v>0</v>
      </c>
      <c r="AX273" s="107">
        <f>_xlfn.IFNA($M273/VLOOKUP($BU273,'Unit information'!$A$2:$K$29,6,FALSE)*V273,0)*(1+$E$9)</f>
        <v>0</v>
      </c>
      <c r="AY273" s="107">
        <f>_xlfn.IFNA($M273/VLOOKUP($BU273,'Unit information'!$A$2:$K$29,7,FALSE)*W273,0)*(1+$E$9)</f>
        <v>0</v>
      </c>
      <c r="AZ273" s="107">
        <f>_xlfn.IFNA($M273/VLOOKUP($BU273,'Unit information'!$A$2:$K$29,8,FALSE)*X273,0)*(1+$E$9)</f>
        <v>0</v>
      </c>
      <c r="BA273" s="107">
        <f>_xlfn.IFNA($M273/VLOOKUP($BU273,'Unit information'!$A$2:$K$29,9,FALSE)*Y273,0)*(1+$E$9)</f>
        <v>0</v>
      </c>
      <c r="BB273" s="107">
        <f>_xlfn.IFNA($M273/VLOOKUP($BV273,'Unit information'!$A$2:$K$29,10,FALSE)*Z273,0)*(1+$E$9)</f>
        <v>0</v>
      </c>
      <c r="BC273" s="108">
        <f>_xlfn.IFNA($M273/VLOOKUP($BV273,'Unit information'!$A$2:$K$29,11,FALSE)*AA273,0)*(1+$E$9)</f>
        <v>0</v>
      </c>
      <c r="BD273" s="106">
        <f t="shared" si="634"/>
        <v>0</v>
      </c>
      <c r="BE273" s="107">
        <f t="shared" si="635"/>
        <v>0</v>
      </c>
      <c r="BF273" s="108">
        <f t="shared" si="636"/>
        <v>0</v>
      </c>
      <c r="BG273" s="25" t="e">
        <f t="shared" si="637"/>
        <v>#N/A</v>
      </c>
      <c r="BH273" s="25" t="e">
        <f t="shared" si="638"/>
        <v>#N/A</v>
      </c>
      <c r="BI273" s="25" t="e">
        <f t="shared" si="639"/>
        <v>#N/A</v>
      </c>
      <c r="BJ273" s="27" t="e">
        <f t="shared" si="640"/>
        <v>#N/A</v>
      </c>
      <c r="BK273" s="18" t="e">
        <f t="shared" si="641"/>
        <v>#N/A</v>
      </c>
      <c r="BL273" s="18" t="e">
        <f t="shared" si="642"/>
        <v>#N/A</v>
      </c>
      <c r="BM273" s="28" t="e">
        <f t="shared" si="540"/>
        <v>#N/A</v>
      </c>
      <c r="BN273" s="33">
        <f>HLOOKUP("maximum population",Miscelaneous!$C$1:$C$33,CH273+3,FALSE)</f>
        <v>240</v>
      </c>
      <c r="BO273" s="14">
        <f t="shared" si="655"/>
        <v>32</v>
      </c>
      <c r="BP273" s="14">
        <f t="shared" si="656"/>
        <v>0</v>
      </c>
      <c r="BQ273" s="14">
        <f t="shared" si="657"/>
        <v>208</v>
      </c>
      <c r="BR273" s="34" t="e">
        <f>HLOOKUP(J273,Villagers!$B$1:$V$33,L273+3,FALSE)-HLOOKUP(J273,Villagers!$B$1:$V$33,L273+2,FALSE)</f>
        <v>#N/A</v>
      </c>
      <c r="BS273" s="49">
        <f t="shared" si="658"/>
        <v>1</v>
      </c>
      <c r="BT273" s="50">
        <f t="shared" si="659"/>
        <v>0</v>
      </c>
      <c r="BU273" s="50">
        <f t="shared" si="660"/>
        <v>0</v>
      </c>
      <c r="BV273" s="50">
        <f t="shared" si="661"/>
        <v>0</v>
      </c>
      <c r="BW273" s="50">
        <f t="shared" si="662"/>
        <v>0</v>
      </c>
      <c r="BX273" s="50">
        <f t="shared" si="662"/>
        <v>0</v>
      </c>
      <c r="BY273" s="50">
        <f t="shared" si="662"/>
        <v>0</v>
      </c>
      <c r="BZ273" s="50">
        <f t="shared" si="554"/>
        <v>0</v>
      </c>
      <c r="CA273" s="50">
        <f t="shared" si="555"/>
        <v>0</v>
      </c>
      <c r="CB273" s="50">
        <f t="shared" si="556"/>
        <v>1</v>
      </c>
      <c r="CC273" s="50">
        <f t="shared" si="557"/>
        <v>0</v>
      </c>
      <c r="CD273" s="50">
        <f t="shared" si="558"/>
        <v>0</v>
      </c>
      <c r="CE273" s="50">
        <f t="shared" si="559"/>
        <v>1</v>
      </c>
      <c r="CF273" s="50">
        <f t="shared" si="560"/>
        <v>1</v>
      </c>
      <c r="CG273" s="50">
        <f t="shared" si="561"/>
        <v>1</v>
      </c>
      <c r="CH273" s="50">
        <f t="shared" si="562"/>
        <v>1</v>
      </c>
      <c r="CI273" s="50">
        <f t="shared" si="563"/>
        <v>1</v>
      </c>
      <c r="CJ273" s="50">
        <f t="shared" si="564"/>
        <v>1</v>
      </c>
      <c r="CK273" s="50">
        <f t="shared" si="564"/>
        <v>0</v>
      </c>
      <c r="CL273" s="50">
        <f t="shared" si="564"/>
        <v>0</v>
      </c>
      <c r="CM273" s="51">
        <f t="shared" si="605"/>
        <v>0</v>
      </c>
      <c r="CN273" s="33">
        <f>ROUND(IF(BS273=0,0,HLOOKUP(BS$14,Villagers!$B$1:$V$33,BS273+3,FALSE)),)</f>
        <v>5</v>
      </c>
      <c r="CO273" s="14">
        <f>ROUND(IF(BT273=0,0,HLOOKUP(BT$14,Villagers!$B$1:$V$33,BT273+3,FALSE)),)</f>
        <v>0</v>
      </c>
      <c r="CP273" s="14">
        <f>ROUND(IF(BU273=0,0,HLOOKUP(BU$14,Villagers!$B$1:$V$33,BU273+3,FALSE)),)</f>
        <v>0</v>
      </c>
      <c r="CQ273" s="14">
        <f>ROUND(IF(BV273=0,0,HLOOKUP(BV$14,Villagers!$B$1:$V$33,BV273+3,FALSE)),)</f>
        <v>0</v>
      </c>
      <c r="CR273" s="14">
        <f>ROUND(IF(BW273=0,0,HLOOKUP(BW$14,Villagers!$B$1:$V$33,BW273+3,FALSE)),)</f>
        <v>0</v>
      </c>
      <c r="CS273" s="14">
        <f>ROUND(IF(BX273=0,0,HLOOKUP(BX$14,Villagers!$B$1:$V$33,BX273+3,FALSE)),)</f>
        <v>0</v>
      </c>
      <c r="CT273" s="14">
        <f>ROUND(IF(BY273=0,0,HLOOKUP(BY$14,Villagers!$B$1:$V$33,BY273+3,FALSE)),)</f>
        <v>0</v>
      </c>
      <c r="CU273" s="14">
        <f>ROUND(IF(BZ273=0,0,HLOOKUP(BZ$14,Villagers!$B$1:$V$33,BZ273+3,FALSE)),)</f>
        <v>0</v>
      </c>
      <c r="CV273" s="14">
        <f>ROUND(IF(CA273=0,0,HLOOKUP(CA$14,Villagers!$B$1:$V$33,CA273+3,FALSE)),)</f>
        <v>0</v>
      </c>
      <c r="CW273" s="14">
        <f>ROUND(IF(CB273=0,0,HLOOKUP(CB$14,Villagers!$B$1:$V$33,CB273+3,FALSE)),)</f>
        <v>0</v>
      </c>
      <c r="CX273" s="14">
        <f>ROUND(IF(CC273=0,0,HLOOKUP(CC$14,Villagers!$B$1:$V$33,CC273+3,FALSE)),)</f>
        <v>0</v>
      </c>
      <c r="CY273" s="14">
        <f>ROUND(IF(CD273=0,0,HLOOKUP(CD$14,Villagers!$B$1:$V$33,CD273+3,FALSE)),)</f>
        <v>0</v>
      </c>
      <c r="CZ273" s="14">
        <f>ROUND(IF(CE273=0,0,HLOOKUP(CE$14,Villagers!$B$1:$V$33,CE273+3,FALSE)),)</f>
        <v>5</v>
      </c>
      <c r="DA273" s="14">
        <f>ROUND(IF(CF273=0,0,HLOOKUP(CF$14,Villagers!$B$1:$V$33,CF273+3,FALSE)),)</f>
        <v>10</v>
      </c>
      <c r="DB273" s="14">
        <f>ROUND(IF(CG273=0,0,HLOOKUP(CG$14,Villagers!$B$1:$V$33,CG273+3,FALSE)),)</f>
        <v>10</v>
      </c>
      <c r="DC273" s="14">
        <f>ROUND(IF(CH273=0,0,HLOOKUP(CH$14,Villagers!$B$1:$V$33,CH273+3,FALSE)),)</f>
        <v>0</v>
      </c>
      <c r="DD273" s="14">
        <f>ROUND(IF(CI273=0,0,HLOOKUP(CI$14,Villagers!$B$1:$V$33,CI273+3,FALSE)),)</f>
        <v>0</v>
      </c>
      <c r="DE273" s="14">
        <f>ROUND(IF(CJ273=0,0,HLOOKUP(CJ$14,Villagers!$B$1:$V$33,CJ273+3,FALSE)),)</f>
        <v>2</v>
      </c>
      <c r="DF273" s="370">
        <f>ROUND(IF(CK273=0,0,HLOOKUP(CK$14,Villagers!$B$1:$V$33,CK273+3,FALSE)),)</f>
        <v>0</v>
      </c>
      <c r="DG273" s="370">
        <f>ROUND(IF(CL273=0,0,HLOOKUP(CL$14,Villagers!$B$1:$V$33,CL273+3,FALSE)),)</f>
        <v>0</v>
      </c>
      <c r="DH273" s="34">
        <f>ROUND(IF(CM273=0,0,HLOOKUP(CM$14,Villagers!$B$1:$V$33,CM273+3,FALSE)),)</f>
        <v>0</v>
      </c>
      <c r="DI273" s="109">
        <f t="shared" ref="DI273:DI336" si="679">ROUND(_xlfn.IFNA(DI272+AT273,DI272),0)</f>
        <v>0</v>
      </c>
      <c r="DJ273" s="50">
        <f t="shared" ref="DJ273:DJ336" si="680">ROUND(_xlfn.IFNA(DJ272+AU273,DJ272),0)</f>
        <v>0</v>
      </c>
      <c r="DK273" s="50">
        <f t="shared" ref="DK273:DK336" si="681">ROUND(_xlfn.IFNA(DK272+AV273,DK272),0)</f>
        <v>0</v>
      </c>
      <c r="DL273" s="50">
        <f t="shared" ref="DL273:DL336" si="682">ROUND(_xlfn.IFNA(DL272+AW273,DL272),0)</f>
        <v>0</v>
      </c>
      <c r="DM273" s="50">
        <f t="shared" ref="DM273:DM336" si="683">ROUND(_xlfn.IFNA(DM272+AX273,DM272),0)</f>
        <v>0</v>
      </c>
      <c r="DN273" s="50">
        <f t="shared" ref="DN273:DN336" si="684">ROUND(_xlfn.IFNA(DN272+AY273,DN272),0)</f>
        <v>0</v>
      </c>
      <c r="DO273" s="50">
        <f t="shared" ref="DO273:DO336" si="685">ROUND(_xlfn.IFNA(DO272+AZ273,DO272),0)</f>
        <v>0</v>
      </c>
      <c r="DP273" s="50">
        <f t="shared" ref="DP273:DP336" si="686">ROUND(_xlfn.IFNA(DP272+BA273,DP272),0)</f>
        <v>0</v>
      </c>
      <c r="DQ273" s="50">
        <f t="shared" si="663"/>
        <v>0</v>
      </c>
      <c r="DR273" s="50">
        <f t="shared" si="664"/>
        <v>0</v>
      </c>
      <c r="DS273" s="96">
        <f>Miscelaneous!$D$4*Miscelaneous!$D$2^($CI273-1)</f>
        <v>1000</v>
      </c>
      <c r="DT273" s="333">
        <f t="shared" si="643"/>
        <v>1</v>
      </c>
      <c r="DU273" s="81">
        <v>1</v>
      </c>
      <c r="DV273" s="79">
        <f t="shared" si="665"/>
        <v>0</v>
      </c>
      <c r="DW273" s="79">
        <f t="shared" si="666"/>
        <v>0</v>
      </c>
      <c r="DX273" s="79">
        <f t="shared" si="667"/>
        <v>0</v>
      </c>
      <c r="DY273" s="79">
        <v>1</v>
      </c>
      <c r="DZ273" s="79">
        <f t="shared" si="668"/>
        <v>0</v>
      </c>
      <c r="EA273" s="79">
        <f t="shared" si="669"/>
        <v>0</v>
      </c>
      <c r="EB273" s="79">
        <f t="shared" si="670"/>
        <v>0</v>
      </c>
      <c r="EC273" s="79">
        <f t="shared" si="671"/>
        <v>0</v>
      </c>
      <c r="ED273" s="79">
        <v>1</v>
      </c>
      <c r="EE273" s="79">
        <v>1</v>
      </c>
      <c r="EF273" s="79">
        <f t="shared" si="672"/>
        <v>0</v>
      </c>
      <c r="EG273" s="79">
        <v>1</v>
      </c>
      <c r="EH273" s="79">
        <v>1</v>
      </c>
      <c r="EI273" s="79">
        <v>1</v>
      </c>
      <c r="EJ273" s="79">
        <v>1</v>
      </c>
      <c r="EK273" s="79">
        <v>1</v>
      </c>
      <c r="EL273" s="79">
        <v>1</v>
      </c>
      <c r="EM273" s="143">
        <f t="shared" si="673"/>
        <v>0</v>
      </c>
      <c r="EN273" s="143">
        <f t="shared" si="674"/>
        <v>0</v>
      </c>
      <c r="EO273" s="82">
        <f t="shared" si="675"/>
        <v>0</v>
      </c>
    </row>
    <row r="274" spans="1:145" x14ac:dyDescent="0.25">
      <c r="A274">
        <v>260</v>
      </c>
      <c r="B274" s="172" t="e">
        <f t="shared" si="644"/>
        <v>#N/A</v>
      </c>
      <c r="C274" s="121" t="e">
        <f t="shared" ref="C274:E274" si="687">AJ274-SUM(AB274:AB278)</f>
        <v>#N/A</v>
      </c>
      <c r="D274" s="122" t="e">
        <f t="shared" si="687"/>
        <v>#N/A</v>
      </c>
      <c r="E274" s="122" t="e">
        <f t="shared" si="687"/>
        <v>#N/A</v>
      </c>
      <c r="F274" s="176" t="e">
        <f t="shared" si="626"/>
        <v>#N/A</v>
      </c>
      <c r="G274" s="121">
        <f t="shared" si="646"/>
        <v>208</v>
      </c>
      <c r="H274" s="176" t="e">
        <f t="shared" si="647"/>
        <v>#N/A</v>
      </c>
      <c r="I274" s="48">
        <v>1</v>
      </c>
      <c r="J274" s="39"/>
      <c r="K274" s="350">
        <v>1</v>
      </c>
      <c r="L274" s="34" t="e">
        <f t="shared" si="627"/>
        <v>#N/A</v>
      </c>
      <c r="M274" s="38" t="e">
        <f>(HLOOKUP(J274,'Construction Times'!$B$3:$W$34,L274+2,FALSE)*HLOOKUP("hq modifier",'Construction Times'!$W$3:$W$34,BS274+2,FALSE))*(1-$H$9)</f>
        <v>#N/A</v>
      </c>
      <c r="N274" s="426" t="e">
        <f t="shared" si="648"/>
        <v>#N/A</v>
      </c>
      <c r="O274" s="427"/>
      <c r="P274" s="430" t="e">
        <f t="shared" si="649"/>
        <v>#N/A</v>
      </c>
      <c r="Q274" s="431"/>
      <c r="R274" s="103">
        <f t="shared" si="677"/>
        <v>0</v>
      </c>
      <c r="S274" s="104">
        <f t="shared" si="677"/>
        <v>0</v>
      </c>
      <c r="T274" s="104">
        <f t="shared" si="678"/>
        <v>0</v>
      </c>
      <c r="U274" s="104">
        <f t="shared" si="678"/>
        <v>0</v>
      </c>
      <c r="V274" s="104">
        <f t="shared" si="678"/>
        <v>9.9999999999999995E-8</v>
      </c>
      <c r="W274" s="104">
        <f t="shared" si="678"/>
        <v>0</v>
      </c>
      <c r="X274" s="104">
        <f t="shared" si="584"/>
        <v>0</v>
      </c>
      <c r="Y274" s="104">
        <f t="shared" si="584"/>
        <v>9.9999999999999995E-8</v>
      </c>
      <c r="Z274" s="104">
        <f t="shared" si="584"/>
        <v>9.9999999999999995E-8</v>
      </c>
      <c r="AA274" s="105">
        <f t="shared" si="584"/>
        <v>9.9999999999999995E-8</v>
      </c>
      <c r="AB274" s="101" t="e">
        <f>$DT274*HLOOKUP($J274,'Construction Costs (timber)'!$B$1:$V$32,'Construction Planner'!$L274+2,FALSE)</f>
        <v>#N/A</v>
      </c>
      <c r="AC274" s="14" t="e">
        <f>$DT274*HLOOKUP($J274,'Construction Costs (clay)'!$B$1:$V$32,'Construction Planner'!$L274+2,FALSE)</f>
        <v>#N/A</v>
      </c>
      <c r="AD274" s="14" t="e">
        <f>$DT274*HLOOKUP($J274,'Construction Costs (iron)'!$B$1:$V$32,'Construction Planner'!$L274+2,FALSE)</f>
        <v>#N/A</v>
      </c>
      <c r="AE274" s="34" t="e">
        <f t="shared" si="537"/>
        <v>#N/A</v>
      </c>
      <c r="AF274" s="33" t="e">
        <f t="shared" si="628"/>
        <v>#N/A</v>
      </c>
      <c r="AG274" s="14" t="e">
        <f t="shared" si="629"/>
        <v>#N/A</v>
      </c>
      <c r="AH274" s="14" t="e">
        <f t="shared" si="630"/>
        <v>#N/A</v>
      </c>
      <c r="AI274" s="34" t="e">
        <f t="shared" si="538"/>
        <v>#N/A</v>
      </c>
      <c r="AJ274" s="49" t="e">
        <f t="shared" si="651"/>
        <v>#N/A</v>
      </c>
      <c r="AK274" s="49" t="e">
        <f t="shared" si="652"/>
        <v>#N/A</v>
      </c>
      <c r="AL274" s="49" t="e">
        <f t="shared" si="653"/>
        <v>#N/A</v>
      </c>
      <c r="AM274" s="25">
        <f t="shared" si="631"/>
        <v>30</v>
      </c>
      <c r="AN274" s="25">
        <f t="shared" si="632"/>
        <v>30</v>
      </c>
      <c r="AO274" s="25">
        <f t="shared" si="633"/>
        <v>30</v>
      </c>
      <c r="AP274" s="52" t="e">
        <f t="shared" si="654"/>
        <v>#N/A</v>
      </c>
      <c r="AQ274" s="53" t="e">
        <f t="shared" si="654"/>
        <v>#N/A</v>
      </c>
      <c r="AR274" s="54" t="e">
        <f t="shared" si="654"/>
        <v>#N/A</v>
      </c>
      <c r="AS274" s="316">
        <f t="shared" si="612"/>
        <v>0</v>
      </c>
      <c r="AT274" s="106">
        <f>_xlfn.IFNA($M274/VLOOKUP($BT274,'Unit information'!$A$2:$K$29,2,FALSE)*R274,0)*(1+$E$9)</f>
        <v>0</v>
      </c>
      <c r="AU274" s="107">
        <f>_xlfn.IFNA($M274/VLOOKUP($BT274,'Unit information'!$A$2:$K$29,3,FALSE)*S274,0)*(1+$E$9)</f>
        <v>0</v>
      </c>
      <c r="AV274" s="107">
        <f>_xlfn.IFNA($M274/VLOOKUP($BT274,'Unit information'!$A$2:$K$29,4,FALSE)*T274,0)*(1+$E$9)</f>
        <v>0</v>
      </c>
      <c r="AW274" s="107">
        <f>_xlfn.IFNA($M274/VLOOKUP($BT274,'Unit information'!$A$2:$K$29,5,FALSE)*U274,0)*(1+$E$9)</f>
        <v>0</v>
      </c>
      <c r="AX274" s="107">
        <f>_xlfn.IFNA($M274/VLOOKUP($BU274,'Unit information'!$A$2:$K$29,6,FALSE)*V274,0)*(1+$E$9)</f>
        <v>0</v>
      </c>
      <c r="AY274" s="107">
        <f>_xlfn.IFNA($M274/VLOOKUP($BU274,'Unit information'!$A$2:$K$29,7,FALSE)*W274,0)*(1+$E$9)</f>
        <v>0</v>
      </c>
      <c r="AZ274" s="107">
        <f>_xlfn.IFNA($M274/VLOOKUP($BU274,'Unit information'!$A$2:$K$29,8,FALSE)*X274,0)*(1+$E$9)</f>
        <v>0</v>
      </c>
      <c r="BA274" s="107">
        <f>_xlfn.IFNA($M274/VLOOKUP($BU274,'Unit information'!$A$2:$K$29,9,FALSE)*Y274,0)*(1+$E$9)</f>
        <v>0</v>
      </c>
      <c r="BB274" s="107">
        <f>_xlfn.IFNA($M274/VLOOKUP($BV274,'Unit information'!$A$2:$K$29,10,FALSE)*Z274,0)*(1+$E$9)</f>
        <v>0</v>
      </c>
      <c r="BC274" s="108">
        <f>_xlfn.IFNA($M274/VLOOKUP($BV274,'Unit information'!$A$2:$K$29,11,FALSE)*AA274,0)*(1+$E$9)</f>
        <v>0</v>
      </c>
      <c r="BD274" s="106">
        <f t="shared" si="634"/>
        <v>0</v>
      </c>
      <c r="BE274" s="107">
        <f t="shared" si="635"/>
        <v>0</v>
      </c>
      <c r="BF274" s="108">
        <f t="shared" si="636"/>
        <v>0</v>
      </c>
      <c r="BG274" s="25" t="e">
        <f t="shared" si="637"/>
        <v>#N/A</v>
      </c>
      <c r="BH274" s="25" t="e">
        <f t="shared" si="638"/>
        <v>#N/A</v>
      </c>
      <c r="BI274" s="25" t="e">
        <f t="shared" si="639"/>
        <v>#N/A</v>
      </c>
      <c r="BJ274" s="27" t="e">
        <f t="shared" si="640"/>
        <v>#N/A</v>
      </c>
      <c r="BK274" s="18" t="e">
        <f t="shared" si="641"/>
        <v>#N/A</v>
      </c>
      <c r="BL274" s="18" t="e">
        <f t="shared" si="642"/>
        <v>#N/A</v>
      </c>
      <c r="BM274" s="28" t="e">
        <f t="shared" si="540"/>
        <v>#N/A</v>
      </c>
      <c r="BN274" s="33">
        <f>HLOOKUP("maximum population",Miscelaneous!$C$1:$C$33,CH274+3,FALSE)</f>
        <v>240</v>
      </c>
      <c r="BO274" s="14">
        <f t="shared" si="655"/>
        <v>32</v>
      </c>
      <c r="BP274" s="14">
        <f t="shared" si="656"/>
        <v>0</v>
      </c>
      <c r="BQ274" s="14">
        <f t="shared" si="657"/>
        <v>208</v>
      </c>
      <c r="BR274" s="34" t="e">
        <f>HLOOKUP(J274,Villagers!$B$1:$V$33,L274+3,FALSE)-HLOOKUP(J274,Villagers!$B$1:$V$33,L274+2,FALSE)</f>
        <v>#N/A</v>
      </c>
      <c r="BS274" s="49">
        <f t="shared" si="658"/>
        <v>1</v>
      </c>
      <c r="BT274" s="50">
        <f t="shared" si="659"/>
        <v>0</v>
      </c>
      <c r="BU274" s="50">
        <f t="shared" si="660"/>
        <v>0</v>
      </c>
      <c r="BV274" s="50">
        <f t="shared" si="661"/>
        <v>0</v>
      </c>
      <c r="BW274" s="50">
        <f t="shared" si="662"/>
        <v>0</v>
      </c>
      <c r="BX274" s="50">
        <f t="shared" si="662"/>
        <v>0</v>
      </c>
      <c r="BY274" s="50">
        <f t="shared" si="662"/>
        <v>0</v>
      </c>
      <c r="BZ274" s="50">
        <f t="shared" si="554"/>
        <v>0</v>
      </c>
      <c r="CA274" s="50">
        <f t="shared" si="555"/>
        <v>0</v>
      </c>
      <c r="CB274" s="50">
        <f t="shared" si="556"/>
        <v>1</v>
      </c>
      <c r="CC274" s="50">
        <f t="shared" si="557"/>
        <v>0</v>
      </c>
      <c r="CD274" s="50">
        <f t="shared" si="558"/>
        <v>0</v>
      </c>
      <c r="CE274" s="50">
        <f t="shared" si="559"/>
        <v>1</v>
      </c>
      <c r="CF274" s="50">
        <f t="shared" si="560"/>
        <v>1</v>
      </c>
      <c r="CG274" s="50">
        <f t="shared" si="561"/>
        <v>1</v>
      </c>
      <c r="CH274" s="50">
        <f t="shared" si="562"/>
        <v>1</v>
      </c>
      <c r="CI274" s="50">
        <f t="shared" si="563"/>
        <v>1</v>
      </c>
      <c r="CJ274" s="50">
        <f t="shared" si="564"/>
        <v>1</v>
      </c>
      <c r="CK274" s="50">
        <f t="shared" si="564"/>
        <v>0</v>
      </c>
      <c r="CL274" s="50">
        <f t="shared" si="564"/>
        <v>0</v>
      </c>
      <c r="CM274" s="51">
        <f t="shared" si="605"/>
        <v>0</v>
      </c>
      <c r="CN274" s="33">
        <f>ROUND(IF(BS274=0,0,HLOOKUP(BS$14,Villagers!$B$1:$V$33,BS274+3,FALSE)),)</f>
        <v>5</v>
      </c>
      <c r="CO274" s="14">
        <f>ROUND(IF(BT274=0,0,HLOOKUP(BT$14,Villagers!$B$1:$V$33,BT274+3,FALSE)),)</f>
        <v>0</v>
      </c>
      <c r="CP274" s="14">
        <f>ROUND(IF(BU274=0,0,HLOOKUP(BU$14,Villagers!$B$1:$V$33,BU274+3,FALSE)),)</f>
        <v>0</v>
      </c>
      <c r="CQ274" s="14">
        <f>ROUND(IF(BV274=0,0,HLOOKUP(BV$14,Villagers!$B$1:$V$33,BV274+3,FALSE)),)</f>
        <v>0</v>
      </c>
      <c r="CR274" s="14">
        <f>ROUND(IF(BW274=0,0,HLOOKUP(BW$14,Villagers!$B$1:$V$33,BW274+3,FALSE)),)</f>
        <v>0</v>
      </c>
      <c r="CS274" s="14">
        <f>ROUND(IF(BX274=0,0,HLOOKUP(BX$14,Villagers!$B$1:$V$33,BX274+3,FALSE)),)</f>
        <v>0</v>
      </c>
      <c r="CT274" s="14">
        <f>ROUND(IF(BY274=0,0,HLOOKUP(BY$14,Villagers!$B$1:$V$33,BY274+3,FALSE)),)</f>
        <v>0</v>
      </c>
      <c r="CU274" s="14">
        <f>ROUND(IF(BZ274=0,0,HLOOKUP(BZ$14,Villagers!$B$1:$V$33,BZ274+3,FALSE)),)</f>
        <v>0</v>
      </c>
      <c r="CV274" s="14">
        <f>ROUND(IF(CA274=0,0,HLOOKUP(CA$14,Villagers!$B$1:$V$33,CA274+3,FALSE)),)</f>
        <v>0</v>
      </c>
      <c r="CW274" s="14">
        <f>ROUND(IF(CB274=0,0,HLOOKUP(CB$14,Villagers!$B$1:$V$33,CB274+3,FALSE)),)</f>
        <v>0</v>
      </c>
      <c r="CX274" s="14">
        <f>ROUND(IF(CC274=0,0,HLOOKUP(CC$14,Villagers!$B$1:$V$33,CC274+3,FALSE)),)</f>
        <v>0</v>
      </c>
      <c r="CY274" s="14">
        <f>ROUND(IF(CD274=0,0,HLOOKUP(CD$14,Villagers!$B$1:$V$33,CD274+3,FALSE)),)</f>
        <v>0</v>
      </c>
      <c r="CZ274" s="14">
        <f>ROUND(IF(CE274=0,0,HLOOKUP(CE$14,Villagers!$B$1:$V$33,CE274+3,FALSE)),)</f>
        <v>5</v>
      </c>
      <c r="DA274" s="14">
        <f>ROUND(IF(CF274=0,0,HLOOKUP(CF$14,Villagers!$B$1:$V$33,CF274+3,FALSE)),)</f>
        <v>10</v>
      </c>
      <c r="DB274" s="14">
        <f>ROUND(IF(CG274=0,0,HLOOKUP(CG$14,Villagers!$B$1:$V$33,CG274+3,FALSE)),)</f>
        <v>10</v>
      </c>
      <c r="DC274" s="14">
        <f>ROUND(IF(CH274=0,0,HLOOKUP(CH$14,Villagers!$B$1:$V$33,CH274+3,FALSE)),)</f>
        <v>0</v>
      </c>
      <c r="DD274" s="14">
        <f>ROUND(IF(CI274=0,0,HLOOKUP(CI$14,Villagers!$B$1:$V$33,CI274+3,FALSE)),)</f>
        <v>0</v>
      </c>
      <c r="DE274" s="14">
        <f>ROUND(IF(CJ274=0,0,HLOOKUP(CJ$14,Villagers!$B$1:$V$33,CJ274+3,FALSE)),)</f>
        <v>2</v>
      </c>
      <c r="DF274" s="370">
        <f>ROUND(IF(CK274=0,0,HLOOKUP(CK$14,Villagers!$B$1:$V$33,CK274+3,FALSE)),)</f>
        <v>0</v>
      </c>
      <c r="DG274" s="370">
        <f>ROUND(IF(CL274=0,0,HLOOKUP(CL$14,Villagers!$B$1:$V$33,CL274+3,FALSE)),)</f>
        <v>0</v>
      </c>
      <c r="DH274" s="34">
        <f>ROUND(IF(CM274=0,0,HLOOKUP(CM$14,Villagers!$B$1:$V$33,CM274+3,FALSE)),)</f>
        <v>0</v>
      </c>
      <c r="DI274" s="109">
        <f t="shared" si="679"/>
        <v>0</v>
      </c>
      <c r="DJ274" s="50">
        <f t="shared" si="680"/>
        <v>0</v>
      </c>
      <c r="DK274" s="50">
        <f t="shared" si="681"/>
        <v>0</v>
      </c>
      <c r="DL274" s="50">
        <f t="shared" si="682"/>
        <v>0</v>
      </c>
      <c r="DM274" s="50">
        <f t="shared" si="683"/>
        <v>0</v>
      </c>
      <c r="DN274" s="50">
        <f t="shared" si="684"/>
        <v>0</v>
      </c>
      <c r="DO274" s="50">
        <f t="shared" si="685"/>
        <v>0</v>
      </c>
      <c r="DP274" s="50">
        <f t="shared" si="686"/>
        <v>0</v>
      </c>
      <c r="DQ274" s="50">
        <f t="shared" si="663"/>
        <v>0</v>
      </c>
      <c r="DR274" s="50">
        <f t="shared" si="664"/>
        <v>0</v>
      </c>
      <c r="DS274" s="96">
        <f>Miscelaneous!$D$4*Miscelaneous!$D$2^($CI274-1)</f>
        <v>1000</v>
      </c>
      <c r="DT274" s="333">
        <f t="shared" si="643"/>
        <v>1</v>
      </c>
      <c r="DU274" s="81">
        <v>1</v>
      </c>
      <c r="DV274" s="79">
        <f t="shared" si="665"/>
        <v>0</v>
      </c>
      <c r="DW274" s="79">
        <f t="shared" si="666"/>
        <v>0</v>
      </c>
      <c r="DX274" s="79">
        <f t="shared" si="667"/>
        <v>0</v>
      </c>
      <c r="DY274" s="79">
        <v>1</v>
      </c>
      <c r="DZ274" s="79">
        <f t="shared" si="668"/>
        <v>0</v>
      </c>
      <c r="EA274" s="79">
        <f t="shared" si="669"/>
        <v>0</v>
      </c>
      <c r="EB274" s="79">
        <f t="shared" si="670"/>
        <v>0</v>
      </c>
      <c r="EC274" s="79">
        <f t="shared" si="671"/>
        <v>0</v>
      </c>
      <c r="ED274" s="79">
        <v>1</v>
      </c>
      <c r="EE274" s="79">
        <v>1</v>
      </c>
      <c r="EF274" s="79">
        <f t="shared" si="672"/>
        <v>0</v>
      </c>
      <c r="EG274" s="79">
        <v>1</v>
      </c>
      <c r="EH274" s="79">
        <v>1</v>
      </c>
      <c r="EI274" s="79">
        <v>1</v>
      </c>
      <c r="EJ274" s="79">
        <v>1</v>
      </c>
      <c r="EK274" s="79">
        <v>1</v>
      </c>
      <c r="EL274" s="79">
        <v>1</v>
      </c>
      <c r="EM274" s="143">
        <f t="shared" si="673"/>
        <v>0</v>
      </c>
      <c r="EN274" s="143">
        <f t="shared" si="674"/>
        <v>0</v>
      </c>
      <c r="EO274" s="82">
        <f t="shared" si="675"/>
        <v>0</v>
      </c>
    </row>
    <row r="275" spans="1:145" x14ac:dyDescent="0.25">
      <c r="A275">
        <v>261</v>
      </c>
      <c r="B275" s="172" t="e">
        <f t="shared" si="644"/>
        <v>#N/A</v>
      </c>
      <c r="C275" s="121" t="e">
        <f t="shared" ref="C275:E275" si="688">AJ275-SUM(AB275:AB279)</f>
        <v>#N/A</v>
      </c>
      <c r="D275" s="122" t="e">
        <f t="shared" si="688"/>
        <v>#N/A</v>
      </c>
      <c r="E275" s="122" t="e">
        <f t="shared" si="688"/>
        <v>#N/A</v>
      </c>
      <c r="F275" s="176" t="e">
        <f t="shared" si="626"/>
        <v>#N/A</v>
      </c>
      <c r="G275" s="121">
        <f t="shared" si="646"/>
        <v>208</v>
      </c>
      <c r="H275" s="176" t="e">
        <f t="shared" si="647"/>
        <v>#N/A</v>
      </c>
      <c r="I275" s="48">
        <v>1</v>
      </c>
      <c r="J275" s="39"/>
      <c r="K275" s="350">
        <v>1</v>
      </c>
      <c r="L275" s="34" t="e">
        <f t="shared" si="627"/>
        <v>#N/A</v>
      </c>
      <c r="M275" s="38" t="e">
        <f>(HLOOKUP(J275,'Construction Times'!$B$3:$W$34,L275+2,FALSE)*HLOOKUP("hq modifier",'Construction Times'!$W$3:$W$34,BS275+2,FALSE))*(1-$H$9)</f>
        <v>#N/A</v>
      </c>
      <c r="N275" s="426" t="e">
        <f t="shared" si="648"/>
        <v>#N/A</v>
      </c>
      <c r="O275" s="427"/>
      <c r="P275" s="430" t="e">
        <f t="shared" si="649"/>
        <v>#N/A</v>
      </c>
      <c r="Q275" s="431"/>
      <c r="R275" s="103">
        <f t="shared" si="677"/>
        <v>0</v>
      </c>
      <c r="S275" s="104">
        <f t="shared" si="677"/>
        <v>0</v>
      </c>
      <c r="T275" s="104">
        <f t="shared" si="678"/>
        <v>0</v>
      </c>
      <c r="U275" s="104">
        <f t="shared" si="678"/>
        <v>0</v>
      </c>
      <c r="V275" s="104">
        <f t="shared" si="678"/>
        <v>9.9999999999999995E-8</v>
      </c>
      <c r="W275" s="104">
        <f t="shared" si="678"/>
        <v>0</v>
      </c>
      <c r="X275" s="104">
        <f t="shared" si="584"/>
        <v>0</v>
      </c>
      <c r="Y275" s="104">
        <f t="shared" si="584"/>
        <v>9.9999999999999995E-8</v>
      </c>
      <c r="Z275" s="104">
        <f t="shared" si="584"/>
        <v>9.9999999999999995E-8</v>
      </c>
      <c r="AA275" s="105">
        <f t="shared" si="584"/>
        <v>9.9999999999999995E-8</v>
      </c>
      <c r="AB275" s="101" t="e">
        <f>$DT275*HLOOKUP($J275,'Construction Costs (timber)'!$B$1:$V$32,'Construction Planner'!$L275+2,FALSE)</f>
        <v>#N/A</v>
      </c>
      <c r="AC275" s="14" t="e">
        <f>$DT275*HLOOKUP($J275,'Construction Costs (clay)'!$B$1:$V$32,'Construction Planner'!$L275+2,FALSE)</f>
        <v>#N/A</v>
      </c>
      <c r="AD275" s="14" t="e">
        <f>$DT275*HLOOKUP($J275,'Construction Costs (iron)'!$B$1:$V$32,'Construction Planner'!$L275+2,FALSE)</f>
        <v>#N/A</v>
      </c>
      <c r="AE275" s="34" t="e">
        <f t="shared" si="537"/>
        <v>#N/A</v>
      </c>
      <c r="AF275" s="33" t="e">
        <f t="shared" si="628"/>
        <v>#N/A</v>
      </c>
      <c r="AG275" s="14" t="e">
        <f t="shared" si="629"/>
        <v>#N/A</v>
      </c>
      <c r="AH275" s="14" t="e">
        <f t="shared" si="630"/>
        <v>#N/A</v>
      </c>
      <c r="AI275" s="34" t="e">
        <f t="shared" si="538"/>
        <v>#N/A</v>
      </c>
      <c r="AJ275" s="49" t="e">
        <f t="shared" si="651"/>
        <v>#N/A</v>
      </c>
      <c r="AK275" s="49" t="e">
        <f t="shared" si="652"/>
        <v>#N/A</v>
      </c>
      <c r="AL275" s="49" t="e">
        <f t="shared" si="653"/>
        <v>#N/A</v>
      </c>
      <c r="AM275" s="25">
        <f t="shared" si="631"/>
        <v>30</v>
      </c>
      <c r="AN275" s="25">
        <f t="shared" si="632"/>
        <v>30</v>
      </c>
      <c r="AO275" s="25">
        <f t="shared" si="633"/>
        <v>30</v>
      </c>
      <c r="AP275" s="52" t="e">
        <f t="shared" si="654"/>
        <v>#N/A</v>
      </c>
      <c r="AQ275" s="53" t="e">
        <f t="shared" si="654"/>
        <v>#N/A</v>
      </c>
      <c r="AR275" s="54" t="e">
        <f t="shared" si="654"/>
        <v>#N/A</v>
      </c>
      <c r="AS275" s="316">
        <f t="shared" si="612"/>
        <v>0</v>
      </c>
      <c r="AT275" s="106">
        <f>_xlfn.IFNA($M275/VLOOKUP($BT275,'Unit information'!$A$2:$K$29,2,FALSE)*R275,0)*(1+$E$9)</f>
        <v>0</v>
      </c>
      <c r="AU275" s="107">
        <f>_xlfn.IFNA($M275/VLOOKUP($BT275,'Unit information'!$A$2:$K$29,3,FALSE)*S275,0)*(1+$E$9)</f>
        <v>0</v>
      </c>
      <c r="AV275" s="107">
        <f>_xlfn.IFNA($M275/VLOOKUP($BT275,'Unit information'!$A$2:$K$29,4,FALSE)*T275,0)*(1+$E$9)</f>
        <v>0</v>
      </c>
      <c r="AW275" s="107">
        <f>_xlfn.IFNA($M275/VLOOKUP($BT275,'Unit information'!$A$2:$K$29,5,FALSE)*U275,0)*(1+$E$9)</f>
        <v>0</v>
      </c>
      <c r="AX275" s="107">
        <f>_xlfn.IFNA($M275/VLOOKUP($BU275,'Unit information'!$A$2:$K$29,6,FALSE)*V275,0)*(1+$E$9)</f>
        <v>0</v>
      </c>
      <c r="AY275" s="107">
        <f>_xlfn.IFNA($M275/VLOOKUP($BU275,'Unit information'!$A$2:$K$29,7,FALSE)*W275,0)*(1+$E$9)</f>
        <v>0</v>
      </c>
      <c r="AZ275" s="107">
        <f>_xlfn.IFNA($M275/VLOOKUP($BU275,'Unit information'!$A$2:$K$29,8,FALSE)*X275,0)*(1+$E$9)</f>
        <v>0</v>
      </c>
      <c r="BA275" s="107">
        <f>_xlfn.IFNA($M275/VLOOKUP($BU275,'Unit information'!$A$2:$K$29,9,FALSE)*Y275,0)*(1+$E$9)</f>
        <v>0</v>
      </c>
      <c r="BB275" s="107">
        <f>_xlfn.IFNA($M275/VLOOKUP($BV275,'Unit information'!$A$2:$K$29,10,FALSE)*Z275,0)*(1+$E$9)</f>
        <v>0</v>
      </c>
      <c r="BC275" s="108">
        <f>_xlfn.IFNA($M275/VLOOKUP($BV275,'Unit information'!$A$2:$K$29,11,FALSE)*AA275,0)*(1+$E$9)</f>
        <v>0</v>
      </c>
      <c r="BD275" s="106">
        <f t="shared" si="634"/>
        <v>0</v>
      </c>
      <c r="BE275" s="107">
        <f t="shared" si="635"/>
        <v>0</v>
      </c>
      <c r="BF275" s="108">
        <f t="shared" si="636"/>
        <v>0</v>
      </c>
      <c r="BG275" s="25" t="e">
        <f t="shared" si="637"/>
        <v>#N/A</v>
      </c>
      <c r="BH275" s="25" t="e">
        <f t="shared" si="638"/>
        <v>#N/A</v>
      </c>
      <c r="BI275" s="25" t="e">
        <f t="shared" si="639"/>
        <v>#N/A</v>
      </c>
      <c r="BJ275" s="27" t="e">
        <f t="shared" si="640"/>
        <v>#N/A</v>
      </c>
      <c r="BK275" s="18" t="e">
        <f t="shared" si="641"/>
        <v>#N/A</v>
      </c>
      <c r="BL275" s="18" t="e">
        <f t="shared" si="642"/>
        <v>#N/A</v>
      </c>
      <c r="BM275" s="28" t="e">
        <f t="shared" si="540"/>
        <v>#N/A</v>
      </c>
      <c r="BN275" s="33">
        <f>HLOOKUP("maximum population",Miscelaneous!$C$1:$C$33,CH275+3,FALSE)</f>
        <v>240</v>
      </c>
      <c r="BO275" s="14">
        <f t="shared" si="655"/>
        <v>32</v>
      </c>
      <c r="BP275" s="14">
        <f t="shared" si="656"/>
        <v>0</v>
      </c>
      <c r="BQ275" s="14">
        <f t="shared" si="657"/>
        <v>208</v>
      </c>
      <c r="BR275" s="34" t="e">
        <f>HLOOKUP(J275,Villagers!$B$1:$V$33,L275+3,FALSE)-HLOOKUP(J275,Villagers!$B$1:$V$33,L275+2,FALSE)</f>
        <v>#N/A</v>
      </c>
      <c r="BS275" s="49">
        <f t="shared" si="658"/>
        <v>1</v>
      </c>
      <c r="BT275" s="50">
        <f t="shared" si="659"/>
        <v>0</v>
      </c>
      <c r="BU275" s="50">
        <f t="shared" si="660"/>
        <v>0</v>
      </c>
      <c r="BV275" s="50">
        <f t="shared" si="661"/>
        <v>0</v>
      </c>
      <c r="BW275" s="50">
        <f t="shared" si="662"/>
        <v>0</v>
      </c>
      <c r="BX275" s="50">
        <f t="shared" si="662"/>
        <v>0</v>
      </c>
      <c r="BY275" s="50">
        <f t="shared" si="662"/>
        <v>0</v>
      </c>
      <c r="BZ275" s="50">
        <f t="shared" si="554"/>
        <v>0</v>
      </c>
      <c r="CA275" s="50">
        <f t="shared" si="555"/>
        <v>0</v>
      </c>
      <c r="CB275" s="50">
        <f t="shared" si="556"/>
        <v>1</v>
      </c>
      <c r="CC275" s="50">
        <f t="shared" si="557"/>
        <v>0</v>
      </c>
      <c r="CD275" s="50">
        <f t="shared" si="558"/>
        <v>0</v>
      </c>
      <c r="CE275" s="50">
        <f t="shared" si="559"/>
        <v>1</v>
      </c>
      <c r="CF275" s="50">
        <f t="shared" si="560"/>
        <v>1</v>
      </c>
      <c r="CG275" s="50">
        <f t="shared" si="561"/>
        <v>1</v>
      </c>
      <c r="CH275" s="50">
        <f t="shared" si="562"/>
        <v>1</v>
      </c>
      <c r="CI275" s="50">
        <f t="shared" si="563"/>
        <v>1</v>
      </c>
      <c r="CJ275" s="50">
        <f t="shared" si="564"/>
        <v>1</v>
      </c>
      <c r="CK275" s="50">
        <f t="shared" si="564"/>
        <v>0</v>
      </c>
      <c r="CL275" s="50">
        <f t="shared" si="564"/>
        <v>0</v>
      </c>
      <c r="CM275" s="51">
        <f t="shared" si="605"/>
        <v>0</v>
      </c>
      <c r="CN275" s="33">
        <f>ROUND(IF(BS275=0,0,HLOOKUP(BS$14,Villagers!$B$1:$V$33,BS275+3,FALSE)),)</f>
        <v>5</v>
      </c>
      <c r="CO275" s="14">
        <f>ROUND(IF(BT275=0,0,HLOOKUP(BT$14,Villagers!$B$1:$V$33,BT275+3,FALSE)),)</f>
        <v>0</v>
      </c>
      <c r="CP275" s="14">
        <f>ROUND(IF(BU275=0,0,HLOOKUP(BU$14,Villagers!$B$1:$V$33,BU275+3,FALSE)),)</f>
        <v>0</v>
      </c>
      <c r="CQ275" s="14">
        <f>ROUND(IF(BV275=0,0,HLOOKUP(BV$14,Villagers!$B$1:$V$33,BV275+3,FALSE)),)</f>
        <v>0</v>
      </c>
      <c r="CR275" s="14">
        <f>ROUND(IF(BW275=0,0,HLOOKUP(BW$14,Villagers!$B$1:$V$33,BW275+3,FALSE)),)</f>
        <v>0</v>
      </c>
      <c r="CS275" s="14">
        <f>ROUND(IF(BX275=0,0,HLOOKUP(BX$14,Villagers!$B$1:$V$33,BX275+3,FALSE)),)</f>
        <v>0</v>
      </c>
      <c r="CT275" s="14">
        <f>ROUND(IF(BY275=0,0,HLOOKUP(BY$14,Villagers!$B$1:$V$33,BY275+3,FALSE)),)</f>
        <v>0</v>
      </c>
      <c r="CU275" s="14">
        <f>ROUND(IF(BZ275=0,0,HLOOKUP(BZ$14,Villagers!$B$1:$V$33,BZ275+3,FALSE)),)</f>
        <v>0</v>
      </c>
      <c r="CV275" s="14">
        <f>ROUND(IF(CA275=0,0,HLOOKUP(CA$14,Villagers!$B$1:$V$33,CA275+3,FALSE)),)</f>
        <v>0</v>
      </c>
      <c r="CW275" s="14">
        <f>ROUND(IF(CB275=0,0,HLOOKUP(CB$14,Villagers!$B$1:$V$33,CB275+3,FALSE)),)</f>
        <v>0</v>
      </c>
      <c r="CX275" s="14">
        <f>ROUND(IF(CC275=0,0,HLOOKUP(CC$14,Villagers!$B$1:$V$33,CC275+3,FALSE)),)</f>
        <v>0</v>
      </c>
      <c r="CY275" s="14">
        <f>ROUND(IF(CD275=0,0,HLOOKUP(CD$14,Villagers!$B$1:$V$33,CD275+3,FALSE)),)</f>
        <v>0</v>
      </c>
      <c r="CZ275" s="14">
        <f>ROUND(IF(CE275=0,0,HLOOKUP(CE$14,Villagers!$B$1:$V$33,CE275+3,FALSE)),)</f>
        <v>5</v>
      </c>
      <c r="DA275" s="14">
        <f>ROUND(IF(CF275=0,0,HLOOKUP(CF$14,Villagers!$B$1:$V$33,CF275+3,FALSE)),)</f>
        <v>10</v>
      </c>
      <c r="DB275" s="14">
        <f>ROUND(IF(CG275=0,0,HLOOKUP(CG$14,Villagers!$B$1:$V$33,CG275+3,FALSE)),)</f>
        <v>10</v>
      </c>
      <c r="DC275" s="14">
        <f>ROUND(IF(CH275=0,0,HLOOKUP(CH$14,Villagers!$B$1:$V$33,CH275+3,FALSE)),)</f>
        <v>0</v>
      </c>
      <c r="DD275" s="14">
        <f>ROUND(IF(CI275=0,0,HLOOKUP(CI$14,Villagers!$B$1:$V$33,CI275+3,FALSE)),)</f>
        <v>0</v>
      </c>
      <c r="DE275" s="14">
        <f>ROUND(IF(CJ275=0,0,HLOOKUP(CJ$14,Villagers!$B$1:$V$33,CJ275+3,FALSE)),)</f>
        <v>2</v>
      </c>
      <c r="DF275" s="370">
        <f>ROUND(IF(CK275=0,0,HLOOKUP(CK$14,Villagers!$B$1:$V$33,CK275+3,FALSE)),)</f>
        <v>0</v>
      </c>
      <c r="DG275" s="370">
        <f>ROUND(IF(CL275=0,0,HLOOKUP(CL$14,Villagers!$B$1:$V$33,CL275+3,FALSE)),)</f>
        <v>0</v>
      </c>
      <c r="DH275" s="34">
        <f>ROUND(IF(CM275=0,0,HLOOKUP(CM$14,Villagers!$B$1:$V$33,CM275+3,FALSE)),)</f>
        <v>0</v>
      </c>
      <c r="DI275" s="109">
        <f t="shared" si="679"/>
        <v>0</v>
      </c>
      <c r="DJ275" s="50">
        <f t="shared" si="680"/>
        <v>0</v>
      </c>
      <c r="DK275" s="50">
        <f t="shared" si="681"/>
        <v>0</v>
      </c>
      <c r="DL275" s="50">
        <f t="shared" si="682"/>
        <v>0</v>
      </c>
      <c r="DM275" s="50">
        <f t="shared" si="683"/>
        <v>0</v>
      </c>
      <c r="DN275" s="50">
        <f t="shared" si="684"/>
        <v>0</v>
      </c>
      <c r="DO275" s="50">
        <f t="shared" si="685"/>
        <v>0</v>
      </c>
      <c r="DP275" s="50">
        <f t="shared" si="686"/>
        <v>0</v>
      </c>
      <c r="DQ275" s="50">
        <f t="shared" si="663"/>
        <v>0</v>
      </c>
      <c r="DR275" s="50">
        <f t="shared" si="664"/>
        <v>0</v>
      </c>
      <c r="DS275" s="96">
        <f>Miscelaneous!$D$4*Miscelaneous!$D$2^($CI275-1)</f>
        <v>1000</v>
      </c>
      <c r="DT275" s="333">
        <f t="shared" si="643"/>
        <v>1</v>
      </c>
      <c r="DU275" s="81">
        <v>1</v>
      </c>
      <c r="DV275" s="79">
        <f t="shared" si="665"/>
        <v>0</v>
      </c>
      <c r="DW275" s="79">
        <f t="shared" si="666"/>
        <v>0</v>
      </c>
      <c r="DX275" s="79">
        <f t="shared" si="667"/>
        <v>0</v>
      </c>
      <c r="DY275" s="79">
        <v>1</v>
      </c>
      <c r="DZ275" s="79">
        <f t="shared" si="668"/>
        <v>0</v>
      </c>
      <c r="EA275" s="79">
        <f t="shared" si="669"/>
        <v>0</v>
      </c>
      <c r="EB275" s="79">
        <f t="shared" si="670"/>
        <v>0</v>
      </c>
      <c r="EC275" s="79">
        <f t="shared" si="671"/>
        <v>0</v>
      </c>
      <c r="ED275" s="79">
        <v>1</v>
      </c>
      <c r="EE275" s="79">
        <v>1</v>
      </c>
      <c r="EF275" s="79">
        <f t="shared" si="672"/>
        <v>0</v>
      </c>
      <c r="EG275" s="79">
        <v>1</v>
      </c>
      <c r="EH275" s="79">
        <v>1</v>
      </c>
      <c r="EI275" s="79">
        <v>1</v>
      </c>
      <c r="EJ275" s="79">
        <v>1</v>
      </c>
      <c r="EK275" s="79">
        <v>1</v>
      </c>
      <c r="EL275" s="79">
        <v>1</v>
      </c>
      <c r="EM275" s="143">
        <f t="shared" si="673"/>
        <v>0</v>
      </c>
      <c r="EN275" s="143">
        <f t="shared" si="674"/>
        <v>0</v>
      </c>
      <c r="EO275" s="82">
        <f t="shared" si="675"/>
        <v>0</v>
      </c>
    </row>
    <row r="276" spans="1:145" x14ac:dyDescent="0.25">
      <c r="A276">
        <v>262</v>
      </c>
      <c r="B276" s="172" t="e">
        <f t="shared" si="644"/>
        <v>#N/A</v>
      </c>
      <c r="C276" s="121" t="e">
        <f t="shared" ref="C276:E276" si="689">AJ276-SUM(AB276:AB280)</f>
        <v>#N/A</v>
      </c>
      <c r="D276" s="122" t="e">
        <f t="shared" si="689"/>
        <v>#N/A</v>
      </c>
      <c r="E276" s="122" t="e">
        <f t="shared" si="689"/>
        <v>#N/A</v>
      </c>
      <c r="F276" s="176" t="e">
        <f t="shared" si="626"/>
        <v>#N/A</v>
      </c>
      <c r="G276" s="121">
        <f t="shared" si="646"/>
        <v>208</v>
      </c>
      <c r="H276" s="176" t="e">
        <f t="shared" si="647"/>
        <v>#N/A</v>
      </c>
      <c r="I276" s="48">
        <v>1</v>
      </c>
      <c r="J276" s="39"/>
      <c r="K276" s="350">
        <v>1</v>
      </c>
      <c r="L276" s="34" t="e">
        <f t="shared" si="627"/>
        <v>#N/A</v>
      </c>
      <c r="M276" s="38" t="e">
        <f>(HLOOKUP(J276,'Construction Times'!$B$3:$W$34,L276+2,FALSE)*HLOOKUP("hq modifier",'Construction Times'!$W$3:$W$34,BS276+2,FALSE))*(1-$H$9)</f>
        <v>#N/A</v>
      </c>
      <c r="N276" s="426" t="e">
        <f t="shared" si="648"/>
        <v>#N/A</v>
      </c>
      <c r="O276" s="427"/>
      <c r="P276" s="430" t="e">
        <f t="shared" si="649"/>
        <v>#N/A</v>
      </c>
      <c r="Q276" s="431"/>
      <c r="R276" s="103">
        <f t="shared" si="677"/>
        <v>0</v>
      </c>
      <c r="S276" s="104">
        <f t="shared" si="677"/>
        <v>0</v>
      </c>
      <c r="T276" s="104">
        <f t="shared" si="678"/>
        <v>0</v>
      </c>
      <c r="U276" s="104">
        <f t="shared" si="678"/>
        <v>0</v>
      </c>
      <c r="V276" s="104">
        <f t="shared" si="678"/>
        <v>9.9999999999999995E-8</v>
      </c>
      <c r="W276" s="104">
        <f t="shared" si="678"/>
        <v>0</v>
      </c>
      <c r="X276" s="104">
        <f t="shared" si="584"/>
        <v>0</v>
      </c>
      <c r="Y276" s="104">
        <f t="shared" si="584"/>
        <v>9.9999999999999995E-8</v>
      </c>
      <c r="Z276" s="104">
        <f t="shared" si="584"/>
        <v>9.9999999999999995E-8</v>
      </c>
      <c r="AA276" s="105">
        <f t="shared" si="584"/>
        <v>9.9999999999999995E-8</v>
      </c>
      <c r="AB276" s="101" t="e">
        <f>$DT276*HLOOKUP($J276,'Construction Costs (timber)'!$B$1:$V$32,'Construction Planner'!$L276+2,FALSE)</f>
        <v>#N/A</v>
      </c>
      <c r="AC276" s="14" t="e">
        <f>$DT276*HLOOKUP($J276,'Construction Costs (clay)'!$B$1:$V$32,'Construction Planner'!$L276+2,FALSE)</f>
        <v>#N/A</v>
      </c>
      <c r="AD276" s="14" t="e">
        <f>$DT276*HLOOKUP($J276,'Construction Costs (iron)'!$B$1:$V$32,'Construction Planner'!$L276+2,FALSE)</f>
        <v>#N/A</v>
      </c>
      <c r="AE276" s="34" t="e">
        <f t="shared" ref="AE276:AE339" si="690">SUM(AB276:AD276)</f>
        <v>#N/A</v>
      </c>
      <c r="AF276" s="33" t="e">
        <f t="shared" si="628"/>
        <v>#N/A</v>
      </c>
      <c r="AG276" s="14" t="e">
        <f t="shared" si="629"/>
        <v>#N/A</v>
      </c>
      <c r="AH276" s="14" t="e">
        <f t="shared" si="630"/>
        <v>#N/A</v>
      </c>
      <c r="AI276" s="34" t="e">
        <f t="shared" ref="AI276:AI339" si="691">SUM(AF276:AH276)</f>
        <v>#N/A</v>
      </c>
      <c r="AJ276" s="49" t="e">
        <f t="shared" si="651"/>
        <v>#N/A</v>
      </c>
      <c r="AK276" s="49" t="e">
        <f t="shared" si="652"/>
        <v>#N/A</v>
      </c>
      <c r="AL276" s="49" t="e">
        <f t="shared" si="653"/>
        <v>#N/A</v>
      </c>
      <c r="AM276" s="25">
        <f t="shared" si="631"/>
        <v>30</v>
      </c>
      <c r="AN276" s="25">
        <f t="shared" si="632"/>
        <v>30</v>
      </c>
      <c r="AO276" s="25">
        <f t="shared" si="633"/>
        <v>30</v>
      </c>
      <c r="AP276" s="52" t="e">
        <f t="shared" si="654"/>
        <v>#N/A</v>
      </c>
      <c r="AQ276" s="53" t="e">
        <f t="shared" si="654"/>
        <v>#N/A</v>
      </c>
      <c r="AR276" s="54" t="e">
        <f t="shared" si="654"/>
        <v>#N/A</v>
      </c>
      <c r="AS276" s="316">
        <f t="shared" ref="AS276:AS291" si="692">AS275</f>
        <v>0</v>
      </c>
      <c r="AT276" s="106">
        <f>_xlfn.IFNA($M276/VLOOKUP($BT276,'Unit information'!$A$2:$K$29,2,FALSE)*R276,0)*(1+$E$9)</f>
        <v>0</v>
      </c>
      <c r="AU276" s="107">
        <f>_xlfn.IFNA($M276/VLOOKUP($BT276,'Unit information'!$A$2:$K$29,3,FALSE)*S276,0)*(1+$E$9)</f>
        <v>0</v>
      </c>
      <c r="AV276" s="107">
        <f>_xlfn.IFNA($M276/VLOOKUP($BT276,'Unit information'!$A$2:$K$29,4,FALSE)*T276,0)*(1+$E$9)</f>
        <v>0</v>
      </c>
      <c r="AW276" s="107">
        <f>_xlfn.IFNA($M276/VLOOKUP($BT276,'Unit information'!$A$2:$K$29,5,FALSE)*U276,0)*(1+$E$9)</f>
        <v>0</v>
      </c>
      <c r="AX276" s="107">
        <f>_xlfn.IFNA($M276/VLOOKUP($BU276,'Unit information'!$A$2:$K$29,6,FALSE)*V276,0)*(1+$E$9)</f>
        <v>0</v>
      </c>
      <c r="AY276" s="107">
        <f>_xlfn.IFNA($M276/VLOOKUP($BU276,'Unit information'!$A$2:$K$29,7,FALSE)*W276,0)*(1+$E$9)</f>
        <v>0</v>
      </c>
      <c r="AZ276" s="107">
        <f>_xlfn.IFNA($M276/VLOOKUP($BU276,'Unit information'!$A$2:$K$29,8,FALSE)*X276,0)*(1+$E$9)</f>
        <v>0</v>
      </c>
      <c r="BA276" s="107">
        <f>_xlfn.IFNA($M276/VLOOKUP($BU276,'Unit information'!$A$2:$K$29,9,FALSE)*Y276,0)*(1+$E$9)</f>
        <v>0</v>
      </c>
      <c r="BB276" s="107">
        <f>_xlfn.IFNA($M276/VLOOKUP($BV276,'Unit information'!$A$2:$K$29,10,FALSE)*Z276,0)*(1+$E$9)</f>
        <v>0</v>
      </c>
      <c r="BC276" s="108">
        <f>_xlfn.IFNA($M276/VLOOKUP($BV276,'Unit information'!$A$2:$K$29,11,FALSE)*AA276,0)*(1+$E$9)</f>
        <v>0</v>
      </c>
      <c r="BD276" s="106">
        <f t="shared" si="634"/>
        <v>0</v>
      </c>
      <c r="BE276" s="107">
        <f t="shared" si="635"/>
        <v>0</v>
      </c>
      <c r="BF276" s="108">
        <f t="shared" si="636"/>
        <v>0</v>
      </c>
      <c r="BG276" s="25" t="e">
        <f t="shared" si="637"/>
        <v>#N/A</v>
      </c>
      <c r="BH276" s="25" t="e">
        <f t="shared" si="638"/>
        <v>#N/A</v>
      </c>
      <c r="BI276" s="25" t="e">
        <f t="shared" si="639"/>
        <v>#N/A</v>
      </c>
      <c r="BJ276" s="27" t="e">
        <f t="shared" si="640"/>
        <v>#N/A</v>
      </c>
      <c r="BK276" s="18" t="e">
        <f t="shared" si="641"/>
        <v>#N/A</v>
      </c>
      <c r="BL276" s="18" t="e">
        <f t="shared" si="642"/>
        <v>#N/A</v>
      </c>
      <c r="BM276" s="28" t="e">
        <f t="shared" ref="BM276:BM339" si="693">MAX(BJ276:BL276)</f>
        <v>#N/A</v>
      </c>
      <c r="BN276" s="33">
        <f>HLOOKUP("maximum population",Miscelaneous!$C$1:$C$33,CH276+3,FALSE)</f>
        <v>240</v>
      </c>
      <c r="BO276" s="14">
        <f t="shared" si="655"/>
        <v>32</v>
      </c>
      <c r="BP276" s="14">
        <f t="shared" si="656"/>
        <v>0</v>
      </c>
      <c r="BQ276" s="14">
        <f t="shared" si="657"/>
        <v>208</v>
      </c>
      <c r="BR276" s="34" t="e">
        <f>HLOOKUP(J276,Villagers!$B$1:$V$33,L276+3,FALSE)-HLOOKUP(J276,Villagers!$B$1:$V$33,L276+2,FALSE)</f>
        <v>#N/A</v>
      </c>
      <c r="BS276" s="49">
        <f t="shared" si="658"/>
        <v>1</v>
      </c>
      <c r="BT276" s="50">
        <f t="shared" si="659"/>
        <v>0</v>
      </c>
      <c r="BU276" s="50">
        <f t="shared" si="660"/>
        <v>0</v>
      </c>
      <c r="BV276" s="50">
        <f t="shared" si="661"/>
        <v>0</v>
      </c>
      <c r="BW276" s="50">
        <f t="shared" si="662"/>
        <v>0</v>
      </c>
      <c r="BX276" s="50">
        <f t="shared" si="662"/>
        <v>0</v>
      </c>
      <c r="BY276" s="50">
        <f t="shared" si="662"/>
        <v>0</v>
      </c>
      <c r="BZ276" s="50">
        <f t="shared" si="554"/>
        <v>0</v>
      </c>
      <c r="CA276" s="50">
        <f t="shared" si="555"/>
        <v>0</v>
      </c>
      <c r="CB276" s="50">
        <f t="shared" si="556"/>
        <v>1</v>
      </c>
      <c r="CC276" s="50">
        <f t="shared" si="557"/>
        <v>0</v>
      </c>
      <c r="CD276" s="50">
        <f t="shared" si="558"/>
        <v>0</v>
      </c>
      <c r="CE276" s="50">
        <f t="shared" si="559"/>
        <v>1</v>
      </c>
      <c r="CF276" s="50">
        <f t="shared" si="560"/>
        <v>1</v>
      </c>
      <c r="CG276" s="50">
        <f t="shared" si="561"/>
        <v>1</v>
      </c>
      <c r="CH276" s="50">
        <f t="shared" si="562"/>
        <v>1</v>
      </c>
      <c r="CI276" s="50">
        <f t="shared" si="563"/>
        <v>1</v>
      </c>
      <c r="CJ276" s="50">
        <f t="shared" si="564"/>
        <v>1</v>
      </c>
      <c r="CK276" s="50">
        <f t="shared" si="564"/>
        <v>0</v>
      </c>
      <c r="CL276" s="50">
        <f t="shared" si="564"/>
        <v>0</v>
      </c>
      <c r="CM276" s="51">
        <f t="shared" si="605"/>
        <v>0</v>
      </c>
      <c r="CN276" s="33">
        <f>ROUND(IF(BS276=0,0,HLOOKUP(BS$14,Villagers!$B$1:$V$33,BS276+3,FALSE)),)</f>
        <v>5</v>
      </c>
      <c r="CO276" s="14">
        <f>ROUND(IF(BT276=0,0,HLOOKUP(BT$14,Villagers!$B$1:$V$33,BT276+3,FALSE)),)</f>
        <v>0</v>
      </c>
      <c r="CP276" s="14">
        <f>ROUND(IF(BU276=0,0,HLOOKUP(BU$14,Villagers!$B$1:$V$33,BU276+3,FALSE)),)</f>
        <v>0</v>
      </c>
      <c r="CQ276" s="14">
        <f>ROUND(IF(BV276=0,0,HLOOKUP(BV$14,Villagers!$B$1:$V$33,BV276+3,FALSE)),)</f>
        <v>0</v>
      </c>
      <c r="CR276" s="14">
        <f>ROUND(IF(BW276=0,0,HLOOKUP(BW$14,Villagers!$B$1:$V$33,BW276+3,FALSE)),)</f>
        <v>0</v>
      </c>
      <c r="CS276" s="14">
        <f>ROUND(IF(BX276=0,0,HLOOKUP(BX$14,Villagers!$B$1:$V$33,BX276+3,FALSE)),)</f>
        <v>0</v>
      </c>
      <c r="CT276" s="14">
        <f>ROUND(IF(BY276=0,0,HLOOKUP(BY$14,Villagers!$B$1:$V$33,BY276+3,FALSE)),)</f>
        <v>0</v>
      </c>
      <c r="CU276" s="14">
        <f>ROUND(IF(BZ276=0,0,HLOOKUP(BZ$14,Villagers!$B$1:$V$33,BZ276+3,FALSE)),)</f>
        <v>0</v>
      </c>
      <c r="CV276" s="14">
        <f>ROUND(IF(CA276=0,0,HLOOKUP(CA$14,Villagers!$B$1:$V$33,CA276+3,FALSE)),)</f>
        <v>0</v>
      </c>
      <c r="CW276" s="14">
        <f>ROUND(IF(CB276=0,0,HLOOKUP(CB$14,Villagers!$B$1:$V$33,CB276+3,FALSE)),)</f>
        <v>0</v>
      </c>
      <c r="CX276" s="14">
        <f>ROUND(IF(CC276=0,0,HLOOKUP(CC$14,Villagers!$B$1:$V$33,CC276+3,FALSE)),)</f>
        <v>0</v>
      </c>
      <c r="CY276" s="14">
        <f>ROUND(IF(CD276=0,0,HLOOKUP(CD$14,Villagers!$B$1:$V$33,CD276+3,FALSE)),)</f>
        <v>0</v>
      </c>
      <c r="CZ276" s="14">
        <f>ROUND(IF(CE276=0,0,HLOOKUP(CE$14,Villagers!$B$1:$V$33,CE276+3,FALSE)),)</f>
        <v>5</v>
      </c>
      <c r="DA276" s="14">
        <f>ROUND(IF(CF276=0,0,HLOOKUP(CF$14,Villagers!$B$1:$V$33,CF276+3,FALSE)),)</f>
        <v>10</v>
      </c>
      <c r="DB276" s="14">
        <f>ROUND(IF(CG276=0,0,HLOOKUP(CG$14,Villagers!$B$1:$V$33,CG276+3,FALSE)),)</f>
        <v>10</v>
      </c>
      <c r="DC276" s="14">
        <f>ROUND(IF(CH276=0,0,HLOOKUP(CH$14,Villagers!$B$1:$V$33,CH276+3,FALSE)),)</f>
        <v>0</v>
      </c>
      <c r="DD276" s="14">
        <f>ROUND(IF(CI276=0,0,HLOOKUP(CI$14,Villagers!$B$1:$V$33,CI276+3,FALSE)),)</f>
        <v>0</v>
      </c>
      <c r="DE276" s="14">
        <f>ROUND(IF(CJ276=0,0,HLOOKUP(CJ$14,Villagers!$B$1:$V$33,CJ276+3,FALSE)),)</f>
        <v>2</v>
      </c>
      <c r="DF276" s="370">
        <f>ROUND(IF(CK276=0,0,HLOOKUP(CK$14,Villagers!$B$1:$V$33,CK276+3,FALSE)),)</f>
        <v>0</v>
      </c>
      <c r="DG276" s="370">
        <f>ROUND(IF(CL276=0,0,HLOOKUP(CL$14,Villagers!$B$1:$V$33,CL276+3,FALSE)),)</f>
        <v>0</v>
      </c>
      <c r="DH276" s="34">
        <f>ROUND(IF(CM276=0,0,HLOOKUP(CM$14,Villagers!$B$1:$V$33,CM276+3,FALSE)),)</f>
        <v>0</v>
      </c>
      <c r="DI276" s="109">
        <f t="shared" si="679"/>
        <v>0</v>
      </c>
      <c r="DJ276" s="50">
        <f t="shared" si="680"/>
        <v>0</v>
      </c>
      <c r="DK276" s="50">
        <f t="shared" si="681"/>
        <v>0</v>
      </c>
      <c r="DL276" s="50">
        <f t="shared" si="682"/>
        <v>0</v>
      </c>
      <c r="DM276" s="50">
        <f t="shared" si="683"/>
        <v>0</v>
      </c>
      <c r="DN276" s="50">
        <f t="shared" si="684"/>
        <v>0</v>
      </c>
      <c r="DO276" s="50">
        <f t="shared" si="685"/>
        <v>0</v>
      </c>
      <c r="DP276" s="50">
        <f t="shared" si="686"/>
        <v>0</v>
      </c>
      <c r="DQ276" s="50">
        <f t="shared" si="663"/>
        <v>0</v>
      </c>
      <c r="DR276" s="50">
        <f t="shared" si="664"/>
        <v>0</v>
      </c>
      <c r="DS276" s="96">
        <f>Miscelaneous!$D$4*Miscelaneous!$D$2^($CI276-1)</f>
        <v>1000</v>
      </c>
      <c r="DT276" s="333">
        <f t="shared" si="643"/>
        <v>1</v>
      </c>
      <c r="DU276" s="81">
        <v>1</v>
      </c>
      <c r="DV276" s="79">
        <f t="shared" si="665"/>
        <v>0</v>
      </c>
      <c r="DW276" s="79">
        <f t="shared" si="666"/>
        <v>0</v>
      </c>
      <c r="DX276" s="79">
        <f t="shared" si="667"/>
        <v>0</v>
      </c>
      <c r="DY276" s="79">
        <v>1</v>
      </c>
      <c r="DZ276" s="79">
        <f t="shared" si="668"/>
        <v>0</v>
      </c>
      <c r="EA276" s="79">
        <f t="shared" si="669"/>
        <v>0</v>
      </c>
      <c r="EB276" s="79">
        <f t="shared" si="670"/>
        <v>0</v>
      </c>
      <c r="EC276" s="79">
        <f t="shared" si="671"/>
        <v>0</v>
      </c>
      <c r="ED276" s="79">
        <v>1</v>
      </c>
      <c r="EE276" s="79">
        <v>1</v>
      </c>
      <c r="EF276" s="79">
        <f t="shared" si="672"/>
        <v>0</v>
      </c>
      <c r="EG276" s="79">
        <v>1</v>
      </c>
      <c r="EH276" s="79">
        <v>1</v>
      </c>
      <c r="EI276" s="79">
        <v>1</v>
      </c>
      <c r="EJ276" s="79">
        <v>1</v>
      </c>
      <c r="EK276" s="79">
        <v>1</v>
      </c>
      <c r="EL276" s="79">
        <v>1</v>
      </c>
      <c r="EM276" s="143">
        <f t="shared" si="673"/>
        <v>0</v>
      </c>
      <c r="EN276" s="143">
        <f t="shared" si="674"/>
        <v>0</v>
      </c>
      <c r="EO276" s="82">
        <f t="shared" si="675"/>
        <v>0</v>
      </c>
    </row>
    <row r="277" spans="1:145" x14ac:dyDescent="0.25">
      <c r="A277">
        <v>263</v>
      </c>
      <c r="B277" s="172" t="e">
        <f t="shared" si="644"/>
        <v>#N/A</v>
      </c>
      <c r="C277" s="121" t="e">
        <f t="shared" ref="C277:E277" si="694">AJ277-SUM(AB277:AB281)</f>
        <v>#N/A</v>
      </c>
      <c r="D277" s="122" t="e">
        <f t="shared" si="694"/>
        <v>#N/A</v>
      </c>
      <c r="E277" s="122" t="e">
        <f t="shared" si="694"/>
        <v>#N/A</v>
      </c>
      <c r="F277" s="176" t="e">
        <f t="shared" si="626"/>
        <v>#N/A</v>
      </c>
      <c r="G277" s="121">
        <f t="shared" si="646"/>
        <v>208</v>
      </c>
      <c r="H277" s="176" t="e">
        <f t="shared" si="647"/>
        <v>#N/A</v>
      </c>
      <c r="I277" s="48">
        <v>1</v>
      </c>
      <c r="J277" s="39"/>
      <c r="K277" s="350">
        <v>1</v>
      </c>
      <c r="L277" s="34" t="e">
        <f t="shared" si="627"/>
        <v>#N/A</v>
      </c>
      <c r="M277" s="38" t="e">
        <f>(HLOOKUP(J277,'Construction Times'!$B$3:$W$34,L277+2,FALSE)*HLOOKUP("hq modifier",'Construction Times'!$W$3:$W$34,BS277+2,FALSE))*(1-$H$9)</f>
        <v>#N/A</v>
      </c>
      <c r="N277" s="426" t="e">
        <f t="shared" si="648"/>
        <v>#N/A</v>
      </c>
      <c r="O277" s="427"/>
      <c r="P277" s="430" t="e">
        <f t="shared" si="649"/>
        <v>#N/A</v>
      </c>
      <c r="Q277" s="431"/>
      <c r="R277" s="103">
        <f t="shared" si="677"/>
        <v>0</v>
      </c>
      <c r="S277" s="104">
        <f t="shared" si="677"/>
        <v>0</v>
      </c>
      <c r="T277" s="104">
        <f t="shared" si="678"/>
        <v>0</v>
      </c>
      <c r="U277" s="104">
        <f t="shared" si="678"/>
        <v>0</v>
      </c>
      <c r="V277" s="104">
        <f t="shared" si="678"/>
        <v>9.9999999999999995E-8</v>
      </c>
      <c r="W277" s="104">
        <f t="shared" si="678"/>
        <v>0</v>
      </c>
      <c r="X277" s="104">
        <f t="shared" si="584"/>
        <v>0</v>
      </c>
      <c r="Y277" s="104">
        <f t="shared" si="584"/>
        <v>9.9999999999999995E-8</v>
      </c>
      <c r="Z277" s="104">
        <f t="shared" si="584"/>
        <v>9.9999999999999995E-8</v>
      </c>
      <c r="AA277" s="105">
        <f t="shared" si="584"/>
        <v>9.9999999999999995E-8</v>
      </c>
      <c r="AB277" s="101" t="e">
        <f>$DT277*HLOOKUP($J277,'Construction Costs (timber)'!$B$1:$V$32,'Construction Planner'!$L277+2,FALSE)</f>
        <v>#N/A</v>
      </c>
      <c r="AC277" s="14" t="e">
        <f>$DT277*HLOOKUP($J277,'Construction Costs (clay)'!$B$1:$V$32,'Construction Planner'!$L277+2,FALSE)</f>
        <v>#N/A</v>
      </c>
      <c r="AD277" s="14" t="e">
        <f>$DT277*HLOOKUP($J277,'Construction Costs (iron)'!$B$1:$V$32,'Construction Planner'!$L277+2,FALSE)</f>
        <v>#N/A</v>
      </c>
      <c r="AE277" s="34" t="e">
        <f t="shared" si="690"/>
        <v>#N/A</v>
      </c>
      <c r="AF277" s="33" t="e">
        <f t="shared" si="628"/>
        <v>#N/A</v>
      </c>
      <c r="AG277" s="14" t="e">
        <f t="shared" si="629"/>
        <v>#N/A</v>
      </c>
      <c r="AH277" s="14" t="e">
        <f t="shared" si="630"/>
        <v>#N/A</v>
      </c>
      <c r="AI277" s="34" t="e">
        <f t="shared" si="691"/>
        <v>#N/A</v>
      </c>
      <c r="AJ277" s="49" t="e">
        <f t="shared" si="651"/>
        <v>#N/A</v>
      </c>
      <c r="AK277" s="49" t="e">
        <f t="shared" si="652"/>
        <v>#N/A</v>
      </c>
      <c r="AL277" s="49" t="e">
        <f t="shared" si="653"/>
        <v>#N/A</v>
      </c>
      <c r="AM277" s="25">
        <f t="shared" si="631"/>
        <v>30</v>
      </c>
      <c r="AN277" s="25">
        <f t="shared" si="632"/>
        <v>30</v>
      </c>
      <c r="AO277" s="25">
        <f t="shared" si="633"/>
        <v>30</v>
      </c>
      <c r="AP277" s="52" t="e">
        <f t="shared" si="654"/>
        <v>#N/A</v>
      </c>
      <c r="AQ277" s="53" t="e">
        <f t="shared" si="654"/>
        <v>#N/A</v>
      </c>
      <c r="AR277" s="54" t="e">
        <f t="shared" si="654"/>
        <v>#N/A</v>
      </c>
      <c r="AS277" s="316">
        <f t="shared" si="692"/>
        <v>0</v>
      </c>
      <c r="AT277" s="106">
        <f>_xlfn.IFNA($M277/VLOOKUP($BT277,'Unit information'!$A$2:$K$29,2,FALSE)*R277,0)*(1+$E$9)</f>
        <v>0</v>
      </c>
      <c r="AU277" s="107">
        <f>_xlfn.IFNA($M277/VLOOKUP($BT277,'Unit information'!$A$2:$K$29,3,FALSE)*S277,0)*(1+$E$9)</f>
        <v>0</v>
      </c>
      <c r="AV277" s="107">
        <f>_xlfn.IFNA($M277/VLOOKUP($BT277,'Unit information'!$A$2:$K$29,4,FALSE)*T277,0)*(1+$E$9)</f>
        <v>0</v>
      </c>
      <c r="AW277" s="107">
        <f>_xlfn.IFNA($M277/VLOOKUP($BT277,'Unit information'!$A$2:$K$29,5,FALSE)*U277,0)*(1+$E$9)</f>
        <v>0</v>
      </c>
      <c r="AX277" s="107">
        <f>_xlfn.IFNA($M277/VLOOKUP($BU277,'Unit information'!$A$2:$K$29,6,FALSE)*V277,0)*(1+$E$9)</f>
        <v>0</v>
      </c>
      <c r="AY277" s="107">
        <f>_xlfn.IFNA($M277/VLOOKUP($BU277,'Unit information'!$A$2:$K$29,7,FALSE)*W277,0)*(1+$E$9)</f>
        <v>0</v>
      </c>
      <c r="AZ277" s="107">
        <f>_xlfn.IFNA($M277/VLOOKUP($BU277,'Unit information'!$A$2:$K$29,8,FALSE)*X277,0)*(1+$E$9)</f>
        <v>0</v>
      </c>
      <c r="BA277" s="107">
        <f>_xlfn.IFNA($M277/VLOOKUP($BU277,'Unit information'!$A$2:$K$29,9,FALSE)*Y277,0)*(1+$E$9)</f>
        <v>0</v>
      </c>
      <c r="BB277" s="107">
        <f>_xlfn.IFNA($M277/VLOOKUP($BV277,'Unit information'!$A$2:$K$29,10,FALSE)*Z277,0)*(1+$E$9)</f>
        <v>0</v>
      </c>
      <c r="BC277" s="108">
        <f>_xlfn.IFNA($M277/VLOOKUP($BV277,'Unit information'!$A$2:$K$29,11,FALSE)*AA277,0)*(1+$E$9)</f>
        <v>0</v>
      </c>
      <c r="BD277" s="106">
        <f t="shared" si="634"/>
        <v>0</v>
      </c>
      <c r="BE277" s="107">
        <f t="shared" si="635"/>
        <v>0</v>
      </c>
      <c r="BF277" s="108">
        <f t="shared" si="636"/>
        <v>0</v>
      </c>
      <c r="BG277" s="25" t="e">
        <f t="shared" si="637"/>
        <v>#N/A</v>
      </c>
      <c r="BH277" s="25" t="e">
        <f t="shared" si="638"/>
        <v>#N/A</v>
      </c>
      <c r="BI277" s="25" t="e">
        <f t="shared" si="639"/>
        <v>#N/A</v>
      </c>
      <c r="BJ277" s="27" t="e">
        <f t="shared" si="640"/>
        <v>#N/A</v>
      </c>
      <c r="BK277" s="18" t="e">
        <f t="shared" si="641"/>
        <v>#N/A</v>
      </c>
      <c r="BL277" s="18" t="e">
        <f t="shared" si="642"/>
        <v>#N/A</v>
      </c>
      <c r="BM277" s="28" t="e">
        <f t="shared" si="693"/>
        <v>#N/A</v>
      </c>
      <c r="BN277" s="33">
        <f>HLOOKUP("maximum population",Miscelaneous!$C$1:$C$33,CH277+3,FALSE)</f>
        <v>240</v>
      </c>
      <c r="BO277" s="14">
        <f t="shared" si="655"/>
        <v>32</v>
      </c>
      <c r="BP277" s="14">
        <f t="shared" si="656"/>
        <v>0</v>
      </c>
      <c r="BQ277" s="14">
        <f t="shared" si="657"/>
        <v>208</v>
      </c>
      <c r="BR277" s="34" t="e">
        <f>HLOOKUP(J277,Villagers!$B$1:$V$33,L277+3,FALSE)-HLOOKUP(J277,Villagers!$B$1:$V$33,L277+2,FALSE)</f>
        <v>#N/A</v>
      </c>
      <c r="BS277" s="49">
        <f t="shared" si="658"/>
        <v>1</v>
      </c>
      <c r="BT277" s="50">
        <f t="shared" si="659"/>
        <v>0</v>
      </c>
      <c r="BU277" s="50">
        <f t="shared" si="660"/>
        <v>0</v>
      </c>
      <c r="BV277" s="50">
        <f t="shared" si="661"/>
        <v>0</v>
      </c>
      <c r="BW277" s="50">
        <f t="shared" si="662"/>
        <v>0</v>
      </c>
      <c r="BX277" s="50">
        <f t="shared" si="662"/>
        <v>0</v>
      </c>
      <c r="BY277" s="50">
        <f t="shared" si="662"/>
        <v>0</v>
      </c>
      <c r="BZ277" s="50">
        <f t="shared" si="554"/>
        <v>0</v>
      </c>
      <c r="CA277" s="50">
        <f t="shared" si="555"/>
        <v>0</v>
      </c>
      <c r="CB277" s="50">
        <f t="shared" si="556"/>
        <v>1</v>
      </c>
      <c r="CC277" s="50">
        <f t="shared" si="557"/>
        <v>0</v>
      </c>
      <c r="CD277" s="50">
        <f t="shared" si="558"/>
        <v>0</v>
      </c>
      <c r="CE277" s="50">
        <f t="shared" si="559"/>
        <v>1</v>
      </c>
      <c r="CF277" s="50">
        <f t="shared" si="560"/>
        <v>1</v>
      </c>
      <c r="CG277" s="50">
        <f t="shared" si="561"/>
        <v>1</v>
      </c>
      <c r="CH277" s="50">
        <f t="shared" si="562"/>
        <v>1</v>
      </c>
      <c r="CI277" s="50">
        <f t="shared" si="563"/>
        <v>1</v>
      </c>
      <c r="CJ277" s="50">
        <f t="shared" si="564"/>
        <v>1</v>
      </c>
      <c r="CK277" s="50">
        <f t="shared" si="564"/>
        <v>0</v>
      </c>
      <c r="CL277" s="50">
        <f t="shared" si="564"/>
        <v>0</v>
      </c>
      <c r="CM277" s="51">
        <f t="shared" si="605"/>
        <v>0</v>
      </c>
      <c r="CN277" s="33">
        <f>ROUND(IF(BS277=0,0,HLOOKUP(BS$14,Villagers!$B$1:$V$33,BS277+3,FALSE)),)</f>
        <v>5</v>
      </c>
      <c r="CO277" s="14">
        <f>ROUND(IF(BT277=0,0,HLOOKUP(BT$14,Villagers!$B$1:$V$33,BT277+3,FALSE)),)</f>
        <v>0</v>
      </c>
      <c r="CP277" s="14">
        <f>ROUND(IF(BU277=0,0,HLOOKUP(BU$14,Villagers!$B$1:$V$33,BU277+3,FALSE)),)</f>
        <v>0</v>
      </c>
      <c r="CQ277" s="14">
        <f>ROUND(IF(BV277=0,0,HLOOKUP(BV$14,Villagers!$B$1:$V$33,BV277+3,FALSE)),)</f>
        <v>0</v>
      </c>
      <c r="CR277" s="14">
        <f>ROUND(IF(BW277=0,0,HLOOKUP(BW$14,Villagers!$B$1:$V$33,BW277+3,FALSE)),)</f>
        <v>0</v>
      </c>
      <c r="CS277" s="14">
        <f>ROUND(IF(BX277=0,0,HLOOKUP(BX$14,Villagers!$B$1:$V$33,BX277+3,FALSE)),)</f>
        <v>0</v>
      </c>
      <c r="CT277" s="14">
        <f>ROUND(IF(BY277=0,0,HLOOKUP(BY$14,Villagers!$B$1:$V$33,BY277+3,FALSE)),)</f>
        <v>0</v>
      </c>
      <c r="CU277" s="14">
        <f>ROUND(IF(BZ277=0,0,HLOOKUP(BZ$14,Villagers!$B$1:$V$33,BZ277+3,FALSE)),)</f>
        <v>0</v>
      </c>
      <c r="CV277" s="14">
        <f>ROUND(IF(CA277=0,0,HLOOKUP(CA$14,Villagers!$B$1:$V$33,CA277+3,FALSE)),)</f>
        <v>0</v>
      </c>
      <c r="CW277" s="14">
        <f>ROUND(IF(CB277=0,0,HLOOKUP(CB$14,Villagers!$B$1:$V$33,CB277+3,FALSE)),)</f>
        <v>0</v>
      </c>
      <c r="CX277" s="14">
        <f>ROUND(IF(CC277=0,0,HLOOKUP(CC$14,Villagers!$B$1:$V$33,CC277+3,FALSE)),)</f>
        <v>0</v>
      </c>
      <c r="CY277" s="14">
        <f>ROUND(IF(CD277=0,0,HLOOKUP(CD$14,Villagers!$B$1:$V$33,CD277+3,FALSE)),)</f>
        <v>0</v>
      </c>
      <c r="CZ277" s="14">
        <f>ROUND(IF(CE277=0,0,HLOOKUP(CE$14,Villagers!$B$1:$V$33,CE277+3,FALSE)),)</f>
        <v>5</v>
      </c>
      <c r="DA277" s="14">
        <f>ROUND(IF(CF277=0,0,HLOOKUP(CF$14,Villagers!$B$1:$V$33,CF277+3,FALSE)),)</f>
        <v>10</v>
      </c>
      <c r="DB277" s="14">
        <f>ROUND(IF(CG277=0,0,HLOOKUP(CG$14,Villagers!$B$1:$V$33,CG277+3,FALSE)),)</f>
        <v>10</v>
      </c>
      <c r="DC277" s="14">
        <f>ROUND(IF(CH277=0,0,HLOOKUP(CH$14,Villagers!$B$1:$V$33,CH277+3,FALSE)),)</f>
        <v>0</v>
      </c>
      <c r="DD277" s="14">
        <f>ROUND(IF(CI277=0,0,HLOOKUP(CI$14,Villagers!$B$1:$V$33,CI277+3,FALSE)),)</f>
        <v>0</v>
      </c>
      <c r="DE277" s="14">
        <f>ROUND(IF(CJ277=0,0,HLOOKUP(CJ$14,Villagers!$B$1:$V$33,CJ277+3,FALSE)),)</f>
        <v>2</v>
      </c>
      <c r="DF277" s="370">
        <f>ROUND(IF(CK277=0,0,HLOOKUP(CK$14,Villagers!$B$1:$V$33,CK277+3,FALSE)),)</f>
        <v>0</v>
      </c>
      <c r="DG277" s="370">
        <f>ROUND(IF(CL277=0,0,HLOOKUP(CL$14,Villagers!$B$1:$V$33,CL277+3,FALSE)),)</f>
        <v>0</v>
      </c>
      <c r="DH277" s="34">
        <f>ROUND(IF(CM277=0,0,HLOOKUP(CM$14,Villagers!$B$1:$V$33,CM277+3,FALSE)),)</f>
        <v>0</v>
      </c>
      <c r="DI277" s="109">
        <f t="shared" si="679"/>
        <v>0</v>
      </c>
      <c r="DJ277" s="50">
        <f t="shared" si="680"/>
        <v>0</v>
      </c>
      <c r="DK277" s="50">
        <f t="shared" si="681"/>
        <v>0</v>
      </c>
      <c r="DL277" s="50">
        <f t="shared" si="682"/>
        <v>0</v>
      </c>
      <c r="DM277" s="50">
        <f t="shared" si="683"/>
        <v>0</v>
      </c>
      <c r="DN277" s="50">
        <f t="shared" si="684"/>
        <v>0</v>
      </c>
      <c r="DO277" s="50">
        <f t="shared" si="685"/>
        <v>0</v>
      </c>
      <c r="DP277" s="50">
        <f t="shared" si="686"/>
        <v>0</v>
      </c>
      <c r="DQ277" s="50">
        <f t="shared" si="663"/>
        <v>0</v>
      </c>
      <c r="DR277" s="50">
        <f t="shared" si="664"/>
        <v>0</v>
      </c>
      <c r="DS277" s="96">
        <f>Miscelaneous!$D$4*Miscelaneous!$D$2^($CI277-1)</f>
        <v>1000</v>
      </c>
      <c r="DT277" s="333">
        <f t="shared" si="643"/>
        <v>1</v>
      </c>
      <c r="DU277" s="81">
        <v>1</v>
      </c>
      <c r="DV277" s="79">
        <f t="shared" si="665"/>
        <v>0</v>
      </c>
      <c r="DW277" s="79">
        <f t="shared" si="666"/>
        <v>0</v>
      </c>
      <c r="DX277" s="79">
        <f t="shared" si="667"/>
        <v>0</v>
      </c>
      <c r="DY277" s="79">
        <v>1</v>
      </c>
      <c r="DZ277" s="79">
        <f t="shared" si="668"/>
        <v>0</v>
      </c>
      <c r="EA277" s="79">
        <f t="shared" si="669"/>
        <v>0</v>
      </c>
      <c r="EB277" s="79">
        <f t="shared" si="670"/>
        <v>0</v>
      </c>
      <c r="EC277" s="79">
        <f t="shared" si="671"/>
        <v>0</v>
      </c>
      <c r="ED277" s="79">
        <v>1</v>
      </c>
      <c r="EE277" s="79">
        <v>1</v>
      </c>
      <c r="EF277" s="79">
        <f t="shared" si="672"/>
        <v>0</v>
      </c>
      <c r="EG277" s="79">
        <v>1</v>
      </c>
      <c r="EH277" s="79">
        <v>1</v>
      </c>
      <c r="EI277" s="79">
        <v>1</v>
      </c>
      <c r="EJ277" s="79">
        <v>1</v>
      </c>
      <c r="EK277" s="79">
        <v>1</v>
      </c>
      <c r="EL277" s="79">
        <v>1</v>
      </c>
      <c r="EM277" s="143">
        <f t="shared" si="673"/>
        <v>0</v>
      </c>
      <c r="EN277" s="143">
        <f t="shared" si="674"/>
        <v>0</v>
      </c>
      <c r="EO277" s="82">
        <f t="shared" si="675"/>
        <v>0</v>
      </c>
    </row>
    <row r="278" spans="1:145" x14ac:dyDescent="0.25">
      <c r="A278">
        <v>264</v>
      </c>
      <c r="B278" s="172" t="e">
        <f t="shared" si="644"/>
        <v>#N/A</v>
      </c>
      <c r="C278" s="121" t="e">
        <f t="shared" ref="C278:E278" si="695">AJ278-SUM(AB278:AB282)</f>
        <v>#N/A</v>
      </c>
      <c r="D278" s="122" t="e">
        <f t="shared" si="695"/>
        <v>#N/A</v>
      </c>
      <c r="E278" s="122" t="e">
        <f t="shared" si="695"/>
        <v>#N/A</v>
      </c>
      <c r="F278" s="176" t="e">
        <f t="shared" si="626"/>
        <v>#N/A</v>
      </c>
      <c r="G278" s="121">
        <f t="shared" si="646"/>
        <v>208</v>
      </c>
      <c r="H278" s="176" t="e">
        <f t="shared" si="647"/>
        <v>#N/A</v>
      </c>
      <c r="I278" s="48">
        <v>1</v>
      </c>
      <c r="J278" s="39"/>
      <c r="K278" s="350">
        <v>1</v>
      </c>
      <c r="L278" s="34" t="e">
        <f t="shared" si="627"/>
        <v>#N/A</v>
      </c>
      <c r="M278" s="38" t="e">
        <f>(HLOOKUP(J278,'Construction Times'!$B$3:$W$34,L278+2,FALSE)*HLOOKUP("hq modifier",'Construction Times'!$W$3:$W$34,BS278+2,FALSE))*(1-$H$9)</f>
        <v>#N/A</v>
      </c>
      <c r="N278" s="426" t="e">
        <f t="shared" si="648"/>
        <v>#N/A</v>
      </c>
      <c r="O278" s="427"/>
      <c r="P278" s="430" t="e">
        <f t="shared" si="649"/>
        <v>#N/A</v>
      </c>
      <c r="Q278" s="431"/>
      <c r="R278" s="103">
        <f t="shared" si="677"/>
        <v>0</v>
      </c>
      <c r="S278" s="104">
        <f t="shared" si="677"/>
        <v>0</v>
      </c>
      <c r="T278" s="104">
        <f t="shared" si="678"/>
        <v>0</v>
      </c>
      <c r="U278" s="104">
        <f t="shared" si="678"/>
        <v>0</v>
      </c>
      <c r="V278" s="104">
        <f t="shared" si="678"/>
        <v>9.9999999999999995E-8</v>
      </c>
      <c r="W278" s="104">
        <f t="shared" si="678"/>
        <v>0</v>
      </c>
      <c r="X278" s="104">
        <f t="shared" si="584"/>
        <v>0</v>
      </c>
      <c r="Y278" s="104">
        <f t="shared" si="584"/>
        <v>9.9999999999999995E-8</v>
      </c>
      <c r="Z278" s="104">
        <f t="shared" si="584"/>
        <v>9.9999999999999995E-8</v>
      </c>
      <c r="AA278" s="105">
        <f t="shared" si="584"/>
        <v>9.9999999999999995E-8</v>
      </c>
      <c r="AB278" s="101" t="e">
        <f>$DT278*HLOOKUP($J278,'Construction Costs (timber)'!$B$1:$V$32,'Construction Planner'!$L278+2,FALSE)</f>
        <v>#N/A</v>
      </c>
      <c r="AC278" s="14" t="e">
        <f>$DT278*HLOOKUP($J278,'Construction Costs (clay)'!$B$1:$V$32,'Construction Planner'!$L278+2,FALSE)</f>
        <v>#N/A</v>
      </c>
      <c r="AD278" s="14" t="e">
        <f>$DT278*HLOOKUP($J278,'Construction Costs (iron)'!$B$1:$V$32,'Construction Planner'!$L278+2,FALSE)</f>
        <v>#N/A</v>
      </c>
      <c r="AE278" s="34" t="e">
        <f t="shared" si="690"/>
        <v>#N/A</v>
      </c>
      <c r="AF278" s="33" t="e">
        <f t="shared" si="628"/>
        <v>#N/A</v>
      </c>
      <c r="AG278" s="14" t="e">
        <f t="shared" si="629"/>
        <v>#N/A</v>
      </c>
      <c r="AH278" s="14" t="e">
        <f t="shared" si="630"/>
        <v>#N/A</v>
      </c>
      <c r="AI278" s="34" t="e">
        <f t="shared" si="691"/>
        <v>#N/A</v>
      </c>
      <c r="AJ278" s="49" t="e">
        <f t="shared" si="651"/>
        <v>#N/A</v>
      </c>
      <c r="AK278" s="49" t="e">
        <f t="shared" si="652"/>
        <v>#N/A</v>
      </c>
      <c r="AL278" s="49" t="e">
        <f t="shared" si="653"/>
        <v>#N/A</v>
      </c>
      <c r="AM278" s="25">
        <f t="shared" si="631"/>
        <v>30</v>
      </c>
      <c r="AN278" s="25">
        <f t="shared" si="632"/>
        <v>30</v>
      </c>
      <c r="AO278" s="25">
        <f t="shared" si="633"/>
        <v>30</v>
      </c>
      <c r="AP278" s="52" t="e">
        <f t="shared" si="654"/>
        <v>#N/A</v>
      </c>
      <c r="AQ278" s="53" t="e">
        <f t="shared" si="654"/>
        <v>#N/A</v>
      </c>
      <c r="AR278" s="54" t="e">
        <f t="shared" si="654"/>
        <v>#N/A</v>
      </c>
      <c r="AS278" s="316">
        <f t="shared" si="692"/>
        <v>0</v>
      </c>
      <c r="AT278" s="106">
        <f>_xlfn.IFNA($M278/VLOOKUP($BT278,'Unit information'!$A$2:$K$29,2,FALSE)*R278,0)*(1+$E$9)</f>
        <v>0</v>
      </c>
      <c r="AU278" s="107">
        <f>_xlfn.IFNA($M278/VLOOKUP($BT278,'Unit information'!$A$2:$K$29,3,FALSE)*S278,0)*(1+$E$9)</f>
        <v>0</v>
      </c>
      <c r="AV278" s="107">
        <f>_xlfn.IFNA($M278/VLOOKUP($BT278,'Unit information'!$A$2:$K$29,4,FALSE)*T278,0)*(1+$E$9)</f>
        <v>0</v>
      </c>
      <c r="AW278" s="107">
        <f>_xlfn.IFNA($M278/VLOOKUP($BT278,'Unit information'!$A$2:$K$29,5,FALSE)*U278,0)*(1+$E$9)</f>
        <v>0</v>
      </c>
      <c r="AX278" s="107">
        <f>_xlfn.IFNA($M278/VLOOKUP($BU278,'Unit information'!$A$2:$K$29,6,FALSE)*V278,0)*(1+$E$9)</f>
        <v>0</v>
      </c>
      <c r="AY278" s="107">
        <f>_xlfn.IFNA($M278/VLOOKUP($BU278,'Unit information'!$A$2:$K$29,7,FALSE)*W278,0)*(1+$E$9)</f>
        <v>0</v>
      </c>
      <c r="AZ278" s="107">
        <f>_xlfn.IFNA($M278/VLOOKUP($BU278,'Unit information'!$A$2:$K$29,8,FALSE)*X278,0)*(1+$E$9)</f>
        <v>0</v>
      </c>
      <c r="BA278" s="107">
        <f>_xlfn.IFNA($M278/VLOOKUP($BU278,'Unit information'!$A$2:$K$29,9,FALSE)*Y278,0)*(1+$E$9)</f>
        <v>0</v>
      </c>
      <c r="BB278" s="107">
        <f>_xlfn.IFNA($M278/VLOOKUP($BV278,'Unit information'!$A$2:$K$29,10,FALSE)*Z278,0)*(1+$E$9)</f>
        <v>0</v>
      </c>
      <c r="BC278" s="108">
        <f>_xlfn.IFNA($M278/VLOOKUP($BV278,'Unit information'!$A$2:$K$29,11,FALSE)*AA278,0)*(1+$E$9)</f>
        <v>0</v>
      </c>
      <c r="BD278" s="106">
        <f t="shared" si="634"/>
        <v>0</v>
      </c>
      <c r="BE278" s="107">
        <f t="shared" si="635"/>
        <v>0</v>
      </c>
      <c r="BF278" s="108">
        <f t="shared" si="636"/>
        <v>0</v>
      </c>
      <c r="BG278" s="25" t="e">
        <f t="shared" si="637"/>
        <v>#N/A</v>
      </c>
      <c r="BH278" s="25" t="e">
        <f t="shared" si="638"/>
        <v>#N/A</v>
      </c>
      <c r="BI278" s="25" t="e">
        <f t="shared" si="639"/>
        <v>#N/A</v>
      </c>
      <c r="BJ278" s="27" t="e">
        <f t="shared" si="640"/>
        <v>#N/A</v>
      </c>
      <c r="BK278" s="18" t="e">
        <f t="shared" si="641"/>
        <v>#N/A</v>
      </c>
      <c r="BL278" s="18" t="e">
        <f t="shared" si="642"/>
        <v>#N/A</v>
      </c>
      <c r="BM278" s="28" t="e">
        <f t="shared" si="693"/>
        <v>#N/A</v>
      </c>
      <c r="BN278" s="33">
        <f>HLOOKUP("maximum population",Miscelaneous!$C$1:$C$33,CH278+3,FALSE)</f>
        <v>240</v>
      </c>
      <c r="BO278" s="14">
        <f t="shared" si="655"/>
        <v>32</v>
      </c>
      <c r="BP278" s="14">
        <f t="shared" si="656"/>
        <v>0</v>
      </c>
      <c r="BQ278" s="14">
        <f t="shared" si="657"/>
        <v>208</v>
      </c>
      <c r="BR278" s="34" t="e">
        <f>HLOOKUP(J278,Villagers!$B$1:$V$33,L278+3,FALSE)-HLOOKUP(J278,Villagers!$B$1:$V$33,L278+2,FALSE)</f>
        <v>#N/A</v>
      </c>
      <c r="BS278" s="49">
        <f t="shared" si="658"/>
        <v>1</v>
      </c>
      <c r="BT278" s="50">
        <f t="shared" si="659"/>
        <v>0</v>
      </c>
      <c r="BU278" s="50">
        <f t="shared" si="660"/>
        <v>0</v>
      </c>
      <c r="BV278" s="50">
        <f t="shared" si="661"/>
        <v>0</v>
      </c>
      <c r="BW278" s="50">
        <f t="shared" si="662"/>
        <v>0</v>
      </c>
      <c r="BX278" s="50">
        <f t="shared" si="662"/>
        <v>0</v>
      </c>
      <c r="BY278" s="50">
        <f t="shared" si="662"/>
        <v>0</v>
      </c>
      <c r="BZ278" s="50">
        <f t="shared" si="554"/>
        <v>0</v>
      </c>
      <c r="CA278" s="50">
        <f t="shared" si="555"/>
        <v>0</v>
      </c>
      <c r="CB278" s="50">
        <f t="shared" si="556"/>
        <v>1</v>
      </c>
      <c r="CC278" s="50">
        <f t="shared" si="557"/>
        <v>0</v>
      </c>
      <c r="CD278" s="50">
        <f t="shared" si="558"/>
        <v>0</v>
      </c>
      <c r="CE278" s="50">
        <f t="shared" si="559"/>
        <v>1</v>
      </c>
      <c r="CF278" s="50">
        <f t="shared" si="560"/>
        <v>1</v>
      </c>
      <c r="CG278" s="50">
        <f t="shared" si="561"/>
        <v>1</v>
      </c>
      <c r="CH278" s="50">
        <f t="shared" si="562"/>
        <v>1</v>
      </c>
      <c r="CI278" s="50">
        <f t="shared" si="563"/>
        <v>1</v>
      </c>
      <c r="CJ278" s="50">
        <f t="shared" si="564"/>
        <v>1</v>
      </c>
      <c r="CK278" s="50">
        <f t="shared" si="564"/>
        <v>0</v>
      </c>
      <c r="CL278" s="50">
        <f t="shared" si="564"/>
        <v>0</v>
      </c>
      <c r="CM278" s="51">
        <f t="shared" si="605"/>
        <v>0</v>
      </c>
      <c r="CN278" s="33">
        <f>ROUND(IF(BS278=0,0,HLOOKUP(BS$14,Villagers!$B$1:$V$33,BS278+3,FALSE)),)</f>
        <v>5</v>
      </c>
      <c r="CO278" s="14">
        <f>ROUND(IF(BT278=0,0,HLOOKUP(BT$14,Villagers!$B$1:$V$33,BT278+3,FALSE)),)</f>
        <v>0</v>
      </c>
      <c r="CP278" s="14">
        <f>ROUND(IF(BU278=0,0,HLOOKUP(BU$14,Villagers!$B$1:$V$33,BU278+3,FALSE)),)</f>
        <v>0</v>
      </c>
      <c r="CQ278" s="14">
        <f>ROUND(IF(BV278=0,0,HLOOKUP(BV$14,Villagers!$B$1:$V$33,BV278+3,FALSE)),)</f>
        <v>0</v>
      </c>
      <c r="CR278" s="14">
        <f>ROUND(IF(BW278=0,0,HLOOKUP(BW$14,Villagers!$B$1:$V$33,BW278+3,FALSE)),)</f>
        <v>0</v>
      </c>
      <c r="CS278" s="14">
        <f>ROUND(IF(BX278=0,0,HLOOKUP(BX$14,Villagers!$B$1:$V$33,BX278+3,FALSE)),)</f>
        <v>0</v>
      </c>
      <c r="CT278" s="14">
        <f>ROUND(IF(BY278=0,0,HLOOKUP(BY$14,Villagers!$B$1:$V$33,BY278+3,FALSE)),)</f>
        <v>0</v>
      </c>
      <c r="CU278" s="14">
        <f>ROUND(IF(BZ278=0,0,HLOOKUP(BZ$14,Villagers!$B$1:$V$33,BZ278+3,FALSE)),)</f>
        <v>0</v>
      </c>
      <c r="CV278" s="14">
        <f>ROUND(IF(CA278=0,0,HLOOKUP(CA$14,Villagers!$B$1:$V$33,CA278+3,FALSE)),)</f>
        <v>0</v>
      </c>
      <c r="CW278" s="14">
        <f>ROUND(IF(CB278=0,0,HLOOKUP(CB$14,Villagers!$B$1:$V$33,CB278+3,FALSE)),)</f>
        <v>0</v>
      </c>
      <c r="CX278" s="14">
        <f>ROUND(IF(CC278=0,0,HLOOKUP(CC$14,Villagers!$B$1:$V$33,CC278+3,FALSE)),)</f>
        <v>0</v>
      </c>
      <c r="CY278" s="14">
        <f>ROUND(IF(CD278=0,0,HLOOKUP(CD$14,Villagers!$B$1:$V$33,CD278+3,FALSE)),)</f>
        <v>0</v>
      </c>
      <c r="CZ278" s="14">
        <f>ROUND(IF(CE278=0,0,HLOOKUP(CE$14,Villagers!$B$1:$V$33,CE278+3,FALSE)),)</f>
        <v>5</v>
      </c>
      <c r="DA278" s="14">
        <f>ROUND(IF(CF278=0,0,HLOOKUP(CF$14,Villagers!$B$1:$V$33,CF278+3,FALSE)),)</f>
        <v>10</v>
      </c>
      <c r="DB278" s="14">
        <f>ROUND(IF(CG278=0,0,HLOOKUP(CG$14,Villagers!$B$1:$V$33,CG278+3,FALSE)),)</f>
        <v>10</v>
      </c>
      <c r="DC278" s="14">
        <f>ROUND(IF(CH278=0,0,HLOOKUP(CH$14,Villagers!$B$1:$V$33,CH278+3,FALSE)),)</f>
        <v>0</v>
      </c>
      <c r="DD278" s="14">
        <f>ROUND(IF(CI278=0,0,HLOOKUP(CI$14,Villagers!$B$1:$V$33,CI278+3,FALSE)),)</f>
        <v>0</v>
      </c>
      <c r="DE278" s="14">
        <f>ROUND(IF(CJ278=0,0,HLOOKUP(CJ$14,Villagers!$B$1:$V$33,CJ278+3,FALSE)),)</f>
        <v>2</v>
      </c>
      <c r="DF278" s="370">
        <f>ROUND(IF(CK278=0,0,HLOOKUP(CK$14,Villagers!$B$1:$V$33,CK278+3,FALSE)),)</f>
        <v>0</v>
      </c>
      <c r="DG278" s="370">
        <f>ROUND(IF(CL278=0,0,HLOOKUP(CL$14,Villagers!$B$1:$V$33,CL278+3,FALSE)),)</f>
        <v>0</v>
      </c>
      <c r="DH278" s="34">
        <f>ROUND(IF(CM278=0,0,HLOOKUP(CM$14,Villagers!$B$1:$V$33,CM278+3,FALSE)),)</f>
        <v>0</v>
      </c>
      <c r="DI278" s="109">
        <f t="shared" si="679"/>
        <v>0</v>
      </c>
      <c r="DJ278" s="50">
        <f t="shared" si="680"/>
        <v>0</v>
      </c>
      <c r="DK278" s="50">
        <f t="shared" si="681"/>
        <v>0</v>
      </c>
      <c r="DL278" s="50">
        <f t="shared" si="682"/>
        <v>0</v>
      </c>
      <c r="DM278" s="50">
        <f t="shared" si="683"/>
        <v>0</v>
      </c>
      <c r="DN278" s="50">
        <f t="shared" si="684"/>
        <v>0</v>
      </c>
      <c r="DO278" s="50">
        <f t="shared" si="685"/>
        <v>0</v>
      </c>
      <c r="DP278" s="50">
        <f t="shared" si="686"/>
        <v>0</v>
      </c>
      <c r="DQ278" s="50">
        <f t="shared" si="663"/>
        <v>0</v>
      </c>
      <c r="DR278" s="50">
        <f t="shared" si="664"/>
        <v>0</v>
      </c>
      <c r="DS278" s="96">
        <f>Miscelaneous!$D$4*Miscelaneous!$D$2^($CI278-1)</f>
        <v>1000</v>
      </c>
      <c r="DT278" s="333">
        <f t="shared" si="643"/>
        <v>1</v>
      </c>
      <c r="DU278" s="81">
        <v>1</v>
      </c>
      <c r="DV278" s="79">
        <f t="shared" si="665"/>
        <v>0</v>
      </c>
      <c r="DW278" s="79">
        <f t="shared" si="666"/>
        <v>0</v>
      </c>
      <c r="DX278" s="79">
        <f t="shared" si="667"/>
        <v>0</v>
      </c>
      <c r="DY278" s="79">
        <v>1</v>
      </c>
      <c r="DZ278" s="79">
        <f t="shared" si="668"/>
        <v>0</v>
      </c>
      <c r="EA278" s="79">
        <f t="shared" si="669"/>
        <v>0</v>
      </c>
      <c r="EB278" s="79">
        <f t="shared" si="670"/>
        <v>0</v>
      </c>
      <c r="EC278" s="79">
        <f t="shared" si="671"/>
        <v>0</v>
      </c>
      <c r="ED278" s="79">
        <v>1</v>
      </c>
      <c r="EE278" s="79">
        <v>1</v>
      </c>
      <c r="EF278" s="79">
        <f t="shared" si="672"/>
        <v>0</v>
      </c>
      <c r="EG278" s="79">
        <v>1</v>
      </c>
      <c r="EH278" s="79">
        <v>1</v>
      </c>
      <c r="EI278" s="79">
        <v>1</v>
      </c>
      <c r="EJ278" s="79">
        <v>1</v>
      </c>
      <c r="EK278" s="79">
        <v>1</v>
      </c>
      <c r="EL278" s="79">
        <v>1</v>
      </c>
      <c r="EM278" s="143">
        <f t="shared" si="673"/>
        <v>0</v>
      </c>
      <c r="EN278" s="143">
        <f t="shared" si="674"/>
        <v>0</v>
      </c>
      <c r="EO278" s="82">
        <f t="shared" si="675"/>
        <v>0</v>
      </c>
    </row>
    <row r="279" spans="1:145" x14ac:dyDescent="0.25">
      <c r="A279">
        <v>265</v>
      </c>
      <c r="B279" s="172" t="e">
        <f t="shared" si="644"/>
        <v>#N/A</v>
      </c>
      <c r="C279" s="121" t="e">
        <f t="shared" ref="C279:E279" si="696">AJ279-SUM(AB279:AB283)</f>
        <v>#N/A</v>
      </c>
      <c r="D279" s="122" t="e">
        <f t="shared" si="696"/>
        <v>#N/A</v>
      </c>
      <c r="E279" s="122" t="e">
        <f t="shared" si="696"/>
        <v>#N/A</v>
      </c>
      <c r="F279" s="176" t="e">
        <f t="shared" si="626"/>
        <v>#N/A</v>
      </c>
      <c r="G279" s="121">
        <f t="shared" si="646"/>
        <v>208</v>
      </c>
      <c r="H279" s="176" t="e">
        <f t="shared" si="647"/>
        <v>#N/A</v>
      </c>
      <c r="I279" s="48">
        <v>1</v>
      </c>
      <c r="J279" s="39"/>
      <c r="K279" s="350">
        <v>1</v>
      </c>
      <c r="L279" s="34" t="e">
        <f t="shared" si="627"/>
        <v>#N/A</v>
      </c>
      <c r="M279" s="38" t="e">
        <f>(HLOOKUP(J279,'Construction Times'!$B$3:$W$34,L279+2,FALSE)*HLOOKUP("hq modifier",'Construction Times'!$W$3:$W$34,BS279+2,FALSE))*(1-$H$9)</f>
        <v>#N/A</v>
      </c>
      <c r="N279" s="426" t="e">
        <f t="shared" si="648"/>
        <v>#N/A</v>
      </c>
      <c r="O279" s="427"/>
      <c r="P279" s="430" t="e">
        <f t="shared" si="649"/>
        <v>#N/A</v>
      </c>
      <c r="Q279" s="431"/>
      <c r="R279" s="103">
        <f t="shared" si="677"/>
        <v>0</v>
      </c>
      <c r="S279" s="104">
        <f t="shared" si="677"/>
        <v>0</v>
      </c>
      <c r="T279" s="104">
        <f t="shared" si="678"/>
        <v>0</v>
      </c>
      <c r="U279" s="104">
        <f t="shared" si="678"/>
        <v>0</v>
      </c>
      <c r="V279" s="104">
        <f t="shared" si="678"/>
        <v>9.9999999999999995E-8</v>
      </c>
      <c r="W279" s="104">
        <f t="shared" si="678"/>
        <v>0</v>
      </c>
      <c r="X279" s="104">
        <f t="shared" si="584"/>
        <v>0</v>
      </c>
      <c r="Y279" s="104">
        <f t="shared" si="584"/>
        <v>9.9999999999999995E-8</v>
      </c>
      <c r="Z279" s="104">
        <f t="shared" si="584"/>
        <v>9.9999999999999995E-8</v>
      </c>
      <c r="AA279" s="105">
        <f t="shared" si="584"/>
        <v>9.9999999999999995E-8</v>
      </c>
      <c r="AB279" s="101" t="e">
        <f>$DT279*HLOOKUP($J279,'Construction Costs (timber)'!$B$1:$V$32,'Construction Planner'!$L279+2,FALSE)</f>
        <v>#N/A</v>
      </c>
      <c r="AC279" s="14" t="e">
        <f>$DT279*HLOOKUP($J279,'Construction Costs (clay)'!$B$1:$V$32,'Construction Planner'!$L279+2,FALSE)</f>
        <v>#N/A</v>
      </c>
      <c r="AD279" s="14" t="e">
        <f>$DT279*HLOOKUP($J279,'Construction Costs (iron)'!$B$1:$V$32,'Construction Planner'!$L279+2,FALSE)</f>
        <v>#N/A</v>
      </c>
      <c r="AE279" s="34" t="e">
        <f t="shared" si="690"/>
        <v>#N/A</v>
      </c>
      <c r="AF279" s="33" t="e">
        <f t="shared" si="628"/>
        <v>#N/A</v>
      </c>
      <c r="AG279" s="14" t="e">
        <f t="shared" si="629"/>
        <v>#N/A</v>
      </c>
      <c r="AH279" s="14" t="e">
        <f t="shared" si="630"/>
        <v>#N/A</v>
      </c>
      <c r="AI279" s="34" t="e">
        <f t="shared" si="691"/>
        <v>#N/A</v>
      </c>
      <c r="AJ279" s="49" t="e">
        <f t="shared" si="651"/>
        <v>#N/A</v>
      </c>
      <c r="AK279" s="49" t="e">
        <f t="shared" si="652"/>
        <v>#N/A</v>
      </c>
      <c r="AL279" s="49" t="e">
        <f t="shared" si="653"/>
        <v>#N/A</v>
      </c>
      <c r="AM279" s="25">
        <f t="shared" si="631"/>
        <v>30</v>
      </c>
      <c r="AN279" s="25">
        <f t="shared" si="632"/>
        <v>30</v>
      </c>
      <c r="AO279" s="25">
        <f t="shared" si="633"/>
        <v>30</v>
      </c>
      <c r="AP279" s="52" t="e">
        <f t="shared" si="654"/>
        <v>#N/A</v>
      </c>
      <c r="AQ279" s="53" t="e">
        <f t="shared" si="654"/>
        <v>#N/A</v>
      </c>
      <c r="AR279" s="54" t="e">
        <f t="shared" si="654"/>
        <v>#N/A</v>
      </c>
      <c r="AS279" s="316">
        <f t="shared" si="692"/>
        <v>0</v>
      </c>
      <c r="AT279" s="106">
        <f>_xlfn.IFNA($M279/VLOOKUP($BT279,'Unit information'!$A$2:$K$29,2,FALSE)*R279,0)*(1+$E$9)</f>
        <v>0</v>
      </c>
      <c r="AU279" s="107">
        <f>_xlfn.IFNA($M279/VLOOKUP($BT279,'Unit information'!$A$2:$K$29,3,FALSE)*S279,0)*(1+$E$9)</f>
        <v>0</v>
      </c>
      <c r="AV279" s="107">
        <f>_xlfn.IFNA($M279/VLOOKUP($BT279,'Unit information'!$A$2:$K$29,4,FALSE)*T279,0)*(1+$E$9)</f>
        <v>0</v>
      </c>
      <c r="AW279" s="107">
        <f>_xlfn.IFNA($M279/VLOOKUP($BT279,'Unit information'!$A$2:$K$29,5,FALSE)*U279,0)*(1+$E$9)</f>
        <v>0</v>
      </c>
      <c r="AX279" s="107">
        <f>_xlfn.IFNA($M279/VLOOKUP($BU279,'Unit information'!$A$2:$K$29,6,FALSE)*V279,0)*(1+$E$9)</f>
        <v>0</v>
      </c>
      <c r="AY279" s="107">
        <f>_xlfn.IFNA($M279/VLOOKUP($BU279,'Unit information'!$A$2:$K$29,7,FALSE)*W279,0)*(1+$E$9)</f>
        <v>0</v>
      </c>
      <c r="AZ279" s="107">
        <f>_xlfn.IFNA($M279/VLOOKUP($BU279,'Unit information'!$A$2:$K$29,8,FALSE)*X279,0)*(1+$E$9)</f>
        <v>0</v>
      </c>
      <c r="BA279" s="107">
        <f>_xlfn.IFNA($M279/VLOOKUP($BU279,'Unit information'!$A$2:$K$29,9,FALSE)*Y279,0)*(1+$E$9)</f>
        <v>0</v>
      </c>
      <c r="BB279" s="107">
        <f>_xlfn.IFNA($M279/VLOOKUP($BV279,'Unit information'!$A$2:$K$29,10,FALSE)*Z279,0)*(1+$E$9)</f>
        <v>0</v>
      </c>
      <c r="BC279" s="108">
        <f>_xlfn.IFNA($M279/VLOOKUP($BV279,'Unit information'!$A$2:$K$29,11,FALSE)*AA279,0)*(1+$E$9)</f>
        <v>0</v>
      </c>
      <c r="BD279" s="106">
        <f t="shared" si="634"/>
        <v>0</v>
      </c>
      <c r="BE279" s="107">
        <f t="shared" si="635"/>
        <v>0</v>
      </c>
      <c r="BF279" s="108">
        <f t="shared" si="636"/>
        <v>0</v>
      </c>
      <c r="BG279" s="25" t="e">
        <f t="shared" si="637"/>
        <v>#N/A</v>
      </c>
      <c r="BH279" s="25" t="e">
        <f t="shared" si="638"/>
        <v>#N/A</v>
      </c>
      <c r="BI279" s="25" t="e">
        <f t="shared" si="639"/>
        <v>#N/A</v>
      </c>
      <c r="BJ279" s="27" t="e">
        <f t="shared" si="640"/>
        <v>#N/A</v>
      </c>
      <c r="BK279" s="18" t="e">
        <f t="shared" si="641"/>
        <v>#N/A</v>
      </c>
      <c r="BL279" s="18" t="e">
        <f t="shared" si="642"/>
        <v>#N/A</v>
      </c>
      <c r="BM279" s="28" t="e">
        <f t="shared" si="693"/>
        <v>#N/A</v>
      </c>
      <c r="BN279" s="33">
        <f>HLOOKUP("maximum population",Miscelaneous!$C$1:$C$33,CH279+3,FALSE)</f>
        <v>240</v>
      </c>
      <c r="BO279" s="14">
        <f t="shared" si="655"/>
        <v>32</v>
      </c>
      <c r="BP279" s="14">
        <f t="shared" si="656"/>
        <v>0</v>
      </c>
      <c r="BQ279" s="14">
        <f t="shared" si="657"/>
        <v>208</v>
      </c>
      <c r="BR279" s="34" t="e">
        <f>HLOOKUP(J279,Villagers!$B$1:$V$33,L279+3,FALSE)-HLOOKUP(J279,Villagers!$B$1:$V$33,L279+2,FALSE)</f>
        <v>#N/A</v>
      </c>
      <c r="BS279" s="49">
        <f t="shared" si="658"/>
        <v>1</v>
      </c>
      <c r="BT279" s="50">
        <f t="shared" si="659"/>
        <v>0</v>
      </c>
      <c r="BU279" s="50">
        <f t="shared" si="660"/>
        <v>0</v>
      </c>
      <c r="BV279" s="50">
        <f t="shared" si="661"/>
        <v>0</v>
      </c>
      <c r="BW279" s="50">
        <f>IF($J278=BW$14,$L278,BW278)</f>
        <v>0</v>
      </c>
      <c r="BX279" s="50">
        <f t="shared" ref="BX279:BY287" si="697">IF($J278=BX$14,$L278,BX278)</f>
        <v>0</v>
      </c>
      <c r="BY279" s="50">
        <f t="shared" si="697"/>
        <v>0</v>
      </c>
      <c r="BZ279" s="50">
        <f t="shared" si="554"/>
        <v>0</v>
      </c>
      <c r="CA279" s="50">
        <f t="shared" si="555"/>
        <v>0</v>
      </c>
      <c r="CB279" s="50">
        <f t="shared" si="556"/>
        <v>1</v>
      </c>
      <c r="CC279" s="50">
        <f t="shared" si="557"/>
        <v>0</v>
      </c>
      <c r="CD279" s="50">
        <f t="shared" si="558"/>
        <v>0</v>
      </c>
      <c r="CE279" s="50">
        <f t="shared" si="559"/>
        <v>1</v>
      </c>
      <c r="CF279" s="50">
        <f t="shared" si="560"/>
        <v>1</v>
      </c>
      <c r="CG279" s="50">
        <f t="shared" si="561"/>
        <v>1</v>
      </c>
      <c r="CH279" s="50">
        <f t="shared" si="562"/>
        <v>1</v>
      </c>
      <c r="CI279" s="50">
        <f t="shared" si="563"/>
        <v>1</v>
      </c>
      <c r="CJ279" s="50">
        <f t="shared" si="564"/>
        <v>1</v>
      </c>
      <c r="CK279" s="50">
        <f t="shared" si="564"/>
        <v>0</v>
      </c>
      <c r="CL279" s="50">
        <f t="shared" si="564"/>
        <v>0</v>
      </c>
      <c r="CM279" s="51">
        <f t="shared" si="605"/>
        <v>0</v>
      </c>
      <c r="CN279" s="33">
        <f>ROUND(IF(BS279=0,0,HLOOKUP(BS$14,Villagers!$B$1:$V$33,BS279+3,FALSE)),)</f>
        <v>5</v>
      </c>
      <c r="CO279" s="14">
        <f>ROUND(IF(BT279=0,0,HLOOKUP(BT$14,Villagers!$B$1:$V$33,BT279+3,FALSE)),)</f>
        <v>0</v>
      </c>
      <c r="CP279" s="14">
        <f>ROUND(IF(BU279=0,0,HLOOKUP(BU$14,Villagers!$B$1:$V$33,BU279+3,FALSE)),)</f>
        <v>0</v>
      </c>
      <c r="CQ279" s="14">
        <f>ROUND(IF(BV279=0,0,HLOOKUP(BV$14,Villagers!$B$1:$V$33,BV279+3,FALSE)),)</f>
        <v>0</v>
      </c>
      <c r="CR279" s="14">
        <f>ROUND(IF(BW279=0,0,HLOOKUP(BW$14,Villagers!$B$1:$V$33,BW279+3,FALSE)),)</f>
        <v>0</v>
      </c>
      <c r="CS279" s="14">
        <f>ROUND(IF(BX279=0,0,HLOOKUP(BX$14,Villagers!$B$1:$V$33,BX279+3,FALSE)),)</f>
        <v>0</v>
      </c>
      <c r="CT279" s="14">
        <f>ROUND(IF(BY279=0,0,HLOOKUP(BY$14,Villagers!$B$1:$V$33,BY279+3,FALSE)),)</f>
        <v>0</v>
      </c>
      <c r="CU279" s="14">
        <f>ROUND(IF(BZ279=0,0,HLOOKUP(BZ$14,Villagers!$B$1:$V$33,BZ279+3,FALSE)),)</f>
        <v>0</v>
      </c>
      <c r="CV279" s="14">
        <f>ROUND(IF(CA279=0,0,HLOOKUP(CA$14,Villagers!$B$1:$V$33,CA279+3,FALSE)),)</f>
        <v>0</v>
      </c>
      <c r="CW279" s="14">
        <f>ROUND(IF(CB279=0,0,HLOOKUP(CB$14,Villagers!$B$1:$V$33,CB279+3,FALSE)),)</f>
        <v>0</v>
      </c>
      <c r="CX279" s="14">
        <f>ROUND(IF(CC279=0,0,HLOOKUP(CC$14,Villagers!$B$1:$V$33,CC279+3,FALSE)),)</f>
        <v>0</v>
      </c>
      <c r="CY279" s="14">
        <f>ROUND(IF(CD279=0,0,HLOOKUP(CD$14,Villagers!$B$1:$V$33,CD279+3,FALSE)),)</f>
        <v>0</v>
      </c>
      <c r="CZ279" s="14">
        <f>ROUND(IF(CE279=0,0,HLOOKUP(CE$14,Villagers!$B$1:$V$33,CE279+3,FALSE)),)</f>
        <v>5</v>
      </c>
      <c r="DA279" s="14">
        <f>ROUND(IF(CF279=0,0,HLOOKUP(CF$14,Villagers!$B$1:$V$33,CF279+3,FALSE)),)</f>
        <v>10</v>
      </c>
      <c r="DB279" s="14">
        <f>ROUND(IF(CG279=0,0,HLOOKUP(CG$14,Villagers!$B$1:$V$33,CG279+3,FALSE)),)</f>
        <v>10</v>
      </c>
      <c r="DC279" s="14">
        <f>ROUND(IF(CH279=0,0,HLOOKUP(CH$14,Villagers!$B$1:$V$33,CH279+3,FALSE)),)</f>
        <v>0</v>
      </c>
      <c r="DD279" s="14">
        <f>ROUND(IF(CI279=0,0,HLOOKUP(CI$14,Villagers!$B$1:$V$33,CI279+3,FALSE)),)</f>
        <v>0</v>
      </c>
      <c r="DE279" s="14">
        <f>ROUND(IF(CJ279=0,0,HLOOKUP(CJ$14,Villagers!$B$1:$V$33,CJ279+3,FALSE)),)</f>
        <v>2</v>
      </c>
      <c r="DF279" s="370">
        <f>ROUND(IF(CK279=0,0,HLOOKUP(CK$14,Villagers!$B$1:$V$33,CK279+3,FALSE)),)</f>
        <v>0</v>
      </c>
      <c r="DG279" s="370">
        <f>ROUND(IF(CL279=0,0,HLOOKUP(CL$14,Villagers!$B$1:$V$33,CL279+3,FALSE)),)</f>
        <v>0</v>
      </c>
      <c r="DH279" s="34">
        <f>ROUND(IF(CM279=0,0,HLOOKUP(CM$14,Villagers!$B$1:$V$33,CM279+3,FALSE)),)</f>
        <v>0</v>
      </c>
      <c r="DI279" s="109">
        <f t="shared" si="679"/>
        <v>0</v>
      </c>
      <c r="DJ279" s="50">
        <f t="shared" si="680"/>
        <v>0</v>
      </c>
      <c r="DK279" s="50">
        <f t="shared" si="681"/>
        <v>0</v>
      </c>
      <c r="DL279" s="50">
        <f t="shared" si="682"/>
        <v>0</v>
      </c>
      <c r="DM279" s="50">
        <f t="shared" si="683"/>
        <v>0</v>
      </c>
      <c r="DN279" s="50">
        <f t="shared" si="684"/>
        <v>0</v>
      </c>
      <c r="DO279" s="50">
        <f t="shared" si="685"/>
        <v>0</v>
      </c>
      <c r="DP279" s="50">
        <f t="shared" si="686"/>
        <v>0</v>
      </c>
      <c r="DQ279" s="50">
        <f t="shared" si="663"/>
        <v>0</v>
      </c>
      <c r="DR279" s="50">
        <f t="shared" si="664"/>
        <v>0</v>
      </c>
      <c r="DS279" s="96">
        <f>Miscelaneous!$D$4*Miscelaneous!$D$2^($CI279-1)</f>
        <v>1000</v>
      </c>
      <c r="DT279" s="333">
        <f t="shared" si="643"/>
        <v>1</v>
      </c>
      <c r="DU279" s="81">
        <v>1</v>
      </c>
      <c r="DV279" s="79">
        <f t="shared" si="665"/>
        <v>0</v>
      </c>
      <c r="DW279" s="79">
        <f t="shared" si="666"/>
        <v>0</v>
      </c>
      <c r="DX279" s="79">
        <f t="shared" si="667"/>
        <v>0</v>
      </c>
      <c r="DY279" s="79">
        <v>1</v>
      </c>
      <c r="DZ279" s="79">
        <f t="shared" si="668"/>
        <v>0</v>
      </c>
      <c r="EA279" s="79">
        <f t="shared" si="669"/>
        <v>0</v>
      </c>
      <c r="EB279" s="79">
        <f t="shared" si="670"/>
        <v>0</v>
      </c>
      <c r="EC279" s="79">
        <f t="shared" si="671"/>
        <v>0</v>
      </c>
      <c r="ED279" s="79">
        <v>1</v>
      </c>
      <c r="EE279" s="79">
        <v>1</v>
      </c>
      <c r="EF279" s="79">
        <f t="shared" si="672"/>
        <v>0</v>
      </c>
      <c r="EG279" s="79">
        <v>1</v>
      </c>
      <c r="EH279" s="79">
        <v>1</v>
      </c>
      <c r="EI279" s="79">
        <v>1</v>
      </c>
      <c r="EJ279" s="79">
        <v>1</v>
      </c>
      <c r="EK279" s="79">
        <v>1</v>
      </c>
      <c r="EL279" s="79">
        <v>1</v>
      </c>
      <c r="EM279" s="143">
        <f t="shared" si="673"/>
        <v>0</v>
      </c>
      <c r="EN279" s="143">
        <f t="shared" si="674"/>
        <v>0</v>
      </c>
      <c r="EO279" s="82">
        <f t="shared" si="675"/>
        <v>0</v>
      </c>
    </row>
    <row r="280" spans="1:145" x14ac:dyDescent="0.25">
      <c r="A280">
        <v>266</v>
      </c>
      <c r="B280" s="172" t="e">
        <f t="shared" si="644"/>
        <v>#N/A</v>
      </c>
      <c r="C280" s="121" t="e">
        <f t="shared" ref="C280:E280" si="698">AJ280-SUM(AB280:AB284)</f>
        <v>#N/A</v>
      </c>
      <c r="D280" s="122" t="e">
        <f t="shared" si="698"/>
        <v>#N/A</v>
      </c>
      <c r="E280" s="122" t="e">
        <f t="shared" si="698"/>
        <v>#N/A</v>
      </c>
      <c r="F280" s="176" t="e">
        <f t="shared" si="626"/>
        <v>#N/A</v>
      </c>
      <c r="G280" s="121">
        <f t="shared" si="646"/>
        <v>208</v>
      </c>
      <c r="H280" s="176" t="e">
        <f t="shared" si="647"/>
        <v>#N/A</v>
      </c>
      <c r="I280" s="48">
        <v>1</v>
      </c>
      <c r="J280" s="39"/>
      <c r="K280" s="350">
        <v>1</v>
      </c>
      <c r="L280" s="34" t="e">
        <f t="shared" si="627"/>
        <v>#N/A</v>
      </c>
      <c r="M280" s="38" t="e">
        <f>(HLOOKUP(J280,'Construction Times'!$B$3:$W$34,L280+2,FALSE)*HLOOKUP("hq modifier",'Construction Times'!$W$3:$W$34,BS280+2,FALSE))*(1-$H$9)</f>
        <v>#N/A</v>
      </c>
      <c r="N280" s="426" t="e">
        <f t="shared" si="648"/>
        <v>#N/A</v>
      </c>
      <c r="O280" s="427"/>
      <c r="P280" s="430" t="e">
        <f t="shared" si="649"/>
        <v>#N/A</v>
      </c>
      <c r="Q280" s="431"/>
      <c r="R280" s="103">
        <f t="shared" si="677"/>
        <v>0</v>
      </c>
      <c r="S280" s="104">
        <f t="shared" si="677"/>
        <v>0</v>
      </c>
      <c r="T280" s="104">
        <f t="shared" si="678"/>
        <v>0</v>
      </c>
      <c r="U280" s="104">
        <f t="shared" si="678"/>
        <v>0</v>
      </c>
      <c r="V280" s="104">
        <f t="shared" si="678"/>
        <v>9.9999999999999995E-8</v>
      </c>
      <c r="W280" s="104">
        <f t="shared" si="678"/>
        <v>0</v>
      </c>
      <c r="X280" s="104">
        <f t="shared" si="584"/>
        <v>0</v>
      </c>
      <c r="Y280" s="104">
        <f t="shared" si="584"/>
        <v>9.9999999999999995E-8</v>
      </c>
      <c r="Z280" s="104">
        <f t="shared" si="584"/>
        <v>9.9999999999999995E-8</v>
      </c>
      <c r="AA280" s="105">
        <f t="shared" si="584"/>
        <v>9.9999999999999995E-8</v>
      </c>
      <c r="AB280" s="101" t="e">
        <f>$DT280*HLOOKUP($J280,'Construction Costs (timber)'!$B$1:$V$32,'Construction Planner'!$L280+2,FALSE)</f>
        <v>#N/A</v>
      </c>
      <c r="AC280" s="14" t="e">
        <f>$DT280*HLOOKUP($J280,'Construction Costs (clay)'!$B$1:$V$32,'Construction Planner'!$L280+2,FALSE)</f>
        <v>#N/A</v>
      </c>
      <c r="AD280" s="14" t="e">
        <f>$DT280*HLOOKUP($J280,'Construction Costs (iron)'!$B$1:$V$32,'Construction Planner'!$L280+2,FALSE)</f>
        <v>#N/A</v>
      </c>
      <c r="AE280" s="34" t="e">
        <f t="shared" si="690"/>
        <v>#N/A</v>
      </c>
      <c r="AF280" s="33" t="e">
        <f t="shared" si="628"/>
        <v>#N/A</v>
      </c>
      <c r="AG280" s="14" t="e">
        <f t="shared" si="629"/>
        <v>#N/A</v>
      </c>
      <c r="AH280" s="14" t="e">
        <f t="shared" si="630"/>
        <v>#N/A</v>
      </c>
      <c r="AI280" s="34" t="e">
        <f t="shared" si="691"/>
        <v>#N/A</v>
      </c>
      <c r="AJ280" s="49" t="e">
        <f t="shared" si="651"/>
        <v>#N/A</v>
      </c>
      <c r="AK280" s="49" t="e">
        <f t="shared" si="652"/>
        <v>#N/A</v>
      </c>
      <c r="AL280" s="49" t="e">
        <f t="shared" si="653"/>
        <v>#N/A</v>
      </c>
      <c r="AM280" s="25">
        <f t="shared" si="631"/>
        <v>30</v>
      </c>
      <c r="AN280" s="25">
        <f t="shared" si="632"/>
        <v>30</v>
      </c>
      <c r="AO280" s="25">
        <f t="shared" si="633"/>
        <v>30</v>
      </c>
      <c r="AP280" s="52" t="e">
        <f t="shared" si="654"/>
        <v>#N/A</v>
      </c>
      <c r="AQ280" s="53" t="e">
        <f t="shared" si="654"/>
        <v>#N/A</v>
      </c>
      <c r="AR280" s="54" t="e">
        <f t="shared" si="654"/>
        <v>#N/A</v>
      </c>
      <c r="AS280" s="316">
        <f t="shared" si="692"/>
        <v>0</v>
      </c>
      <c r="AT280" s="106">
        <f>_xlfn.IFNA($M280/VLOOKUP($BT280,'Unit information'!$A$2:$K$29,2,FALSE)*R280,0)*(1+$E$9)</f>
        <v>0</v>
      </c>
      <c r="AU280" s="107">
        <f>_xlfn.IFNA($M280/VLOOKUP($BT280,'Unit information'!$A$2:$K$29,3,FALSE)*S280,0)*(1+$E$9)</f>
        <v>0</v>
      </c>
      <c r="AV280" s="107">
        <f>_xlfn.IFNA($M280/VLOOKUP($BT280,'Unit information'!$A$2:$K$29,4,FALSE)*T280,0)*(1+$E$9)</f>
        <v>0</v>
      </c>
      <c r="AW280" s="107">
        <f>_xlfn.IFNA($M280/VLOOKUP($BT280,'Unit information'!$A$2:$K$29,5,FALSE)*U280,0)*(1+$E$9)</f>
        <v>0</v>
      </c>
      <c r="AX280" s="107">
        <f>_xlfn.IFNA($M280/VLOOKUP($BU280,'Unit information'!$A$2:$K$29,6,FALSE)*V280,0)*(1+$E$9)</f>
        <v>0</v>
      </c>
      <c r="AY280" s="107">
        <f>_xlfn.IFNA($M280/VLOOKUP($BU280,'Unit information'!$A$2:$K$29,7,FALSE)*W280,0)*(1+$E$9)</f>
        <v>0</v>
      </c>
      <c r="AZ280" s="107">
        <f>_xlfn.IFNA($M280/VLOOKUP($BU280,'Unit information'!$A$2:$K$29,8,FALSE)*X280,0)*(1+$E$9)</f>
        <v>0</v>
      </c>
      <c r="BA280" s="107">
        <f>_xlfn.IFNA($M280/VLOOKUP($BU280,'Unit information'!$A$2:$K$29,9,FALSE)*Y280,0)*(1+$E$9)</f>
        <v>0</v>
      </c>
      <c r="BB280" s="107">
        <f>_xlfn.IFNA($M280/VLOOKUP($BV280,'Unit information'!$A$2:$K$29,10,FALSE)*Z280,0)*(1+$E$9)</f>
        <v>0</v>
      </c>
      <c r="BC280" s="108">
        <f>_xlfn.IFNA($M280/VLOOKUP($BV280,'Unit information'!$A$2:$K$29,11,FALSE)*AA280,0)*(1+$E$9)</f>
        <v>0</v>
      </c>
      <c r="BD280" s="106">
        <f t="shared" si="634"/>
        <v>0</v>
      </c>
      <c r="BE280" s="107">
        <f t="shared" si="635"/>
        <v>0</v>
      </c>
      <c r="BF280" s="108">
        <f t="shared" si="636"/>
        <v>0</v>
      </c>
      <c r="BG280" s="25" t="e">
        <f t="shared" si="637"/>
        <v>#N/A</v>
      </c>
      <c r="BH280" s="25" t="e">
        <f t="shared" si="638"/>
        <v>#N/A</v>
      </c>
      <c r="BI280" s="25" t="e">
        <f t="shared" si="639"/>
        <v>#N/A</v>
      </c>
      <c r="BJ280" s="27" t="e">
        <f t="shared" si="640"/>
        <v>#N/A</v>
      </c>
      <c r="BK280" s="18" t="e">
        <f t="shared" si="641"/>
        <v>#N/A</v>
      </c>
      <c r="BL280" s="18" t="e">
        <f t="shared" si="642"/>
        <v>#N/A</v>
      </c>
      <c r="BM280" s="28" t="e">
        <f t="shared" si="693"/>
        <v>#N/A</v>
      </c>
      <c r="BN280" s="33">
        <f>HLOOKUP("maximum population",Miscelaneous!$C$1:$C$33,CH280+3,FALSE)</f>
        <v>240</v>
      </c>
      <c r="BO280" s="14">
        <f t="shared" si="655"/>
        <v>32</v>
      </c>
      <c r="BP280" s="14">
        <f t="shared" si="656"/>
        <v>0</v>
      </c>
      <c r="BQ280" s="14">
        <f t="shared" si="657"/>
        <v>208</v>
      </c>
      <c r="BR280" s="34" t="e">
        <f>HLOOKUP(J280,Villagers!$B$1:$V$33,L280+3,FALSE)-HLOOKUP(J280,Villagers!$B$1:$V$33,L280+2,FALSE)</f>
        <v>#N/A</v>
      </c>
      <c r="BS280" s="49">
        <f t="shared" si="658"/>
        <v>1</v>
      </c>
      <c r="BT280" s="50">
        <f t="shared" si="659"/>
        <v>0</v>
      </c>
      <c r="BU280" s="50">
        <f t="shared" si="660"/>
        <v>0</v>
      </c>
      <c r="BV280" s="50">
        <f t="shared" si="661"/>
        <v>0</v>
      </c>
      <c r="BW280" s="50">
        <f t="shared" ref="BW280:BW287" si="699">IF($J279=BW$14,$L279,BW279)</f>
        <v>0</v>
      </c>
      <c r="BX280" s="50">
        <f t="shared" si="697"/>
        <v>0</v>
      </c>
      <c r="BY280" s="50">
        <f t="shared" si="697"/>
        <v>0</v>
      </c>
      <c r="BZ280" s="50">
        <f t="shared" si="554"/>
        <v>0</v>
      </c>
      <c r="CA280" s="50">
        <f t="shared" si="555"/>
        <v>0</v>
      </c>
      <c r="CB280" s="50">
        <f t="shared" si="556"/>
        <v>1</v>
      </c>
      <c r="CC280" s="50">
        <f t="shared" si="557"/>
        <v>0</v>
      </c>
      <c r="CD280" s="50">
        <f t="shared" si="558"/>
        <v>0</v>
      </c>
      <c r="CE280" s="50">
        <f t="shared" si="559"/>
        <v>1</v>
      </c>
      <c r="CF280" s="50">
        <f t="shared" si="560"/>
        <v>1</v>
      </c>
      <c r="CG280" s="50">
        <f t="shared" si="561"/>
        <v>1</v>
      </c>
      <c r="CH280" s="50">
        <f t="shared" si="562"/>
        <v>1</v>
      </c>
      <c r="CI280" s="50">
        <f t="shared" si="563"/>
        <v>1</v>
      </c>
      <c r="CJ280" s="50">
        <f t="shared" si="564"/>
        <v>1</v>
      </c>
      <c r="CK280" s="50">
        <f t="shared" si="564"/>
        <v>0</v>
      </c>
      <c r="CL280" s="50">
        <f t="shared" si="564"/>
        <v>0</v>
      </c>
      <c r="CM280" s="51">
        <f t="shared" si="605"/>
        <v>0</v>
      </c>
      <c r="CN280" s="33">
        <f>ROUND(IF(BS280=0,0,HLOOKUP(BS$14,Villagers!$B$1:$V$33,BS280+3,FALSE)),)</f>
        <v>5</v>
      </c>
      <c r="CO280" s="14">
        <f>ROUND(IF(BT280=0,0,HLOOKUP(BT$14,Villagers!$B$1:$V$33,BT280+3,FALSE)),)</f>
        <v>0</v>
      </c>
      <c r="CP280" s="14">
        <f>ROUND(IF(BU280=0,0,HLOOKUP(BU$14,Villagers!$B$1:$V$33,BU280+3,FALSE)),)</f>
        <v>0</v>
      </c>
      <c r="CQ280" s="14">
        <f>ROUND(IF(BV280=0,0,HLOOKUP(BV$14,Villagers!$B$1:$V$33,BV280+3,FALSE)),)</f>
        <v>0</v>
      </c>
      <c r="CR280" s="14">
        <f>ROUND(IF(BW280=0,0,HLOOKUP(BW$14,Villagers!$B$1:$V$33,BW280+3,FALSE)),)</f>
        <v>0</v>
      </c>
      <c r="CS280" s="14">
        <f>ROUND(IF(BX280=0,0,HLOOKUP(BX$14,Villagers!$B$1:$V$33,BX280+3,FALSE)),)</f>
        <v>0</v>
      </c>
      <c r="CT280" s="14">
        <f>ROUND(IF(BY280=0,0,HLOOKUP(BY$14,Villagers!$B$1:$V$33,BY280+3,FALSE)),)</f>
        <v>0</v>
      </c>
      <c r="CU280" s="14">
        <f>ROUND(IF(BZ280=0,0,HLOOKUP(BZ$14,Villagers!$B$1:$V$33,BZ280+3,FALSE)),)</f>
        <v>0</v>
      </c>
      <c r="CV280" s="14">
        <f>ROUND(IF(CA280=0,0,HLOOKUP(CA$14,Villagers!$B$1:$V$33,CA280+3,FALSE)),)</f>
        <v>0</v>
      </c>
      <c r="CW280" s="14">
        <f>ROUND(IF(CB280=0,0,HLOOKUP(CB$14,Villagers!$B$1:$V$33,CB280+3,FALSE)),)</f>
        <v>0</v>
      </c>
      <c r="CX280" s="14">
        <f>ROUND(IF(CC280=0,0,HLOOKUP(CC$14,Villagers!$B$1:$V$33,CC280+3,FALSE)),)</f>
        <v>0</v>
      </c>
      <c r="CY280" s="14">
        <f>ROUND(IF(CD280=0,0,HLOOKUP(CD$14,Villagers!$B$1:$V$33,CD280+3,FALSE)),)</f>
        <v>0</v>
      </c>
      <c r="CZ280" s="14">
        <f>ROUND(IF(CE280=0,0,HLOOKUP(CE$14,Villagers!$B$1:$V$33,CE280+3,FALSE)),)</f>
        <v>5</v>
      </c>
      <c r="DA280" s="14">
        <f>ROUND(IF(CF280=0,0,HLOOKUP(CF$14,Villagers!$B$1:$V$33,CF280+3,FALSE)),)</f>
        <v>10</v>
      </c>
      <c r="DB280" s="14">
        <f>ROUND(IF(CG280=0,0,HLOOKUP(CG$14,Villagers!$B$1:$V$33,CG280+3,FALSE)),)</f>
        <v>10</v>
      </c>
      <c r="DC280" s="14">
        <f>ROUND(IF(CH280=0,0,HLOOKUP(CH$14,Villagers!$B$1:$V$33,CH280+3,FALSE)),)</f>
        <v>0</v>
      </c>
      <c r="DD280" s="14">
        <f>ROUND(IF(CI280=0,0,HLOOKUP(CI$14,Villagers!$B$1:$V$33,CI280+3,FALSE)),)</f>
        <v>0</v>
      </c>
      <c r="DE280" s="14">
        <f>ROUND(IF(CJ280=0,0,HLOOKUP(CJ$14,Villagers!$B$1:$V$33,CJ280+3,FALSE)),)</f>
        <v>2</v>
      </c>
      <c r="DF280" s="370">
        <f>ROUND(IF(CK280=0,0,HLOOKUP(CK$14,Villagers!$B$1:$V$33,CK280+3,FALSE)),)</f>
        <v>0</v>
      </c>
      <c r="DG280" s="370">
        <f>ROUND(IF(CL280=0,0,HLOOKUP(CL$14,Villagers!$B$1:$V$33,CL280+3,FALSE)),)</f>
        <v>0</v>
      </c>
      <c r="DH280" s="34">
        <f>ROUND(IF(CM280=0,0,HLOOKUP(CM$14,Villagers!$B$1:$V$33,CM280+3,FALSE)),)</f>
        <v>0</v>
      </c>
      <c r="DI280" s="109">
        <f t="shared" si="679"/>
        <v>0</v>
      </c>
      <c r="DJ280" s="50">
        <f t="shared" si="680"/>
        <v>0</v>
      </c>
      <c r="DK280" s="50">
        <f t="shared" si="681"/>
        <v>0</v>
      </c>
      <c r="DL280" s="50">
        <f t="shared" si="682"/>
        <v>0</v>
      </c>
      <c r="DM280" s="50">
        <f t="shared" si="683"/>
        <v>0</v>
      </c>
      <c r="DN280" s="50">
        <f t="shared" si="684"/>
        <v>0</v>
      </c>
      <c r="DO280" s="50">
        <f t="shared" si="685"/>
        <v>0</v>
      </c>
      <c r="DP280" s="50">
        <f t="shared" si="686"/>
        <v>0</v>
      </c>
      <c r="DQ280" s="50">
        <f t="shared" si="663"/>
        <v>0</v>
      </c>
      <c r="DR280" s="50">
        <f t="shared" si="664"/>
        <v>0</v>
      </c>
      <c r="DS280" s="96">
        <f>Miscelaneous!$D$4*Miscelaneous!$D$2^($CI280-1)</f>
        <v>1000</v>
      </c>
      <c r="DT280" s="333">
        <f t="shared" si="643"/>
        <v>1</v>
      </c>
      <c r="DU280" s="81">
        <v>1</v>
      </c>
      <c r="DV280" s="79">
        <f t="shared" si="665"/>
        <v>0</v>
      </c>
      <c r="DW280" s="79">
        <f t="shared" si="666"/>
        <v>0</v>
      </c>
      <c r="DX280" s="79">
        <f t="shared" si="667"/>
        <v>0</v>
      </c>
      <c r="DY280" s="79">
        <v>1</v>
      </c>
      <c r="DZ280" s="79">
        <f t="shared" si="668"/>
        <v>0</v>
      </c>
      <c r="EA280" s="79">
        <f t="shared" si="669"/>
        <v>0</v>
      </c>
      <c r="EB280" s="79">
        <f t="shared" si="670"/>
        <v>0</v>
      </c>
      <c r="EC280" s="79">
        <f t="shared" si="671"/>
        <v>0</v>
      </c>
      <c r="ED280" s="79">
        <v>1</v>
      </c>
      <c r="EE280" s="79">
        <v>1</v>
      </c>
      <c r="EF280" s="79">
        <f t="shared" si="672"/>
        <v>0</v>
      </c>
      <c r="EG280" s="79">
        <v>1</v>
      </c>
      <c r="EH280" s="79">
        <v>1</v>
      </c>
      <c r="EI280" s="79">
        <v>1</v>
      </c>
      <c r="EJ280" s="79">
        <v>1</v>
      </c>
      <c r="EK280" s="79">
        <v>1</v>
      </c>
      <c r="EL280" s="79">
        <v>1</v>
      </c>
      <c r="EM280" s="143">
        <f t="shared" si="673"/>
        <v>0</v>
      </c>
      <c r="EN280" s="143">
        <f t="shared" si="674"/>
        <v>0</v>
      </c>
      <c r="EO280" s="82">
        <f t="shared" si="675"/>
        <v>0</v>
      </c>
    </row>
    <row r="281" spans="1:145" x14ac:dyDescent="0.25">
      <c r="A281">
        <v>267</v>
      </c>
      <c r="B281" s="172" t="e">
        <f t="shared" si="644"/>
        <v>#N/A</v>
      </c>
      <c r="C281" s="121" t="e">
        <f t="shared" ref="C281:E281" si="700">AJ281-SUM(AB281:AB285)</f>
        <v>#N/A</v>
      </c>
      <c r="D281" s="122" t="e">
        <f t="shared" si="700"/>
        <v>#N/A</v>
      </c>
      <c r="E281" s="122" t="e">
        <f t="shared" si="700"/>
        <v>#N/A</v>
      </c>
      <c r="F281" s="176" t="e">
        <f t="shared" si="626"/>
        <v>#N/A</v>
      </c>
      <c r="G281" s="121">
        <f t="shared" si="646"/>
        <v>208</v>
      </c>
      <c r="H281" s="176" t="e">
        <f t="shared" si="647"/>
        <v>#N/A</v>
      </c>
      <c r="I281" s="48">
        <v>1</v>
      </c>
      <c r="J281" s="39"/>
      <c r="K281" s="350">
        <v>1</v>
      </c>
      <c r="L281" s="34" t="e">
        <f t="shared" si="627"/>
        <v>#N/A</v>
      </c>
      <c r="M281" s="38" t="e">
        <f>(HLOOKUP(J281,'Construction Times'!$B$3:$W$34,L281+2,FALSE)*HLOOKUP("hq modifier",'Construction Times'!$W$3:$W$34,BS281+2,FALSE))*(1-$H$9)</f>
        <v>#N/A</v>
      </c>
      <c r="N281" s="426" t="e">
        <f t="shared" si="648"/>
        <v>#N/A</v>
      </c>
      <c r="O281" s="427"/>
      <c r="P281" s="430" t="e">
        <f t="shared" si="649"/>
        <v>#N/A</v>
      </c>
      <c r="Q281" s="431"/>
      <c r="R281" s="103">
        <f t="shared" si="677"/>
        <v>0</v>
      </c>
      <c r="S281" s="104">
        <f t="shared" si="677"/>
        <v>0</v>
      </c>
      <c r="T281" s="104">
        <f t="shared" si="678"/>
        <v>0</v>
      </c>
      <c r="U281" s="104">
        <f t="shared" si="678"/>
        <v>0</v>
      </c>
      <c r="V281" s="104">
        <f t="shared" si="678"/>
        <v>9.9999999999999995E-8</v>
      </c>
      <c r="W281" s="104">
        <f t="shared" si="678"/>
        <v>0</v>
      </c>
      <c r="X281" s="104">
        <f t="shared" si="584"/>
        <v>0</v>
      </c>
      <c r="Y281" s="104">
        <f t="shared" si="584"/>
        <v>9.9999999999999995E-8</v>
      </c>
      <c r="Z281" s="104">
        <f t="shared" si="584"/>
        <v>9.9999999999999995E-8</v>
      </c>
      <c r="AA281" s="105">
        <f t="shared" si="584"/>
        <v>9.9999999999999995E-8</v>
      </c>
      <c r="AB281" s="101" t="e">
        <f>$DT281*HLOOKUP($J281,'Construction Costs (timber)'!$B$1:$V$32,'Construction Planner'!$L281+2,FALSE)</f>
        <v>#N/A</v>
      </c>
      <c r="AC281" s="14" t="e">
        <f>$DT281*HLOOKUP($J281,'Construction Costs (clay)'!$B$1:$V$32,'Construction Planner'!$L281+2,FALSE)</f>
        <v>#N/A</v>
      </c>
      <c r="AD281" s="14" t="e">
        <f>$DT281*HLOOKUP($J281,'Construction Costs (iron)'!$B$1:$V$32,'Construction Planner'!$L281+2,FALSE)</f>
        <v>#N/A</v>
      </c>
      <c r="AE281" s="34" t="e">
        <f t="shared" si="690"/>
        <v>#N/A</v>
      </c>
      <c r="AF281" s="33" t="e">
        <f t="shared" si="628"/>
        <v>#N/A</v>
      </c>
      <c r="AG281" s="14" t="e">
        <f t="shared" si="629"/>
        <v>#N/A</v>
      </c>
      <c r="AH281" s="14" t="e">
        <f t="shared" si="630"/>
        <v>#N/A</v>
      </c>
      <c r="AI281" s="34" t="e">
        <f t="shared" si="691"/>
        <v>#N/A</v>
      </c>
      <c r="AJ281" s="49" t="e">
        <f t="shared" si="651"/>
        <v>#N/A</v>
      </c>
      <c r="AK281" s="49" t="e">
        <f t="shared" si="652"/>
        <v>#N/A</v>
      </c>
      <c r="AL281" s="49" t="e">
        <f t="shared" si="653"/>
        <v>#N/A</v>
      </c>
      <c r="AM281" s="25">
        <f t="shared" si="631"/>
        <v>30</v>
      </c>
      <c r="AN281" s="25">
        <f t="shared" si="632"/>
        <v>30</v>
      </c>
      <c r="AO281" s="25">
        <f t="shared" si="633"/>
        <v>30</v>
      </c>
      <c r="AP281" s="52" t="e">
        <f t="shared" si="654"/>
        <v>#N/A</v>
      </c>
      <c r="AQ281" s="53" t="e">
        <f t="shared" si="654"/>
        <v>#N/A</v>
      </c>
      <c r="AR281" s="54" t="e">
        <f t="shared" si="654"/>
        <v>#N/A</v>
      </c>
      <c r="AS281" s="316">
        <f t="shared" si="692"/>
        <v>0</v>
      </c>
      <c r="AT281" s="106">
        <f>_xlfn.IFNA($M281/VLOOKUP($BT281,'Unit information'!$A$2:$K$29,2,FALSE)*R281,0)*(1+$E$9)</f>
        <v>0</v>
      </c>
      <c r="AU281" s="107">
        <f>_xlfn.IFNA($M281/VLOOKUP($BT281,'Unit information'!$A$2:$K$29,3,FALSE)*S281,0)*(1+$E$9)</f>
        <v>0</v>
      </c>
      <c r="AV281" s="107">
        <f>_xlfn.IFNA($M281/VLOOKUP($BT281,'Unit information'!$A$2:$K$29,4,FALSE)*T281,0)*(1+$E$9)</f>
        <v>0</v>
      </c>
      <c r="AW281" s="107">
        <f>_xlfn.IFNA($M281/VLOOKUP($BT281,'Unit information'!$A$2:$K$29,5,FALSE)*U281,0)*(1+$E$9)</f>
        <v>0</v>
      </c>
      <c r="AX281" s="107">
        <f>_xlfn.IFNA($M281/VLOOKUP($BU281,'Unit information'!$A$2:$K$29,6,FALSE)*V281,0)*(1+$E$9)</f>
        <v>0</v>
      </c>
      <c r="AY281" s="107">
        <f>_xlfn.IFNA($M281/VLOOKUP($BU281,'Unit information'!$A$2:$K$29,7,FALSE)*W281,0)*(1+$E$9)</f>
        <v>0</v>
      </c>
      <c r="AZ281" s="107">
        <f>_xlfn.IFNA($M281/VLOOKUP($BU281,'Unit information'!$A$2:$K$29,8,FALSE)*X281,0)*(1+$E$9)</f>
        <v>0</v>
      </c>
      <c r="BA281" s="107">
        <f>_xlfn.IFNA($M281/VLOOKUP($BU281,'Unit information'!$A$2:$K$29,9,FALSE)*Y281,0)*(1+$E$9)</f>
        <v>0</v>
      </c>
      <c r="BB281" s="107">
        <f>_xlfn.IFNA($M281/VLOOKUP($BV281,'Unit information'!$A$2:$K$29,10,FALSE)*Z281,0)*(1+$E$9)</f>
        <v>0</v>
      </c>
      <c r="BC281" s="108">
        <f>_xlfn.IFNA($M281/VLOOKUP($BV281,'Unit information'!$A$2:$K$29,11,FALSE)*AA281,0)*(1+$E$9)</f>
        <v>0</v>
      </c>
      <c r="BD281" s="106">
        <f t="shared" si="634"/>
        <v>0</v>
      </c>
      <c r="BE281" s="107">
        <f t="shared" si="635"/>
        <v>0</v>
      </c>
      <c r="BF281" s="108">
        <f t="shared" si="636"/>
        <v>0</v>
      </c>
      <c r="BG281" s="25" t="e">
        <f t="shared" si="637"/>
        <v>#N/A</v>
      </c>
      <c r="BH281" s="25" t="e">
        <f t="shared" si="638"/>
        <v>#N/A</v>
      </c>
      <c r="BI281" s="25" t="e">
        <f t="shared" si="639"/>
        <v>#N/A</v>
      </c>
      <c r="BJ281" s="27" t="e">
        <f t="shared" si="640"/>
        <v>#N/A</v>
      </c>
      <c r="BK281" s="18" t="e">
        <f t="shared" si="641"/>
        <v>#N/A</v>
      </c>
      <c r="BL281" s="18" t="e">
        <f t="shared" si="642"/>
        <v>#N/A</v>
      </c>
      <c r="BM281" s="28" t="e">
        <f t="shared" si="693"/>
        <v>#N/A</v>
      </c>
      <c r="BN281" s="33">
        <f>HLOOKUP("maximum population",Miscelaneous!$C$1:$C$33,CH281+3,FALSE)</f>
        <v>240</v>
      </c>
      <c r="BO281" s="14">
        <f t="shared" si="655"/>
        <v>32</v>
      </c>
      <c r="BP281" s="14">
        <f t="shared" si="656"/>
        <v>0</v>
      </c>
      <c r="BQ281" s="14">
        <f t="shared" si="657"/>
        <v>208</v>
      </c>
      <c r="BR281" s="34" t="e">
        <f>HLOOKUP(J281,Villagers!$B$1:$V$33,L281+3,FALSE)-HLOOKUP(J281,Villagers!$B$1:$V$33,L281+2,FALSE)</f>
        <v>#N/A</v>
      </c>
      <c r="BS281" s="49">
        <f t="shared" si="658"/>
        <v>1</v>
      </c>
      <c r="BT281" s="50">
        <f t="shared" si="659"/>
        <v>0</v>
      </c>
      <c r="BU281" s="50">
        <f t="shared" si="660"/>
        <v>0</v>
      </c>
      <c r="BV281" s="50">
        <f t="shared" si="661"/>
        <v>0</v>
      </c>
      <c r="BW281" s="50">
        <f t="shared" si="699"/>
        <v>0</v>
      </c>
      <c r="BX281" s="50">
        <f t="shared" si="697"/>
        <v>0</v>
      </c>
      <c r="BY281" s="50">
        <f t="shared" si="697"/>
        <v>0</v>
      </c>
      <c r="BZ281" s="50">
        <f t="shared" si="554"/>
        <v>0</v>
      </c>
      <c r="CA281" s="50">
        <f t="shared" si="555"/>
        <v>0</v>
      </c>
      <c r="CB281" s="50">
        <f t="shared" si="556"/>
        <v>1</v>
      </c>
      <c r="CC281" s="50">
        <f t="shared" si="557"/>
        <v>0</v>
      </c>
      <c r="CD281" s="50">
        <f t="shared" si="558"/>
        <v>0</v>
      </c>
      <c r="CE281" s="50">
        <f t="shared" si="559"/>
        <v>1</v>
      </c>
      <c r="CF281" s="50">
        <f t="shared" si="560"/>
        <v>1</v>
      </c>
      <c r="CG281" s="50">
        <f t="shared" si="561"/>
        <v>1</v>
      </c>
      <c r="CH281" s="50">
        <f t="shared" si="562"/>
        <v>1</v>
      </c>
      <c r="CI281" s="50">
        <f t="shared" si="563"/>
        <v>1</v>
      </c>
      <c r="CJ281" s="50">
        <f t="shared" si="564"/>
        <v>1</v>
      </c>
      <c r="CK281" s="50">
        <f t="shared" si="564"/>
        <v>0</v>
      </c>
      <c r="CL281" s="50">
        <f t="shared" si="564"/>
        <v>0</v>
      </c>
      <c r="CM281" s="51">
        <f t="shared" si="605"/>
        <v>0</v>
      </c>
      <c r="CN281" s="33">
        <f>ROUND(IF(BS281=0,0,HLOOKUP(BS$14,Villagers!$B$1:$V$33,BS281+3,FALSE)),)</f>
        <v>5</v>
      </c>
      <c r="CO281" s="14">
        <f>ROUND(IF(BT281=0,0,HLOOKUP(BT$14,Villagers!$B$1:$V$33,BT281+3,FALSE)),)</f>
        <v>0</v>
      </c>
      <c r="CP281" s="14">
        <f>ROUND(IF(BU281=0,0,HLOOKUP(BU$14,Villagers!$B$1:$V$33,BU281+3,FALSE)),)</f>
        <v>0</v>
      </c>
      <c r="CQ281" s="14">
        <f>ROUND(IF(BV281=0,0,HLOOKUP(BV$14,Villagers!$B$1:$V$33,BV281+3,FALSE)),)</f>
        <v>0</v>
      </c>
      <c r="CR281" s="14">
        <f>ROUND(IF(BW281=0,0,HLOOKUP(BW$14,Villagers!$B$1:$V$33,BW281+3,FALSE)),)</f>
        <v>0</v>
      </c>
      <c r="CS281" s="14">
        <f>ROUND(IF(BX281=0,0,HLOOKUP(BX$14,Villagers!$B$1:$V$33,BX281+3,FALSE)),)</f>
        <v>0</v>
      </c>
      <c r="CT281" s="14">
        <f>ROUND(IF(BY281=0,0,HLOOKUP(BY$14,Villagers!$B$1:$V$33,BY281+3,FALSE)),)</f>
        <v>0</v>
      </c>
      <c r="CU281" s="14">
        <f>ROUND(IF(BZ281=0,0,HLOOKUP(BZ$14,Villagers!$B$1:$V$33,BZ281+3,FALSE)),)</f>
        <v>0</v>
      </c>
      <c r="CV281" s="14">
        <f>ROUND(IF(CA281=0,0,HLOOKUP(CA$14,Villagers!$B$1:$V$33,CA281+3,FALSE)),)</f>
        <v>0</v>
      </c>
      <c r="CW281" s="14">
        <f>ROUND(IF(CB281=0,0,HLOOKUP(CB$14,Villagers!$B$1:$V$33,CB281+3,FALSE)),)</f>
        <v>0</v>
      </c>
      <c r="CX281" s="14">
        <f>ROUND(IF(CC281=0,0,HLOOKUP(CC$14,Villagers!$B$1:$V$33,CC281+3,FALSE)),)</f>
        <v>0</v>
      </c>
      <c r="CY281" s="14">
        <f>ROUND(IF(CD281=0,0,HLOOKUP(CD$14,Villagers!$B$1:$V$33,CD281+3,FALSE)),)</f>
        <v>0</v>
      </c>
      <c r="CZ281" s="14">
        <f>ROUND(IF(CE281=0,0,HLOOKUP(CE$14,Villagers!$B$1:$V$33,CE281+3,FALSE)),)</f>
        <v>5</v>
      </c>
      <c r="DA281" s="14">
        <f>ROUND(IF(CF281=0,0,HLOOKUP(CF$14,Villagers!$B$1:$V$33,CF281+3,FALSE)),)</f>
        <v>10</v>
      </c>
      <c r="DB281" s="14">
        <f>ROUND(IF(CG281=0,0,HLOOKUP(CG$14,Villagers!$B$1:$V$33,CG281+3,FALSE)),)</f>
        <v>10</v>
      </c>
      <c r="DC281" s="14">
        <f>ROUND(IF(CH281=0,0,HLOOKUP(CH$14,Villagers!$B$1:$V$33,CH281+3,FALSE)),)</f>
        <v>0</v>
      </c>
      <c r="DD281" s="14">
        <f>ROUND(IF(CI281=0,0,HLOOKUP(CI$14,Villagers!$B$1:$V$33,CI281+3,FALSE)),)</f>
        <v>0</v>
      </c>
      <c r="DE281" s="14">
        <f>ROUND(IF(CJ281=0,0,HLOOKUP(CJ$14,Villagers!$B$1:$V$33,CJ281+3,FALSE)),)</f>
        <v>2</v>
      </c>
      <c r="DF281" s="370">
        <f>ROUND(IF(CK281=0,0,HLOOKUP(CK$14,Villagers!$B$1:$V$33,CK281+3,FALSE)),)</f>
        <v>0</v>
      </c>
      <c r="DG281" s="370">
        <f>ROUND(IF(CL281=0,0,HLOOKUP(CL$14,Villagers!$B$1:$V$33,CL281+3,FALSE)),)</f>
        <v>0</v>
      </c>
      <c r="DH281" s="34">
        <f>ROUND(IF(CM281=0,0,HLOOKUP(CM$14,Villagers!$B$1:$V$33,CM281+3,FALSE)),)</f>
        <v>0</v>
      </c>
      <c r="DI281" s="109">
        <f t="shared" si="679"/>
        <v>0</v>
      </c>
      <c r="DJ281" s="50">
        <f t="shared" si="680"/>
        <v>0</v>
      </c>
      <c r="DK281" s="50">
        <f t="shared" si="681"/>
        <v>0</v>
      </c>
      <c r="DL281" s="50">
        <f t="shared" si="682"/>
        <v>0</v>
      </c>
      <c r="DM281" s="50">
        <f t="shared" si="683"/>
        <v>0</v>
      </c>
      <c r="DN281" s="50">
        <f t="shared" si="684"/>
        <v>0</v>
      </c>
      <c r="DO281" s="50">
        <f t="shared" si="685"/>
        <v>0</v>
      </c>
      <c r="DP281" s="50">
        <f t="shared" si="686"/>
        <v>0</v>
      </c>
      <c r="DQ281" s="50">
        <f t="shared" si="663"/>
        <v>0</v>
      </c>
      <c r="DR281" s="50">
        <f t="shared" si="664"/>
        <v>0</v>
      </c>
      <c r="DS281" s="96">
        <f>Miscelaneous!$D$4*Miscelaneous!$D$2^($CI281-1)</f>
        <v>1000</v>
      </c>
      <c r="DT281" s="333">
        <f t="shared" si="643"/>
        <v>1</v>
      </c>
      <c r="DU281" s="81">
        <v>1</v>
      </c>
      <c r="DV281" s="79">
        <f t="shared" si="665"/>
        <v>0</v>
      </c>
      <c r="DW281" s="79">
        <f t="shared" si="666"/>
        <v>0</v>
      </c>
      <c r="DX281" s="79">
        <f t="shared" si="667"/>
        <v>0</v>
      </c>
      <c r="DY281" s="79">
        <v>1</v>
      </c>
      <c r="DZ281" s="79">
        <f t="shared" si="668"/>
        <v>0</v>
      </c>
      <c r="EA281" s="79">
        <f t="shared" si="669"/>
        <v>0</v>
      </c>
      <c r="EB281" s="79">
        <f t="shared" si="670"/>
        <v>0</v>
      </c>
      <c r="EC281" s="79">
        <f t="shared" si="671"/>
        <v>0</v>
      </c>
      <c r="ED281" s="79">
        <v>1</v>
      </c>
      <c r="EE281" s="79">
        <v>1</v>
      </c>
      <c r="EF281" s="79">
        <f t="shared" si="672"/>
        <v>0</v>
      </c>
      <c r="EG281" s="79">
        <v>1</v>
      </c>
      <c r="EH281" s="79">
        <v>1</v>
      </c>
      <c r="EI281" s="79">
        <v>1</v>
      </c>
      <c r="EJ281" s="79">
        <v>1</v>
      </c>
      <c r="EK281" s="79">
        <v>1</v>
      </c>
      <c r="EL281" s="79">
        <v>1</v>
      </c>
      <c r="EM281" s="143">
        <f t="shared" si="673"/>
        <v>0</v>
      </c>
      <c r="EN281" s="143">
        <f t="shared" si="674"/>
        <v>0</v>
      </c>
      <c r="EO281" s="82">
        <f t="shared" si="675"/>
        <v>0</v>
      </c>
    </row>
    <row r="282" spans="1:145" x14ac:dyDescent="0.25">
      <c r="A282">
        <v>268</v>
      </c>
      <c r="B282" s="172" t="e">
        <f t="shared" si="644"/>
        <v>#N/A</v>
      </c>
      <c r="C282" s="121" t="e">
        <f t="shared" ref="C282:E282" si="701">AJ282-SUM(AB282:AB286)</f>
        <v>#N/A</v>
      </c>
      <c r="D282" s="122" t="e">
        <f t="shared" si="701"/>
        <v>#N/A</v>
      </c>
      <c r="E282" s="122" t="e">
        <f t="shared" si="701"/>
        <v>#N/A</v>
      </c>
      <c r="F282" s="176" t="e">
        <f t="shared" si="626"/>
        <v>#N/A</v>
      </c>
      <c r="G282" s="121">
        <f t="shared" si="646"/>
        <v>208</v>
      </c>
      <c r="H282" s="176" t="e">
        <f t="shared" si="647"/>
        <v>#N/A</v>
      </c>
      <c r="I282" s="48">
        <v>1</v>
      </c>
      <c r="J282" s="39"/>
      <c r="K282" s="350">
        <v>1</v>
      </c>
      <c r="L282" s="34" t="e">
        <f t="shared" si="627"/>
        <v>#N/A</v>
      </c>
      <c r="M282" s="38" t="e">
        <f>(HLOOKUP(J282,'Construction Times'!$B$3:$W$34,L282+2,FALSE)*HLOOKUP("hq modifier",'Construction Times'!$W$3:$W$34,BS282+2,FALSE))*(1-$H$9)</f>
        <v>#N/A</v>
      </c>
      <c r="N282" s="426" t="e">
        <f t="shared" si="648"/>
        <v>#N/A</v>
      </c>
      <c r="O282" s="427"/>
      <c r="P282" s="430" t="e">
        <f t="shared" si="649"/>
        <v>#N/A</v>
      </c>
      <c r="Q282" s="431"/>
      <c r="R282" s="103">
        <f t="shared" si="677"/>
        <v>0</v>
      </c>
      <c r="S282" s="104">
        <f t="shared" si="677"/>
        <v>0</v>
      </c>
      <c r="T282" s="104">
        <f t="shared" si="678"/>
        <v>0</v>
      </c>
      <c r="U282" s="104">
        <f t="shared" si="678"/>
        <v>0</v>
      </c>
      <c r="V282" s="104">
        <f t="shared" si="678"/>
        <v>9.9999999999999995E-8</v>
      </c>
      <c r="W282" s="104">
        <f t="shared" si="678"/>
        <v>0</v>
      </c>
      <c r="X282" s="104">
        <f t="shared" si="584"/>
        <v>0</v>
      </c>
      <c r="Y282" s="104">
        <f t="shared" si="584"/>
        <v>9.9999999999999995E-8</v>
      </c>
      <c r="Z282" s="104">
        <f t="shared" si="584"/>
        <v>9.9999999999999995E-8</v>
      </c>
      <c r="AA282" s="105">
        <f t="shared" si="584"/>
        <v>9.9999999999999995E-8</v>
      </c>
      <c r="AB282" s="101" t="e">
        <f>$DT282*HLOOKUP($J282,'Construction Costs (timber)'!$B$1:$V$32,'Construction Planner'!$L282+2,FALSE)</f>
        <v>#N/A</v>
      </c>
      <c r="AC282" s="14" t="e">
        <f>$DT282*HLOOKUP($J282,'Construction Costs (clay)'!$B$1:$V$32,'Construction Planner'!$L282+2,FALSE)</f>
        <v>#N/A</v>
      </c>
      <c r="AD282" s="14" t="e">
        <f>$DT282*HLOOKUP($J282,'Construction Costs (iron)'!$B$1:$V$32,'Construction Planner'!$L282+2,FALSE)</f>
        <v>#N/A</v>
      </c>
      <c r="AE282" s="34" t="e">
        <f t="shared" si="690"/>
        <v>#N/A</v>
      </c>
      <c r="AF282" s="33" t="e">
        <f t="shared" si="628"/>
        <v>#N/A</v>
      </c>
      <c r="AG282" s="14" t="e">
        <f t="shared" si="629"/>
        <v>#N/A</v>
      </c>
      <c r="AH282" s="14" t="e">
        <f t="shared" si="630"/>
        <v>#N/A</v>
      </c>
      <c r="AI282" s="34" t="e">
        <f t="shared" si="691"/>
        <v>#N/A</v>
      </c>
      <c r="AJ282" s="49" t="e">
        <f t="shared" si="651"/>
        <v>#N/A</v>
      </c>
      <c r="AK282" s="49" t="e">
        <f t="shared" si="652"/>
        <v>#N/A</v>
      </c>
      <c r="AL282" s="49" t="e">
        <f t="shared" si="653"/>
        <v>#N/A</v>
      </c>
      <c r="AM282" s="25">
        <f t="shared" si="631"/>
        <v>30</v>
      </c>
      <c r="AN282" s="25">
        <f t="shared" si="632"/>
        <v>30</v>
      </c>
      <c r="AO282" s="25">
        <f t="shared" si="633"/>
        <v>30</v>
      </c>
      <c r="AP282" s="52" t="e">
        <f t="shared" si="654"/>
        <v>#N/A</v>
      </c>
      <c r="AQ282" s="53" t="e">
        <f t="shared" si="654"/>
        <v>#N/A</v>
      </c>
      <c r="AR282" s="54" t="e">
        <f t="shared" si="654"/>
        <v>#N/A</v>
      </c>
      <c r="AS282" s="316">
        <f t="shared" si="692"/>
        <v>0</v>
      </c>
      <c r="AT282" s="106">
        <f>_xlfn.IFNA($M282/VLOOKUP($BT282,'Unit information'!$A$2:$K$29,2,FALSE)*R282,0)*(1+$E$9)</f>
        <v>0</v>
      </c>
      <c r="AU282" s="107">
        <f>_xlfn.IFNA($M282/VLOOKUP($BT282,'Unit information'!$A$2:$K$29,3,FALSE)*S282,0)*(1+$E$9)</f>
        <v>0</v>
      </c>
      <c r="AV282" s="107">
        <f>_xlfn.IFNA($M282/VLOOKUP($BT282,'Unit information'!$A$2:$K$29,4,FALSE)*T282,0)*(1+$E$9)</f>
        <v>0</v>
      </c>
      <c r="AW282" s="107">
        <f>_xlfn.IFNA($M282/VLOOKUP($BT282,'Unit information'!$A$2:$K$29,5,FALSE)*U282,0)*(1+$E$9)</f>
        <v>0</v>
      </c>
      <c r="AX282" s="107">
        <f>_xlfn.IFNA($M282/VLOOKUP($BU282,'Unit information'!$A$2:$K$29,6,FALSE)*V282,0)*(1+$E$9)</f>
        <v>0</v>
      </c>
      <c r="AY282" s="107">
        <f>_xlfn.IFNA($M282/VLOOKUP($BU282,'Unit information'!$A$2:$K$29,7,FALSE)*W282,0)*(1+$E$9)</f>
        <v>0</v>
      </c>
      <c r="AZ282" s="107">
        <f>_xlfn.IFNA($M282/VLOOKUP($BU282,'Unit information'!$A$2:$K$29,8,FALSE)*X282,0)*(1+$E$9)</f>
        <v>0</v>
      </c>
      <c r="BA282" s="107">
        <f>_xlfn.IFNA($M282/VLOOKUP($BU282,'Unit information'!$A$2:$K$29,9,FALSE)*Y282,0)*(1+$E$9)</f>
        <v>0</v>
      </c>
      <c r="BB282" s="107">
        <f>_xlfn.IFNA($M282/VLOOKUP($BV282,'Unit information'!$A$2:$K$29,10,FALSE)*Z282,0)*(1+$E$9)</f>
        <v>0</v>
      </c>
      <c r="BC282" s="108">
        <f>_xlfn.IFNA($M282/VLOOKUP($BV282,'Unit information'!$A$2:$K$29,11,FALSE)*AA282,0)*(1+$E$9)</f>
        <v>0</v>
      </c>
      <c r="BD282" s="106">
        <f t="shared" si="634"/>
        <v>0</v>
      </c>
      <c r="BE282" s="107">
        <f t="shared" si="635"/>
        <v>0</v>
      </c>
      <c r="BF282" s="108">
        <f t="shared" si="636"/>
        <v>0</v>
      </c>
      <c r="BG282" s="25" t="e">
        <f t="shared" si="637"/>
        <v>#N/A</v>
      </c>
      <c r="BH282" s="25" t="e">
        <f t="shared" si="638"/>
        <v>#N/A</v>
      </c>
      <c r="BI282" s="25" t="e">
        <f t="shared" si="639"/>
        <v>#N/A</v>
      </c>
      <c r="BJ282" s="27" t="e">
        <f t="shared" si="640"/>
        <v>#N/A</v>
      </c>
      <c r="BK282" s="18" t="e">
        <f t="shared" si="641"/>
        <v>#N/A</v>
      </c>
      <c r="BL282" s="18" t="e">
        <f t="shared" si="642"/>
        <v>#N/A</v>
      </c>
      <c r="BM282" s="28" t="e">
        <f t="shared" si="693"/>
        <v>#N/A</v>
      </c>
      <c r="BN282" s="33">
        <f>HLOOKUP("maximum population",Miscelaneous!$C$1:$C$33,CH282+3,FALSE)</f>
        <v>240</v>
      </c>
      <c r="BO282" s="14">
        <f t="shared" si="655"/>
        <v>32</v>
      </c>
      <c r="BP282" s="14">
        <f t="shared" si="656"/>
        <v>0</v>
      </c>
      <c r="BQ282" s="14">
        <f t="shared" si="657"/>
        <v>208</v>
      </c>
      <c r="BR282" s="34" t="e">
        <f>HLOOKUP(J282,Villagers!$B$1:$V$33,L282+3,FALSE)-HLOOKUP(J282,Villagers!$B$1:$V$33,L282+2,FALSE)</f>
        <v>#N/A</v>
      </c>
      <c r="BS282" s="49">
        <f t="shared" si="658"/>
        <v>1</v>
      </c>
      <c r="BT282" s="50">
        <f t="shared" si="659"/>
        <v>0</v>
      </c>
      <c r="BU282" s="50">
        <f t="shared" si="660"/>
        <v>0</v>
      </c>
      <c r="BV282" s="50">
        <f t="shared" si="661"/>
        <v>0</v>
      </c>
      <c r="BW282" s="50">
        <f t="shared" si="699"/>
        <v>0</v>
      </c>
      <c r="BX282" s="50">
        <f t="shared" si="697"/>
        <v>0</v>
      </c>
      <c r="BY282" s="50">
        <f t="shared" si="697"/>
        <v>0</v>
      </c>
      <c r="BZ282" s="50">
        <f t="shared" si="554"/>
        <v>0</v>
      </c>
      <c r="CA282" s="50">
        <f t="shared" si="555"/>
        <v>0</v>
      </c>
      <c r="CB282" s="50">
        <f t="shared" si="556"/>
        <v>1</v>
      </c>
      <c r="CC282" s="50">
        <f t="shared" si="557"/>
        <v>0</v>
      </c>
      <c r="CD282" s="50">
        <f t="shared" si="558"/>
        <v>0</v>
      </c>
      <c r="CE282" s="50">
        <f t="shared" si="559"/>
        <v>1</v>
      </c>
      <c r="CF282" s="50">
        <f t="shared" si="560"/>
        <v>1</v>
      </c>
      <c r="CG282" s="50">
        <f t="shared" si="561"/>
        <v>1</v>
      </c>
      <c r="CH282" s="50">
        <f t="shared" si="562"/>
        <v>1</v>
      </c>
      <c r="CI282" s="50">
        <f t="shared" si="563"/>
        <v>1</v>
      </c>
      <c r="CJ282" s="50">
        <f t="shared" si="564"/>
        <v>1</v>
      </c>
      <c r="CK282" s="50">
        <f t="shared" si="564"/>
        <v>0</v>
      </c>
      <c r="CL282" s="50">
        <f t="shared" si="564"/>
        <v>0</v>
      </c>
      <c r="CM282" s="51">
        <f t="shared" si="605"/>
        <v>0</v>
      </c>
      <c r="CN282" s="33">
        <f>ROUND(IF(BS282=0,0,HLOOKUP(BS$14,Villagers!$B$1:$V$33,BS282+3,FALSE)),)</f>
        <v>5</v>
      </c>
      <c r="CO282" s="14">
        <f>ROUND(IF(BT282=0,0,HLOOKUP(BT$14,Villagers!$B$1:$V$33,BT282+3,FALSE)),)</f>
        <v>0</v>
      </c>
      <c r="CP282" s="14">
        <f>ROUND(IF(BU282=0,0,HLOOKUP(BU$14,Villagers!$B$1:$V$33,BU282+3,FALSE)),)</f>
        <v>0</v>
      </c>
      <c r="CQ282" s="14">
        <f>ROUND(IF(BV282=0,0,HLOOKUP(BV$14,Villagers!$B$1:$V$33,BV282+3,FALSE)),)</f>
        <v>0</v>
      </c>
      <c r="CR282" s="14">
        <f>ROUND(IF(BW282=0,0,HLOOKUP(BW$14,Villagers!$B$1:$V$33,BW282+3,FALSE)),)</f>
        <v>0</v>
      </c>
      <c r="CS282" s="14">
        <f>ROUND(IF(BX282=0,0,HLOOKUP(BX$14,Villagers!$B$1:$V$33,BX282+3,FALSE)),)</f>
        <v>0</v>
      </c>
      <c r="CT282" s="14">
        <f>ROUND(IF(BY282=0,0,HLOOKUP(BY$14,Villagers!$B$1:$V$33,BY282+3,FALSE)),)</f>
        <v>0</v>
      </c>
      <c r="CU282" s="14">
        <f>ROUND(IF(BZ282=0,0,HLOOKUP(BZ$14,Villagers!$B$1:$V$33,BZ282+3,FALSE)),)</f>
        <v>0</v>
      </c>
      <c r="CV282" s="14">
        <f>ROUND(IF(CA282=0,0,HLOOKUP(CA$14,Villagers!$B$1:$V$33,CA282+3,FALSE)),)</f>
        <v>0</v>
      </c>
      <c r="CW282" s="14">
        <f>ROUND(IF(CB282=0,0,HLOOKUP(CB$14,Villagers!$B$1:$V$33,CB282+3,FALSE)),)</f>
        <v>0</v>
      </c>
      <c r="CX282" s="14">
        <f>ROUND(IF(CC282=0,0,HLOOKUP(CC$14,Villagers!$B$1:$V$33,CC282+3,FALSE)),)</f>
        <v>0</v>
      </c>
      <c r="CY282" s="14">
        <f>ROUND(IF(CD282=0,0,HLOOKUP(CD$14,Villagers!$B$1:$V$33,CD282+3,FALSE)),)</f>
        <v>0</v>
      </c>
      <c r="CZ282" s="14">
        <f>ROUND(IF(CE282=0,0,HLOOKUP(CE$14,Villagers!$B$1:$V$33,CE282+3,FALSE)),)</f>
        <v>5</v>
      </c>
      <c r="DA282" s="14">
        <f>ROUND(IF(CF282=0,0,HLOOKUP(CF$14,Villagers!$B$1:$V$33,CF282+3,FALSE)),)</f>
        <v>10</v>
      </c>
      <c r="DB282" s="14">
        <f>ROUND(IF(CG282=0,0,HLOOKUP(CG$14,Villagers!$B$1:$V$33,CG282+3,FALSE)),)</f>
        <v>10</v>
      </c>
      <c r="DC282" s="14">
        <f>ROUND(IF(CH282=0,0,HLOOKUP(CH$14,Villagers!$B$1:$V$33,CH282+3,FALSE)),)</f>
        <v>0</v>
      </c>
      <c r="DD282" s="14">
        <f>ROUND(IF(CI282=0,0,HLOOKUP(CI$14,Villagers!$B$1:$V$33,CI282+3,FALSE)),)</f>
        <v>0</v>
      </c>
      <c r="DE282" s="14">
        <f>ROUND(IF(CJ282=0,0,HLOOKUP(CJ$14,Villagers!$B$1:$V$33,CJ282+3,FALSE)),)</f>
        <v>2</v>
      </c>
      <c r="DF282" s="370">
        <f>ROUND(IF(CK282=0,0,HLOOKUP(CK$14,Villagers!$B$1:$V$33,CK282+3,FALSE)),)</f>
        <v>0</v>
      </c>
      <c r="DG282" s="370">
        <f>ROUND(IF(CL282=0,0,HLOOKUP(CL$14,Villagers!$B$1:$V$33,CL282+3,FALSE)),)</f>
        <v>0</v>
      </c>
      <c r="DH282" s="34">
        <f>ROUND(IF(CM282=0,0,HLOOKUP(CM$14,Villagers!$B$1:$V$33,CM282+3,FALSE)),)</f>
        <v>0</v>
      </c>
      <c r="DI282" s="109">
        <f t="shared" si="679"/>
        <v>0</v>
      </c>
      <c r="DJ282" s="50">
        <f t="shared" si="680"/>
        <v>0</v>
      </c>
      <c r="DK282" s="50">
        <f t="shared" si="681"/>
        <v>0</v>
      </c>
      <c r="DL282" s="50">
        <f t="shared" si="682"/>
        <v>0</v>
      </c>
      <c r="DM282" s="50">
        <f t="shared" si="683"/>
        <v>0</v>
      </c>
      <c r="DN282" s="50">
        <f t="shared" si="684"/>
        <v>0</v>
      </c>
      <c r="DO282" s="50">
        <f t="shared" si="685"/>
        <v>0</v>
      </c>
      <c r="DP282" s="50">
        <f t="shared" si="686"/>
        <v>0</v>
      </c>
      <c r="DQ282" s="50">
        <f t="shared" si="663"/>
        <v>0</v>
      </c>
      <c r="DR282" s="50">
        <f t="shared" si="664"/>
        <v>0</v>
      </c>
      <c r="DS282" s="96">
        <f>Miscelaneous!$D$4*Miscelaneous!$D$2^($CI282-1)</f>
        <v>1000</v>
      </c>
      <c r="DT282" s="333">
        <f t="shared" si="643"/>
        <v>1</v>
      </c>
      <c r="DU282" s="81">
        <v>1</v>
      </c>
      <c r="DV282" s="79">
        <f t="shared" si="665"/>
        <v>0</v>
      </c>
      <c r="DW282" s="79">
        <f t="shared" si="666"/>
        <v>0</v>
      </c>
      <c r="DX282" s="79">
        <f t="shared" si="667"/>
        <v>0</v>
      </c>
      <c r="DY282" s="79">
        <v>1</v>
      </c>
      <c r="DZ282" s="79">
        <f t="shared" si="668"/>
        <v>0</v>
      </c>
      <c r="EA282" s="79">
        <f t="shared" si="669"/>
        <v>0</v>
      </c>
      <c r="EB282" s="79">
        <f t="shared" si="670"/>
        <v>0</v>
      </c>
      <c r="EC282" s="79">
        <f t="shared" si="671"/>
        <v>0</v>
      </c>
      <c r="ED282" s="79">
        <v>1</v>
      </c>
      <c r="EE282" s="79">
        <v>1</v>
      </c>
      <c r="EF282" s="79">
        <f t="shared" si="672"/>
        <v>0</v>
      </c>
      <c r="EG282" s="79">
        <v>1</v>
      </c>
      <c r="EH282" s="79">
        <v>1</v>
      </c>
      <c r="EI282" s="79">
        <v>1</v>
      </c>
      <c r="EJ282" s="79">
        <v>1</v>
      </c>
      <c r="EK282" s="79">
        <v>1</v>
      </c>
      <c r="EL282" s="79">
        <v>1</v>
      </c>
      <c r="EM282" s="143">
        <f t="shared" si="673"/>
        <v>0</v>
      </c>
      <c r="EN282" s="143">
        <f t="shared" si="674"/>
        <v>0</v>
      </c>
      <c r="EO282" s="82">
        <f t="shared" si="675"/>
        <v>0</v>
      </c>
    </row>
    <row r="283" spans="1:145" x14ac:dyDescent="0.25">
      <c r="A283">
        <v>269</v>
      </c>
      <c r="B283" s="172" t="e">
        <f t="shared" si="644"/>
        <v>#N/A</v>
      </c>
      <c r="C283" s="121" t="e">
        <f t="shared" ref="C283:E283" si="702">AJ283-SUM(AB283:AB287)</f>
        <v>#N/A</v>
      </c>
      <c r="D283" s="122" t="e">
        <f t="shared" si="702"/>
        <v>#N/A</v>
      </c>
      <c r="E283" s="122" t="e">
        <f t="shared" si="702"/>
        <v>#N/A</v>
      </c>
      <c r="F283" s="176" t="e">
        <f t="shared" si="626"/>
        <v>#N/A</v>
      </c>
      <c r="G283" s="121">
        <f t="shared" si="646"/>
        <v>208</v>
      </c>
      <c r="H283" s="176" t="e">
        <f t="shared" si="647"/>
        <v>#N/A</v>
      </c>
      <c r="I283" s="48">
        <v>1</v>
      </c>
      <c r="J283" s="39"/>
      <c r="K283" s="350">
        <v>1</v>
      </c>
      <c r="L283" s="34" t="e">
        <f t="shared" si="627"/>
        <v>#N/A</v>
      </c>
      <c r="M283" s="38" t="e">
        <f>(HLOOKUP(J283,'Construction Times'!$B$3:$W$34,L283+2,FALSE)*HLOOKUP("hq modifier",'Construction Times'!$W$3:$W$34,BS283+2,FALSE))*(1-$H$9)</f>
        <v>#N/A</v>
      </c>
      <c r="N283" s="426" t="e">
        <f t="shared" si="648"/>
        <v>#N/A</v>
      </c>
      <c r="O283" s="427"/>
      <c r="P283" s="430" t="e">
        <f t="shared" si="649"/>
        <v>#N/A</v>
      </c>
      <c r="Q283" s="431"/>
      <c r="R283" s="103">
        <f t="shared" si="677"/>
        <v>0</v>
      </c>
      <c r="S283" s="104">
        <f t="shared" si="677"/>
        <v>0</v>
      </c>
      <c r="T283" s="104">
        <f t="shared" si="678"/>
        <v>0</v>
      </c>
      <c r="U283" s="104">
        <f t="shared" si="678"/>
        <v>0</v>
      </c>
      <c r="V283" s="104">
        <f t="shared" si="678"/>
        <v>9.9999999999999995E-8</v>
      </c>
      <c r="W283" s="104">
        <f t="shared" si="678"/>
        <v>0</v>
      </c>
      <c r="X283" s="104">
        <f t="shared" si="584"/>
        <v>0</v>
      </c>
      <c r="Y283" s="104">
        <f t="shared" si="584"/>
        <v>9.9999999999999995E-8</v>
      </c>
      <c r="Z283" s="104">
        <f t="shared" si="584"/>
        <v>9.9999999999999995E-8</v>
      </c>
      <c r="AA283" s="105">
        <f t="shared" si="584"/>
        <v>9.9999999999999995E-8</v>
      </c>
      <c r="AB283" s="101" t="e">
        <f>$DT283*HLOOKUP($J283,'Construction Costs (timber)'!$B$1:$V$32,'Construction Planner'!$L283+2,FALSE)</f>
        <v>#N/A</v>
      </c>
      <c r="AC283" s="14" t="e">
        <f>$DT283*HLOOKUP($J283,'Construction Costs (clay)'!$B$1:$V$32,'Construction Planner'!$L283+2,FALSE)</f>
        <v>#N/A</v>
      </c>
      <c r="AD283" s="14" t="e">
        <f>$DT283*HLOOKUP($J283,'Construction Costs (iron)'!$B$1:$V$32,'Construction Planner'!$L283+2,FALSE)</f>
        <v>#N/A</v>
      </c>
      <c r="AE283" s="34" t="e">
        <f t="shared" si="690"/>
        <v>#N/A</v>
      </c>
      <c r="AF283" s="33" t="e">
        <f t="shared" si="628"/>
        <v>#N/A</v>
      </c>
      <c r="AG283" s="14" t="e">
        <f t="shared" si="629"/>
        <v>#N/A</v>
      </c>
      <c r="AH283" s="14" t="e">
        <f t="shared" si="630"/>
        <v>#N/A</v>
      </c>
      <c r="AI283" s="34" t="e">
        <f t="shared" si="691"/>
        <v>#N/A</v>
      </c>
      <c r="AJ283" s="49" t="e">
        <f t="shared" si="651"/>
        <v>#N/A</v>
      </c>
      <c r="AK283" s="49" t="e">
        <f t="shared" si="652"/>
        <v>#N/A</v>
      </c>
      <c r="AL283" s="49" t="e">
        <f t="shared" si="653"/>
        <v>#N/A</v>
      </c>
      <c r="AM283" s="25">
        <f t="shared" si="631"/>
        <v>30</v>
      </c>
      <c r="AN283" s="25">
        <f t="shared" si="632"/>
        <v>30</v>
      </c>
      <c r="AO283" s="25">
        <f t="shared" si="633"/>
        <v>30</v>
      </c>
      <c r="AP283" s="52" t="e">
        <f t="shared" si="654"/>
        <v>#N/A</v>
      </c>
      <c r="AQ283" s="53" t="e">
        <f t="shared" si="654"/>
        <v>#N/A</v>
      </c>
      <c r="AR283" s="54" t="e">
        <f t="shared" si="654"/>
        <v>#N/A</v>
      </c>
      <c r="AS283" s="316">
        <f t="shared" si="692"/>
        <v>0</v>
      </c>
      <c r="AT283" s="106">
        <f>_xlfn.IFNA($M283/VLOOKUP($BT283,'Unit information'!$A$2:$K$29,2,FALSE)*R283,0)*(1+$E$9)</f>
        <v>0</v>
      </c>
      <c r="AU283" s="107">
        <f>_xlfn.IFNA($M283/VLOOKUP($BT283,'Unit information'!$A$2:$K$29,3,FALSE)*S283,0)*(1+$E$9)</f>
        <v>0</v>
      </c>
      <c r="AV283" s="107">
        <f>_xlfn.IFNA($M283/VLOOKUP($BT283,'Unit information'!$A$2:$K$29,4,FALSE)*T283,0)*(1+$E$9)</f>
        <v>0</v>
      </c>
      <c r="AW283" s="107">
        <f>_xlfn.IFNA($M283/VLOOKUP($BT283,'Unit information'!$A$2:$K$29,5,FALSE)*U283,0)*(1+$E$9)</f>
        <v>0</v>
      </c>
      <c r="AX283" s="107">
        <f>_xlfn.IFNA($M283/VLOOKUP($BU283,'Unit information'!$A$2:$K$29,6,FALSE)*V283,0)*(1+$E$9)</f>
        <v>0</v>
      </c>
      <c r="AY283" s="107">
        <f>_xlfn.IFNA($M283/VLOOKUP($BU283,'Unit information'!$A$2:$K$29,7,FALSE)*W283,0)*(1+$E$9)</f>
        <v>0</v>
      </c>
      <c r="AZ283" s="107">
        <f>_xlfn.IFNA($M283/VLOOKUP($BU283,'Unit information'!$A$2:$K$29,8,FALSE)*X283,0)*(1+$E$9)</f>
        <v>0</v>
      </c>
      <c r="BA283" s="107">
        <f>_xlfn.IFNA($M283/VLOOKUP($BU283,'Unit information'!$A$2:$K$29,9,FALSE)*Y283,0)*(1+$E$9)</f>
        <v>0</v>
      </c>
      <c r="BB283" s="107">
        <f>_xlfn.IFNA($M283/VLOOKUP($BV283,'Unit information'!$A$2:$K$29,10,FALSE)*Z283,0)*(1+$E$9)</f>
        <v>0</v>
      </c>
      <c r="BC283" s="108">
        <f>_xlfn.IFNA($M283/VLOOKUP($BV283,'Unit information'!$A$2:$K$29,11,FALSE)*AA283,0)*(1+$E$9)</f>
        <v>0</v>
      </c>
      <c r="BD283" s="106">
        <f t="shared" si="634"/>
        <v>0</v>
      </c>
      <c r="BE283" s="107">
        <f t="shared" si="635"/>
        <v>0</v>
      </c>
      <c r="BF283" s="108">
        <f t="shared" si="636"/>
        <v>0</v>
      </c>
      <c r="BG283" s="25" t="e">
        <f t="shared" si="637"/>
        <v>#N/A</v>
      </c>
      <c r="BH283" s="25" t="e">
        <f t="shared" si="638"/>
        <v>#N/A</v>
      </c>
      <c r="BI283" s="25" t="e">
        <f t="shared" si="639"/>
        <v>#N/A</v>
      </c>
      <c r="BJ283" s="27" t="e">
        <f t="shared" si="640"/>
        <v>#N/A</v>
      </c>
      <c r="BK283" s="18" t="e">
        <f t="shared" si="641"/>
        <v>#N/A</v>
      </c>
      <c r="BL283" s="18" t="e">
        <f t="shared" si="642"/>
        <v>#N/A</v>
      </c>
      <c r="BM283" s="28" t="e">
        <f t="shared" si="693"/>
        <v>#N/A</v>
      </c>
      <c r="BN283" s="33">
        <f>HLOOKUP("maximum population",Miscelaneous!$C$1:$C$33,CH283+3,FALSE)</f>
        <v>240</v>
      </c>
      <c r="BO283" s="14">
        <f t="shared" si="655"/>
        <v>32</v>
      </c>
      <c r="BP283" s="14">
        <f t="shared" si="656"/>
        <v>0</v>
      </c>
      <c r="BQ283" s="14">
        <f t="shared" si="657"/>
        <v>208</v>
      </c>
      <c r="BR283" s="34" t="e">
        <f>HLOOKUP(J283,Villagers!$B$1:$V$33,L283+3,FALSE)-HLOOKUP(J283,Villagers!$B$1:$V$33,L283+2,FALSE)</f>
        <v>#N/A</v>
      </c>
      <c r="BS283" s="49">
        <f t="shared" si="658"/>
        <v>1</v>
      </c>
      <c r="BT283" s="50">
        <f t="shared" si="659"/>
        <v>0</v>
      </c>
      <c r="BU283" s="50">
        <f t="shared" si="660"/>
        <v>0</v>
      </c>
      <c r="BV283" s="50">
        <f t="shared" si="661"/>
        <v>0</v>
      </c>
      <c r="BW283" s="50">
        <f t="shared" si="699"/>
        <v>0</v>
      </c>
      <c r="BX283" s="50">
        <f t="shared" si="697"/>
        <v>0</v>
      </c>
      <c r="BY283" s="50">
        <f t="shared" si="697"/>
        <v>0</v>
      </c>
      <c r="BZ283" s="50">
        <f t="shared" si="554"/>
        <v>0</v>
      </c>
      <c r="CA283" s="50">
        <f t="shared" si="555"/>
        <v>0</v>
      </c>
      <c r="CB283" s="50">
        <f t="shared" si="556"/>
        <v>1</v>
      </c>
      <c r="CC283" s="50">
        <f t="shared" si="557"/>
        <v>0</v>
      </c>
      <c r="CD283" s="50">
        <f t="shared" si="558"/>
        <v>0</v>
      </c>
      <c r="CE283" s="50">
        <f t="shared" si="559"/>
        <v>1</v>
      </c>
      <c r="CF283" s="50">
        <f t="shared" si="560"/>
        <v>1</v>
      </c>
      <c r="CG283" s="50">
        <f t="shared" si="561"/>
        <v>1</v>
      </c>
      <c r="CH283" s="50">
        <f t="shared" si="562"/>
        <v>1</v>
      </c>
      <c r="CI283" s="50">
        <f t="shared" si="563"/>
        <v>1</v>
      </c>
      <c r="CJ283" s="50">
        <f t="shared" si="564"/>
        <v>1</v>
      </c>
      <c r="CK283" s="50">
        <f t="shared" si="564"/>
        <v>0</v>
      </c>
      <c r="CL283" s="50">
        <f t="shared" si="564"/>
        <v>0</v>
      </c>
      <c r="CM283" s="51">
        <f t="shared" si="605"/>
        <v>0</v>
      </c>
      <c r="CN283" s="33">
        <f>ROUND(IF(BS283=0,0,HLOOKUP(BS$14,Villagers!$B$1:$V$33,BS283+3,FALSE)),)</f>
        <v>5</v>
      </c>
      <c r="CO283" s="14">
        <f>ROUND(IF(BT283=0,0,HLOOKUP(BT$14,Villagers!$B$1:$V$33,BT283+3,FALSE)),)</f>
        <v>0</v>
      </c>
      <c r="CP283" s="14">
        <f>ROUND(IF(BU283=0,0,HLOOKUP(BU$14,Villagers!$B$1:$V$33,BU283+3,FALSE)),)</f>
        <v>0</v>
      </c>
      <c r="CQ283" s="14">
        <f>ROUND(IF(BV283=0,0,HLOOKUP(BV$14,Villagers!$B$1:$V$33,BV283+3,FALSE)),)</f>
        <v>0</v>
      </c>
      <c r="CR283" s="14">
        <f>ROUND(IF(BW283=0,0,HLOOKUP(BW$14,Villagers!$B$1:$V$33,BW283+3,FALSE)),)</f>
        <v>0</v>
      </c>
      <c r="CS283" s="14">
        <f>ROUND(IF(BX283=0,0,HLOOKUP(BX$14,Villagers!$B$1:$V$33,BX283+3,FALSE)),)</f>
        <v>0</v>
      </c>
      <c r="CT283" s="14">
        <f>ROUND(IF(BY283=0,0,HLOOKUP(BY$14,Villagers!$B$1:$V$33,BY283+3,FALSE)),)</f>
        <v>0</v>
      </c>
      <c r="CU283" s="14">
        <f>ROUND(IF(BZ283=0,0,HLOOKUP(BZ$14,Villagers!$B$1:$V$33,BZ283+3,FALSE)),)</f>
        <v>0</v>
      </c>
      <c r="CV283" s="14">
        <f>ROUND(IF(CA283=0,0,HLOOKUP(CA$14,Villagers!$B$1:$V$33,CA283+3,FALSE)),)</f>
        <v>0</v>
      </c>
      <c r="CW283" s="14">
        <f>ROUND(IF(CB283=0,0,HLOOKUP(CB$14,Villagers!$B$1:$V$33,CB283+3,FALSE)),)</f>
        <v>0</v>
      </c>
      <c r="CX283" s="14">
        <f>ROUND(IF(CC283=0,0,HLOOKUP(CC$14,Villagers!$B$1:$V$33,CC283+3,FALSE)),)</f>
        <v>0</v>
      </c>
      <c r="CY283" s="14">
        <f>ROUND(IF(CD283=0,0,HLOOKUP(CD$14,Villagers!$B$1:$V$33,CD283+3,FALSE)),)</f>
        <v>0</v>
      </c>
      <c r="CZ283" s="14">
        <f>ROUND(IF(CE283=0,0,HLOOKUP(CE$14,Villagers!$B$1:$V$33,CE283+3,FALSE)),)</f>
        <v>5</v>
      </c>
      <c r="DA283" s="14">
        <f>ROUND(IF(CF283=0,0,HLOOKUP(CF$14,Villagers!$B$1:$V$33,CF283+3,FALSE)),)</f>
        <v>10</v>
      </c>
      <c r="DB283" s="14">
        <f>ROUND(IF(CG283=0,0,HLOOKUP(CG$14,Villagers!$B$1:$V$33,CG283+3,FALSE)),)</f>
        <v>10</v>
      </c>
      <c r="DC283" s="14">
        <f>ROUND(IF(CH283=0,0,HLOOKUP(CH$14,Villagers!$B$1:$V$33,CH283+3,FALSE)),)</f>
        <v>0</v>
      </c>
      <c r="DD283" s="14">
        <f>ROUND(IF(CI283=0,0,HLOOKUP(CI$14,Villagers!$B$1:$V$33,CI283+3,FALSE)),)</f>
        <v>0</v>
      </c>
      <c r="DE283" s="14">
        <f>ROUND(IF(CJ283=0,0,HLOOKUP(CJ$14,Villagers!$B$1:$V$33,CJ283+3,FALSE)),)</f>
        <v>2</v>
      </c>
      <c r="DF283" s="370">
        <f>ROUND(IF(CK283=0,0,HLOOKUP(CK$14,Villagers!$B$1:$V$33,CK283+3,FALSE)),)</f>
        <v>0</v>
      </c>
      <c r="DG283" s="370">
        <f>ROUND(IF(CL283=0,0,HLOOKUP(CL$14,Villagers!$B$1:$V$33,CL283+3,FALSE)),)</f>
        <v>0</v>
      </c>
      <c r="DH283" s="34">
        <f>ROUND(IF(CM283=0,0,HLOOKUP(CM$14,Villagers!$B$1:$V$33,CM283+3,FALSE)),)</f>
        <v>0</v>
      </c>
      <c r="DI283" s="109">
        <f t="shared" si="679"/>
        <v>0</v>
      </c>
      <c r="DJ283" s="50">
        <f t="shared" si="680"/>
        <v>0</v>
      </c>
      <c r="DK283" s="50">
        <f t="shared" si="681"/>
        <v>0</v>
      </c>
      <c r="DL283" s="50">
        <f t="shared" si="682"/>
        <v>0</v>
      </c>
      <c r="DM283" s="50">
        <f t="shared" si="683"/>
        <v>0</v>
      </c>
      <c r="DN283" s="50">
        <f t="shared" si="684"/>
        <v>0</v>
      </c>
      <c r="DO283" s="50">
        <f t="shared" si="685"/>
        <v>0</v>
      </c>
      <c r="DP283" s="50">
        <f t="shared" si="686"/>
        <v>0</v>
      </c>
      <c r="DQ283" s="50">
        <f t="shared" si="663"/>
        <v>0</v>
      </c>
      <c r="DR283" s="50">
        <f t="shared" si="664"/>
        <v>0</v>
      </c>
      <c r="DS283" s="96">
        <f>Miscelaneous!$D$4*Miscelaneous!$D$2^($CI283-1)</f>
        <v>1000</v>
      </c>
      <c r="DT283" s="333">
        <f t="shared" si="643"/>
        <v>1</v>
      </c>
      <c r="DU283" s="81">
        <v>1</v>
      </c>
      <c r="DV283" s="79">
        <f t="shared" si="665"/>
        <v>0</v>
      </c>
      <c r="DW283" s="79">
        <f t="shared" si="666"/>
        <v>0</v>
      </c>
      <c r="DX283" s="79">
        <f t="shared" si="667"/>
        <v>0</v>
      </c>
      <c r="DY283" s="79">
        <v>1</v>
      </c>
      <c r="DZ283" s="79">
        <f t="shared" si="668"/>
        <v>0</v>
      </c>
      <c r="EA283" s="79">
        <f t="shared" si="669"/>
        <v>0</v>
      </c>
      <c r="EB283" s="79">
        <f t="shared" si="670"/>
        <v>0</v>
      </c>
      <c r="EC283" s="79">
        <f t="shared" si="671"/>
        <v>0</v>
      </c>
      <c r="ED283" s="79">
        <v>1</v>
      </c>
      <c r="EE283" s="79">
        <v>1</v>
      </c>
      <c r="EF283" s="79">
        <f t="shared" si="672"/>
        <v>0</v>
      </c>
      <c r="EG283" s="79">
        <v>1</v>
      </c>
      <c r="EH283" s="79">
        <v>1</v>
      </c>
      <c r="EI283" s="79">
        <v>1</v>
      </c>
      <c r="EJ283" s="79">
        <v>1</v>
      </c>
      <c r="EK283" s="79">
        <v>1</v>
      </c>
      <c r="EL283" s="79">
        <v>1</v>
      </c>
      <c r="EM283" s="143">
        <f t="shared" si="673"/>
        <v>0</v>
      </c>
      <c r="EN283" s="143">
        <f t="shared" si="674"/>
        <v>0</v>
      </c>
      <c r="EO283" s="82">
        <f t="shared" si="675"/>
        <v>0</v>
      </c>
    </row>
    <row r="284" spans="1:145" x14ac:dyDescent="0.25">
      <c r="A284">
        <v>270</v>
      </c>
      <c r="B284" s="172" t="e">
        <f t="shared" si="644"/>
        <v>#N/A</v>
      </c>
      <c r="C284" s="121" t="e">
        <f t="shared" ref="C284:E284" si="703">AJ284-SUM(AB284:AB288)</f>
        <v>#N/A</v>
      </c>
      <c r="D284" s="122" t="e">
        <f t="shared" si="703"/>
        <v>#N/A</v>
      </c>
      <c r="E284" s="122" t="e">
        <f t="shared" si="703"/>
        <v>#N/A</v>
      </c>
      <c r="F284" s="176" t="e">
        <f t="shared" si="626"/>
        <v>#N/A</v>
      </c>
      <c r="G284" s="121">
        <f t="shared" si="646"/>
        <v>208</v>
      </c>
      <c r="H284" s="176" t="e">
        <f t="shared" si="647"/>
        <v>#N/A</v>
      </c>
      <c r="I284" s="48">
        <v>1</v>
      </c>
      <c r="J284" s="39"/>
      <c r="K284" s="350">
        <v>1</v>
      </c>
      <c r="L284" s="34" t="e">
        <f t="shared" si="627"/>
        <v>#N/A</v>
      </c>
      <c r="M284" s="38" t="e">
        <f>(HLOOKUP(J284,'Construction Times'!$B$3:$W$34,L284+2,FALSE)*HLOOKUP("hq modifier",'Construction Times'!$W$3:$W$34,BS284+2,FALSE))*(1-$H$9)</f>
        <v>#N/A</v>
      </c>
      <c r="N284" s="426" t="e">
        <f t="shared" si="648"/>
        <v>#N/A</v>
      </c>
      <c r="O284" s="427"/>
      <c r="P284" s="430" t="e">
        <f t="shared" si="649"/>
        <v>#N/A</v>
      </c>
      <c r="Q284" s="431"/>
      <c r="R284" s="103">
        <f t="shared" si="677"/>
        <v>0</v>
      </c>
      <c r="S284" s="104">
        <f t="shared" si="677"/>
        <v>0</v>
      </c>
      <c r="T284" s="104">
        <f t="shared" si="678"/>
        <v>0</v>
      </c>
      <c r="U284" s="104">
        <f t="shared" si="678"/>
        <v>0</v>
      </c>
      <c r="V284" s="104">
        <f t="shared" si="678"/>
        <v>9.9999999999999995E-8</v>
      </c>
      <c r="W284" s="104">
        <f t="shared" si="678"/>
        <v>0</v>
      </c>
      <c r="X284" s="104">
        <f t="shared" si="584"/>
        <v>0</v>
      </c>
      <c r="Y284" s="104">
        <f t="shared" si="584"/>
        <v>9.9999999999999995E-8</v>
      </c>
      <c r="Z284" s="104">
        <f t="shared" si="584"/>
        <v>9.9999999999999995E-8</v>
      </c>
      <c r="AA284" s="105">
        <f t="shared" si="584"/>
        <v>9.9999999999999995E-8</v>
      </c>
      <c r="AB284" s="101" t="e">
        <f>$DT284*HLOOKUP($J284,'Construction Costs (timber)'!$B$1:$V$32,'Construction Planner'!$L284+2,FALSE)</f>
        <v>#N/A</v>
      </c>
      <c r="AC284" s="14" t="e">
        <f>$DT284*HLOOKUP($J284,'Construction Costs (clay)'!$B$1:$V$32,'Construction Planner'!$L284+2,FALSE)</f>
        <v>#N/A</v>
      </c>
      <c r="AD284" s="14" t="e">
        <f>$DT284*HLOOKUP($J284,'Construction Costs (iron)'!$B$1:$V$32,'Construction Planner'!$L284+2,FALSE)</f>
        <v>#N/A</v>
      </c>
      <c r="AE284" s="34" t="e">
        <f t="shared" si="690"/>
        <v>#N/A</v>
      </c>
      <c r="AF284" s="33" t="e">
        <f t="shared" si="628"/>
        <v>#N/A</v>
      </c>
      <c r="AG284" s="14" t="e">
        <f t="shared" si="629"/>
        <v>#N/A</v>
      </c>
      <c r="AH284" s="14" t="e">
        <f t="shared" si="630"/>
        <v>#N/A</v>
      </c>
      <c r="AI284" s="34" t="e">
        <f t="shared" si="691"/>
        <v>#N/A</v>
      </c>
      <c r="AJ284" s="49" t="e">
        <f t="shared" si="651"/>
        <v>#N/A</v>
      </c>
      <c r="AK284" s="49" t="e">
        <f t="shared" si="652"/>
        <v>#N/A</v>
      </c>
      <c r="AL284" s="49" t="e">
        <f t="shared" si="653"/>
        <v>#N/A</v>
      </c>
      <c r="AM284" s="25">
        <f t="shared" si="631"/>
        <v>30</v>
      </c>
      <c r="AN284" s="25">
        <f t="shared" si="632"/>
        <v>30</v>
      </c>
      <c r="AO284" s="25">
        <f t="shared" si="633"/>
        <v>30</v>
      </c>
      <c r="AP284" s="52" t="e">
        <f t="shared" si="654"/>
        <v>#N/A</v>
      </c>
      <c r="AQ284" s="53" t="e">
        <f t="shared" si="654"/>
        <v>#N/A</v>
      </c>
      <c r="AR284" s="54" t="e">
        <f t="shared" si="654"/>
        <v>#N/A</v>
      </c>
      <c r="AS284" s="316">
        <f t="shared" si="692"/>
        <v>0</v>
      </c>
      <c r="AT284" s="106">
        <f>_xlfn.IFNA($M284/VLOOKUP($BT284,'Unit information'!$A$2:$K$29,2,FALSE)*R284,0)*(1+$E$9)</f>
        <v>0</v>
      </c>
      <c r="AU284" s="107">
        <f>_xlfn.IFNA($M284/VLOOKUP($BT284,'Unit information'!$A$2:$K$29,3,FALSE)*S284,0)*(1+$E$9)</f>
        <v>0</v>
      </c>
      <c r="AV284" s="107">
        <f>_xlfn.IFNA($M284/VLOOKUP($BT284,'Unit information'!$A$2:$K$29,4,FALSE)*T284,0)*(1+$E$9)</f>
        <v>0</v>
      </c>
      <c r="AW284" s="107">
        <f>_xlfn.IFNA($M284/VLOOKUP($BT284,'Unit information'!$A$2:$K$29,5,FALSE)*U284,0)*(1+$E$9)</f>
        <v>0</v>
      </c>
      <c r="AX284" s="107">
        <f>_xlfn.IFNA($M284/VLOOKUP($BU284,'Unit information'!$A$2:$K$29,6,FALSE)*V284,0)*(1+$E$9)</f>
        <v>0</v>
      </c>
      <c r="AY284" s="107">
        <f>_xlfn.IFNA($M284/VLOOKUP($BU284,'Unit information'!$A$2:$K$29,7,FALSE)*W284,0)*(1+$E$9)</f>
        <v>0</v>
      </c>
      <c r="AZ284" s="107">
        <f>_xlfn.IFNA($M284/VLOOKUP($BU284,'Unit information'!$A$2:$K$29,8,FALSE)*X284,0)*(1+$E$9)</f>
        <v>0</v>
      </c>
      <c r="BA284" s="107">
        <f>_xlfn.IFNA($M284/VLOOKUP($BU284,'Unit information'!$A$2:$K$29,9,FALSE)*Y284,0)*(1+$E$9)</f>
        <v>0</v>
      </c>
      <c r="BB284" s="107">
        <f>_xlfn.IFNA($M284/VLOOKUP($BV284,'Unit information'!$A$2:$K$29,10,FALSE)*Z284,0)*(1+$E$9)</f>
        <v>0</v>
      </c>
      <c r="BC284" s="108">
        <f>_xlfn.IFNA($M284/VLOOKUP($BV284,'Unit information'!$A$2:$K$29,11,FALSE)*AA284,0)*(1+$E$9)</f>
        <v>0</v>
      </c>
      <c r="BD284" s="106">
        <f t="shared" si="634"/>
        <v>0</v>
      </c>
      <c r="BE284" s="107">
        <f t="shared" si="635"/>
        <v>0</v>
      </c>
      <c r="BF284" s="108">
        <f t="shared" si="636"/>
        <v>0</v>
      </c>
      <c r="BG284" s="25" t="e">
        <f t="shared" si="637"/>
        <v>#N/A</v>
      </c>
      <c r="BH284" s="25" t="e">
        <f t="shared" si="638"/>
        <v>#N/A</v>
      </c>
      <c r="BI284" s="25" t="e">
        <f t="shared" si="639"/>
        <v>#N/A</v>
      </c>
      <c r="BJ284" s="27" t="e">
        <f t="shared" si="640"/>
        <v>#N/A</v>
      </c>
      <c r="BK284" s="18" t="e">
        <f t="shared" si="641"/>
        <v>#N/A</v>
      </c>
      <c r="BL284" s="18" t="e">
        <f t="shared" si="642"/>
        <v>#N/A</v>
      </c>
      <c r="BM284" s="28" t="e">
        <f t="shared" si="693"/>
        <v>#N/A</v>
      </c>
      <c r="BN284" s="33">
        <f>HLOOKUP("maximum population",Miscelaneous!$C$1:$C$33,CH284+3,FALSE)</f>
        <v>240</v>
      </c>
      <c r="BO284" s="14">
        <f t="shared" si="655"/>
        <v>32</v>
      </c>
      <c r="BP284" s="14">
        <f t="shared" si="656"/>
        <v>0</v>
      </c>
      <c r="BQ284" s="14">
        <f t="shared" si="657"/>
        <v>208</v>
      </c>
      <c r="BR284" s="34" t="e">
        <f>HLOOKUP(J284,Villagers!$B$1:$V$33,L284+3,FALSE)-HLOOKUP(J284,Villagers!$B$1:$V$33,L284+2,FALSE)</f>
        <v>#N/A</v>
      </c>
      <c r="BS284" s="49">
        <f t="shared" si="658"/>
        <v>1</v>
      </c>
      <c r="BT284" s="50">
        <f t="shared" si="659"/>
        <v>0</v>
      </c>
      <c r="BU284" s="50">
        <f t="shared" si="660"/>
        <v>0</v>
      </c>
      <c r="BV284" s="50">
        <f t="shared" si="661"/>
        <v>0</v>
      </c>
      <c r="BW284" s="50">
        <f t="shared" si="699"/>
        <v>0</v>
      </c>
      <c r="BX284" s="50">
        <f t="shared" si="697"/>
        <v>0</v>
      </c>
      <c r="BY284" s="50">
        <f t="shared" si="697"/>
        <v>0</v>
      </c>
      <c r="BZ284" s="50">
        <f t="shared" si="554"/>
        <v>0</v>
      </c>
      <c r="CA284" s="50">
        <f t="shared" si="555"/>
        <v>0</v>
      </c>
      <c r="CB284" s="50">
        <f t="shared" si="556"/>
        <v>1</v>
      </c>
      <c r="CC284" s="50">
        <f t="shared" si="557"/>
        <v>0</v>
      </c>
      <c r="CD284" s="50">
        <f t="shared" si="558"/>
        <v>0</v>
      </c>
      <c r="CE284" s="50">
        <f t="shared" si="559"/>
        <v>1</v>
      </c>
      <c r="CF284" s="50">
        <f t="shared" si="560"/>
        <v>1</v>
      </c>
      <c r="CG284" s="50">
        <f t="shared" si="561"/>
        <v>1</v>
      </c>
      <c r="CH284" s="50">
        <f t="shared" si="562"/>
        <v>1</v>
      </c>
      <c r="CI284" s="50">
        <f t="shared" si="563"/>
        <v>1</v>
      </c>
      <c r="CJ284" s="50">
        <f t="shared" si="564"/>
        <v>1</v>
      </c>
      <c r="CK284" s="50">
        <f t="shared" si="564"/>
        <v>0</v>
      </c>
      <c r="CL284" s="50">
        <f t="shared" si="564"/>
        <v>0</v>
      </c>
      <c r="CM284" s="51">
        <f t="shared" si="605"/>
        <v>0</v>
      </c>
      <c r="CN284" s="33">
        <f>ROUND(IF(BS284=0,0,HLOOKUP(BS$14,Villagers!$B$1:$V$33,BS284+3,FALSE)),)</f>
        <v>5</v>
      </c>
      <c r="CO284" s="14">
        <f>ROUND(IF(BT284=0,0,HLOOKUP(BT$14,Villagers!$B$1:$V$33,BT284+3,FALSE)),)</f>
        <v>0</v>
      </c>
      <c r="CP284" s="14">
        <f>ROUND(IF(BU284=0,0,HLOOKUP(BU$14,Villagers!$B$1:$V$33,BU284+3,FALSE)),)</f>
        <v>0</v>
      </c>
      <c r="CQ284" s="14">
        <f>ROUND(IF(BV284=0,0,HLOOKUP(BV$14,Villagers!$B$1:$V$33,BV284+3,FALSE)),)</f>
        <v>0</v>
      </c>
      <c r="CR284" s="14">
        <f>ROUND(IF(BW284=0,0,HLOOKUP(BW$14,Villagers!$B$1:$V$33,BW284+3,FALSE)),)</f>
        <v>0</v>
      </c>
      <c r="CS284" s="14">
        <f>ROUND(IF(BX284=0,0,HLOOKUP(BX$14,Villagers!$B$1:$V$33,BX284+3,FALSE)),)</f>
        <v>0</v>
      </c>
      <c r="CT284" s="14">
        <f>ROUND(IF(BY284=0,0,HLOOKUP(BY$14,Villagers!$B$1:$V$33,BY284+3,FALSE)),)</f>
        <v>0</v>
      </c>
      <c r="CU284" s="14">
        <f>ROUND(IF(BZ284=0,0,HLOOKUP(BZ$14,Villagers!$B$1:$V$33,BZ284+3,FALSE)),)</f>
        <v>0</v>
      </c>
      <c r="CV284" s="14">
        <f>ROUND(IF(CA284=0,0,HLOOKUP(CA$14,Villagers!$B$1:$V$33,CA284+3,FALSE)),)</f>
        <v>0</v>
      </c>
      <c r="CW284" s="14">
        <f>ROUND(IF(CB284=0,0,HLOOKUP(CB$14,Villagers!$B$1:$V$33,CB284+3,FALSE)),)</f>
        <v>0</v>
      </c>
      <c r="CX284" s="14">
        <f>ROUND(IF(CC284=0,0,HLOOKUP(CC$14,Villagers!$B$1:$V$33,CC284+3,FALSE)),)</f>
        <v>0</v>
      </c>
      <c r="CY284" s="14">
        <f>ROUND(IF(CD284=0,0,HLOOKUP(CD$14,Villagers!$B$1:$V$33,CD284+3,FALSE)),)</f>
        <v>0</v>
      </c>
      <c r="CZ284" s="14">
        <f>ROUND(IF(CE284=0,0,HLOOKUP(CE$14,Villagers!$B$1:$V$33,CE284+3,FALSE)),)</f>
        <v>5</v>
      </c>
      <c r="DA284" s="14">
        <f>ROUND(IF(CF284=0,0,HLOOKUP(CF$14,Villagers!$B$1:$V$33,CF284+3,FALSE)),)</f>
        <v>10</v>
      </c>
      <c r="DB284" s="14">
        <f>ROUND(IF(CG284=0,0,HLOOKUP(CG$14,Villagers!$B$1:$V$33,CG284+3,FALSE)),)</f>
        <v>10</v>
      </c>
      <c r="DC284" s="14">
        <f>ROUND(IF(CH284=0,0,HLOOKUP(CH$14,Villagers!$B$1:$V$33,CH284+3,FALSE)),)</f>
        <v>0</v>
      </c>
      <c r="DD284" s="14">
        <f>ROUND(IF(CI284=0,0,HLOOKUP(CI$14,Villagers!$B$1:$V$33,CI284+3,FALSE)),)</f>
        <v>0</v>
      </c>
      <c r="DE284" s="14">
        <f>ROUND(IF(CJ284=0,0,HLOOKUP(CJ$14,Villagers!$B$1:$V$33,CJ284+3,FALSE)),)</f>
        <v>2</v>
      </c>
      <c r="DF284" s="370">
        <f>ROUND(IF(CK284=0,0,HLOOKUP(CK$14,Villagers!$B$1:$V$33,CK284+3,FALSE)),)</f>
        <v>0</v>
      </c>
      <c r="DG284" s="370">
        <f>ROUND(IF(CL284=0,0,HLOOKUP(CL$14,Villagers!$B$1:$V$33,CL284+3,FALSE)),)</f>
        <v>0</v>
      </c>
      <c r="DH284" s="34">
        <f>ROUND(IF(CM284=0,0,HLOOKUP(CM$14,Villagers!$B$1:$V$33,CM284+3,FALSE)),)</f>
        <v>0</v>
      </c>
      <c r="DI284" s="109">
        <f t="shared" si="679"/>
        <v>0</v>
      </c>
      <c r="DJ284" s="50">
        <f t="shared" si="680"/>
        <v>0</v>
      </c>
      <c r="DK284" s="50">
        <f t="shared" si="681"/>
        <v>0</v>
      </c>
      <c r="DL284" s="50">
        <f t="shared" si="682"/>
        <v>0</v>
      </c>
      <c r="DM284" s="50">
        <f t="shared" si="683"/>
        <v>0</v>
      </c>
      <c r="DN284" s="50">
        <f t="shared" si="684"/>
        <v>0</v>
      </c>
      <c r="DO284" s="50">
        <f t="shared" si="685"/>
        <v>0</v>
      </c>
      <c r="DP284" s="50">
        <f t="shared" si="686"/>
        <v>0</v>
      </c>
      <c r="DQ284" s="50">
        <f t="shared" si="663"/>
        <v>0</v>
      </c>
      <c r="DR284" s="50">
        <f t="shared" si="664"/>
        <v>0</v>
      </c>
      <c r="DS284" s="96">
        <f>Miscelaneous!$D$4*Miscelaneous!$D$2^($CI284-1)</f>
        <v>1000</v>
      </c>
      <c r="DT284" s="333">
        <f t="shared" si="643"/>
        <v>1</v>
      </c>
      <c r="DU284" s="81">
        <v>1</v>
      </c>
      <c r="DV284" s="79">
        <f t="shared" si="665"/>
        <v>0</v>
      </c>
      <c r="DW284" s="79">
        <f t="shared" si="666"/>
        <v>0</v>
      </c>
      <c r="DX284" s="79">
        <f t="shared" si="667"/>
        <v>0</v>
      </c>
      <c r="DY284" s="79">
        <v>1</v>
      </c>
      <c r="DZ284" s="79">
        <f t="shared" si="668"/>
        <v>0</v>
      </c>
      <c r="EA284" s="79">
        <f t="shared" si="669"/>
        <v>0</v>
      </c>
      <c r="EB284" s="79">
        <f t="shared" si="670"/>
        <v>0</v>
      </c>
      <c r="EC284" s="79">
        <f t="shared" si="671"/>
        <v>0</v>
      </c>
      <c r="ED284" s="79">
        <v>1</v>
      </c>
      <c r="EE284" s="79">
        <v>1</v>
      </c>
      <c r="EF284" s="79">
        <f t="shared" si="672"/>
        <v>0</v>
      </c>
      <c r="EG284" s="79">
        <v>1</v>
      </c>
      <c r="EH284" s="79">
        <v>1</v>
      </c>
      <c r="EI284" s="79">
        <v>1</v>
      </c>
      <c r="EJ284" s="79">
        <v>1</v>
      </c>
      <c r="EK284" s="79">
        <v>1</v>
      </c>
      <c r="EL284" s="79">
        <v>1</v>
      </c>
      <c r="EM284" s="143">
        <f t="shared" si="673"/>
        <v>0</v>
      </c>
      <c r="EN284" s="143">
        <f t="shared" si="674"/>
        <v>0</v>
      </c>
      <c r="EO284" s="82">
        <f t="shared" si="675"/>
        <v>0</v>
      </c>
    </row>
    <row r="285" spans="1:145" x14ac:dyDescent="0.25">
      <c r="A285">
        <v>271</v>
      </c>
      <c r="B285" s="172" t="e">
        <f t="shared" si="644"/>
        <v>#N/A</v>
      </c>
      <c r="C285" s="121" t="e">
        <f t="shared" ref="C285:E285" si="704">AJ285-SUM(AB285:AB289)</f>
        <v>#N/A</v>
      </c>
      <c r="D285" s="122" t="e">
        <f t="shared" si="704"/>
        <v>#N/A</v>
      </c>
      <c r="E285" s="122" t="e">
        <f t="shared" si="704"/>
        <v>#N/A</v>
      </c>
      <c r="F285" s="176" t="e">
        <f t="shared" si="626"/>
        <v>#N/A</v>
      </c>
      <c r="G285" s="121">
        <f t="shared" si="646"/>
        <v>208</v>
      </c>
      <c r="H285" s="176" t="e">
        <f t="shared" si="647"/>
        <v>#N/A</v>
      </c>
      <c r="I285" s="48">
        <v>1</v>
      </c>
      <c r="J285" s="39"/>
      <c r="K285" s="350">
        <v>1</v>
      </c>
      <c r="L285" s="34" t="e">
        <f t="shared" si="627"/>
        <v>#N/A</v>
      </c>
      <c r="M285" s="38" t="e">
        <f>(HLOOKUP(J285,'Construction Times'!$B$3:$W$34,L285+2,FALSE)*HLOOKUP("hq modifier",'Construction Times'!$W$3:$W$34,BS285+2,FALSE))*(1-$H$9)</f>
        <v>#N/A</v>
      </c>
      <c r="N285" s="426" t="e">
        <f t="shared" si="648"/>
        <v>#N/A</v>
      </c>
      <c r="O285" s="427"/>
      <c r="P285" s="430" t="e">
        <f t="shared" si="649"/>
        <v>#N/A</v>
      </c>
      <c r="Q285" s="431"/>
      <c r="R285" s="103">
        <f t="shared" si="677"/>
        <v>0</v>
      </c>
      <c r="S285" s="104">
        <f t="shared" si="677"/>
        <v>0</v>
      </c>
      <c r="T285" s="104">
        <f t="shared" si="678"/>
        <v>0</v>
      </c>
      <c r="U285" s="104">
        <f t="shared" si="678"/>
        <v>0</v>
      </c>
      <c r="V285" s="104">
        <f t="shared" si="678"/>
        <v>9.9999999999999995E-8</v>
      </c>
      <c r="W285" s="104">
        <f t="shared" si="678"/>
        <v>0</v>
      </c>
      <c r="X285" s="104">
        <f t="shared" si="584"/>
        <v>0</v>
      </c>
      <c r="Y285" s="104">
        <f t="shared" si="584"/>
        <v>9.9999999999999995E-8</v>
      </c>
      <c r="Z285" s="104">
        <f t="shared" si="584"/>
        <v>9.9999999999999995E-8</v>
      </c>
      <c r="AA285" s="105">
        <f t="shared" si="584"/>
        <v>9.9999999999999995E-8</v>
      </c>
      <c r="AB285" s="101" t="e">
        <f>$DT285*HLOOKUP($J285,'Construction Costs (timber)'!$B$1:$V$32,'Construction Planner'!$L285+2,FALSE)</f>
        <v>#N/A</v>
      </c>
      <c r="AC285" s="14" t="e">
        <f>$DT285*HLOOKUP($J285,'Construction Costs (clay)'!$B$1:$V$32,'Construction Planner'!$L285+2,FALSE)</f>
        <v>#N/A</v>
      </c>
      <c r="AD285" s="14" t="e">
        <f>$DT285*HLOOKUP($J285,'Construction Costs (iron)'!$B$1:$V$32,'Construction Planner'!$L285+2,FALSE)</f>
        <v>#N/A</v>
      </c>
      <c r="AE285" s="34" t="e">
        <f t="shared" si="690"/>
        <v>#N/A</v>
      </c>
      <c r="AF285" s="33" t="e">
        <f t="shared" si="628"/>
        <v>#N/A</v>
      </c>
      <c r="AG285" s="14" t="e">
        <f t="shared" si="629"/>
        <v>#N/A</v>
      </c>
      <c r="AH285" s="14" t="e">
        <f t="shared" si="630"/>
        <v>#N/A</v>
      </c>
      <c r="AI285" s="34" t="e">
        <f t="shared" si="691"/>
        <v>#N/A</v>
      </c>
      <c r="AJ285" s="49" t="e">
        <f t="shared" si="651"/>
        <v>#N/A</v>
      </c>
      <c r="AK285" s="49" t="e">
        <f t="shared" si="652"/>
        <v>#N/A</v>
      </c>
      <c r="AL285" s="49" t="e">
        <f t="shared" si="653"/>
        <v>#N/A</v>
      </c>
      <c r="AM285" s="25">
        <f t="shared" si="631"/>
        <v>30</v>
      </c>
      <c r="AN285" s="25">
        <f t="shared" si="632"/>
        <v>30</v>
      </c>
      <c r="AO285" s="25">
        <f t="shared" si="633"/>
        <v>30</v>
      </c>
      <c r="AP285" s="52" t="e">
        <f t="shared" si="654"/>
        <v>#N/A</v>
      </c>
      <c r="AQ285" s="53" t="e">
        <f t="shared" si="654"/>
        <v>#N/A</v>
      </c>
      <c r="AR285" s="54" t="e">
        <f t="shared" si="654"/>
        <v>#N/A</v>
      </c>
      <c r="AS285" s="316">
        <f t="shared" si="692"/>
        <v>0</v>
      </c>
      <c r="AT285" s="106">
        <f>_xlfn.IFNA($M285/VLOOKUP($BT285,'Unit information'!$A$2:$K$29,2,FALSE)*R285,0)*(1+$E$9)</f>
        <v>0</v>
      </c>
      <c r="AU285" s="107">
        <f>_xlfn.IFNA($M285/VLOOKUP($BT285,'Unit information'!$A$2:$K$29,3,FALSE)*S285,0)*(1+$E$9)</f>
        <v>0</v>
      </c>
      <c r="AV285" s="107">
        <f>_xlfn.IFNA($M285/VLOOKUP($BT285,'Unit information'!$A$2:$K$29,4,FALSE)*T285,0)*(1+$E$9)</f>
        <v>0</v>
      </c>
      <c r="AW285" s="107">
        <f>_xlfn.IFNA($M285/VLOOKUP($BT285,'Unit information'!$A$2:$K$29,5,FALSE)*U285,0)*(1+$E$9)</f>
        <v>0</v>
      </c>
      <c r="AX285" s="107">
        <f>_xlfn.IFNA($M285/VLOOKUP($BU285,'Unit information'!$A$2:$K$29,6,FALSE)*V285,0)*(1+$E$9)</f>
        <v>0</v>
      </c>
      <c r="AY285" s="107">
        <f>_xlfn.IFNA($M285/VLOOKUP($BU285,'Unit information'!$A$2:$K$29,7,FALSE)*W285,0)*(1+$E$9)</f>
        <v>0</v>
      </c>
      <c r="AZ285" s="107">
        <f>_xlfn.IFNA($M285/VLOOKUP($BU285,'Unit information'!$A$2:$K$29,8,FALSE)*X285,0)*(1+$E$9)</f>
        <v>0</v>
      </c>
      <c r="BA285" s="107">
        <f>_xlfn.IFNA($M285/VLOOKUP($BU285,'Unit information'!$A$2:$K$29,9,FALSE)*Y285,0)*(1+$E$9)</f>
        <v>0</v>
      </c>
      <c r="BB285" s="107">
        <f>_xlfn.IFNA($M285/VLOOKUP($BV285,'Unit information'!$A$2:$K$29,10,FALSE)*Z285,0)*(1+$E$9)</f>
        <v>0</v>
      </c>
      <c r="BC285" s="108">
        <f>_xlfn.IFNA($M285/VLOOKUP($BV285,'Unit information'!$A$2:$K$29,11,FALSE)*AA285,0)*(1+$E$9)</f>
        <v>0</v>
      </c>
      <c r="BD285" s="106">
        <f t="shared" si="634"/>
        <v>0</v>
      </c>
      <c r="BE285" s="107">
        <f t="shared" si="635"/>
        <v>0</v>
      </c>
      <c r="BF285" s="108">
        <f t="shared" si="636"/>
        <v>0</v>
      </c>
      <c r="BG285" s="25" t="e">
        <f t="shared" si="637"/>
        <v>#N/A</v>
      </c>
      <c r="BH285" s="25" t="e">
        <f t="shared" si="638"/>
        <v>#N/A</v>
      </c>
      <c r="BI285" s="25" t="e">
        <f t="shared" si="639"/>
        <v>#N/A</v>
      </c>
      <c r="BJ285" s="27" t="e">
        <f t="shared" si="640"/>
        <v>#N/A</v>
      </c>
      <c r="BK285" s="18" t="e">
        <f t="shared" si="641"/>
        <v>#N/A</v>
      </c>
      <c r="BL285" s="18" t="e">
        <f t="shared" si="642"/>
        <v>#N/A</v>
      </c>
      <c r="BM285" s="28" t="e">
        <f t="shared" si="693"/>
        <v>#N/A</v>
      </c>
      <c r="BN285" s="33">
        <f>HLOOKUP("maximum population",Miscelaneous!$C$1:$C$33,CH285+3,FALSE)</f>
        <v>240</v>
      </c>
      <c r="BO285" s="14">
        <f t="shared" si="655"/>
        <v>32</v>
      </c>
      <c r="BP285" s="14">
        <f t="shared" si="656"/>
        <v>0</v>
      </c>
      <c r="BQ285" s="14">
        <f t="shared" si="657"/>
        <v>208</v>
      </c>
      <c r="BR285" s="34" t="e">
        <f>HLOOKUP(J285,Villagers!$B$1:$V$33,L285+3,FALSE)-HLOOKUP(J285,Villagers!$B$1:$V$33,L285+2,FALSE)</f>
        <v>#N/A</v>
      </c>
      <c r="BS285" s="49">
        <f t="shared" si="658"/>
        <v>1</v>
      </c>
      <c r="BT285" s="50">
        <f t="shared" si="659"/>
        <v>0</v>
      </c>
      <c r="BU285" s="50">
        <f t="shared" si="660"/>
        <v>0</v>
      </c>
      <c r="BV285" s="50">
        <f t="shared" si="661"/>
        <v>0</v>
      </c>
      <c r="BW285" s="50">
        <f t="shared" si="699"/>
        <v>0</v>
      </c>
      <c r="BX285" s="50">
        <f t="shared" si="697"/>
        <v>0</v>
      </c>
      <c r="BY285" s="50">
        <f t="shared" si="697"/>
        <v>0</v>
      </c>
      <c r="BZ285" s="50">
        <f t="shared" si="554"/>
        <v>0</v>
      </c>
      <c r="CA285" s="50">
        <f t="shared" si="555"/>
        <v>0</v>
      </c>
      <c r="CB285" s="50">
        <f t="shared" si="556"/>
        <v>1</v>
      </c>
      <c r="CC285" s="50">
        <f t="shared" si="557"/>
        <v>0</v>
      </c>
      <c r="CD285" s="50">
        <f t="shared" si="558"/>
        <v>0</v>
      </c>
      <c r="CE285" s="50">
        <f t="shared" si="559"/>
        <v>1</v>
      </c>
      <c r="CF285" s="50">
        <f t="shared" si="560"/>
        <v>1</v>
      </c>
      <c r="CG285" s="50">
        <f t="shared" si="561"/>
        <v>1</v>
      </c>
      <c r="CH285" s="50">
        <f t="shared" si="562"/>
        <v>1</v>
      </c>
      <c r="CI285" s="50">
        <f t="shared" si="563"/>
        <v>1</v>
      </c>
      <c r="CJ285" s="50">
        <f t="shared" si="564"/>
        <v>1</v>
      </c>
      <c r="CK285" s="50">
        <f t="shared" si="564"/>
        <v>0</v>
      </c>
      <c r="CL285" s="50">
        <f t="shared" si="564"/>
        <v>0</v>
      </c>
      <c r="CM285" s="51">
        <f t="shared" si="605"/>
        <v>0</v>
      </c>
      <c r="CN285" s="33">
        <f>ROUND(IF(BS285=0,0,HLOOKUP(BS$14,Villagers!$B$1:$V$33,BS285+3,FALSE)),)</f>
        <v>5</v>
      </c>
      <c r="CO285" s="14">
        <f>ROUND(IF(BT285=0,0,HLOOKUP(BT$14,Villagers!$B$1:$V$33,BT285+3,FALSE)),)</f>
        <v>0</v>
      </c>
      <c r="CP285" s="14">
        <f>ROUND(IF(BU285=0,0,HLOOKUP(BU$14,Villagers!$B$1:$V$33,BU285+3,FALSE)),)</f>
        <v>0</v>
      </c>
      <c r="CQ285" s="14">
        <f>ROUND(IF(BV285=0,0,HLOOKUP(BV$14,Villagers!$B$1:$V$33,BV285+3,FALSE)),)</f>
        <v>0</v>
      </c>
      <c r="CR285" s="14">
        <f>ROUND(IF(BW285=0,0,HLOOKUP(BW$14,Villagers!$B$1:$V$33,BW285+3,FALSE)),)</f>
        <v>0</v>
      </c>
      <c r="CS285" s="14">
        <f>ROUND(IF(BX285=0,0,HLOOKUP(BX$14,Villagers!$B$1:$V$33,BX285+3,FALSE)),)</f>
        <v>0</v>
      </c>
      <c r="CT285" s="14">
        <f>ROUND(IF(BY285=0,0,HLOOKUP(BY$14,Villagers!$B$1:$V$33,BY285+3,FALSE)),)</f>
        <v>0</v>
      </c>
      <c r="CU285" s="14">
        <f>ROUND(IF(BZ285=0,0,HLOOKUP(BZ$14,Villagers!$B$1:$V$33,BZ285+3,FALSE)),)</f>
        <v>0</v>
      </c>
      <c r="CV285" s="14">
        <f>ROUND(IF(CA285=0,0,HLOOKUP(CA$14,Villagers!$B$1:$V$33,CA285+3,FALSE)),)</f>
        <v>0</v>
      </c>
      <c r="CW285" s="14">
        <f>ROUND(IF(CB285=0,0,HLOOKUP(CB$14,Villagers!$B$1:$V$33,CB285+3,FALSE)),)</f>
        <v>0</v>
      </c>
      <c r="CX285" s="14">
        <f>ROUND(IF(CC285=0,0,HLOOKUP(CC$14,Villagers!$B$1:$V$33,CC285+3,FALSE)),)</f>
        <v>0</v>
      </c>
      <c r="CY285" s="14">
        <f>ROUND(IF(CD285=0,0,HLOOKUP(CD$14,Villagers!$B$1:$V$33,CD285+3,FALSE)),)</f>
        <v>0</v>
      </c>
      <c r="CZ285" s="14">
        <f>ROUND(IF(CE285=0,0,HLOOKUP(CE$14,Villagers!$B$1:$V$33,CE285+3,FALSE)),)</f>
        <v>5</v>
      </c>
      <c r="DA285" s="14">
        <f>ROUND(IF(CF285=0,0,HLOOKUP(CF$14,Villagers!$B$1:$V$33,CF285+3,FALSE)),)</f>
        <v>10</v>
      </c>
      <c r="DB285" s="14">
        <f>ROUND(IF(CG285=0,0,HLOOKUP(CG$14,Villagers!$B$1:$V$33,CG285+3,FALSE)),)</f>
        <v>10</v>
      </c>
      <c r="DC285" s="14">
        <f>ROUND(IF(CH285=0,0,HLOOKUP(CH$14,Villagers!$B$1:$V$33,CH285+3,FALSE)),)</f>
        <v>0</v>
      </c>
      <c r="DD285" s="14">
        <f>ROUND(IF(CI285=0,0,HLOOKUP(CI$14,Villagers!$B$1:$V$33,CI285+3,FALSE)),)</f>
        <v>0</v>
      </c>
      <c r="DE285" s="14">
        <f>ROUND(IF(CJ285=0,0,HLOOKUP(CJ$14,Villagers!$B$1:$V$33,CJ285+3,FALSE)),)</f>
        <v>2</v>
      </c>
      <c r="DF285" s="370">
        <f>ROUND(IF(CK285=0,0,HLOOKUP(CK$14,Villagers!$B$1:$V$33,CK285+3,FALSE)),)</f>
        <v>0</v>
      </c>
      <c r="DG285" s="370">
        <f>ROUND(IF(CL285=0,0,HLOOKUP(CL$14,Villagers!$B$1:$V$33,CL285+3,FALSE)),)</f>
        <v>0</v>
      </c>
      <c r="DH285" s="34">
        <f>ROUND(IF(CM285=0,0,HLOOKUP(CM$14,Villagers!$B$1:$V$33,CM285+3,FALSE)),)</f>
        <v>0</v>
      </c>
      <c r="DI285" s="109">
        <f t="shared" si="679"/>
        <v>0</v>
      </c>
      <c r="DJ285" s="50">
        <f t="shared" si="680"/>
        <v>0</v>
      </c>
      <c r="DK285" s="50">
        <f t="shared" si="681"/>
        <v>0</v>
      </c>
      <c r="DL285" s="50">
        <f t="shared" si="682"/>
        <v>0</v>
      </c>
      <c r="DM285" s="50">
        <f t="shared" si="683"/>
        <v>0</v>
      </c>
      <c r="DN285" s="50">
        <f t="shared" si="684"/>
        <v>0</v>
      </c>
      <c r="DO285" s="50">
        <f t="shared" si="685"/>
        <v>0</v>
      </c>
      <c r="DP285" s="50">
        <f t="shared" si="686"/>
        <v>0</v>
      </c>
      <c r="DQ285" s="50">
        <f t="shared" si="663"/>
        <v>0</v>
      </c>
      <c r="DR285" s="50">
        <f t="shared" si="664"/>
        <v>0</v>
      </c>
      <c r="DS285" s="96">
        <f>Miscelaneous!$D$4*Miscelaneous!$D$2^($CI285-1)</f>
        <v>1000</v>
      </c>
      <c r="DT285" s="333">
        <f t="shared" si="643"/>
        <v>1</v>
      </c>
      <c r="DU285" s="81">
        <v>1</v>
      </c>
      <c r="DV285" s="79">
        <f t="shared" si="665"/>
        <v>0</v>
      </c>
      <c r="DW285" s="79">
        <f t="shared" si="666"/>
        <v>0</v>
      </c>
      <c r="DX285" s="79">
        <f t="shared" si="667"/>
        <v>0</v>
      </c>
      <c r="DY285" s="79">
        <v>1</v>
      </c>
      <c r="DZ285" s="79">
        <f t="shared" si="668"/>
        <v>0</v>
      </c>
      <c r="EA285" s="79">
        <f t="shared" si="669"/>
        <v>0</v>
      </c>
      <c r="EB285" s="79">
        <f t="shared" si="670"/>
        <v>0</v>
      </c>
      <c r="EC285" s="79">
        <f t="shared" si="671"/>
        <v>0</v>
      </c>
      <c r="ED285" s="79">
        <v>1</v>
      </c>
      <c r="EE285" s="79">
        <v>1</v>
      </c>
      <c r="EF285" s="79">
        <f t="shared" si="672"/>
        <v>0</v>
      </c>
      <c r="EG285" s="79">
        <v>1</v>
      </c>
      <c r="EH285" s="79">
        <v>1</v>
      </c>
      <c r="EI285" s="79">
        <v>1</v>
      </c>
      <c r="EJ285" s="79">
        <v>1</v>
      </c>
      <c r="EK285" s="79">
        <v>1</v>
      </c>
      <c r="EL285" s="79">
        <v>1</v>
      </c>
      <c r="EM285" s="143">
        <f t="shared" si="673"/>
        <v>0</v>
      </c>
      <c r="EN285" s="143">
        <f t="shared" si="674"/>
        <v>0</v>
      </c>
      <c r="EO285" s="82">
        <f t="shared" si="675"/>
        <v>0</v>
      </c>
    </row>
    <row r="286" spans="1:145" x14ac:dyDescent="0.25">
      <c r="A286">
        <v>272</v>
      </c>
      <c r="B286" s="172" t="e">
        <f t="shared" si="644"/>
        <v>#N/A</v>
      </c>
      <c r="C286" s="121" t="e">
        <f t="shared" ref="C286:E286" si="705">AJ286-SUM(AB286:AB290)</f>
        <v>#N/A</v>
      </c>
      <c r="D286" s="122" t="e">
        <f t="shared" si="705"/>
        <v>#N/A</v>
      </c>
      <c r="E286" s="122" t="e">
        <f t="shared" si="705"/>
        <v>#N/A</v>
      </c>
      <c r="F286" s="176" t="e">
        <f t="shared" si="626"/>
        <v>#N/A</v>
      </c>
      <c r="G286" s="121">
        <f t="shared" si="646"/>
        <v>208</v>
      </c>
      <c r="H286" s="176" t="e">
        <f t="shared" si="647"/>
        <v>#N/A</v>
      </c>
      <c r="I286" s="48">
        <v>1</v>
      </c>
      <c r="J286" s="39"/>
      <c r="K286" s="350">
        <v>1</v>
      </c>
      <c r="L286" s="34" t="e">
        <f t="shared" si="627"/>
        <v>#N/A</v>
      </c>
      <c r="M286" s="38" t="e">
        <f>(HLOOKUP(J286,'Construction Times'!$B$3:$W$34,L286+2,FALSE)*HLOOKUP("hq modifier",'Construction Times'!$W$3:$W$34,BS286+2,FALSE))*(1-$H$9)</f>
        <v>#N/A</v>
      </c>
      <c r="N286" s="426" t="e">
        <f t="shared" si="648"/>
        <v>#N/A</v>
      </c>
      <c r="O286" s="427"/>
      <c r="P286" s="430" t="e">
        <f t="shared" si="649"/>
        <v>#N/A</v>
      </c>
      <c r="Q286" s="431"/>
      <c r="R286" s="103">
        <f t="shared" si="677"/>
        <v>0</v>
      </c>
      <c r="S286" s="104">
        <f t="shared" si="677"/>
        <v>0</v>
      </c>
      <c r="T286" s="104">
        <f t="shared" si="678"/>
        <v>0</v>
      </c>
      <c r="U286" s="104">
        <f t="shared" si="678"/>
        <v>0</v>
      </c>
      <c r="V286" s="104">
        <f t="shared" si="678"/>
        <v>9.9999999999999995E-8</v>
      </c>
      <c r="W286" s="104">
        <f t="shared" si="678"/>
        <v>0</v>
      </c>
      <c r="X286" s="104">
        <f t="shared" si="584"/>
        <v>0</v>
      </c>
      <c r="Y286" s="104">
        <f t="shared" si="584"/>
        <v>9.9999999999999995E-8</v>
      </c>
      <c r="Z286" s="104">
        <f t="shared" si="584"/>
        <v>9.9999999999999995E-8</v>
      </c>
      <c r="AA286" s="105">
        <f t="shared" si="584"/>
        <v>9.9999999999999995E-8</v>
      </c>
      <c r="AB286" s="101" t="e">
        <f>$DT286*HLOOKUP($J286,'Construction Costs (timber)'!$B$1:$V$32,'Construction Planner'!$L286+2,FALSE)</f>
        <v>#N/A</v>
      </c>
      <c r="AC286" s="14" t="e">
        <f>$DT286*HLOOKUP($J286,'Construction Costs (clay)'!$B$1:$V$32,'Construction Planner'!$L286+2,FALSE)</f>
        <v>#N/A</v>
      </c>
      <c r="AD286" s="14" t="e">
        <f>$DT286*HLOOKUP($J286,'Construction Costs (iron)'!$B$1:$V$32,'Construction Planner'!$L286+2,FALSE)</f>
        <v>#N/A</v>
      </c>
      <c r="AE286" s="34" t="e">
        <f t="shared" si="690"/>
        <v>#N/A</v>
      </c>
      <c r="AF286" s="33" t="e">
        <f t="shared" si="628"/>
        <v>#N/A</v>
      </c>
      <c r="AG286" s="14" t="e">
        <f t="shared" si="629"/>
        <v>#N/A</v>
      </c>
      <c r="AH286" s="14" t="e">
        <f t="shared" si="630"/>
        <v>#N/A</v>
      </c>
      <c r="AI286" s="34" t="e">
        <f t="shared" si="691"/>
        <v>#N/A</v>
      </c>
      <c r="AJ286" s="49" t="e">
        <f t="shared" si="651"/>
        <v>#N/A</v>
      </c>
      <c r="AK286" s="49" t="e">
        <f t="shared" si="652"/>
        <v>#N/A</v>
      </c>
      <c r="AL286" s="49" t="e">
        <f t="shared" si="653"/>
        <v>#N/A</v>
      </c>
      <c r="AM286" s="25">
        <f t="shared" si="631"/>
        <v>30</v>
      </c>
      <c r="AN286" s="25">
        <f t="shared" si="632"/>
        <v>30</v>
      </c>
      <c r="AO286" s="25">
        <f t="shared" si="633"/>
        <v>30</v>
      </c>
      <c r="AP286" s="52" t="e">
        <f t="shared" si="654"/>
        <v>#N/A</v>
      </c>
      <c r="AQ286" s="53" t="e">
        <f t="shared" si="654"/>
        <v>#N/A</v>
      </c>
      <c r="AR286" s="54" t="e">
        <f t="shared" si="654"/>
        <v>#N/A</v>
      </c>
      <c r="AS286" s="316">
        <f t="shared" si="692"/>
        <v>0</v>
      </c>
      <c r="AT286" s="106">
        <f>_xlfn.IFNA($M286/VLOOKUP($BT286,'Unit information'!$A$2:$K$29,2,FALSE)*R286,0)*(1+$E$9)</f>
        <v>0</v>
      </c>
      <c r="AU286" s="107">
        <f>_xlfn.IFNA($M286/VLOOKUP($BT286,'Unit information'!$A$2:$K$29,3,FALSE)*S286,0)*(1+$E$9)</f>
        <v>0</v>
      </c>
      <c r="AV286" s="107">
        <f>_xlfn.IFNA($M286/VLOOKUP($BT286,'Unit information'!$A$2:$K$29,4,FALSE)*T286,0)*(1+$E$9)</f>
        <v>0</v>
      </c>
      <c r="AW286" s="107">
        <f>_xlfn.IFNA($M286/VLOOKUP($BT286,'Unit information'!$A$2:$K$29,5,FALSE)*U286,0)*(1+$E$9)</f>
        <v>0</v>
      </c>
      <c r="AX286" s="107">
        <f>_xlfn.IFNA($M286/VLOOKUP($BU286,'Unit information'!$A$2:$K$29,6,FALSE)*V286,0)*(1+$E$9)</f>
        <v>0</v>
      </c>
      <c r="AY286" s="107">
        <f>_xlfn.IFNA($M286/VLOOKUP($BU286,'Unit information'!$A$2:$K$29,7,FALSE)*W286,0)*(1+$E$9)</f>
        <v>0</v>
      </c>
      <c r="AZ286" s="107">
        <f>_xlfn.IFNA($M286/VLOOKUP($BU286,'Unit information'!$A$2:$K$29,8,FALSE)*X286,0)*(1+$E$9)</f>
        <v>0</v>
      </c>
      <c r="BA286" s="107">
        <f>_xlfn.IFNA($M286/VLOOKUP($BU286,'Unit information'!$A$2:$K$29,9,FALSE)*Y286,0)*(1+$E$9)</f>
        <v>0</v>
      </c>
      <c r="BB286" s="107">
        <f>_xlfn.IFNA($M286/VLOOKUP($BV286,'Unit information'!$A$2:$K$29,10,FALSE)*Z286,0)*(1+$E$9)</f>
        <v>0</v>
      </c>
      <c r="BC286" s="108">
        <f>_xlfn.IFNA($M286/VLOOKUP($BV286,'Unit information'!$A$2:$K$29,11,FALSE)*AA286,0)*(1+$E$9)</f>
        <v>0</v>
      </c>
      <c r="BD286" s="106">
        <f t="shared" si="634"/>
        <v>0</v>
      </c>
      <c r="BE286" s="107">
        <f t="shared" si="635"/>
        <v>0</v>
      </c>
      <c r="BF286" s="108">
        <f t="shared" si="636"/>
        <v>0</v>
      </c>
      <c r="BG286" s="25" t="e">
        <f t="shared" si="637"/>
        <v>#N/A</v>
      </c>
      <c r="BH286" s="25" t="e">
        <f t="shared" si="638"/>
        <v>#N/A</v>
      </c>
      <c r="BI286" s="25" t="e">
        <f t="shared" si="639"/>
        <v>#N/A</v>
      </c>
      <c r="BJ286" s="27" t="e">
        <f t="shared" si="640"/>
        <v>#N/A</v>
      </c>
      <c r="BK286" s="18" t="e">
        <f t="shared" si="641"/>
        <v>#N/A</v>
      </c>
      <c r="BL286" s="18" t="e">
        <f t="shared" si="642"/>
        <v>#N/A</v>
      </c>
      <c r="BM286" s="28" t="e">
        <f t="shared" si="693"/>
        <v>#N/A</v>
      </c>
      <c r="BN286" s="33">
        <f>HLOOKUP("maximum population",Miscelaneous!$C$1:$C$33,CH286+3,FALSE)</f>
        <v>240</v>
      </c>
      <c r="BO286" s="14">
        <f t="shared" si="655"/>
        <v>32</v>
      </c>
      <c r="BP286" s="14">
        <f t="shared" si="656"/>
        <v>0</v>
      </c>
      <c r="BQ286" s="14">
        <f t="shared" si="657"/>
        <v>208</v>
      </c>
      <c r="BR286" s="34" t="e">
        <f>HLOOKUP(J286,Villagers!$B$1:$V$33,L286+3,FALSE)-HLOOKUP(J286,Villagers!$B$1:$V$33,L286+2,FALSE)</f>
        <v>#N/A</v>
      </c>
      <c r="BS286" s="49">
        <f t="shared" si="658"/>
        <v>1</v>
      </c>
      <c r="BT286" s="50">
        <f t="shared" si="659"/>
        <v>0</v>
      </c>
      <c r="BU286" s="50">
        <f t="shared" si="660"/>
        <v>0</v>
      </c>
      <c r="BV286" s="50">
        <f t="shared" si="661"/>
        <v>0</v>
      </c>
      <c r="BW286" s="50">
        <f t="shared" si="699"/>
        <v>0</v>
      </c>
      <c r="BX286" s="50">
        <f t="shared" si="697"/>
        <v>0</v>
      </c>
      <c r="BY286" s="50">
        <f t="shared" si="697"/>
        <v>0</v>
      </c>
      <c r="BZ286" s="50">
        <f t="shared" si="554"/>
        <v>0</v>
      </c>
      <c r="CA286" s="50">
        <f t="shared" si="555"/>
        <v>0</v>
      </c>
      <c r="CB286" s="50">
        <f t="shared" si="556"/>
        <v>1</v>
      </c>
      <c r="CC286" s="50">
        <f t="shared" si="557"/>
        <v>0</v>
      </c>
      <c r="CD286" s="50">
        <f t="shared" si="558"/>
        <v>0</v>
      </c>
      <c r="CE286" s="50">
        <f t="shared" si="559"/>
        <v>1</v>
      </c>
      <c r="CF286" s="50">
        <f t="shared" si="560"/>
        <v>1</v>
      </c>
      <c r="CG286" s="50">
        <f t="shared" si="561"/>
        <v>1</v>
      </c>
      <c r="CH286" s="50">
        <f t="shared" si="562"/>
        <v>1</v>
      </c>
      <c r="CI286" s="50">
        <f t="shared" si="563"/>
        <v>1</v>
      </c>
      <c r="CJ286" s="50">
        <f t="shared" si="564"/>
        <v>1</v>
      </c>
      <c r="CK286" s="50">
        <f t="shared" si="564"/>
        <v>0</v>
      </c>
      <c r="CL286" s="50">
        <f t="shared" si="564"/>
        <v>0</v>
      </c>
      <c r="CM286" s="51">
        <f t="shared" si="605"/>
        <v>0</v>
      </c>
      <c r="CN286" s="33">
        <f>ROUND(IF(BS286=0,0,HLOOKUP(BS$14,Villagers!$B$1:$V$33,BS286+3,FALSE)),)</f>
        <v>5</v>
      </c>
      <c r="CO286" s="14">
        <f>ROUND(IF(BT286=0,0,HLOOKUP(BT$14,Villagers!$B$1:$V$33,BT286+3,FALSE)),)</f>
        <v>0</v>
      </c>
      <c r="CP286" s="14">
        <f>ROUND(IF(BU286=0,0,HLOOKUP(BU$14,Villagers!$B$1:$V$33,BU286+3,FALSE)),)</f>
        <v>0</v>
      </c>
      <c r="CQ286" s="14">
        <f>ROUND(IF(BV286=0,0,HLOOKUP(BV$14,Villagers!$B$1:$V$33,BV286+3,FALSE)),)</f>
        <v>0</v>
      </c>
      <c r="CR286" s="14">
        <f>ROUND(IF(BW286=0,0,HLOOKUP(BW$14,Villagers!$B$1:$V$33,BW286+3,FALSE)),)</f>
        <v>0</v>
      </c>
      <c r="CS286" s="14">
        <f>ROUND(IF(BX286=0,0,HLOOKUP(BX$14,Villagers!$B$1:$V$33,BX286+3,FALSE)),)</f>
        <v>0</v>
      </c>
      <c r="CT286" s="14">
        <f>ROUND(IF(BY286=0,0,HLOOKUP(BY$14,Villagers!$B$1:$V$33,BY286+3,FALSE)),)</f>
        <v>0</v>
      </c>
      <c r="CU286" s="14">
        <f>ROUND(IF(BZ286=0,0,HLOOKUP(BZ$14,Villagers!$B$1:$V$33,BZ286+3,FALSE)),)</f>
        <v>0</v>
      </c>
      <c r="CV286" s="14">
        <f>ROUND(IF(CA286=0,0,HLOOKUP(CA$14,Villagers!$B$1:$V$33,CA286+3,FALSE)),)</f>
        <v>0</v>
      </c>
      <c r="CW286" s="14">
        <f>ROUND(IF(CB286=0,0,HLOOKUP(CB$14,Villagers!$B$1:$V$33,CB286+3,FALSE)),)</f>
        <v>0</v>
      </c>
      <c r="CX286" s="14">
        <f>ROUND(IF(CC286=0,0,HLOOKUP(CC$14,Villagers!$B$1:$V$33,CC286+3,FALSE)),)</f>
        <v>0</v>
      </c>
      <c r="CY286" s="14">
        <f>ROUND(IF(CD286=0,0,HLOOKUP(CD$14,Villagers!$B$1:$V$33,CD286+3,FALSE)),)</f>
        <v>0</v>
      </c>
      <c r="CZ286" s="14">
        <f>ROUND(IF(CE286=0,0,HLOOKUP(CE$14,Villagers!$B$1:$V$33,CE286+3,FALSE)),)</f>
        <v>5</v>
      </c>
      <c r="DA286" s="14">
        <f>ROUND(IF(CF286=0,0,HLOOKUP(CF$14,Villagers!$B$1:$V$33,CF286+3,FALSE)),)</f>
        <v>10</v>
      </c>
      <c r="DB286" s="14">
        <f>ROUND(IF(CG286=0,0,HLOOKUP(CG$14,Villagers!$B$1:$V$33,CG286+3,FALSE)),)</f>
        <v>10</v>
      </c>
      <c r="DC286" s="14">
        <f>ROUND(IF(CH286=0,0,HLOOKUP(CH$14,Villagers!$B$1:$V$33,CH286+3,FALSE)),)</f>
        <v>0</v>
      </c>
      <c r="DD286" s="14">
        <f>ROUND(IF(CI286=0,0,HLOOKUP(CI$14,Villagers!$B$1:$V$33,CI286+3,FALSE)),)</f>
        <v>0</v>
      </c>
      <c r="DE286" s="14">
        <f>ROUND(IF(CJ286=0,0,HLOOKUP(CJ$14,Villagers!$B$1:$V$33,CJ286+3,FALSE)),)</f>
        <v>2</v>
      </c>
      <c r="DF286" s="370">
        <f>ROUND(IF(CK286=0,0,HLOOKUP(CK$14,Villagers!$B$1:$V$33,CK286+3,FALSE)),)</f>
        <v>0</v>
      </c>
      <c r="DG286" s="370">
        <f>ROUND(IF(CL286=0,0,HLOOKUP(CL$14,Villagers!$B$1:$V$33,CL286+3,FALSE)),)</f>
        <v>0</v>
      </c>
      <c r="DH286" s="34">
        <f>ROUND(IF(CM286=0,0,HLOOKUP(CM$14,Villagers!$B$1:$V$33,CM286+3,FALSE)),)</f>
        <v>0</v>
      </c>
      <c r="DI286" s="109">
        <f t="shared" si="679"/>
        <v>0</v>
      </c>
      <c r="DJ286" s="50">
        <f t="shared" si="680"/>
        <v>0</v>
      </c>
      <c r="DK286" s="50">
        <f t="shared" si="681"/>
        <v>0</v>
      </c>
      <c r="DL286" s="50">
        <f t="shared" si="682"/>
        <v>0</v>
      </c>
      <c r="DM286" s="50">
        <f t="shared" si="683"/>
        <v>0</v>
      </c>
      <c r="DN286" s="50">
        <f t="shared" si="684"/>
        <v>0</v>
      </c>
      <c r="DO286" s="50">
        <f t="shared" si="685"/>
        <v>0</v>
      </c>
      <c r="DP286" s="50">
        <f t="shared" si="686"/>
        <v>0</v>
      </c>
      <c r="DQ286" s="50">
        <f t="shared" si="663"/>
        <v>0</v>
      </c>
      <c r="DR286" s="50">
        <f t="shared" si="664"/>
        <v>0</v>
      </c>
      <c r="DS286" s="96">
        <f>Miscelaneous!$D$4*Miscelaneous!$D$2^($CI286-1)</f>
        <v>1000</v>
      </c>
      <c r="DT286" s="333">
        <f t="shared" si="643"/>
        <v>1</v>
      </c>
      <c r="DU286" s="81">
        <v>1</v>
      </c>
      <c r="DV286" s="79">
        <f t="shared" si="665"/>
        <v>0</v>
      </c>
      <c r="DW286" s="79">
        <f t="shared" si="666"/>
        <v>0</v>
      </c>
      <c r="DX286" s="79">
        <f t="shared" si="667"/>
        <v>0</v>
      </c>
      <c r="DY286" s="79">
        <v>1</v>
      </c>
      <c r="DZ286" s="79">
        <f t="shared" si="668"/>
        <v>0</v>
      </c>
      <c r="EA286" s="79">
        <f t="shared" si="669"/>
        <v>0</v>
      </c>
      <c r="EB286" s="79">
        <f t="shared" si="670"/>
        <v>0</v>
      </c>
      <c r="EC286" s="79">
        <f t="shared" si="671"/>
        <v>0</v>
      </c>
      <c r="ED286" s="79">
        <v>1</v>
      </c>
      <c r="EE286" s="79">
        <v>1</v>
      </c>
      <c r="EF286" s="79">
        <f t="shared" si="672"/>
        <v>0</v>
      </c>
      <c r="EG286" s="79">
        <v>1</v>
      </c>
      <c r="EH286" s="79">
        <v>1</v>
      </c>
      <c r="EI286" s="79">
        <v>1</v>
      </c>
      <c r="EJ286" s="79">
        <v>1</v>
      </c>
      <c r="EK286" s="79">
        <v>1</v>
      </c>
      <c r="EL286" s="79">
        <v>1</v>
      </c>
      <c r="EM286" s="143">
        <f t="shared" si="673"/>
        <v>0</v>
      </c>
      <c r="EN286" s="143">
        <f t="shared" si="674"/>
        <v>0</v>
      </c>
      <c r="EO286" s="82">
        <f t="shared" si="675"/>
        <v>0</v>
      </c>
    </row>
    <row r="287" spans="1:145" x14ac:dyDescent="0.25">
      <c r="A287">
        <v>273</v>
      </c>
      <c r="B287" s="172" t="e">
        <f t="shared" si="644"/>
        <v>#N/A</v>
      </c>
      <c r="C287" s="121" t="e">
        <f t="shared" ref="C287:E287" si="706">AJ287-SUM(AB287:AB291)</f>
        <v>#N/A</v>
      </c>
      <c r="D287" s="122" t="e">
        <f t="shared" si="706"/>
        <v>#N/A</v>
      </c>
      <c r="E287" s="122" t="e">
        <f t="shared" si="706"/>
        <v>#N/A</v>
      </c>
      <c r="F287" s="176" t="e">
        <f t="shared" si="626"/>
        <v>#N/A</v>
      </c>
      <c r="G287" s="121">
        <f t="shared" si="646"/>
        <v>208</v>
      </c>
      <c r="H287" s="176" t="e">
        <f t="shared" si="647"/>
        <v>#N/A</v>
      </c>
      <c r="I287" s="48">
        <v>1</v>
      </c>
      <c r="J287" s="39"/>
      <c r="K287" s="350">
        <v>1</v>
      </c>
      <c r="L287" s="34" t="e">
        <f t="shared" si="627"/>
        <v>#N/A</v>
      </c>
      <c r="M287" s="38" t="e">
        <f>(HLOOKUP(J287,'Construction Times'!$B$3:$W$34,L287+2,FALSE)*HLOOKUP("hq modifier",'Construction Times'!$W$3:$W$34,BS287+2,FALSE))*(1-$H$9)</f>
        <v>#N/A</v>
      </c>
      <c r="N287" s="426" t="e">
        <f t="shared" si="648"/>
        <v>#N/A</v>
      </c>
      <c r="O287" s="427"/>
      <c r="P287" s="430" t="e">
        <f t="shared" si="649"/>
        <v>#N/A</v>
      </c>
      <c r="Q287" s="431"/>
      <c r="R287" s="103">
        <f t="shared" si="677"/>
        <v>0</v>
      </c>
      <c r="S287" s="104">
        <f t="shared" si="677"/>
        <v>0</v>
      </c>
      <c r="T287" s="104">
        <f t="shared" si="678"/>
        <v>0</v>
      </c>
      <c r="U287" s="104">
        <f t="shared" si="678"/>
        <v>0</v>
      </c>
      <c r="V287" s="104">
        <f t="shared" si="678"/>
        <v>9.9999999999999995E-8</v>
      </c>
      <c r="W287" s="104">
        <f t="shared" si="678"/>
        <v>0</v>
      </c>
      <c r="X287" s="104">
        <f t="shared" si="584"/>
        <v>0</v>
      </c>
      <c r="Y287" s="104">
        <f t="shared" si="584"/>
        <v>9.9999999999999995E-8</v>
      </c>
      <c r="Z287" s="104">
        <f t="shared" si="584"/>
        <v>9.9999999999999995E-8</v>
      </c>
      <c r="AA287" s="105">
        <f t="shared" si="584"/>
        <v>9.9999999999999995E-8</v>
      </c>
      <c r="AB287" s="101" t="e">
        <f>$DT287*HLOOKUP($J287,'Construction Costs (timber)'!$B$1:$V$32,'Construction Planner'!$L287+2,FALSE)</f>
        <v>#N/A</v>
      </c>
      <c r="AC287" s="14" t="e">
        <f>$DT287*HLOOKUP($J287,'Construction Costs (clay)'!$B$1:$V$32,'Construction Planner'!$L287+2,FALSE)</f>
        <v>#N/A</v>
      </c>
      <c r="AD287" s="14" t="e">
        <f>$DT287*HLOOKUP($J287,'Construction Costs (iron)'!$B$1:$V$32,'Construction Planner'!$L287+2,FALSE)</f>
        <v>#N/A</v>
      </c>
      <c r="AE287" s="34" t="e">
        <f t="shared" si="690"/>
        <v>#N/A</v>
      </c>
      <c r="AF287" s="33" t="e">
        <f t="shared" si="628"/>
        <v>#N/A</v>
      </c>
      <c r="AG287" s="14" t="e">
        <f t="shared" si="629"/>
        <v>#N/A</v>
      </c>
      <c r="AH287" s="14" t="e">
        <f t="shared" si="630"/>
        <v>#N/A</v>
      </c>
      <c r="AI287" s="34" t="e">
        <f t="shared" si="691"/>
        <v>#N/A</v>
      </c>
      <c r="AJ287" s="49" t="e">
        <f t="shared" si="651"/>
        <v>#N/A</v>
      </c>
      <c r="AK287" s="49" t="e">
        <f t="shared" si="652"/>
        <v>#N/A</v>
      </c>
      <c r="AL287" s="49" t="e">
        <f t="shared" si="653"/>
        <v>#N/A</v>
      </c>
      <c r="AM287" s="25">
        <f t="shared" si="631"/>
        <v>30</v>
      </c>
      <c r="AN287" s="25">
        <f t="shared" si="632"/>
        <v>30</v>
      </c>
      <c r="AO287" s="25">
        <f t="shared" si="633"/>
        <v>30</v>
      </c>
      <c r="AP287" s="52" t="e">
        <f t="shared" si="654"/>
        <v>#N/A</v>
      </c>
      <c r="AQ287" s="53" t="e">
        <f t="shared" si="654"/>
        <v>#N/A</v>
      </c>
      <c r="AR287" s="54" t="e">
        <f t="shared" si="654"/>
        <v>#N/A</v>
      </c>
      <c r="AS287" s="316">
        <f t="shared" si="692"/>
        <v>0</v>
      </c>
      <c r="AT287" s="106">
        <f>_xlfn.IFNA($M287/VLOOKUP($BT287,'Unit information'!$A$2:$K$29,2,FALSE)*R287,0)*(1+$E$9)</f>
        <v>0</v>
      </c>
      <c r="AU287" s="107">
        <f>_xlfn.IFNA($M287/VLOOKUP($BT287,'Unit information'!$A$2:$K$29,3,FALSE)*S287,0)*(1+$E$9)</f>
        <v>0</v>
      </c>
      <c r="AV287" s="107">
        <f>_xlfn.IFNA($M287/VLOOKUP($BT287,'Unit information'!$A$2:$K$29,4,FALSE)*T287,0)*(1+$E$9)</f>
        <v>0</v>
      </c>
      <c r="AW287" s="107">
        <f>_xlfn.IFNA($M287/VLOOKUP($BT287,'Unit information'!$A$2:$K$29,5,FALSE)*U287,0)*(1+$E$9)</f>
        <v>0</v>
      </c>
      <c r="AX287" s="107">
        <f>_xlfn.IFNA($M287/VLOOKUP($BU287,'Unit information'!$A$2:$K$29,6,FALSE)*V287,0)*(1+$E$9)</f>
        <v>0</v>
      </c>
      <c r="AY287" s="107">
        <f>_xlfn.IFNA($M287/VLOOKUP($BU287,'Unit information'!$A$2:$K$29,7,FALSE)*W287,0)*(1+$E$9)</f>
        <v>0</v>
      </c>
      <c r="AZ287" s="107">
        <f>_xlfn.IFNA($M287/VLOOKUP($BU287,'Unit information'!$A$2:$K$29,8,FALSE)*X287,0)*(1+$E$9)</f>
        <v>0</v>
      </c>
      <c r="BA287" s="107">
        <f>_xlfn.IFNA($M287/VLOOKUP($BU287,'Unit information'!$A$2:$K$29,9,FALSE)*Y287,0)*(1+$E$9)</f>
        <v>0</v>
      </c>
      <c r="BB287" s="107">
        <f>_xlfn.IFNA($M287/VLOOKUP($BV287,'Unit information'!$A$2:$K$29,10,FALSE)*Z287,0)*(1+$E$9)</f>
        <v>0</v>
      </c>
      <c r="BC287" s="108">
        <f>_xlfn.IFNA($M287/VLOOKUP($BV287,'Unit information'!$A$2:$K$29,11,FALSE)*AA287,0)*(1+$E$9)</f>
        <v>0</v>
      </c>
      <c r="BD287" s="106">
        <f t="shared" si="634"/>
        <v>0</v>
      </c>
      <c r="BE287" s="107">
        <f t="shared" si="635"/>
        <v>0</v>
      </c>
      <c r="BF287" s="108">
        <f t="shared" si="636"/>
        <v>0</v>
      </c>
      <c r="BG287" s="25" t="e">
        <f t="shared" si="637"/>
        <v>#N/A</v>
      </c>
      <c r="BH287" s="25" t="e">
        <f t="shared" si="638"/>
        <v>#N/A</v>
      </c>
      <c r="BI287" s="25" t="e">
        <f t="shared" si="639"/>
        <v>#N/A</v>
      </c>
      <c r="BJ287" s="27" t="e">
        <f t="shared" si="640"/>
        <v>#N/A</v>
      </c>
      <c r="BK287" s="18" t="e">
        <f t="shared" si="641"/>
        <v>#N/A</v>
      </c>
      <c r="BL287" s="18" t="e">
        <f t="shared" si="642"/>
        <v>#N/A</v>
      </c>
      <c r="BM287" s="28" t="e">
        <f t="shared" si="693"/>
        <v>#N/A</v>
      </c>
      <c r="BN287" s="33">
        <f>HLOOKUP("maximum population",Miscelaneous!$C$1:$C$33,CH287+3,FALSE)</f>
        <v>240</v>
      </c>
      <c r="BO287" s="14">
        <f t="shared" si="655"/>
        <v>32</v>
      </c>
      <c r="BP287" s="14">
        <f t="shared" si="656"/>
        <v>0</v>
      </c>
      <c r="BQ287" s="14">
        <f t="shared" si="657"/>
        <v>208</v>
      </c>
      <c r="BR287" s="34" t="e">
        <f>HLOOKUP(J287,Villagers!$B$1:$V$33,L287+3,FALSE)-HLOOKUP(J287,Villagers!$B$1:$V$33,L287+2,FALSE)</f>
        <v>#N/A</v>
      </c>
      <c r="BS287" s="49">
        <f t="shared" si="658"/>
        <v>1</v>
      </c>
      <c r="BT287" s="50">
        <f t="shared" si="659"/>
        <v>0</v>
      </c>
      <c r="BU287" s="50">
        <f t="shared" si="660"/>
        <v>0</v>
      </c>
      <c r="BV287" s="50">
        <f t="shared" si="661"/>
        <v>0</v>
      </c>
      <c r="BW287" s="50">
        <f t="shared" si="699"/>
        <v>0</v>
      </c>
      <c r="BX287" s="50">
        <f t="shared" si="697"/>
        <v>0</v>
      </c>
      <c r="BY287" s="50">
        <f t="shared" si="697"/>
        <v>0</v>
      </c>
      <c r="BZ287" s="50">
        <f t="shared" ref="BZ287:BZ350" si="707">IF($J286=BZ$14,$L286,BZ286)</f>
        <v>0</v>
      </c>
      <c r="CA287" s="50">
        <f t="shared" ref="CA287:CA350" si="708">IF($J286=CA$14,$L286,CA286)</f>
        <v>0</v>
      </c>
      <c r="CB287" s="50">
        <f t="shared" ref="CB287:CB350" si="709">IF($J286=CB$14,$L286,CB286)</f>
        <v>1</v>
      </c>
      <c r="CC287" s="50">
        <f t="shared" ref="CC287:CC350" si="710">IF($J286=CC$14,$L286,CC286)</f>
        <v>0</v>
      </c>
      <c r="CD287" s="50">
        <f t="shared" ref="CD287:CD350" si="711">IF($J286=CD$14,$L286,CD286)</f>
        <v>0</v>
      </c>
      <c r="CE287" s="50">
        <f t="shared" ref="CE287:CE350" si="712">IF($J286=CE$14,$L286,CE286)</f>
        <v>1</v>
      </c>
      <c r="CF287" s="50">
        <f t="shared" ref="CF287:CF350" si="713">IF($J286=CF$14,$L286,CF286)</f>
        <v>1</v>
      </c>
      <c r="CG287" s="50">
        <f t="shared" ref="CG287:CG350" si="714">IF($J286=CG$14,$L286,CG286)</f>
        <v>1</v>
      </c>
      <c r="CH287" s="50">
        <f t="shared" ref="CH287:CH350" si="715">IF($J286=CH$14,$L286,CH286)</f>
        <v>1</v>
      </c>
      <c r="CI287" s="50">
        <f t="shared" ref="CI287:CI350" si="716">IF($J286=CI$14,$L286,CI286)</f>
        <v>1</v>
      </c>
      <c r="CJ287" s="50">
        <f t="shared" ref="CJ287:CL350" si="717">IF($J286=CJ$14,$L286,CJ286)</f>
        <v>1</v>
      </c>
      <c r="CK287" s="50">
        <f t="shared" si="717"/>
        <v>0</v>
      </c>
      <c r="CL287" s="50">
        <f t="shared" si="717"/>
        <v>0</v>
      </c>
      <c r="CM287" s="51">
        <f t="shared" si="605"/>
        <v>0</v>
      </c>
      <c r="CN287" s="33">
        <f>ROUND(IF(BS287=0,0,HLOOKUP(BS$14,Villagers!$B$1:$V$33,BS287+3,FALSE)),)</f>
        <v>5</v>
      </c>
      <c r="CO287" s="14">
        <f>ROUND(IF(BT287=0,0,HLOOKUP(BT$14,Villagers!$B$1:$V$33,BT287+3,FALSE)),)</f>
        <v>0</v>
      </c>
      <c r="CP287" s="14">
        <f>ROUND(IF(BU287=0,0,HLOOKUP(BU$14,Villagers!$B$1:$V$33,BU287+3,FALSE)),)</f>
        <v>0</v>
      </c>
      <c r="CQ287" s="14">
        <f>ROUND(IF(BV287=0,0,HLOOKUP(BV$14,Villagers!$B$1:$V$33,BV287+3,FALSE)),)</f>
        <v>0</v>
      </c>
      <c r="CR287" s="14">
        <f>ROUND(IF(BW287=0,0,HLOOKUP(BW$14,Villagers!$B$1:$V$33,BW287+3,FALSE)),)</f>
        <v>0</v>
      </c>
      <c r="CS287" s="14">
        <f>ROUND(IF(BX287=0,0,HLOOKUP(BX$14,Villagers!$B$1:$V$33,BX287+3,FALSE)),)</f>
        <v>0</v>
      </c>
      <c r="CT287" s="14">
        <f>ROUND(IF(BY287=0,0,HLOOKUP(BY$14,Villagers!$B$1:$V$33,BY287+3,FALSE)),)</f>
        <v>0</v>
      </c>
      <c r="CU287" s="14">
        <f>ROUND(IF(BZ287=0,0,HLOOKUP(BZ$14,Villagers!$B$1:$V$33,BZ287+3,FALSE)),)</f>
        <v>0</v>
      </c>
      <c r="CV287" s="14">
        <f>ROUND(IF(CA287=0,0,HLOOKUP(CA$14,Villagers!$B$1:$V$33,CA287+3,FALSE)),)</f>
        <v>0</v>
      </c>
      <c r="CW287" s="14">
        <f>ROUND(IF(CB287=0,0,HLOOKUP(CB$14,Villagers!$B$1:$V$33,CB287+3,FALSE)),)</f>
        <v>0</v>
      </c>
      <c r="CX287" s="14">
        <f>ROUND(IF(CC287=0,0,HLOOKUP(CC$14,Villagers!$B$1:$V$33,CC287+3,FALSE)),)</f>
        <v>0</v>
      </c>
      <c r="CY287" s="14">
        <f>ROUND(IF(CD287=0,0,HLOOKUP(CD$14,Villagers!$B$1:$V$33,CD287+3,FALSE)),)</f>
        <v>0</v>
      </c>
      <c r="CZ287" s="14">
        <f>ROUND(IF(CE287=0,0,HLOOKUP(CE$14,Villagers!$B$1:$V$33,CE287+3,FALSE)),)</f>
        <v>5</v>
      </c>
      <c r="DA287" s="14">
        <f>ROUND(IF(CF287=0,0,HLOOKUP(CF$14,Villagers!$B$1:$V$33,CF287+3,FALSE)),)</f>
        <v>10</v>
      </c>
      <c r="DB287" s="14">
        <f>ROUND(IF(CG287=0,0,HLOOKUP(CG$14,Villagers!$B$1:$V$33,CG287+3,FALSE)),)</f>
        <v>10</v>
      </c>
      <c r="DC287" s="14">
        <f>ROUND(IF(CH287=0,0,HLOOKUP(CH$14,Villagers!$B$1:$V$33,CH287+3,FALSE)),)</f>
        <v>0</v>
      </c>
      <c r="DD287" s="14">
        <f>ROUND(IF(CI287=0,0,HLOOKUP(CI$14,Villagers!$B$1:$V$33,CI287+3,FALSE)),)</f>
        <v>0</v>
      </c>
      <c r="DE287" s="14">
        <f>ROUND(IF(CJ287=0,0,HLOOKUP(CJ$14,Villagers!$B$1:$V$33,CJ287+3,FALSE)),)</f>
        <v>2</v>
      </c>
      <c r="DF287" s="370">
        <f>ROUND(IF(CK287=0,0,HLOOKUP(CK$14,Villagers!$B$1:$V$33,CK287+3,FALSE)),)</f>
        <v>0</v>
      </c>
      <c r="DG287" s="370">
        <f>ROUND(IF(CL287=0,0,HLOOKUP(CL$14,Villagers!$B$1:$V$33,CL287+3,FALSE)),)</f>
        <v>0</v>
      </c>
      <c r="DH287" s="34">
        <f>ROUND(IF(CM287=0,0,HLOOKUP(CM$14,Villagers!$B$1:$V$33,CM287+3,FALSE)),)</f>
        <v>0</v>
      </c>
      <c r="DI287" s="109">
        <f t="shared" si="679"/>
        <v>0</v>
      </c>
      <c r="DJ287" s="50">
        <f t="shared" si="680"/>
        <v>0</v>
      </c>
      <c r="DK287" s="50">
        <f t="shared" si="681"/>
        <v>0</v>
      </c>
      <c r="DL287" s="50">
        <f t="shared" si="682"/>
        <v>0</v>
      </c>
      <c r="DM287" s="50">
        <f t="shared" si="683"/>
        <v>0</v>
      </c>
      <c r="DN287" s="50">
        <f t="shared" si="684"/>
        <v>0</v>
      </c>
      <c r="DO287" s="50">
        <f t="shared" si="685"/>
        <v>0</v>
      </c>
      <c r="DP287" s="50">
        <f t="shared" si="686"/>
        <v>0</v>
      </c>
      <c r="DQ287" s="50">
        <f t="shared" si="663"/>
        <v>0</v>
      </c>
      <c r="DR287" s="50">
        <f t="shared" si="664"/>
        <v>0</v>
      </c>
      <c r="DS287" s="96">
        <f>Miscelaneous!$D$4*Miscelaneous!$D$2^($CI287-1)</f>
        <v>1000</v>
      </c>
      <c r="DT287" s="333">
        <f t="shared" si="643"/>
        <v>1</v>
      </c>
      <c r="DU287" s="81">
        <v>1</v>
      </c>
      <c r="DV287" s="79">
        <f t="shared" si="665"/>
        <v>0</v>
      </c>
      <c r="DW287" s="79">
        <f t="shared" si="666"/>
        <v>0</v>
      </c>
      <c r="DX287" s="79">
        <f t="shared" si="667"/>
        <v>0</v>
      </c>
      <c r="DY287" s="79">
        <v>1</v>
      </c>
      <c r="DZ287" s="79">
        <f t="shared" si="668"/>
        <v>0</v>
      </c>
      <c r="EA287" s="79">
        <f t="shared" si="669"/>
        <v>0</v>
      </c>
      <c r="EB287" s="79">
        <f t="shared" si="670"/>
        <v>0</v>
      </c>
      <c r="EC287" s="79">
        <f t="shared" si="671"/>
        <v>0</v>
      </c>
      <c r="ED287" s="79">
        <v>1</v>
      </c>
      <c r="EE287" s="79">
        <v>1</v>
      </c>
      <c r="EF287" s="79">
        <f t="shared" si="672"/>
        <v>0</v>
      </c>
      <c r="EG287" s="79">
        <v>1</v>
      </c>
      <c r="EH287" s="79">
        <v>1</v>
      </c>
      <c r="EI287" s="79">
        <v>1</v>
      </c>
      <c r="EJ287" s="79">
        <v>1</v>
      </c>
      <c r="EK287" s="79">
        <v>1</v>
      </c>
      <c r="EL287" s="79">
        <v>1</v>
      </c>
      <c r="EM287" s="143">
        <f t="shared" si="673"/>
        <v>0</v>
      </c>
      <c r="EN287" s="143">
        <f t="shared" si="674"/>
        <v>0</v>
      </c>
      <c r="EO287" s="82">
        <f t="shared" si="675"/>
        <v>0</v>
      </c>
    </row>
    <row r="288" spans="1:145" x14ac:dyDescent="0.25">
      <c r="A288">
        <v>274</v>
      </c>
      <c r="B288" s="172" t="e">
        <f t="shared" si="644"/>
        <v>#N/A</v>
      </c>
      <c r="C288" s="121" t="e">
        <f t="shared" ref="C288:E288" si="718">AJ288-SUM(AB288:AB292)</f>
        <v>#N/A</v>
      </c>
      <c r="D288" s="122" t="e">
        <f t="shared" si="718"/>
        <v>#N/A</v>
      </c>
      <c r="E288" s="122" t="e">
        <f t="shared" si="718"/>
        <v>#N/A</v>
      </c>
      <c r="F288" s="176" t="e">
        <f t="shared" si="626"/>
        <v>#N/A</v>
      </c>
      <c r="G288" s="121">
        <f t="shared" si="646"/>
        <v>208</v>
      </c>
      <c r="H288" s="176" t="e">
        <f t="shared" si="647"/>
        <v>#N/A</v>
      </c>
      <c r="I288" s="48">
        <v>1</v>
      </c>
      <c r="J288" s="39"/>
      <c r="K288" s="350">
        <v>1</v>
      </c>
      <c r="L288" s="34" t="e">
        <f t="shared" si="627"/>
        <v>#N/A</v>
      </c>
      <c r="M288" s="38" t="e">
        <f>(HLOOKUP(J288,'Construction Times'!$B$3:$W$34,L288+2,FALSE)*HLOOKUP("hq modifier",'Construction Times'!$W$3:$W$34,BS288+2,FALSE))*(1-$H$9)</f>
        <v>#N/A</v>
      </c>
      <c r="N288" s="426" t="e">
        <f t="shared" si="648"/>
        <v>#N/A</v>
      </c>
      <c r="O288" s="427"/>
      <c r="P288" s="430" t="e">
        <f t="shared" si="649"/>
        <v>#N/A</v>
      </c>
      <c r="Q288" s="431"/>
      <c r="R288" s="103">
        <f t="shared" si="677"/>
        <v>0</v>
      </c>
      <c r="S288" s="104">
        <f t="shared" si="677"/>
        <v>0</v>
      </c>
      <c r="T288" s="104">
        <f t="shared" si="678"/>
        <v>0</v>
      </c>
      <c r="U288" s="104">
        <f t="shared" si="678"/>
        <v>0</v>
      </c>
      <c r="V288" s="104">
        <f t="shared" si="678"/>
        <v>9.9999999999999995E-8</v>
      </c>
      <c r="W288" s="104">
        <f t="shared" si="678"/>
        <v>0</v>
      </c>
      <c r="X288" s="104">
        <f t="shared" si="584"/>
        <v>0</v>
      </c>
      <c r="Y288" s="104">
        <f t="shared" si="584"/>
        <v>9.9999999999999995E-8</v>
      </c>
      <c r="Z288" s="104">
        <f t="shared" si="584"/>
        <v>9.9999999999999995E-8</v>
      </c>
      <c r="AA288" s="105">
        <f t="shared" si="584"/>
        <v>9.9999999999999995E-8</v>
      </c>
      <c r="AB288" s="101" t="e">
        <f>$DT288*HLOOKUP($J288,'Construction Costs (timber)'!$B$1:$V$32,'Construction Planner'!$L288+2,FALSE)</f>
        <v>#N/A</v>
      </c>
      <c r="AC288" s="14" t="e">
        <f>$DT288*HLOOKUP($J288,'Construction Costs (clay)'!$B$1:$V$32,'Construction Planner'!$L288+2,FALSE)</f>
        <v>#N/A</v>
      </c>
      <c r="AD288" s="14" t="e">
        <f>$DT288*HLOOKUP($J288,'Construction Costs (iron)'!$B$1:$V$32,'Construction Planner'!$L288+2,FALSE)</f>
        <v>#N/A</v>
      </c>
      <c r="AE288" s="34" t="e">
        <f t="shared" si="690"/>
        <v>#N/A</v>
      </c>
      <c r="AF288" s="33" t="e">
        <f t="shared" si="628"/>
        <v>#N/A</v>
      </c>
      <c r="AG288" s="14" t="e">
        <f t="shared" si="629"/>
        <v>#N/A</v>
      </c>
      <c r="AH288" s="14" t="e">
        <f t="shared" si="630"/>
        <v>#N/A</v>
      </c>
      <c r="AI288" s="34" t="e">
        <f t="shared" si="691"/>
        <v>#N/A</v>
      </c>
      <c r="AJ288" s="49" t="e">
        <f t="shared" si="651"/>
        <v>#N/A</v>
      </c>
      <c r="AK288" s="49" t="e">
        <f t="shared" si="652"/>
        <v>#N/A</v>
      </c>
      <c r="AL288" s="49" t="e">
        <f t="shared" si="653"/>
        <v>#N/A</v>
      </c>
      <c r="AM288" s="25">
        <f t="shared" si="631"/>
        <v>30</v>
      </c>
      <c r="AN288" s="25">
        <f t="shared" si="632"/>
        <v>30</v>
      </c>
      <c r="AO288" s="25">
        <f t="shared" si="633"/>
        <v>30</v>
      </c>
      <c r="AP288" s="52" t="e">
        <f t="shared" si="654"/>
        <v>#N/A</v>
      </c>
      <c r="AQ288" s="53" t="e">
        <f t="shared" si="654"/>
        <v>#N/A</v>
      </c>
      <c r="AR288" s="54" t="e">
        <f t="shared" si="654"/>
        <v>#N/A</v>
      </c>
      <c r="AS288" s="316">
        <f t="shared" si="692"/>
        <v>0</v>
      </c>
      <c r="AT288" s="106">
        <f>_xlfn.IFNA($M288/VLOOKUP($BT288,'Unit information'!$A$2:$K$29,2,FALSE)*R288,0)*(1+$E$9)</f>
        <v>0</v>
      </c>
      <c r="AU288" s="107">
        <f>_xlfn.IFNA($M288/VLOOKUP($BT288,'Unit information'!$A$2:$K$29,3,FALSE)*S288,0)*(1+$E$9)</f>
        <v>0</v>
      </c>
      <c r="AV288" s="107">
        <f>_xlfn.IFNA($M288/VLOOKUP($BT288,'Unit information'!$A$2:$K$29,4,FALSE)*T288,0)*(1+$E$9)</f>
        <v>0</v>
      </c>
      <c r="AW288" s="107">
        <f>_xlfn.IFNA($M288/VLOOKUP($BT288,'Unit information'!$A$2:$K$29,5,FALSE)*U288,0)*(1+$E$9)</f>
        <v>0</v>
      </c>
      <c r="AX288" s="107">
        <f>_xlfn.IFNA($M288/VLOOKUP($BU288,'Unit information'!$A$2:$K$29,6,FALSE)*V288,0)*(1+$E$9)</f>
        <v>0</v>
      </c>
      <c r="AY288" s="107">
        <f>_xlfn.IFNA($M288/VLOOKUP($BU288,'Unit information'!$A$2:$K$29,7,FALSE)*W288,0)*(1+$E$9)</f>
        <v>0</v>
      </c>
      <c r="AZ288" s="107">
        <f>_xlfn.IFNA($M288/VLOOKUP($BU288,'Unit information'!$A$2:$K$29,8,FALSE)*X288,0)*(1+$E$9)</f>
        <v>0</v>
      </c>
      <c r="BA288" s="107">
        <f>_xlfn.IFNA($M288/VLOOKUP($BU288,'Unit information'!$A$2:$K$29,9,FALSE)*Y288,0)*(1+$E$9)</f>
        <v>0</v>
      </c>
      <c r="BB288" s="107">
        <f>_xlfn.IFNA($M288/VLOOKUP($BV288,'Unit information'!$A$2:$K$29,10,FALSE)*Z288,0)*(1+$E$9)</f>
        <v>0</v>
      </c>
      <c r="BC288" s="108">
        <f>_xlfn.IFNA($M288/VLOOKUP($BV288,'Unit information'!$A$2:$K$29,11,FALSE)*AA288,0)*(1+$E$9)</f>
        <v>0</v>
      </c>
      <c r="BD288" s="106">
        <f t="shared" si="634"/>
        <v>0</v>
      </c>
      <c r="BE288" s="107">
        <f t="shared" si="635"/>
        <v>0</v>
      </c>
      <c r="BF288" s="108">
        <f t="shared" si="636"/>
        <v>0</v>
      </c>
      <c r="BG288" s="25" t="e">
        <f t="shared" si="637"/>
        <v>#N/A</v>
      </c>
      <c r="BH288" s="25" t="e">
        <f t="shared" si="638"/>
        <v>#N/A</v>
      </c>
      <c r="BI288" s="25" t="e">
        <f t="shared" si="639"/>
        <v>#N/A</v>
      </c>
      <c r="BJ288" s="27" t="e">
        <f t="shared" si="640"/>
        <v>#N/A</v>
      </c>
      <c r="BK288" s="18" t="e">
        <f t="shared" si="641"/>
        <v>#N/A</v>
      </c>
      <c r="BL288" s="18" t="e">
        <f t="shared" si="642"/>
        <v>#N/A</v>
      </c>
      <c r="BM288" s="28" t="e">
        <f t="shared" si="693"/>
        <v>#N/A</v>
      </c>
      <c r="BN288" s="33">
        <f>HLOOKUP("maximum population",Miscelaneous!$C$1:$C$33,CH288+3,FALSE)</f>
        <v>240</v>
      </c>
      <c r="BO288" s="14">
        <f t="shared" si="655"/>
        <v>32</v>
      </c>
      <c r="BP288" s="14">
        <f t="shared" si="656"/>
        <v>0</v>
      </c>
      <c r="BQ288" s="14">
        <f t="shared" si="657"/>
        <v>208</v>
      </c>
      <c r="BR288" s="34" t="e">
        <f>HLOOKUP(J288,Villagers!$B$1:$V$33,L288+3,FALSE)-HLOOKUP(J288,Villagers!$B$1:$V$33,L288+2,FALSE)</f>
        <v>#N/A</v>
      </c>
      <c r="BS288" s="49">
        <f t="shared" si="658"/>
        <v>1</v>
      </c>
      <c r="BT288" s="50">
        <f t="shared" si="659"/>
        <v>0</v>
      </c>
      <c r="BU288" s="50">
        <f t="shared" si="660"/>
        <v>0</v>
      </c>
      <c r="BV288" s="50">
        <f t="shared" si="661"/>
        <v>0</v>
      </c>
      <c r="BW288" s="50">
        <f t="shared" ref="BW288:BY294" si="719">IF($J287=BW$14,$L287,BW287)</f>
        <v>0</v>
      </c>
      <c r="BX288" s="50">
        <f t="shared" si="719"/>
        <v>0</v>
      </c>
      <c r="BY288" s="50">
        <f t="shared" si="719"/>
        <v>0</v>
      </c>
      <c r="BZ288" s="50">
        <f t="shared" si="707"/>
        <v>0</v>
      </c>
      <c r="CA288" s="50">
        <f t="shared" si="708"/>
        <v>0</v>
      </c>
      <c r="CB288" s="50">
        <f t="shared" si="709"/>
        <v>1</v>
      </c>
      <c r="CC288" s="50">
        <f t="shared" si="710"/>
        <v>0</v>
      </c>
      <c r="CD288" s="50">
        <f t="shared" si="711"/>
        <v>0</v>
      </c>
      <c r="CE288" s="50">
        <f t="shared" si="712"/>
        <v>1</v>
      </c>
      <c r="CF288" s="50">
        <f t="shared" si="713"/>
        <v>1</v>
      </c>
      <c r="CG288" s="50">
        <f t="shared" si="714"/>
        <v>1</v>
      </c>
      <c r="CH288" s="50">
        <f t="shared" si="715"/>
        <v>1</v>
      </c>
      <c r="CI288" s="50">
        <f t="shared" si="716"/>
        <v>1</v>
      </c>
      <c r="CJ288" s="50">
        <f t="shared" si="717"/>
        <v>1</v>
      </c>
      <c r="CK288" s="50">
        <f t="shared" si="717"/>
        <v>0</v>
      </c>
      <c r="CL288" s="50">
        <f t="shared" si="717"/>
        <v>0</v>
      </c>
      <c r="CM288" s="51">
        <f t="shared" si="605"/>
        <v>0</v>
      </c>
      <c r="CN288" s="33">
        <f>ROUND(IF(BS288=0,0,HLOOKUP(BS$14,Villagers!$B$1:$V$33,BS288+3,FALSE)),)</f>
        <v>5</v>
      </c>
      <c r="CO288" s="14">
        <f>ROUND(IF(BT288=0,0,HLOOKUP(BT$14,Villagers!$B$1:$V$33,BT288+3,FALSE)),)</f>
        <v>0</v>
      </c>
      <c r="CP288" s="14">
        <f>ROUND(IF(BU288=0,0,HLOOKUP(BU$14,Villagers!$B$1:$V$33,BU288+3,FALSE)),)</f>
        <v>0</v>
      </c>
      <c r="CQ288" s="14">
        <f>ROUND(IF(BV288=0,0,HLOOKUP(BV$14,Villagers!$B$1:$V$33,BV288+3,FALSE)),)</f>
        <v>0</v>
      </c>
      <c r="CR288" s="14">
        <f>ROUND(IF(BW288=0,0,HLOOKUP(BW$14,Villagers!$B$1:$V$33,BW288+3,FALSE)),)</f>
        <v>0</v>
      </c>
      <c r="CS288" s="14">
        <f>ROUND(IF(BX288=0,0,HLOOKUP(BX$14,Villagers!$B$1:$V$33,BX288+3,FALSE)),)</f>
        <v>0</v>
      </c>
      <c r="CT288" s="14">
        <f>ROUND(IF(BY288=0,0,HLOOKUP(BY$14,Villagers!$B$1:$V$33,BY288+3,FALSE)),)</f>
        <v>0</v>
      </c>
      <c r="CU288" s="14">
        <f>ROUND(IF(BZ288=0,0,HLOOKUP(BZ$14,Villagers!$B$1:$V$33,BZ288+3,FALSE)),)</f>
        <v>0</v>
      </c>
      <c r="CV288" s="14">
        <f>ROUND(IF(CA288=0,0,HLOOKUP(CA$14,Villagers!$B$1:$V$33,CA288+3,FALSE)),)</f>
        <v>0</v>
      </c>
      <c r="CW288" s="14">
        <f>ROUND(IF(CB288=0,0,HLOOKUP(CB$14,Villagers!$B$1:$V$33,CB288+3,FALSE)),)</f>
        <v>0</v>
      </c>
      <c r="CX288" s="14">
        <f>ROUND(IF(CC288=0,0,HLOOKUP(CC$14,Villagers!$B$1:$V$33,CC288+3,FALSE)),)</f>
        <v>0</v>
      </c>
      <c r="CY288" s="14">
        <f>ROUND(IF(CD288=0,0,HLOOKUP(CD$14,Villagers!$B$1:$V$33,CD288+3,FALSE)),)</f>
        <v>0</v>
      </c>
      <c r="CZ288" s="14">
        <f>ROUND(IF(CE288=0,0,HLOOKUP(CE$14,Villagers!$B$1:$V$33,CE288+3,FALSE)),)</f>
        <v>5</v>
      </c>
      <c r="DA288" s="14">
        <f>ROUND(IF(CF288=0,0,HLOOKUP(CF$14,Villagers!$B$1:$V$33,CF288+3,FALSE)),)</f>
        <v>10</v>
      </c>
      <c r="DB288" s="14">
        <f>ROUND(IF(CG288=0,0,HLOOKUP(CG$14,Villagers!$B$1:$V$33,CG288+3,FALSE)),)</f>
        <v>10</v>
      </c>
      <c r="DC288" s="14">
        <f>ROUND(IF(CH288=0,0,HLOOKUP(CH$14,Villagers!$B$1:$V$33,CH288+3,FALSE)),)</f>
        <v>0</v>
      </c>
      <c r="DD288" s="14">
        <f>ROUND(IF(CI288=0,0,HLOOKUP(CI$14,Villagers!$B$1:$V$33,CI288+3,FALSE)),)</f>
        <v>0</v>
      </c>
      <c r="DE288" s="14">
        <f>ROUND(IF(CJ288=0,0,HLOOKUP(CJ$14,Villagers!$B$1:$V$33,CJ288+3,FALSE)),)</f>
        <v>2</v>
      </c>
      <c r="DF288" s="370">
        <f>ROUND(IF(CK288=0,0,HLOOKUP(CK$14,Villagers!$B$1:$V$33,CK288+3,FALSE)),)</f>
        <v>0</v>
      </c>
      <c r="DG288" s="370">
        <f>ROUND(IF(CL288=0,0,HLOOKUP(CL$14,Villagers!$B$1:$V$33,CL288+3,FALSE)),)</f>
        <v>0</v>
      </c>
      <c r="DH288" s="34">
        <f>ROUND(IF(CM288=0,0,HLOOKUP(CM$14,Villagers!$B$1:$V$33,CM288+3,FALSE)),)</f>
        <v>0</v>
      </c>
      <c r="DI288" s="109">
        <f t="shared" si="679"/>
        <v>0</v>
      </c>
      <c r="DJ288" s="50">
        <f t="shared" si="680"/>
        <v>0</v>
      </c>
      <c r="DK288" s="50">
        <f t="shared" si="681"/>
        <v>0</v>
      </c>
      <c r="DL288" s="50">
        <f t="shared" si="682"/>
        <v>0</v>
      </c>
      <c r="DM288" s="50">
        <f t="shared" si="683"/>
        <v>0</v>
      </c>
      <c r="DN288" s="50">
        <f t="shared" si="684"/>
        <v>0</v>
      </c>
      <c r="DO288" s="50">
        <f t="shared" si="685"/>
        <v>0</v>
      </c>
      <c r="DP288" s="50">
        <f t="shared" si="686"/>
        <v>0</v>
      </c>
      <c r="DQ288" s="50">
        <f t="shared" si="663"/>
        <v>0</v>
      </c>
      <c r="DR288" s="50">
        <f t="shared" si="664"/>
        <v>0</v>
      </c>
      <c r="DS288" s="96">
        <f>Miscelaneous!$D$4*Miscelaneous!$D$2^($CI288-1)</f>
        <v>1000</v>
      </c>
      <c r="DT288" s="333">
        <f t="shared" si="643"/>
        <v>1</v>
      </c>
      <c r="DU288" s="81">
        <v>1</v>
      </c>
      <c r="DV288" s="79">
        <f t="shared" si="665"/>
        <v>0</v>
      </c>
      <c r="DW288" s="79">
        <f t="shared" si="666"/>
        <v>0</v>
      </c>
      <c r="DX288" s="79">
        <f t="shared" si="667"/>
        <v>0</v>
      </c>
      <c r="DY288" s="79">
        <v>1</v>
      </c>
      <c r="DZ288" s="79">
        <f t="shared" si="668"/>
        <v>0</v>
      </c>
      <c r="EA288" s="79">
        <f t="shared" si="669"/>
        <v>0</v>
      </c>
      <c r="EB288" s="79">
        <f t="shared" si="670"/>
        <v>0</v>
      </c>
      <c r="EC288" s="79">
        <f t="shared" si="671"/>
        <v>0</v>
      </c>
      <c r="ED288" s="79">
        <v>1</v>
      </c>
      <c r="EE288" s="79">
        <v>1</v>
      </c>
      <c r="EF288" s="79">
        <f t="shared" si="672"/>
        <v>0</v>
      </c>
      <c r="EG288" s="79">
        <v>1</v>
      </c>
      <c r="EH288" s="79">
        <v>1</v>
      </c>
      <c r="EI288" s="79">
        <v>1</v>
      </c>
      <c r="EJ288" s="79">
        <v>1</v>
      </c>
      <c r="EK288" s="79">
        <v>1</v>
      </c>
      <c r="EL288" s="79">
        <v>1</v>
      </c>
      <c r="EM288" s="143">
        <f t="shared" si="673"/>
        <v>0</v>
      </c>
      <c r="EN288" s="143">
        <f t="shared" si="674"/>
        <v>0</v>
      </c>
      <c r="EO288" s="82">
        <f t="shared" si="675"/>
        <v>0</v>
      </c>
    </row>
    <row r="289" spans="1:145" x14ac:dyDescent="0.25">
      <c r="A289">
        <v>275</v>
      </c>
      <c r="B289" s="172" t="e">
        <f t="shared" si="644"/>
        <v>#N/A</v>
      </c>
      <c r="C289" s="121" t="e">
        <f t="shared" ref="C289:E289" si="720">AJ289-SUM(AB289:AB293)</f>
        <v>#N/A</v>
      </c>
      <c r="D289" s="122" t="e">
        <f t="shared" si="720"/>
        <v>#N/A</v>
      </c>
      <c r="E289" s="122" t="e">
        <f t="shared" si="720"/>
        <v>#N/A</v>
      </c>
      <c r="F289" s="176" t="e">
        <f t="shared" si="626"/>
        <v>#N/A</v>
      </c>
      <c r="G289" s="121">
        <f t="shared" si="646"/>
        <v>208</v>
      </c>
      <c r="H289" s="176" t="e">
        <f t="shared" si="647"/>
        <v>#N/A</v>
      </c>
      <c r="I289" s="48">
        <v>1</v>
      </c>
      <c r="J289" s="39"/>
      <c r="K289" s="350">
        <v>1</v>
      </c>
      <c r="L289" s="34" t="e">
        <f t="shared" si="627"/>
        <v>#N/A</v>
      </c>
      <c r="M289" s="38" t="e">
        <f>(HLOOKUP(J289,'Construction Times'!$B$3:$W$34,L289+2,FALSE)*HLOOKUP("hq modifier",'Construction Times'!$W$3:$W$34,BS289+2,FALSE))*(1-$H$9)</f>
        <v>#N/A</v>
      </c>
      <c r="N289" s="426" t="e">
        <f t="shared" si="648"/>
        <v>#N/A</v>
      </c>
      <c r="O289" s="427"/>
      <c r="P289" s="430" t="e">
        <f t="shared" si="649"/>
        <v>#N/A</v>
      </c>
      <c r="Q289" s="431"/>
      <c r="R289" s="103">
        <f t="shared" si="677"/>
        <v>0</v>
      </c>
      <c r="S289" s="104">
        <f t="shared" si="677"/>
        <v>0</v>
      </c>
      <c r="T289" s="104">
        <f t="shared" si="678"/>
        <v>0</v>
      </c>
      <c r="U289" s="104">
        <f t="shared" si="678"/>
        <v>0</v>
      </c>
      <c r="V289" s="104">
        <f t="shared" si="678"/>
        <v>9.9999999999999995E-8</v>
      </c>
      <c r="W289" s="104">
        <f t="shared" si="678"/>
        <v>0</v>
      </c>
      <c r="X289" s="104">
        <f t="shared" si="584"/>
        <v>0</v>
      </c>
      <c r="Y289" s="104">
        <f t="shared" si="584"/>
        <v>9.9999999999999995E-8</v>
      </c>
      <c r="Z289" s="104">
        <f t="shared" si="584"/>
        <v>9.9999999999999995E-8</v>
      </c>
      <c r="AA289" s="105">
        <f t="shared" si="584"/>
        <v>9.9999999999999995E-8</v>
      </c>
      <c r="AB289" s="101" t="e">
        <f>$DT289*HLOOKUP($J289,'Construction Costs (timber)'!$B$1:$V$32,'Construction Planner'!$L289+2,FALSE)</f>
        <v>#N/A</v>
      </c>
      <c r="AC289" s="14" t="e">
        <f>$DT289*HLOOKUP($J289,'Construction Costs (clay)'!$B$1:$V$32,'Construction Planner'!$L289+2,FALSE)</f>
        <v>#N/A</v>
      </c>
      <c r="AD289" s="14" t="e">
        <f>$DT289*HLOOKUP($J289,'Construction Costs (iron)'!$B$1:$V$32,'Construction Planner'!$L289+2,FALSE)</f>
        <v>#N/A</v>
      </c>
      <c r="AE289" s="34" t="e">
        <f t="shared" si="690"/>
        <v>#N/A</v>
      </c>
      <c r="AF289" s="33" t="e">
        <f t="shared" si="628"/>
        <v>#N/A</v>
      </c>
      <c r="AG289" s="14" t="e">
        <f t="shared" si="629"/>
        <v>#N/A</v>
      </c>
      <c r="AH289" s="14" t="e">
        <f t="shared" si="630"/>
        <v>#N/A</v>
      </c>
      <c r="AI289" s="34" t="e">
        <f t="shared" si="691"/>
        <v>#N/A</v>
      </c>
      <c r="AJ289" s="49" t="e">
        <f t="shared" si="651"/>
        <v>#N/A</v>
      </c>
      <c r="AK289" s="49" t="e">
        <f t="shared" si="652"/>
        <v>#N/A</v>
      </c>
      <c r="AL289" s="49" t="e">
        <f t="shared" si="653"/>
        <v>#N/A</v>
      </c>
      <c r="AM289" s="25">
        <f t="shared" si="631"/>
        <v>30</v>
      </c>
      <c r="AN289" s="25">
        <f t="shared" si="632"/>
        <v>30</v>
      </c>
      <c r="AO289" s="25">
        <f t="shared" si="633"/>
        <v>30</v>
      </c>
      <c r="AP289" s="52" t="e">
        <f t="shared" si="654"/>
        <v>#N/A</v>
      </c>
      <c r="AQ289" s="53" t="e">
        <f t="shared" si="654"/>
        <v>#N/A</v>
      </c>
      <c r="AR289" s="54" t="e">
        <f t="shared" si="654"/>
        <v>#N/A</v>
      </c>
      <c r="AS289" s="316">
        <f t="shared" si="692"/>
        <v>0</v>
      </c>
      <c r="AT289" s="106">
        <f>_xlfn.IFNA($M289/VLOOKUP($BT289,'Unit information'!$A$2:$K$29,2,FALSE)*R289,0)*(1+$E$9)</f>
        <v>0</v>
      </c>
      <c r="AU289" s="107">
        <f>_xlfn.IFNA($M289/VLOOKUP($BT289,'Unit information'!$A$2:$K$29,3,FALSE)*S289,0)*(1+$E$9)</f>
        <v>0</v>
      </c>
      <c r="AV289" s="107">
        <f>_xlfn.IFNA($M289/VLOOKUP($BT289,'Unit information'!$A$2:$K$29,4,FALSE)*T289,0)*(1+$E$9)</f>
        <v>0</v>
      </c>
      <c r="AW289" s="107">
        <f>_xlfn.IFNA($M289/VLOOKUP($BT289,'Unit information'!$A$2:$K$29,5,FALSE)*U289,0)*(1+$E$9)</f>
        <v>0</v>
      </c>
      <c r="AX289" s="107">
        <f>_xlfn.IFNA($M289/VLOOKUP($BU289,'Unit information'!$A$2:$K$29,6,FALSE)*V289,0)*(1+$E$9)</f>
        <v>0</v>
      </c>
      <c r="AY289" s="107">
        <f>_xlfn.IFNA($M289/VLOOKUP($BU289,'Unit information'!$A$2:$K$29,7,FALSE)*W289,0)*(1+$E$9)</f>
        <v>0</v>
      </c>
      <c r="AZ289" s="107">
        <f>_xlfn.IFNA($M289/VLOOKUP($BU289,'Unit information'!$A$2:$K$29,8,FALSE)*X289,0)*(1+$E$9)</f>
        <v>0</v>
      </c>
      <c r="BA289" s="107">
        <f>_xlfn.IFNA($M289/VLOOKUP($BU289,'Unit information'!$A$2:$K$29,9,FALSE)*Y289,0)*(1+$E$9)</f>
        <v>0</v>
      </c>
      <c r="BB289" s="107">
        <f>_xlfn.IFNA($M289/VLOOKUP($BV289,'Unit information'!$A$2:$K$29,10,FALSE)*Z289,0)*(1+$E$9)</f>
        <v>0</v>
      </c>
      <c r="BC289" s="108">
        <f>_xlfn.IFNA($M289/VLOOKUP($BV289,'Unit information'!$A$2:$K$29,11,FALSE)*AA289,0)*(1+$E$9)</f>
        <v>0</v>
      </c>
      <c r="BD289" s="106">
        <f t="shared" si="634"/>
        <v>0</v>
      </c>
      <c r="BE289" s="107">
        <f t="shared" si="635"/>
        <v>0</v>
      </c>
      <c r="BF289" s="108">
        <f t="shared" si="636"/>
        <v>0</v>
      </c>
      <c r="BG289" s="25" t="e">
        <f t="shared" si="637"/>
        <v>#N/A</v>
      </c>
      <c r="BH289" s="25" t="e">
        <f t="shared" si="638"/>
        <v>#N/A</v>
      </c>
      <c r="BI289" s="25" t="e">
        <f t="shared" si="639"/>
        <v>#N/A</v>
      </c>
      <c r="BJ289" s="27" t="e">
        <f t="shared" si="640"/>
        <v>#N/A</v>
      </c>
      <c r="BK289" s="18" t="e">
        <f t="shared" si="641"/>
        <v>#N/A</v>
      </c>
      <c r="BL289" s="18" t="e">
        <f t="shared" si="642"/>
        <v>#N/A</v>
      </c>
      <c r="BM289" s="28" t="e">
        <f t="shared" si="693"/>
        <v>#N/A</v>
      </c>
      <c r="BN289" s="33">
        <f>HLOOKUP("maximum population",Miscelaneous!$C$1:$C$33,CH289+3,FALSE)</f>
        <v>240</v>
      </c>
      <c r="BO289" s="14">
        <f t="shared" si="655"/>
        <v>32</v>
      </c>
      <c r="BP289" s="14">
        <f t="shared" si="656"/>
        <v>0</v>
      </c>
      <c r="BQ289" s="14">
        <f t="shared" si="657"/>
        <v>208</v>
      </c>
      <c r="BR289" s="34" t="e">
        <f>HLOOKUP(J289,Villagers!$B$1:$V$33,L289+3,FALSE)-HLOOKUP(J289,Villagers!$B$1:$V$33,L289+2,FALSE)</f>
        <v>#N/A</v>
      </c>
      <c r="BS289" s="49">
        <f t="shared" si="658"/>
        <v>1</v>
      </c>
      <c r="BT289" s="50">
        <f t="shared" si="659"/>
        <v>0</v>
      </c>
      <c r="BU289" s="50">
        <f t="shared" si="660"/>
        <v>0</v>
      </c>
      <c r="BV289" s="50">
        <f t="shared" si="661"/>
        <v>0</v>
      </c>
      <c r="BW289" s="50">
        <f t="shared" si="719"/>
        <v>0</v>
      </c>
      <c r="BX289" s="50">
        <f t="shared" si="719"/>
        <v>0</v>
      </c>
      <c r="BY289" s="50">
        <f t="shared" si="719"/>
        <v>0</v>
      </c>
      <c r="BZ289" s="50">
        <f t="shared" si="707"/>
        <v>0</v>
      </c>
      <c r="CA289" s="50">
        <f t="shared" si="708"/>
        <v>0</v>
      </c>
      <c r="CB289" s="50">
        <f t="shared" si="709"/>
        <v>1</v>
      </c>
      <c r="CC289" s="50">
        <f t="shared" si="710"/>
        <v>0</v>
      </c>
      <c r="CD289" s="50">
        <f t="shared" si="711"/>
        <v>0</v>
      </c>
      <c r="CE289" s="50">
        <f t="shared" si="712"/>
        <v>1</v>
      </c>
      <c r="CF289" s="50">
        <f t="shared" si="713"/>
        <v>1</v>
      </c>
      <c r="CG289" s="50">
        <f t="shared" si="714"/>
        <v>1</v>
      </c>
      <c r="CH289" s="50">
        <f t="shared" si="715"/>
        <v>1</v>
      </c>
      <c r="CI289" s="50">
        <f t="shared" si="716"/>
        <v>1</v>
      </c>
      <c r="CJ289" s="50">
        <f t="shared" si="717"/>
        <v>1</v>
      </c>
      <c r="CK289" s="50">
        <f t="shared" si="717"/>
        <v>0</v>
      </c>
      <c r="CL289" s="50">
        <f t="shared" si="717"/>
        <v>0</v>
      </c>
      <c r="CM289" s="51">
        <f t="shared" si="605"/>
        <v>0</v>
      </c>
      <c r="CN289" s="33">
        <f>ROUND(IF(BS289=0,0,HLOOKUP(BS$14,Villagers!$B$1:$V$33,BS289+3,FALSE)),)</f>
        <v>5</v>
      </c>
      <c r="CO289" s="14">
        <f>ROUND(IF(BT289=0,0,HLOOKUP(BT$14,Villagers!$B$1:$V$33,BT289+3,FALSE)),)</f>
        <v>0</v>
      </c>
      <c r="CP289" s="14">
        <f>ROUND(IF(BU289=0,0,HLOOKUP(BU$14,Villagers!$B$1:$V$33,BU289+3,FALSE)),)</f>
        <v>0</v>
      </c>
      <c r="CQ289" s="14">
        <f>ROUND(IF(BV289=0,0,HLOOKUP(BV$14,Villagers!$B$1:$V$33,BV289+3,FALSE)),)</f>
        <v>0</v>
      </c>
      <c r="CR289" s="14">
        <f>ROUND(IF(BW289=0,0,HLOOKUP(BW$14,Villagers!$B$1:$V$33,BW289+3,FALSE)),)</f>
        <v>0</v>
      </c>
      <c r="CS289" s="14">
        <f>ROUND(IF(BX289=0,0,HLOOKUP(BX$14,Villagers!$B$1:$V$33,BX289+3,FALSE)),)</f>
        <v>0</v>
      </c>
      <c r="CT289" s="14">
        <f>ROUND(IF(BY289=0,0,HLOOKUP(BY$14,Villagers!$B$1:$V$33,BY289+3,FALSE)),)</f>
        <v>0</v>
      </c>
      <c r="CU289" s="14">
        <f>ROUND(IF(BZ289=0,0,HLOOKUP(BZ$14,Villagers!$B$1:$V$33,BZ289+3,FALSE)),)</f>
        <v>0</v>
      </c>
      <c r="CV289" s="14">
        <f>ROUND(IF(CA289=0,0,HLOOKUP(CA$14,Villagers!$B$1:$V$33,CA289+3,FALSE)),)</f>
        <v>0</v>
      </c>
      <c r="CW289" s="14">
        <f>ROUND(IF(CB289=0,0,HLOOKUP(CB$14,Villagers!$B$1:$V$33,CB289+3,FALSE)),)</f>
        <v>0</v>
      </c>
      <c r="CX289" s="14">
        <f>ROUND(IF(CC289=0,0,HLOOKUP(CC$14,Villagers!$B$1:$V$33,CC289+3,FALSE)),)</f>
        <v>0</v>
      </c>
      <c r="CY289" s="14">
        <f>ROUND(IF(CD289=0,0,HLOOKUP(CD$14,Villagers!$B$1:$V$33,CD289+3,FALSE)),)</f>
        <v>0</v>
      </c>
      <c r="CZ289" s="14">
        <f>ROUND(IF(CE289=0,0,HLOOKUP(CE$14,Villagers!$B$1:$V$33,CE289+3,FALSE)),)</f>
        <v>5</v>
      </c>
      <c r="DA289" s="14">
        <f>ROUND(IF(CF289=0,0,HLOOKUP(CF$14,Villagers!$B$1:$V$33,CF289+3,FALSE)),)</f>
        <v>10</v>
      </c>
      <c r="DB289" s="14">
        <f>ROUND(IF(CG289=0,0,HLOOKUP(CG$14,Villagers!$B$1:$V$33,CG289+3,FALSE)),)</f>
        <v>10</v>
      </c>
      <c r="DC289" s="14">
        <f>ROUND(IF(CH289=0,0,HLOOKUP(CH$14,Villagers!$B$1:$V$33,CH289+3,FALSE)),)</f>
        <v>0</v>
      </c>
      <c r="DD289" s="14">
        <f>ROUND(IF(CI289=0,0,HLOOKUP(CI$14,Villagers!$B$1:$V$33,CI289+3,FALSE)),)</f>
        <v>0</v>
      </c>
      <c r="DE289" s="14">
        <f>ROUND(IF(CJ289=0,0,HLOOKUP(CJ$14,Villagers!$B$1:$V$33,CJ289+3,FALSE)),)</f>
        <v>2</v>
      </c>
      <c r="DF289" s="370">
        <f>ROUND(IF(CK289=0,0,HLOOKUP(CK$14,Villagers!$B$1:$V$33,CK289+3,FALSE)),)</f>
        <v>0</v>
      </c>
      <c r="DG289" s="370">
        <f>ROUND(IF(CL289=0,0,HLOOKUP(CL$14,Villagers!$B$1:$V$33,CL289+3,FALSE)),)</f>
        <v>0</v>
      </c>
      <c r="DH289" s="34">
        <f>ROUND(IF(CM289=0,0,HLOOKUP(CM$14,Villagers!$B$1:$V$33,CM289+3,FALSE)),)</f>
        <v>0</v>
      </c>
      <c r="DI289" s="109">
        <f t="shared" si="679"/>
        <v>0</v>
      </c>
      <c r="DJ289" s="50">
        <f t="shared" si="680"/>
        <v>0</v>
      </c>
      <c r="DK289" s="50">
        <f t="shared" si="681"/>
        <v>0</v>
      </c>
      <c r="DL289" s="50">
        <f t="shared" si="682"/>
        <v>0</v>
      </c>
      <c r="DM289" s="50">
        <f t="shared" si="683"/>
        <v>0</v>
      </c>
      <c r="DN289" s="50">
        <f t="shared" si="684"/>
        <v>0</v>
      </c>
      <c r="DO289" s="50">
        <f t="shared" si="685"/>
        <v>0</v>
      </c>
      <c r="DP289" s="50">
        <f t="shared" si="686"/>
        <v>0</v>
      </c>
      <c r="DQ289" s="50">
        <f t="shared" si="663"/>
        <v>0</v>
      </c>
      <c r="DR289" s="50">
        <f t="shared" si="664"/>
        <v>0</v>
      </c>
      <c r="DS289" s="96">
        <f>Miscelaneous!$D$4*Miscelaneous!$D$2^($CI289-1)</f>
        <v>1000</v>
      </c>
      <c r="DT289" s="333">
        <f t="shared" si="643"/>
        <v>1</v>
      </c>
      <c r="DU289" s="81">
        <v>1</v>
      </c>
      <c r="DV289" s="79">
        <f t="shared" si="665"/>
        <v>0</v>
      </c>
      <c r="DW289" s="79">
        <f t="shared" si="666"/>
        <v>0</v>
      </c>
      <c r="DX289" s="79">
        <f t="shared" si="667"/>
        <v>0</v>
      </c>
      <c r="DY289" s="79">
        <v>1</v>
      </c>
      <c r="DZ289" s="79">
        <f t="shared" si="668"/>
        <v>0</v>
      </c>
      <c r="EA289" s="79">
        <f t="shared" si="669"/>
        <v>0</v>
      </c>
      <c r="EB289" s="79">
        <f t="shared" si="670"/>
        <v>0</v>
      </c>
      <c r="EC289" s="79">
        <f t="shared" si="671"/>
        <v>0</v>
      </c>
      <c r="ED289" s="79">
        <v>1</v>
      </c>
      <c r="EE289" s="79">
        <v>1</v>
      </c>
      <c r="EF289" s="79">
        <f t="shared" si="672"/>
        <v>0</v>
      </c>
      <c r="EG289" s="79">
        <v>1</v>
      </c>
      <c r="EH289" s="79">
        <v>1</v>
      </c>
      <c r="EI289" s="79">
        <v>1</v>
      </c>
      <c r="EJ289" s="79">
        <v>1</v>
      </c>
      <c r="EK289" s="79">
        <v>1</v>
      </c>
      <c r="EL289" s="79">
        <v>1</v>
      </c>
      <c r="EM289" s="143">
        <f t="shared" si="673"/>
        <v>0</v>
      </c>
      <c r="EN289" s="143">
        <f t="shared" si="674"/>
        <v>0</v>
      </c>
      <c r="EO289" s="82">
        <f t="shared" si="675"/>
        <v>0</v>
      </c>
    </row>
    <row r="290" spans="1:145" x14ac:dyDescent="0.25">
      <c r="A290">
        <v>276</v>
      </c>
      <c r="B290" s="172" t="e">
        <f t="shared" si="644"/>
        <v>#N/A</v>
      </c>
      <c r="C290" s="121" t="e">
        <f t="shared" ref="C290:E290" si="721">AJ290-SUM(AB290:AB294)</f>
        <v>#N/A</v>
      </c>
      <c r="D290" s="122" t="e">
        <f t="shared" si="721"/>
        <v>#N/A</v>
      </c>
      <c r="E290" s="122" t="e">
        <f t="shared" si="721"/>
        <v>#N/A</v>
      </c>
      <c r="F290" s="176" t="e">
        <f t="shared" si="626"/>
        <v>#N/A</v>
      </c>
      <c r="G290" s="121">
        <f t="shared" si="646"/>
        <v>208</v>
      </c>
      <c r="H290" s="176" t="e">
        <f t="shared" si="647"/>
        <v>#N/A</v>
      </c>
      <c r="I290" s="48">
        <v>1</v>
      </c>
      <c r="J290" s="39"/>
      <c r="K290" s="350">
        <v>1</v>
      </c>
      <c r="L290" s="34" t="e">
        <f t="shared" si="627"/>
        <v>#N/A</v>
      </c>
      <c r="M290" s="38" t="e">
        <f>(HLOOKUP(J290,'Construction Times'!$B$3:$W$34,L290+2,FALSE)*HLOOKUP("hq modifier",'Construction Times'!$W$3:$W$34,BS290+2,FALSE))*(1-$H$9)</f>
        <v>#N/A</v>
      </c>
      <c r="N290" s="426" t="e">
        <f t="shared" si="648"/>
        <v>#N/A</v>
      </c>
      <c r="O290" s="427"/>
      <c r="P290" s="430" t="e">
        <f t="shared" si="649"/>
        <v>#N/A</v>
      </c>
      <c r="Q290" s="431"/>
      <c r="R290" s="103">
        <f t="shared" si="677"/>
        <v>0</v>
      </c>
      <c r="S290" s="104">
        <f t="shared" si="677"/>
        <v>0</v>
      </c>
      <c r="T290" s="104">
        <f t="shared" si="678"/>
        <v>0</v>
      </c>
      <c r="U290" s="104">
        <f t="shared" si="678"/>
        <v>0</v>
      </c>
      <c r="V290" s="104">
        <f t="shared" si="678"/>
        <v>9.9999999999999995E-8</v>
      </c>
      <c r="W290" s="104">
        <f t="shared" si="678"/>
        <v>0</v>
      </c>
      <c r="X290" s="104">
        <f t="shared" si="584"/>
        <v>0</v>
      </c>
      <c r="Y290" s="104">
        <f t="shared" si="584"/>
        <v>9.9999999999999995E-8</v>
      </c>
      <c r="Z290" s="104">
        <f t="shared" si="584"/>
        <v>9.9999999999999995E-8</v>
      </c>
      <c r="AA290" s="105">
        <f t="shared" si="584"/>
        <v>9.9999999999999995E-8</v>
      </c>
      <c r="AB290" s="101" t="e">
        <f>$DT290*HLOOKUP($J290,'Construction Costs (timber)'!$B$1:$V$32,'Construction Planner'!$L290+2,FALSE)</f>
        <v>#N/A</v>
      </c>
      <c r="AC290" s="14" t="e">
        <f>$DT290*HLOOKUP($J290,'Construction Costs (clay)'!$B$1:$V$32,'Construction Planner'!$L290+2,FALSE)</f>
        <v>#N/A</v>
      </c>
      <c r="AD290" s="14" t="e">
        <f>$DT290*HLOOKUP($J290,'Construction Costs (iron)'!$B$1:$V$32,'Construction Planner'!$L290+2,FALSE)</f>
        <v>#N/A</v>
      </c>
      <c r="AE290" s="34" t="e">
        <f t="shared" si="690"/>
        <v>#N/A</v>
      </c>
      <c r="AF290" s="33" t="e">
        <f t="shared" si="628"/>
        <v>#N/A</v>
      </c>
      <c r="AG290" s="14" t="e">
        <f t="shared" si="629"/>
        <v>#N/A</v>
      </c>
      <c r="AH290" s="14" t="e">
        <f t="shared" si="630"/>
        <v>#N/A</v>
      </c>
      <c r="AI290" s="34" t="e">
        <f t="shared" si="691"/>
        <v>#N/A</v>
      </c>
      <c r="AJ290" s="49" t="e">
        <f t="shared" si="651"/>
        <v>#N/A</v>
      </c>
      <c r="AK290" s="49" t="e">
        <f t="shared" si="652"/>
        <v>#N/A</v>
      </c>
      <c r="AL290" s="49" t="e">
        <f t="shared" si="653"/>
        <v>#N/A</v>
      </c>
      <c r="AM290" s="25">
        <f t="shared" si="631"/>
        <v>30</v>
      </c>
      <c r="AN290" s="25">
        <f t="shared" si="632"/>
        <v>30</v>
      </c>
      <c r="AO290" s="25">
        <f t="shared" si="633"/>
        <v>30</v>
      </c>
      <c r="AP290" s="52" t="e">
        <f t="shared" si="654"/>
        <v>#N/A</v>
      </c>
      <c r="AQ290" s="53" t="e">
        <f t="shared" si="654"/>
        <v>#N/A</v>
      </c>
      <c r="AR290" s="54" t="e">
        <f t="shared" si="654"/>
        <v>#N/A</v>
      </c>
      <c r="AS290" s="316">
        <f t="shared" si="692"/>
        <v>0</v>
      </c>
      <c r="AT290" s="106">
        <f>_xlfn.IFNA($M290/VLOOKUP($BT290,'Unit information'!$A$2:$K$29,2,FALSE)*R290,0)*(1+$E$9)</f>
        <v>0</v>
      </c>
      <c r="AU290" s="107">
        <f>_xlfn.IFNA($M290/VLOOKUP($BT290,'Unit information'!$A$2:$K$29,3,FALSE)*S290,0)*(1+$E$9)</f>
        <v>0</v>
      </c>
      <c r="AV290" s="107">
        <f>_xlfn.IFNA($M290/VLOOKUP($BT290,'Unit information'!$A$2:$K$29,4,FALSE)*T290,0)*(1+$E$9)</f>
        <v>0</v>
      </c>
      <c r="AW290" s="107">
        <f>_xlfn.IFNA($M290/VLOOKUP($BT290,'Unit information'!$A$2:$K$29,5,FALSE)*U290,0)*(1+$E$9)</f>
        <v>0</v>
      </c>
      <c r="AX290" s="107">
        <f>_xlfn.IFNA($M290/VLOOKUP($BU290,'Unit information'!$A$2:$K$29,6,FALSE)*V290,0)*(1+$E$9)</f>
        <v>0</v>
      </c>
      <c r="AY290" s="107">
        <f>_xlfn.IFNA($M290/VLOOKUP($BU290,'Unit information'!$A$2:$K$29,7,FALSE)*W290,0)*(1+$E$9)</f>
        <v>0</v>
      </c>
      <c r="AZ290" s="107">
        <f>_xlfn.IFNA($M290/VLOOKUP($BU290,'Unit information'!$A$2:$K$29,8,FALSE)*X290,0)*(1+$E$9)</f>
        <v>0</v>
      </c>
      <c r="BA290" s="107">
        <f>_xlfn.IFNA($M290/VLOOKUP($BU290,'Unit information'!$A$2:$K$29,9,FALSE)*Y290,0)*(1+$E$9)</f>
        <v>0</v>
      </c>
      <c r="BB290" s="107">
        <f>_xlfn.IFNA($M290/VLOOKUP($BV290,'Unit information'!$A$2:$K$29,10,FALSE)*Z290,0)*(1+$E$9)</f>
        <v>0</v>
      </c>
      <c r="BC290" s="108">
        <f>_xlfn.IFNA($M290/VLOOKUP($BV290,'Unit information'!$A$2:$K$29,11,FALSE)*AA290,0)*(1+$E$9)</f>
        <v>0</v>
      </c>
      <c r="BD290" s="106">
        <f t="shared" si="634"/>
        <v>0</v>
      </c>
      <c r="BE290" s="107">
        <f t="shared" si="635"/>
        <v>0</v>
      </c>
      <c r="BF290" s="108">
        <f t="shared" si="636"/>
        <v>0</v>
      </c>
      <c r="BG290" s="25" t="e">
        <f t="shared" si="637"/>
        <v>#N/A</v>
      </c>
      <c r="BH290" s="25" t="e">
        <f t="shared" si="638"/>
        <v>#N/A</v>
      </c>
      <c r="BI290" s="25" t="e">
        <f t="shared" si="639"/>
        <v>#N/A</v>
      </c>
      <c r="BJ290" s="27" t="e">
        <f t="shared" si="640"/>
        <v>#N/A</v>
      </c>
      <c r="BK290" s="18" t="e">
        <f t="shared" si="641"/>
        <v>#N/A</v>
      </c>
      <c r="BL290" s="18" t="e">
        <f t="shared" si="642"/>
        <v>#N/A</v>
      </c>
      <c r="BM290" s="28" t="e">
        <f t="shared" si="693"/>
        <v>#N/A</v>
      </c>
      <c r="BN290" s="33">
        <f>HLOOKUP("maximum population",Miscelaneous!$C$1:$C$33,CH290+3,FALSE)</f>
        <v>240</v>
      </c>
      <c r="BO290" s="14">
        <f t="shared" si="655"/>
        <v>32</v>
      </c>
      <c r="BP290" s="14">
        <f t="shared" si="656"/>
        <v>0</v>
      </c>
      <c r="BQ290" s="14">
        <f t="shared" si="657"/>
        <v>208</v>
      </c>
      <c r="BR290" s="34" t="e">
        <f>HLOOKUP(J290,Villagers!$B$1:$V$33,L290+3,FALSE)-HLOOKUP(J290,Villagers!$B$1:$V$33,L290+2,FALSE)</f>
        <v>#N/A</v>
      </c>
      <c r="BS290" s="49">
        <f t="shared" si="658"/>
        <v>1</v>
      </c>
      <c r="BT290" s="50">
        <f t="shared" si="659"/>
        <v>0</v>
      </c>
      <c r="BU290" s="50">
        <f t="shared" si="660"/>
        <v>0</v>
      </c>
      <c r="BV290" s="50">
        <f t="shared" si="661"/>
        <v>0</v>
      </c>
      <c r="BW290" s="50">
        <f t="shared" si="719"/>
        <v>0</v>
      </c>
      <c r="BX290" s="50">
        <f t="shared" si="719"/>
        <v>0</v>
      </c>
      <c r="BY290" s="50">
        <f t="shared" si="719"/>
        <v>0</v>
      </c>
      <c r="BZ290" s="50">
        <f t="shared" si="707"/>
        <v>0</v>
      </c>
      <c r="CA290" s="50">
        <f t="shared" si="708"/>
        <v>0</v>
      </c>
      <c r="CB290" s="50">
        <f t="shared" si="709"/>
        <v>1</v>
      </c>
      <c r="CC290" s="50">
        <f t="shared" si="710"/>
        <v>0</v>
      </c>
      <c r="CD290" s="50">
        <f t="shared" si="711"/>
        <v>0</v>
      </c>
      <c r="CE290" s="50">
        <f t="shared" si="712"/>
        <v>1</v>
      </c>
      <c r="CF290" s="50">
        <f t="shared" si="713"/>
        <v>1</v>
      </c>
      <c r="CG290" s="50">
        <f t="shared" si="714"/>
        <v>1</v>
      </c>
      <c r="CH290" s="50">
        <f t="shared" si="715"/>
        <v>1</v>
      </c>
      <c r="CI290" s="50">
        <f t="shared" si="716"/>
        <v>1</v>
      </c>
      <c r="CJ290" s="50">
        <f t="shared" si="717"/>
        <v>1</v>
      </c>
      <c r="CK290" s="50">
        <f t="shared" si="717"/>
        <v>0</v>
      </c>
      <c r="CL290" s="50">
        <f t="shared" si="717"/>
        <v>0</v>
      </c>
      <c r="CM290" s="51">
        <f t="shared" si="605"/>
        <v>0</v>
      </c>
      <c r="CN290" s="33">
        <f>ROUND(IF(BS290=0,0,HLOOKUP(BS$14,Villagers!$B$1:$V$33,BS290+3,FALSE)),)</f>
        <v>5</v>
      </c>
      <c r="CO290" s="14">
        <f>ROUND(IF(BT290=0,0,HLOOKUP(BT$14,Villagers!$B$1:$V$33,BT290+3,FALSE)),)</f>
        <v>0</v>
      </c>
      <c r="CP290" s="14">
        <f>ROUND(IF(BU290=0,0,HLOOKUP(BU$14,Villagers!$B$1:$V$33,BU290+3,FALSE)),)</f>
        <v>0</v>
      </c>
      <c r="CQ290" s="14">
        <f>ROUND(IF(BV290=0,0,HLOOKUP(BV$14,Villagers!$B$1:$V$33,BV290+3,FALSE)),)</f>
        <v>0</v>
      </c>
      <c r="CR290" s="14">
        <f>ROUND(IF(BW290=0,0,HLOOKUP(BW$14,Villagers!$B$1:$V$33,BW290+3,FALSE)),)</f>
        <v>0</v>
      </c>
      <c r="CS290" s="14">
        <f>ROUND(IF(BX290=0,0,HLOOKUP(BX$14,Villagers!$B$1:$V$33,BX290+3,FALSE)),)</f>
        <v>0</v>
      </c>
      <c r="CT290" s="14">
        <f>ROUND(IF(BY290=0,0,HLOOKUP(BY$14,Villagers!$B$1:$V$33,BY290+3,FALSE)),)</f>
        <v>0</v>
      </c>
      <c r="CU290" s="14">
        <f>ROUND(IF(BZ290=0,0,HLOOKUP(BZ$14,Villagers!$B$1:$V$33,BZ290+3,FALSE)),)</f>
        <v>0</v>
      </c>
      <c r="CV290" s="14">
        <f>ROUND(IF(CA290=0,0,HLOOKUP(CA$14,Villagers!$B$1:$V$33,CA290+3,FALSE)),)</f>
        <v>0</v>
      </c>
      <c r="CW290" s="14">
        <f>ROUND(IF(CB290=0,0,HLOOKUP(CB$14,Villagers!$B$1:$V$33,CB290+3,FALSE)),)</f>
        <v>0</v>
      </c>
      <c r="CX290" s="14">
        <f>ROUND(IF(CC290=0,0,HLOOKUP(CC$14,Villagers!$B$1:$V$33,CC290+3,FALSE)),)</f>
        <v>0</v>
      </c>
      <c r="CY290" s="14">
        <f>ROUND(IF(CD290=0,0,HLOOKUP(CD$14,Villagers!$B$1:$V$33,CD290+3,FALSE)),)</f>
        <v>0</v>
      </c>
      <c r="CZ290" s="14">
        <f>ROUND(IF(CE290=0,0,HLOOKUP(CE$14,Villagers!$B$1:$V$33,CE290+3,FALSE)),)</f>
        <v>5</v>
      </c>
      <c r="DA290" s="14">
        <f>ROUND(IF(CF290=0,0,HLOOKUP(CF$14,Villagers!$B$1:$V$33,CF290+3,FALSE)),)</f>
        <v>10</v>
      </c>
      <c r="DB290" s="14">
        <f>ROUND(IF(CG290=0,0,HLOOKUP(CG$14,Villagers!$B$1:$V$33,CG290+3,FALSE)),)</f>
        <v>10</v>
      </c>
      <c r="DC290" s="14">
        <f>ROUND(IF(CH290=0,0,HLOOKUP(CH$14,Villagers!$B$1:$V$33,CH290+3,FALSE)),)</f>
        <v>0</v>
      </c>
      <c r="DD290" s="14">
        <f>ROUND(IF(CI290=0,0,HLOOKUP(CI$14,Villagers!$B$1:$V$33,CI290+3,FALSE)),)</f>
        <v>0</v>
      </c>
      <c r="DE290" s="14">
        <f>ROUND(IF(CJ290=0,0,HLOOKUP(CJ$14,Villagers!$B$1:$V$33,CJ290+3,FALSE)),)</f>
        <v>2</v>
      </c>
      <c r="DF290" s="370">
        <f>ROUND(IF(CK290=0,0,HLOOKUP(CK$14,Villagers!$B$1:$V$33,CK290+3,FALSE)),)</f>
        <v>0</v>
      </c>
      <c r="DG290" s="370">
        <f>ROUND(IF(CL290=0,0,HLOOKUP(CL$14,Villagers!$B$1:$V$33,CL290+3,FALSE)),)</f>
        <v>0</v>
      </c>
      <c r="DH290" s="34">
        <f>ROUND(IF(CM290=0,0,HLOOKUP(CM$14,Villagers!$B$1:$V$33,CM290+3,FALSE)),)</f>
        <v>0</v>
      </c>
      <c r="DI290" s="109">
        <f t="shared" si="679"/>
        <v>0</v>
      </c>
      <c r="DJ290" s="50">
        <f t="shared" si="680"/>
        <v>0</v>
      </c>
      <c r="DK290" s="50">
        <f t="shared" si="681"/>
        <v>0</v>
      </c>
      <c r="DL290" s="50">
        <f t="shared" si="682"/>
        <v>0</v>
      </c>
      <c r="DM290" s="50">
        <f t="shared" si="683"/>
        <v>0</v>
      </c>
      <c r="DN290" s="50">
        <f t="shared" si="684"/>
        <v>0</v>
      </c>
      <c r="DO290" s="50">
        <f t="shared" si="685"/>
        <v>0</v>
      </c>
      <c r="DP290" s="50">
        <f t="shared" si="686"/>
        <v>0</v>
      </c>
      <c r="DQ290" s="50">
        <f t="shared" si="663"/>
        <v>0</v>
      </c>
      <c r="DR290" s="50">
        <f t="shared" si="664"/>
        <v>0</v>
      </c>
      <c r="DS290" s="96">
        <f>Miscelaneous!$D$4*Miscelaneous!$D$2^($CI290-1)</f>
        <v>1000</v>
      </c>
      <c r="DT290" s="333">
        <f t="shared" si="643"/>
        <v>1</v>
      </c>
      <c r="DU290" s="81">
        <v>1</v>
      </c>
      <c r="DV290" s="79">
        <f t="shared" si="665"/>
        <v>0</v>
      </c>
      <c r="DW290" s="79">
        <f t="shared" si="666"/>
        <v>0</v>
      </c>
      <c r="DX290" s="79">
        <f t="shared" si="667"/>
        <v>0</v>
      </c>
      <c r="DY290" s="79">
        <v>1</v>
      </c>
      <c r="DZ290" s="79">
        <f t="shared" si="668"/>
        <v>0</v>
      </c>
      <c r="EA290" s="79">
        <f t="shared" si="669"/>
        <v>0</v>
      </c>
      <c r="EB290" s="79">
        <f t="shared" si="670"/>
        <v>0</v>
      </c>
      <c r="EC290" s="79">
        <f t="shared" si="671"/>
        <v>0</v>
      </c>
      <c r="ED290" s="79">
        <v>1</v>
      </c>
      <c r="EE290" s="79">
        <v>1</v>
      </c>
      <c r="EF290" s="79">
        <f t="shared" si="672"/>
        <v>0</v>
      </c>
      <c r="EG290" s="79">
        <v>1</v>
      </c>
      <c r="EH290" s="79">
        <v>1</v>
      </c>
      <c r="EI290" s="79">
        <v>1</v>
      </c>
      <c r="EJ290" s="79">
        <v>1</v>
      </c>
      <c r="EK290" s="79">
        <v>1</v>
      </c>
      <c r="EL290" s="79">
        <v>1</v>
      </c>
      <c r="EM290" s="143">
        <f t="shared" si="673"/>
        <v>0</v>
      </c>
      <c r="EN290" s="143">
        <f t="shared" si="674"/>
        <v>0</v>
      </c>
      <c r="EO290" s="82">
        <f t="shared" si="675"/>
        <v>0</v>
      </c>
    </row>
    <row r="291" spans="1:145" x14ac:dyDescent="0.25">
      <c r="A291">
        <v>277</v>
      </c>
      <c r="B291" s="172" t="e">
        <f t="shared" si="644"/>
        <v>#N/A</v>
      </c>
      <c r="C291" s="121" t="e">
        <f t="shared" ref="C291:E291" si="722">AJ291-SUM(AB291:AB295)</f>
        <v>#N/A</v>
      </c>
      <c r="D291" s="122" t="e">
        <f t="shared" si="722"/>
        <v>#N/A</v>
      </c>
      <c r="E291" s="122" t="e">
        <f t="shared" si="722"/>
        <v>#N/A</v>
      </c>
      <c r="F291" s="176" t="e">
        <f t="shared" si="626"/>
        <v>#N/A</v>
      </c>
      <c r="G291" s="121">
        <f t="shared" si="646"/>
        <v>208</v>
      </c>
      <c r="H291" s="176" t="e">
        <f t="shared" si="647"/>
        <v>#N/A</v>
      </c>
      <c r="I291" s="48">
        <v>1</v>
      </c>
      <c r="J291" s="39"/>
      <c r="K291" s="350">
        <v>1</v>
      </c>
      <c r="L291" s="34" t="e">
        <f t="shared" si="627"/>
        <v>#N/A</v>
      </c>
      <c r="M291" s="38" t="e">
        <f>(HLOOKUP(J291,'Construction Times'!$B$3:$W$34,L291+2,FALSE)*HLOOKUP("hq modifier",'Construction Times'!$W$3:$W$34,BS291+2,FALSE))*(1-$H$9)</f>
        <v>#N/A</v>
      </c>
      <c r="N291" s="426" t="e">
        <f t="shared" si="648"/>
        <v>#N/A</v>
      </c>
      <c r="O291" s="427"/>
      <c r="P291" s="430" t="e">
        <f t="shared" si="649"/>
        <v>#N/A</v>
      </c>
      <c r="Q291" s="431"/>
      <c r="R291" s="103">
        <f t="shared" si="677"/>
        <v>0</v>
      </c>
      <c r="S291" s="104">
        <f t="shared" si="677"/>
        <v>0</v>
      </c>
      <c r="T291" s="104">
        <f t="shared" si="678"/>
        <v>0</v>
      </c>
      <c r="U291" s="104">
        <f t="shared" si="678"/>
        <v>0</v>
      </c>
      <c r="V291" s="104">
        <f t="shared" si="678"/>
        <v>9.9999999999999995E-8</v>
      </c>
      <c r="W291" s="104">
        <f t="shared" si="678"/>
        <v>0</v>
      </c>
      <c r="X291" s="104">
        <f t="shared" si="584"/>
        <v>0</v>
      </c>
      <c r="Y291" s="104">
        <f t="shared" si="584"/>
        <v>9.9999999999999995E-8</v>
      </c>
      <c r="Z291" s="104">
        <f t="shared" si="584"/>
        <v>9.9999999999999995E-8</v>
      </c>
      <c r="AA291" s="105">
        <f t="shared" si="584"/>
        <v>9.9999999999999995E-8</v>
      </c>
      <c r="AB291" s="101" t="e">
        <f>$DT291*HLOOKUP($J291,'Construction Costs (timber)'!$B$1:$V$32,'Construction Planner'!$L291+2,FALSE)</f>
        <v>#N/A</v>
      </c>
      <c r="AC291" s="14" t="e">
        <f>$DT291*HLOOKUP($J291,'Construction Costs (clay)'!$B$1:$V$32,'Construction Planner'!$L291+2,FALSE)</f>
        <v>#N/A</v>
      </c>
      <c r="AD291" s="14" t="e">
        <f>$DT291*HLOOKUP($J291,'Construction Costs (iron)'!$B$1:$V$32,'Construction Planner'!$L291+2,FALSE)</f>
        <v>#N/A</v>
      </c>
      <c r="AE291" s="34" t="e">
        <f t="shared" si="690"/>
        <v>#N/A</v>
      </c>
      <c r="AF291" s="33" t="e">
        <f t="shared" si="628"/>
        <v>#N/A</v>
      </c>
      <c r="AG291" s="14" t="e">
        <f t="shared" si="629"/>
        <v>#N/A</v>
      </c>
      <c r="AH291" s="14" t="e">
        <f t="shared" si="630"/>
        <v>#N/A</v>
      </c>
      <c r="AI291" s="34" t="e">
        <f t="shared" si="691"/>
        <v>#N/A</v>
      </c>
      <c r="AJ291" s="49" t="e">
        <f t="shared" si="651"/>
        <v>#N/A</v>
      </c>
      <c r="AK291" s="49" t="e">
        <f t="shared" si="652"/>
        <v>#N/A</v>
      </c>
      <c r="AL291" s="49" t="e">
        <f t="shared" si="653"/>
        <v>#N/A</v>
      </c>
      <c r="AM291" s="25">
        <f t="shared" si="631"/>
        <v>30</v>
      </c>
      <c r="AN291" s="25">
        <f t="shared" si="632"/>
        <v>30</v>
      </c>
      <c r="AO291" s="25">
        <f t="shared" si="633"/>
        <v>30</v>
      </c>
      <c r="AP291" s="52" t="e">
        <f t="shared" si="654"/>
        <v>#N/A</v>
      </c>
      <c r="AQ291" s="53" t="e">
        <f t="shared" si="654"/>
        <v>#N/A</v>
      </c>
      <c r="AR291" s="54" t="e">
        <f t="shared" si="654"/>
        <v>#N/A</v>
      </c>
      <c r="AS291" s="316">
        <f t="shared" si="692"/>
        <v>0</v>
      </c>
      <c r="AT291" s="106">
        <f>_xlfn.IFNA($M291/VLOOKUP($BT291,'Unit information'!$A$2:$K$29,2,FALSE)*R291,0)*(1+$E$9)</f>
        <v>0</v>
      </c>
      <c r="AU291" s="107">
        <f>_xlfn.IFNA($M291/VLOOKUP($BT291,'Unit information'!$A$2:$K$29,3,FALSE)*S291,0)*(1+$E$9)</f>
        <v>0</v>
      </c>
      <c r="AV291" s="107">
        <f>_xlfn.IFNA($M291/VLOOKUP($BT291,'Unit information'!$A$2:$K$29,4,FALSE)*T291,0)*(1+$E$9)</f>
        <v>0</v>
      </c>
      <c r="AW291" s="107">
        <f>_xlfn.IFNA($M291/VLOOKUP($BT291,'Unit information'!$A$2:$K$29,5,FALSE)*U291,0)*(1+$E$9)</f>
        <v>0</v>
      </c>
      <c r="AX291" s="107">
        <f>_xlfn.IFNA($M291/VLOOKUP($BU291,'Unit information'!$A$2:$K$29,6,FALSE)*V291,0)*(1+$E$9)</f>
        <v>0</v>
      </c>
      <c r="AY291" s="107">
        <f>_xlfn.IFNA($M291/VLOOKUP($BU291,'Unit information'!$A$2:$K$29,7,FALSE)*W291,0)*(1+$E$9)</f>
        <v>0</v>
      </c>
      <c r="AZ291" s="107">
        <f>_xlfn.IFNA($M291/VLOOKUP($BU291,'Unit information'!$A$2:$K$29,8,FALSE)*X291,0)*(1+$E$9)</f>
        <v>0</v>
      </c>
      <c r="BA291" s="107">
        <f>_xlfn.IFNA($M291/VLOOKUP($BU291,'Unit information'!$A$2:$K$29,9,FALSE)*Y291,0)*(1+$E$9)</f>
        <v>0</v>
      </c>
      <c r="BB291" s="107">
        <f>_xlfn.IFNA($M291/VLOOKUP($BV291,'Unit information'!$A$2:$K$29,10,FALSE)*Z291,0)*(1+$E$9)</f>
        <v>0</v>
      </c>
      <c r="BC291" s="108">
        <f>_xlfn.IFNA($M291/VLOOKUP($BV291,'Unit information'!$A$2:$K$29,11,FALSE)*AA291,0)*(1+$E$9)</f>
        <v>0</v>
      </c>
      <c r="BD291" s="106">
        <f t="shared" si="634"/>
        <v>0</v>
      </c>
      <c r="BE291" s="107">
        <f t="shared" si="635"/>
        <v>0</v>
      </c>
      <c r="BF291" s="108">
        <f t="shared" si="636"/>
        <v>0</v>
      </c>
      <c r="BG291" s="25" t="e">
        <f t="shared" si="637"/>
        <v>#N/A</v>
      </c>
      <c r="BH291" s="25" t="e">
        <f t="shared" si="638"/>
        <v>#N/A</v>
      </c>
      <c r="BI291" s="25" t="e">
        <f t="shared" si="639"/>
        <v>#N/A</v>
      </c>
      <c r="BJ291" s="27" t="e">
        <f t="shared" si="640"/>
        <v>#N/A</v>
      </c>
      <c r="BK291" s="18" t="e">
        <f t="shared" si="641"/>
        <v>#N/A</v>
      </c>
      <c r="BL291" s="18" t="e">
        <f t="shared" si="642"/>
        <v>#N/A</v>
      </c>
      <c r="BM291" s="28" t="e">
        <f t="shared" si="693"/>
        <v>#N/A</v>
      </c>
      <c r="BN291" s="33">
        <f>HLOOKUP("maximum population",Miscelaneous!$C$1:$C$33,CH291+3,FALSE)</f>
        <v>240</v>
      </c>
      <c r="BO291" s="14">
        <f t="shared" si="655"/>
        <v>32</v>
      </c>
      <c r="BP291" s="14">
        <f t="shared" si="656"/>
        <v>0</v>
      </c>
      <c r="BQ291" s="14">
        <f t="shared" si="657"/>
        <v>208</v>
      </c>
      <c r="BR291" s="34" t="e">
        <f>HLOOKUP(J291,Villagers!$B$1:$V$33,L291+3,FALSE)-HLOOKUP(J291,Villagers!$B$1:$V$33,L291+2,FALSE)</f>
        <v>#N/A</v>
      </c>
      <c r="BS291" s="49">
        <f t="shared" si="658"/>
        <v>1</v>
      </c>
      <c r="BT291" s="50">
        <f t="shared" si="659"/>
        <v>0</v>
      </c>
      <c r="BU291" s="50">
        <f t="shared" si="660"/>
        <v>0</v>
      </c>
      <c r="BV291" s="50">
        <f t="shared" si="661"/>
        <v>0</v>
      </c>
      <c r="BW291" s="50">
        <f t="shared" si="719"/>
        <v>0</v>
      </c>
      <c r="BX291" s="50">
        <f t="shared" si="719"/>
        <v>0</v>
      </c>
      <c r="BY291" s="50">
        <f t="shared" si="719"/>
        <v>0</v>
      </c>
      <c r="BZ291" s="50">
        <f t="shared" si="707"/>
        <v>0</v>
      </c>
      <c r="CA291" s="50">
        <f t="shared" si="708"/>
        <v>0</v>
      </c>
      <c r="CB291" s="50">
        <f t="shared" si="709"/>
        <v>1</v>
      </c>
      <c r="CC291" s="50">
        <f t="shared" si="710"/>
        <v>0</v>
      </c>
      <c r="CD291" s="50">
        <f t="shared" si="711"/>
        <v>0</v>
      </c>
      <c r="CE291" s="50">
        <f t="shared" si="712"/>
        <v>1</v>
      </c>
      <c r="CF291" s="50">
        <f t="shared" si="713"/>
        <v>1</v>
      </c>
      <c r="CG291" s="50">
        <f t="shared" si="714"/>
        <v>1</v>
      </c>
      <c r="CH291" s="50">
        <f t="shared" si="715"/>
        <v>1</v>
      </c>
      <c r="CI291" s="50">
        <f t="shared" si="716"/>
        <v>1</v>
      </c>
      <c r="CJ291" s="50">
        <f t="shared" si="717"/>
        <v>1</v>
      </c>
      <c r="CK291" s="50">
        <f t="shared" si="717"/>
        <v>0</v>
      </c>
      <c r="CL291" s="50">
        <f t="shared" si="717"/>
        <v>0</v>
      </c>
      <c r="CM291" s="51">
        <f t="shared" si="605"/>
        <v>0</v>
      </c>
      <c r="CN291" s="33">
        <f>ROUND(IF(BS291=0,0,HLOOKUP(BS$14,Villagers!$B$1:$V$33,BS291+3,FALSE)),)</f>
        <v>5</v>
      </c>
      <c r="CO291" s="14">
        <f>ROUND(IF(BT291=0,0,HLOOKUP(BT$14,Villagers!$B$1:$V$33,BT291+3,FALSE)),)</f>
        <v>0</v>
      </c>
      <c r="CP291" s="14">
        <f>ROUND(IF(BU291=0,0,HLOOKUP(BU$14,Villagers!$B$1:$V$33,BU291+3,FALSE)),)</f>
        <v>0</v>
      </c>
      <c r="CQ291" s="14">
        <f>ROUND(IF(BV291=0,0,HLOOKUP(BV$14,Villagers!$B$1:$V$33,BV291+3,FALSE)),)</f>
        <v>0</v>
      </c>
      <c r="CR291" s="14">
        <f>ROUND(IF(BW291=0,0,HLOOKUP(BW$14,Villagers!$B$1:$V$33,BW291+3,FALSE)),)</f>
        <v>0</v>
      </c>
      <c r="CS291" s="14">
        <f>ROUND(IF(BX291=0,0,HLOOKUP(BX$14,Villagers!$B$1:$V$33,BX291+3,FALSE)),)</f>
        <v>0</v>
      </c>
      <c r="CT291" s="14">
        <f>ROUND(IF(BY291=0,0,HLOOKUP(BY$14,Villagers!$B$1:$V$33,BY291+3,FALSE)),)</f>
        <v>0</v>
      </c>
      <c r="CU291" s="14">
        <f>ROUND(IF(BZ291=0,0,HLOOKUP(BZ$14,Villagers!$B$1:$V$33,BZ291+3,FALSE)),)</f>
        <v>0</v>
      </c>
      <c r="CV291" s="14">
        <f>ROUND(IF(CA291=0,0,HLOOKUP(CA$14,Villagers!$B$1:$V$33,CA291+3,FALSE)),)</f>
        <v>0</v>
      </c>
      <c r="CW291" s="14">
        <f>ROUND(IF(CB291=0,0,HLOOKUP(CB$14,Villagers!$B$1:$V$33,CB291+3,FALSE)),)</f>
        <v>0</v>
      </c>
      <c r="CX291" s="14">
        <f>ROUND(IF(CC291=0,0,HLOOKUP(CC$14,Villagers!$B$1:$V$33,CC291+3,FALSE)),)</f>
        <v>0</v>
      </c>
      <c r="CY291" s="14">
        <f>ROUND(IF(CD291=0,0,HLOOKUP(CD$14,Villagers!$B$1:$V$33,CD291+3,FALSE)),)</f>
        <v>0</v>
      </c>
      <c r="CZ291" s="14">
        <f>ROUND(IF(CE291=0,0,HLOOKUP(CE$14,Villagers!$B$1:$V$33,CE291+3,FALSE)),)</f>
        <v>5</v>
      </c>
      <c r="DA291" s="14">
        <f>ROUND(IF(CF291=0,0,HLOOKUP(CF$14,Villagers!$B$1:$V$33,CF291+3,FALSE)),)</f>
        <v>10</v>
      </c>
      <c r="DB291" s="14">
        <f>ROUND(IF(CG291=0,0,HLOOKUP(CG$14,Villagers!$B$1:$V$33,CG291+3,FALSE)),)</f>
        <v>10</v>
      </c>
      <c r="DC291" s="14">
        <f>ROUND(IF(CH291=0,0,HLOOKUP(CH$14,Villagers!$B$1:$V$33,CH291+3,FALSE)),)</f>
        <v>0</v>
      </c>
      <c r="DD291" s="14">
        <f>ROUND(IF(CI291=0,0,HLOOKUP(CI$14,Villagers!$B$1:$V$33,CI291+3,FALSE)),)</f>
        <v>0</v>
      </c>
      <c r="DE291" s="14">
        <f>ROUND(IF(CJ291=0,0,HLOOKUP(CJ$14,Villagers!$B$1:$V$33,CJ291+3,FALSE)),)</f>
        <v>2</v>
      </c>
      <c r="DF291" s="370">
        <f>ROUND(IF(CK291=0,0,HLOOKUP(CK$14,Villagers!$B$1:$V$33,CK291+3,FALSE)),)</f>
        <v>0</v>
      </c>
      <c r="DG291" s="370">
        <f>ROUND(IF(CL291=0,0,HLOOKUP(CL$14,Villagers!$B$1:$V$33,CL291+3,FALSE)),)</f>
        <v>0</v>
      </c>
      <c r="DH291" s="34">
        <f>ROUND(IF(CM291=0,0,HLOOKUP(CM$14,Villagers!$B$1:$V$33,CM291+3,FALSE)),)</f>
        <v>0</v>
      </c>
      <c r="DI291" s="109">
        <f t="shared" si="679"/>
        <v>0</v>
      </c>
      <c r="DJ291" s="50">
        <f t="shared" si="680"/>
        <v>0</v>
      </c>
      <c r="DK291" s="50">
        <f t="shared" si="681"/>
        <v>0</v>
      </c>
      <c r="DL291" s="50">
        <f t="shared" si="682"/>
        <v>0</v>
      </c>
      <c r="DM291" s="50">
        <f t="shared" si="683"/>
        <v>0</v>
      </c>
      <c r="DN291" s="50">
        <f t="shared" si="684"/>
        <v>0</v>
      </c>
      <c r="DO291" s="50">
        <f t="shared" si="685"/>
        <v>0</v>
      </c>
      <c r="DP291" s="50">
        <f t="shared" si="686"/>
        <v>0</v>
      </c>
      <c r="DQ291" s="50">
        <f t="shared" si="663"/>
        <v>0</v>
      </c>
      <c r="DR291" s="50">
        <f t="shared" si="664"/>
        <v>0</v>
      </c>
      <c r="DS291" s="96">
        <f>Miscelaneous!$D$4*Miscelaneous!$D$2^($CI291-1)</f>
        <v>1000</v>
      </c>
      <c r="DT291" s="333">
        <f t="shared" si="643"/>
        <v>1</v>
      </c>
      <c r="DU291" s="81">
        <v>1</v>
      </c>
      <c r="DV291" s="79">
        <f t="shared" si="665"/>
        <v>0</v>
      </c>
      <c r="DW291" s="79">
        <f t="shared" si="666"/>
        <v>0</v>
      </c>
      <c r="DX291" s="79">
        <f t="shared" si="667"/>
        <v>0</v>
      </c>
      <c r="DY291" s="79">
        <v>1</v>
      </c>
      <c r="DZ291" s="79">
        <f t="shared" si="668"/>
        <v>0</v>
      </c>
      <c r="EA291" s="79">
        <f t="shared" si="669"/>
        <v>0</v>
      </c>
      <c r="EB291" s="79">
        <f t="shared" si="670"/>
        <v>0</v>
      </c>
      <c r="EC291" s="79">
        <f t="shared" si="671"/>
        <v>0</v>
      </c>
      <c r="ED291" s="79">
        <v>1</v>
      </c>
      <c r="EE291" s="79">
        <v>1</v>
      </c>
      <c r="EF291" s="79">
        <f t="shared" si="672"/>
        <v>0</v>
      </c>
      <c r="EG291" s="79">
        <v>1</v>
      </c>
      <c r="EH291" s="79">
        <v>1</v>
      </c>
      <c r="EI291" s="79">
        <v>1</v>
      </c>
      <c r="EJ291" s="79">
        <v>1</v>
      </c>
      <c r="EK291" s="79">
        <v>1</v>
      </c>
      <c r="EL291" s="79">
        <v>1</v>
      </c>
      <c r="EM291" s="143">
        <f t="shared" si="673"/>
        <v>0</v>
      </c>
      <c r="EN291" s="143">
        <f t="shared" si="674"/>
        <v>0</v>
      </c>
      <c r="EO291" s="82">
        <f t="shared" si="675"/>
        <v>0</v>
      </c>
    </row>
    <row r="292" spans="1:145" x14ac:dyDescent="0.25">
      <c r="A292">
        <v>278</v>
      </c>
      <c r="B292" s="172" t="e">
        <f t="shared" si="644"/>
        <v>#N/A</v>
      </c>
      <c r="C292" s="121" t="e">
        <f t="shared" ref="C292:E292" si="723">AJ292-SUM(AB292:AB296)</f>
        <v>#N/A</v>
      </c>
      <c r="D292" s="122" t="e">
        <f t="shared" si="723"/>
        <v>#N/A</v>
      </c>
      <c r="E292" s="122" t="e">
        <f t="shared" si="723"/>
        <v>#N/A</v>
      </c>
      <c r="F292" s="176" t="e">
        <f t="shared" si="626"/>
        <v>#N/A</v>
      </c>
      <c r="G292" s="121">
        <f t="shared" si="646"/>
        <v>208</v>
      </c>
      <c r="H292" s="176" t="e">
        <f t="shared" si="647"/>
        <v>#N/A</v>
      </c>
      <c r="I292" s="48">
        <v>1</v>
      </c>
      <c r="J292" s="39"/>
      <c r="K292" s="350">
        <v>1</v>
      </c>
      <c r="L292" s="34" t="e">
        <f t="shared" si="627"/>
        <v>#N/A</v>
      </c>
      <c r="M292" s="38" t="e">
        <f>(HLOOKUP(J292,'Construction Times'!$B$3:$W$34,L292+2,FALSE)*HLOOKUP("hq modifier",'Construction Times'!$W$3:$W$34,BS292+2,FALSE))*(1-$H$9)</f>
        <v>#N/A</v>
      </c>
      <c r="N292" s="426" t="e">
        <f t="shared" si="648"/>
        <v>#N/A</v>
      </c>
      <c r="O292" s="427"/>
      <c r="P292" s="430" t="e">
        <f t="shared" si="649"/>
        <v>#N/A</v>
      </c>
      <c r="Q292" s="431"/>
      <c r="R292" s="103">
        <f t="shared" si="677"/>
        <v>0</v>
      </c>
      <c r="S292" s="104">
        <f t="shared" si="677"/>
        <v>0</v>
      </c>
      <c r="T292" s="104">
        <f t="shared" si="678"/>
        <v>0</v>
      </c>
      <c r="U292" s="104">
        <f t="shared" si="678"/>
        <v>0</v>
      </c>
      <c r="V292" s="104">
        <f t="shared" si="678"/>
        <v>9.9999999999999995E-8</v>
      </c>
      <c r="W292" s="104">
        <f t="shared" si="678"/>
        <v>0</v>
      </c>
      <c r="X292" s="104">
        <f t="shared" si="584"/>
        <v>0</v>
      </c>
      <c r="Y292" s="104">
        <f t="shared" si="584"/>
        <v>9.9999999999999995E-8</v>
      </c>
      <c r="Z292" s="104">
        <f t="shared" si="584"/>
        <v>9.9999999999999995E-8</v>
      </c>
      <c r="AA292" s="105">
        <f t="shared" si="584"/>
        <v>9.9999999999999995E-8</v>
      </c>
      <c r="AB292" s="101" t="e">
        <f>$DT292*HLOOKUP($J292,'Construction Costs (timber)'!$B$1:$V$32,'Construction Planner'!$L292+2,FALSE)</f>
        <v>#N/A</v>
      </c>
      <c r="AC292" s="14" t="e">
        <f>$DT292*HLOOKUP($J292,'Construction Costs (clay)'!$B$1:$V$32,'Construction Planner'!$L292+2,FALSE)</f>
        <v>#N/A</v>
      </c>
      <c r="AD292" s="14" t="e">
        <f>$DT292*HLOOKUP($J292,'Construction Costs (iron)'!$B$1:$V$32,'Construction Planner'!$L292+2,FALSE)</f>
        <v>#N/A</v>
      </c>
      <c r="AE292" s="34" t="e">
        <f t="shared" si="690"/>
        <v>#N/A</v>
      </c>
      <c r="AF292" s="33" t="e">
        <f t="shared" si="628"/>
        <v>#N/A</v>
      </c>
      <c r="AG292" s="14" t="e">
        <f t="shared" si="629"/>
        <v>#N/A</v>
      </c>
      <c r="AH292" s="14" t="e">
        <f t="shared" si="630"/>
        <v>#N/A</v>
      </c>
      <c r="AI292" s="34" t="e">
        <f t="shared" si="691"/>
        <v>#N/A</v>
      </c>
      <c r="AJ292" s="49" t="e">
        <f t="shared" si="651"/>
        <v>#N/A</v>
      </c>
      <c r="AK292" s="49" t="e">
        <f t="shared" si="652"/>
        <v>#N/A</v>
      </c>
      <c r="AL292" s="49" t="e">
        <f t="shared" si="653"/>
        <v>#N/A</v>
      </c>
      <c r="AM292" s="25">
        <f t="shared" si="631"/>
        <v>30</v>
      </c>
      <c r="AN292" s="25">
        <f t="shared" si="632"/>
        <v>30</v>
      </c>
      <c r="AO292" s="25">
        <f t="shared" si="633"/>
        <v>30</v>
      </c>
      <c r="AP292" s="52" t="e">
        <f t="shared" si="654"/>
        <v>#N/A</v>
      </c>
      <c r="AQ292" s="53" t="e">
        <f t="shared" si="654"/>
        <v>#N/A</v>
      </c>
      <c r="AR292" s="54" t="e">
        <f t="shared" si="654"/>
        <v>#N/A</v>
      </c>
      <c r="AS292" s="316">
        <f t="shared" ref="AS292:AS307" si="724">AS291</f>
        <v>0</v>
      </c>
      <c r="AT292" s="106">
        <f>_xlfn.IFNA($M292/VLOOKUP($BT292,'Unit information'!$A$2:$K$29,2,FALSE)*R292,0)*(1+$E$9)</f>
        <v>0</v>
      </c>
      <c r="AU292" s="107">
        <f>_xlfn.IFNA($M292/VLOOKUP($BT292,'Unit information'!$A$2:$K$29,3,FALSE)*S292,0)*(1+$E$9)</f>
        <v>0</v>
      </c>
      <c r="AV292" s="107">
        <f>_xlfn.IFNA($M292/VLOOKUP($BT292,'Unit information'!$A$2:$K$29,4,FALSE)*T292,0)*(1+$E$9)</f>
        <v>0</v>
      </c>
      <c r="AW292" s="107">
        <f>_xlfn.IFNA($M292/VLOOKUP($BT292,'Unit information'!$A$2:$K$29,5,FALSE)*U292,0)*(1+$E$9)</f>
        <v>0</v>
      </c>
      <c r="AX292" s="107">
        <f>_xlfn.IFNA($M292/VLOOKUP($BU292,'Unit information'!$A$2:$K$29,6,FALSE)*V292,0)*(1+$E$9)</f>
        <v>0</v>
      </c>
      <c r="AY292" s="107">
        <f>_xlfn.IFNA($M292/VLOOKUP($BU292,'Unit information'!$A$2:$K$29,7,FALSE)*W292,0)*(1+$E$9)</f>
        <v>0</v>
      </c>
      <c r="AZ292" s="107">
        <f>_xlfn.IFNA($M292/VLOOKUP($BU292,'Unit information'!$A$2:$K$29,8,FALSE)*X292,0)*(1+$E$9)</f>
        <v>0</v>
      </c>
      <c r="BA292" s="107">
        <f>_xlfn.IFNA($M292/VLOOKUP($BU292,'Unit information'!$A$2:$K$29,9,FALSE)*Y292,0)*(1+$E$9)</f>
        <v>0</v>
      </c>
      <c r="BB292" s="107">
        <f>_xlfn.IFNA($M292/VLOOKUP($BV292,'Unit information'!$A$2:$K$29,10,FALSE)*Z292,0)*(1+$E$9)</f>
        <v>0</v>
      </c>
      <c r="BC292" s="108">
        <f>_xlfn.IFNA($M292/VLOOKUP($BV292,'Unit information'!$A$2:$K$29,11,FALSE)*AA292,0)*(1+$E$9)</f>
        <v>0</v>
      </c>
      <c r="BD292" s="106">
        <f t="shared" si="634"/>
        <v>0</v>
      </c>
      <c r="BE292" s="107">
        <f t="shared" si="635"/>
        <v>0</v>
      </c>
      <c r="BF292" s="108">
        <f t="shared" si="636"/>
        <v>0</v>
      </c>
      <c r="BG292" s="25" t="e">
        <f t="shared" si="637"/>
        <v>#N/A</v>
      </c>
      <c r="BH292" s="25" t="e">
        <f t="shared" si="638"/>
        <v>#N/A</v>
      </c>
      <c r="BI292" s="25" t="e">
        <f t="shared" si="639"/>
        <v>#N/A</v>
      </c>
      <c r="BJ292" s="27" t="e">
        <f t="shared" si="640"/>
        <v>#N/A</v>
      </c>
      <c r="BK292" s="18" t="e">
        <f t="shared" si="641"/>
        <v>#N/A</v>
      </c>
      <c r="BL292" s="18" t="e">
        <f t="shared" si="642"/>
        <v>#N/A</v>
      </c>
      <c r="BM292" s="28" t="e">
        <f t="shared" si="693"/>
        <v>#N/A</v>
      </c>
      <c r="BN292" s="33">
        <f>HLOOKUP("maximum population",Miscelaneous!$C$1:$C$33,CH292+3,FALSE)</f>
        <v>240</v>
      </c>
      <c r="BO292" s="14">
        <f t="shared" si="655"/>
        <v>32</v>
      </c>
      <c r="BP292" s="14">
        <f t="shared" si="656"/>
        <v>0</v>
      </c>
      <c r="BQ292" s="14">
        <f t="shared" si="657"/>
        <v>208</v>
      </c>
      <c r="BR292" s="34" t="e">
        <f>HLOOKUP(J292,Villagers!$B$1:$V$33,L292+3,FALSE)-HLOOKUP(J292,Villagers!$B$1:$V$33,L292+2,FALSE)</f>
        <v>#N/A</v>
      </c>
      <c r="BS292" s="49">
        <f t="shared" si="658"/>
        <v>1</v>
      </c>
      <c r="BT292" s="50">
        <f t="shared" si="659"/>
        <v>0</v>
      </c>
      <c r="BU292" s="50">
        <f t="shared" si="660"/>
        <v>0</v>
      </c>
      <c r="BV292" s="50">
        <f t="shared" si="661"/>
        <v>0</v>
      </c>
      <c r="BW292" s="50">
        <f t="shared" si="719"/>
        <v>0</v>
      </c>
      <c r="BX292" s="50">
        <f t="shared" si="719"/>
        <v>0</v>
      </c>
      <c r="BY292" s="50">
        <f t="shared" si="719"/>
        <v>0</v>
      </c>
      <c r="BZ292" s="50">
        <f t="shared" si="707"/>
        <v>0</v>
      </c>
      <c r="CA292" s="50">
        <f t="shared" si="708"/>
        <v>0</v>
      </c>
      <c r="CB292" s="50">
        <f t="shared" si="709"/>
        <v>1</v>
      </c>
      <c r="CC292" s="50">
        <f t="shared" si="710"/>
        <v>0</v>
      </c>
      <c r="CD292" s="50">
        <f t="shared" si="711"/>
        <v>0</v>
      </c>
      <c r="CE292" s="50">
        <f t="shared" si="712"/>
        <v>1</v>
      </c>
      <c r="CF292" s="50">
        <f t="shared" si="713"/>
        <v>1</v>
      </c>
      <c r="CG292" s="50">
        <f t="shared" si="714"/>
        <v>1</v>
      </c>
      <c r="CH292" s="50">
        <f t="shared" si="715"/>
        <v>1</v>
      </c>
      <c r="CI292" s="50">
        <f t="shared" si="716"/>
        <v>1</v>
      </c>
      <c r="CJ292" s="50">
        <f t="shared" si="717"/>
        <v>1</v>
      </c>
      <c r="CK292" s="50">
        <f t="shared" si="717"/>
        <v>0</v>
      </c>
      <c r="CL292" s="50">
        <f t="shared" si="717"/>
        <v>0</v>
      </c>
      <c r="CM292" s="51">
        <f t="shared" si="605"/>
        <v>0</v>
      </c>
      <c r="CN292" s="33">
        <f>ROUND(IF(BS292=0,0,HLOOKUP(BS$14,Villagers!$B$1:$V$33,BS292+3,FALSE)),)</f>
        <v>5</v>
      </c>
      <c r="CO292" s="14">
        <f>ROUND(IF(BT292=0,0,HLOOKUP(BT$14,Villagers!$B$1:$V$33,BT292+3,FALSE)),)</f>
        <v>0</v>
      </c>
      <c r="CP292" s="14">
        <f>ROUND(IF(BU292=0,0,HLOOKUP(BU$14,Villagers!$B$1:$V$33,BU292+3,FALSE)),)</f>
        <v>0</v>
      </c>
      <c r="CQ292" s="14">
        <f>ROUND(IF(BV292=0,0,HLOOKUP(BV$14,Villagers!$B$1:$V$33,BV292+3,FALSE)),)</f>
        <v>0</v>
      </c>
      <c r="CR292" s="14">
        <f>ROUND(IF(BW292=0,0,HLOOKUP(BW$14,Villagers!$B$1:$V$33,BW292+3,FALSE)),)</f>
        <v>0</v>
      </c>
      <c r="CS292" s="14">
        <f>ROUND(IF(BX292=0,0,HLOOKUP(BX$14,Villagers!$B$1:$V$33,BX292+3,FALSE)),)</f>
        <v>0</v>
      </c>
      <c r="CT292" s="14">
        <f>ROUND(IF(BY292=0,0,HLOOKUP(BY$14,Villagers!$B$1:$V$33,BY292+3,FALSE)),)</f>
        <v>0</v>
      </c>
      <c r="CU292" s="14">
        <f>ROUND(IF(BZ292=0,0,HLOOKUP(BZ$14,Villagers!$B$1:$V$33,BZ292+3,FALSE)),)</f>
        <v>0</v>
      </c>
      <c r="CV292" s="14">
        <f>ROUND(IF(CA292=0,0,HLOOKUP(CA$14,Villagers!$B$1:$V$33,CA292+3,FALSE)),)</f>
        <v>0</v>
      </c>
      <c r="CW292" s="14">
        <f>ROUND(IF(CB292=0,0,HLOOKUP(CB$14,Villagers!$B$1:$V$33,CB292+3,FALSE)),)</f>
        <v>0</v>
      </c>
      <c r="CX292" s="14">
        <f>ROUND(IF(CC292=0,0,HLOOKUP(CC$14,Villagers!$B$1:$V$33,CC292+3,FALSE)),)</f>
        <v>0</v>
      </c>
      <c r="CY292" s="14">
        <f>ROUND(IF(CD292=0,0,HLOOKUP(CD$14,Villagers!$B$1:$V$33,CD292+3,FALSE)),)</f>
        <v>0</v>
      </c>
      <c r="CZ292" s="14">
        <f>ROUND(IF(CE292=0,0,HLOOKUP(CE$14,Villagers!$B$1:$V$33,CE292+3,FALSE)),)</f>
        <v>5</v>
      </c>
      <c r="DA292" s="14">
        <f>ROUND(IF(CF292=0,0,HLOOKUP(CF$14,Villagers!$B$1:$V$33,CF292+3,FALSE)),)</f>
        <v>10</v>
      </c>
      <c r="DB292" s="14">
        <f>ROUND(IF(CG292=0,0,HLOOKUP(CG$14,Villagers!$B$1:$V$33,CG292+3,FALSE)),)</f>
        <v>10</v>
      </c>
      <c r="DC292" s="14">
        <f>ROUND(IF(CH292=0,0,HLOOKUP(CH$14,Villagers!$B$1:$V$33,CH292+3,FALSE)),)</f>
        <v>0</v>
      </c>
      <c r="DD292" s="14">
        <f>ROUND(IF(CI292=0,0,HLOOKUP(CI$14,Villagers!$B$1:$V$33,CI292+3,FALSE)),)</f>
        <v>0</v>
      </c>
      <c r="DE292" s="14">
        <f>ROUND(IF(CJ292=0,0,HLOOKUP(CJ$14,Villagers!$B$1:$V$33,CJ292+3,FALSE)),)</f>
        <v>2</v>
      </c>
      <c r="DF292" s="370">
        <f>ROUND(IF(CK292=0,0,HLOOKUP(CK$14,Villagers!$B$1:$V$33,CK292+3,FALSE)),)</f>
        <v>0</v>
      </c>
      <c r="DG292" s="370">
        <f>ROUND(IF(CL292=0,0,HLOOKUP(CL$14,Villagers!$B$1:$V$33,CL292+3,FALSE)),)</f>
        <v>0</v>
      </c>
      <c r="DH292" s="34">
        <f>ROUND(IF(CM292=0,0,HLOOKUP(CM$14,Villagers!$B$1:$V$33,CM292+3,FALSE)),)</f>
        <v>0</v>
      </c>
      <c r="DI292" s="109">
        <f t="shared" si="679"/>
        <v>0</v>
      </c>
      <c r="DJ292" s="50">
        <f t="shared" si="680"/>
        <v>0</v>
      </c>
      <c r="DK292" s="50">
        <f t="shared" si="681"/>
        <v>0</v>
      </c>
      <c r="DL292" s="50">
        <f t="shared" si="682"/>
        <v>0</v>
      </c>
      <c r="DM292" s="50">
        <f t="shared" si="683"/>
        <v>0</v>
      </c>
      <c r="DN292" s="50">
        <f t="shared" si="684"/>
        <v>0</v>
      </c>
      <c r="DO292" s="50">
        <f t="shared" si="685"/>
        <v>0</v>
      </c>
      <c r="DP292" s="50">
        <f t="shared" si="686"/>
        <v>0</v>
      </c>
      <c r="DQ292" s="50">
        <f t="shared" si="663"/>
        <v>0</v>
      </c>
      <c r="DR292" s="50">
        <f t="shared" si="664"/>
        <v>0</v>
      </c>
      <c r="DS292" s="96">
        <f>Miscelaneous!$D$4*Miscelaneous!$D$2^($CI292-1)</f>
        <v>1000</v>
      </c>
      <c r="DT292" s="333">
        <f t="shared" si="643"/>
        <v>1</v>
      </c>
      <c r="DU292" s="81">
        <v>1</v>
      </c>
      <c r="DV292" s="79">
        <f t="shared" si="665"/>
        <v>0</v>
      </c>
      <c r="DW292" s="79">
        <f t="shared" si="666"/>
        <v>0</v>
      </c>
      <c r="DX292" s="79">
        <f t="shared" si="667"/>
        <v>0</v>
      </c>
      <c r="DY292" s="79">
        <v>1</v>
      </c>
      <c r="DZ292" s="79">
        <f t="shared" si="668"/>
        <v>0</v>
      </c>
      <c r="EA292" s="79">
        <f t="shared" si="669"/>
        <v>0</v>
      </c>
      <c r="EB292" s="79">
        <f t="shared" si="670"/>
        <v>0</v>
      </c>
      <c r="EC292" s="79">
        <f t="shared" si="671"/>
        <v>0</v>
      </c>
      <c r="ED292" s="79">
        <v>1</v>
      </c>
      <c r="EE292" s="79">
        <v>1</v>
      </c>
      <c r="EF292" s="79">
        <f t="shared" si="672"/>
        <v>0</v>
      </c>
      <c r="EG292" s="79">
        <v>1</v>
      </c>
      <c r="EH292" s="79">
        <v>1</v>
      </c>
      <c r="EI292" s="79">
        <v>1</v>
      </c>
      <c r="EJ292" s="79">
        <v>1</v>
      </c>
      <c r="EK292" s="79">
        <v>1</v>
      </c>
      <c r="EL292" s="79">
        <v>1</v>
      </c>
      <c r="EM292" s="143">
        <f t="shared" si="673"/>
        <v>0</v>
      </c>
      <c r="EN292" s="143">
        <f t="shared" si="674"/>
        <v>0</v>
      </c>
      <c r="EO292" s="82">
        <f t="shared" si="675"/>
        <v>0</v>
      </c>
    </row>
    <row r="293" spans="1:145" x14ac:dyDescent="0.25">
      <c r="A293">
        <v>279</v>
      </c>
      <c r="B293" s="172" t="e">
        <f t="shared" si="644"/>
        <v>#N/A</v>
      </c>
      <c r="C293" s="121" t="e">
        <f t="shared" ref="C293:E293" si="725">AJ293-SUM(AB293:AB297)</f>
        <v>#N/A</v>
      </c>
      <c r="D293" s="122" t="e">
        <f t="shared" si="725"/>
        <v>#N/A</v>
      </c>
      <c r="E293" s="122" t="e">
        <f t="shared" si="725"/>
        <v>#N/A</v>
      </c>
      <c r="F293" s="176" t="e">
        <f t="shared" si="626"/>
        <v>#N/A</v>
      </c>
      <c r="G293" s="121">
        <f t="shared" si="646"/>
        <v>208</v>
      </c>
      <c r="H293" s="176" t="e">
        <f t="shared" si="647"/>
        <v>#N/A</v>
      </c>
      <c r="I293" s="48">
        <v>1</v>
      </c>
      <c r="J293" s="39"/>
      <c r="K293" s="350">
        <v>1</v>
      </c>
      <c r="L293" s="34" t="e">
        <f t="shared" si="627"/>
        <v>#N/A</v>
      </c>
      <c r="M293" s="38" t="e">
        <f>(HLOOKUP(J293,'Construction Times'!$B$3:$W$34,L293+2,FALSE)*HLOOKUP("hq modifier",'Construction Times'!$W$3:$W$34,BS293+2,FALSE))*(1-$H$9)</f>
        <v>#N/A</v>
      </c>
      <c r="N293" s="426" t="e">
        <f t="shared" si="648"/>
        <v>#N/A</v>
      </c>
      <c r="O293" s="427"/>
      <c r="P293" s="430" t="e">
        <f t="shared" si="649"/>
        <v>#N/A</v>
      </c>
      <c r="Q293" s="431"/>
      <c r="R293" s="103">
        <f t="shared" si="677"/>
        <v>0</v>
      </c>
      <c r="S293" s="104">
        <f t="shared" si="677"/>
        <v>0</v>
      </c>
      <c r="T293" s="104">
        <f t="shared" si="678"/>
        <v>0</v>
      </c>
      <c r="U293" s="104">
        <f t="shared" si="678"/>
        <v>0</v>
      </c>
      <c r="V293" s="104">
        <f t="shared" si="678"/>
        <v>9.9999999999999995E-8</v>
      </c>
      <c r="W293" s="104">
        <f t="shared" si="678"/>
        <v>0</v>
      </c>
      <c r="X293" s="104">
        <f t="shared" si="584"/>
        <v>0</v>
      </c>
      <c r="Y293" s="104">
        <f t="shared" si="584"/>
        <v>9.9999999999999995E-8</v>
      </c>
      <c r="Z293" s="104">
        <f t="shared" si="584"/>
        <v>9.9999999999999995E-8</v>
      </c>
      <c r="AA293" s="105">
        <f t="shared" si="584"/>
        <v>9.9999999999999995E-8</v>
      </c>
      <c r="AB293" s="101" t="e">
        <f>$DT293*HLOOKUP($J293,'Construction Costs (timber)'!$B$1:$V$32,'Construction Planner'!$L293+2,FALSE)</f>
        <v>#N/A</v>
      </c>
      <c r="AC293" s="14" t="e">
        <f>$DT293*HLOOKUP($J293,'Construction Costs (clay)'!$B$1:$V$32,'Construction Planner'!$L293+2,FALSE)</f>
        <v>#N/A</v>
      </c>
      <c r="AD293" s="14" t="e">
        <f>$DT293*HLOOKUP($J293,'Construction Costs (iron)'!$B$1:$V$32,'Construction Planner'!$L293+2,FALSE)</f>
        <v>#N/A</v>
      </c>
      <c r="AE293" s="34" t="e">
        <f t="shared" si="690"/>
        <v>#N/A</v>
      </c>
      <c r="AF293" s="33" t="e">
        <f t="shared" si="628"/>
        <v>#N/A</v>
      </c>
      <c r="AG293" s="14" t="e">
        <f t="shared" si="629"/>
        <v>#N/A</v>
      </c>
      <c r="AH293" s="14" t="e">
        <f t="shared" si="630"/>
        <v>#N/A</v>
      </c>
      <c r="AI293" s="34" t="e">
        <f t="shared" si="691"/>
        <v>#N/A</v>
      </c>
      <c r="AJ293" s="49" t="e">
        <f t="shared" si="651"/>
        <v>#N/A</v>
      </c>
      <c r="AK293" s="49" t="e">
        <f t="shared" si="652"/>
        <v>#N/A</v>
      </c>
      <c r="AL293" s="49" t="e">
        <f t="shared" si="653"/>
        <v>#N/A</v>
      </c>
      <c r="AM293" s="25">
        <f t="shared" si="631"/>
        <v>30</v>
      </c>
      <c r="AN293" s="25">
        <f t="shared" si="632"/>
        <v>30</v>
      </c>
      <c r="AO293" s="25">
        <f t="shared" si="633"/>
        <v>30</v>
      </c>
      <c r="AP293" s="52" t="e">
        <f t="shared" si="654"/>
        <v>#N/A</v>
      </c>
      <c r="AQ293" s="53" t="e">
        <f t="shared" si="654"/>
        <v>#N/A</v>
      </c>
      <c r="AR293" s="54" t="e">
        <f t="shared" si="654"/>
        <v>#N/A</v>
      </c>
      <c r="AS293" s="316">
        <f t="shared" si="724"/>
        <v>0</v>
      </c>
      <c r="AT293" s="106">
        <f>_xlfn.IFNA($M293/VLOOKUP($BT293,'Unit information'!$A$2:$K$29,2,FALSE)*R293,0)*(1+$E$9)</f>
        <v>0</v>
      </c>
      <c r="AU293" s="107">
        <f>_xlfn.IFNA($M293/VLOOKUP($BT293,'Unit information'!$A$2:$K$29,3,FALSE)*S293,0)*(1+$E$9)</f>
        <v>0</v>
      </c>
      <c r="AV293" s="107">
        <f>_xlfn.IFNA($M293/VLOOKUP($BT293,'Unit information'!$A$2:$K$29,4,FALSE)*T293,0)*(1+$E$9)</f>
        <v>0</v>
      </c>
      <c r="AW293" s="107">
        <f>_xlfn.IFNA($M293/VLOOKUP($BT293,'Unit information'!$A$2:$K$29,5,FALSE)*U293,0)*(1+$E$9)</f>
        <v>0</v>
      </c>
      <c r="AX293" s="107">
        <f>_xlfn.IFNA($M293/VLOOKUP($BU293,'Unit information'!$A$2:$K$29,6,FALSE)*V293,0)*(1+$E$9)</f>
        <v>0</v>
      </c>
      <c r="AY293" s="107">
        <f>_xlfn.IFNA($M293/VLOOKUP($BU293,'Unit information'!$A$2:$K$29,7,FALSE)*W293,0)*(1+$E$9)</f>
        <v>0</v>
      </c>
      <c r="AZ293" s="107">
        <f>_xlfn.IFNA($M293/VLOOKUP($BU293,'Unit information'!$A$2:$K$29,8,FALSE)*X293,0)*(1+$E$9)</f>
        <v>0</v>
      </c>
      <c r="BA293" s="107">
        <f>_xlfn.IFNA($M293/VLOOKUP($BU293,'Unit information'!$A$2:$K$29,9,FALSE)*Y293,0)*(1+$E$9)</f>
        <v>0</v>
      </c>
      <c r="BB293" s="107">
        <f>_xlfn.IFNA($M293/VLOOKUP($BV293,'Unit information'!$A$2:$K$29,10,FALSE)*Z293,0)*(1+$E$9)</f>
        <v>0</v>
      </c>
      <c r="BC293" s="108">
        <f>_xlfn.IFNA($M293/VLOOKUP($BV293,'Unit information'!$A$2:$K$29,11,FALSE)*AA293,0)*(1+$E$9)</f>
        <v>0</v>
      </c>
      <c r="BD293" s="106">
        <f t="shared" si="634"/>
        <v>0</v>
      </c>
      <c r="BE293" s="107">
        <f t="shared" si="635"/>
        <v>0</v>
      </c>
      <c r="BF293" s="108">
        <f t="shared" si="636"/>
        <v>0</v>
      </c>
      <c r="BG293" s="25" t="e">
        <f t="shared" si="637"/>
        <v>#N/A</v>
      </c>
      <c r="BH293" s="25" t="e">
        <f t="shared" si="638"/>
        <v>#N/A</v>
      </c>
      <c r="BI293" s="25" t="e">
        <f t="shared" si="639"/>
        <v>#N/A</v>
      </c>
      <c r="BJ293" s="27" t="e">
        <f t="shared" si="640"/>
        <v>#N/A</v>
      </c>
      <c r="BK293" s="18" t="e">
        <f t="shared" si="641"/>
        <v>#N/A</v>
      </c>
      <c r="BL293" s="18" t="e">
        <f t="shared" si="642"/>
        <v>#N/A</v>
      </c>
      <c r="BM293" s="28" t="e">
        <f t="shared" si="693"/>
        <v>#N/A</v>
      </c>
      <c r="BN293" s="33">
        <f>HLOOKUP("maximum population",Miscelaneous!$C$1:$C$33,CH293+3,FALSE)</f>
        <v>240</v>
      </c>
      <c r="BO293" s="14">
        <f t="shared" si="655"/>
        <v>32</v>
      </c>
      <c r="BP293" s="14">
        <f t="shared" si="656"/>
        <v>0</v>
      </c>
      <c r="BQ293" s="14">
        <f t="shared" si="657"/>
        <v>208</v>
      </c>
      <c r="BR293" s="34" t="e">
        <f>HLOOKUP(J293,Villagers!$B$1:$V$33,L293+3,FALSE)-HLOOKUP(J293,Villagers!$B$1:$V$33,L293+2,FALSE)</f>
        <v>#N/A</v>
      </c>
      <c r="BS293" s="49">
        <f t="shared" si="658"/>
        <v>1</v>
      </c>
      <c r="BT293" s="50">
        <f t="shared" si="659"/>
        <v>0</v>
      </c>
      <c r="BU293" s="50">
        <f t="shared" si="660"/>
        <v>0</v>
      </c>
      <c r="BV293" s="50">
        <f t="shared" si="661"/>
        <v>0</v>
      </c>
      <c r="BW293" s="50">
        <f t="shared" si="719"/>
        <v>0</v>
      </c>
      <c r="BX293" s="50">
        <f t="shared" si="719"/>
        <v>0</v>
      </c>
      <c r="BY293" s="50">
        <f t="shared" si="719"/>
        <v>0</v>
      </c>
      <c r="BZ293" s="50">
        <f t="shared" si="707"/>
        <v>0</v>
      </c>
      <c r="CA293" s="50">
        <f t="shared" si="708"/>
        <v>0</v>
      </c>
      <c r="CB293" s="50">
        <f t="shared" si="709"/>
        <v>1</v>
      </c>
      <c r="CC293" s="50">
        <f t="shared" si="710"/>
        <v>0</v>
      </c>
      <c r="CD293" s="50">
        <f t="shared" si="711"/>
        <v>0</v>
      </c>
      <c r="CE293" s="50">
        <f t="shared" si="712"/>
        <v>1</v>
      </c>
      <c r="CF293" s="50">
        <f t="shared" si="713"/>
        <v>1</v>
      </c>
      <c r="CG293" s="50">
        <f t="shared" si="714"/>
        <v>1</v>
      </c>
      <c r="CH293" s="50">
        <f t="shared" si="715"/>
        <v>1</v>
      </c>
      <c r="CI293" s="50">
        <f t="shared" si="716"/>
        <v>1</v>
      </c>
      <c r="CJ293" s="50">
        <f t="shared" si="717"/>
        <v>1</v>
      </c>
      <c r="CK293" s="50">
        <f t="shared" si="717"/>
        <v>0</v>
      </c>
      <c r="CL293" s="50">
        <f t="shared" si="717"/>
        <v>0</v>
      </c>
      <c r="CM293" s="51">
        <f t="shared" si="605"/>
        <v>0</v>
      </c>
      <c r="CN293" s="33">
        <f>ROUND(IF(BS293=0,0,HLOOKUP(BS$14,Villagers!$B$1:$V$33,BS293+3,FALSE)),)</f>
        <v>5</v>
      </c>
      <c r="CO293" s="14">
        <f>ROUND(IF(BT293=0,0,HLOOKUP(BT$14,Villagers!$B$1:$V$33,BT293+3,FALSE)),)</f>
        <v>0</v>
      </c>
      <c r="CP293" s="14">
        <f>ROUND(IF(BU293=0,0,HLOOKUP(BU$14,Villagers!$B$1:$V$33,BU293+3,FALSE)),)</f>
        <v>0</v>
      </c>
      <c r="CQ293" s="14">
        <f>ROUND(IF(BV293=0,0,HLOOKUP(BV$14,Villagers!$B$1:$V$33,BV293+3,FALSE)),)</f>
        <v>0</v>
      </c>
      <c r="CR293" s="14">
        <f>ROUND(IF(BW293=0,0,HLOOKUP(BW$14,Villagers!$B$1:$V$33,BW293+3,FALSE)),)</f>
        <v>0</v>
      </c>
      <c r="CS293" s="14">
        <f>ROUND(IF(BX293=0,0,HLOOKUP(BX$14,Villagers!$B$1:$V$33,BX293+3,FALSE)),)</f>
        <v>0</v>
      </c>
      <c r="CT293" s="14">
        <f>ROUND(IF(BY293=0,0,HLOOKUP(BY$14,Villagers!$B$1:$V$33,BY293+3,FALSE)),)</f>
        <v>0</v>
      </c>
      <c r="CU293" s="14">
        <f>ROUND(IF(BZ293=0,0,HLOOKUP(BZ$14,Villagers!$B$1:$V$33,BZ293+3,FALSE)),)</f>
        <v>0</v>
      </c>
      <c r="CV293" s="14">
        <f>ROUND(IF(CA293=0,0,HLOOKUP(CA$14,Villagers!$B$1:$V$33,CA293+3,FALSE)),)</f>
        <v>0</v>
      </c>
      <c r="CW293" s="14">
        <f>ROUND(IF(CB293=0,0,HLOOKUP(CB$14,Villagers!$B$1:$V$33,CB293+3,FALSE)),)</f>
        <v>0</v>
      </c>
      <c r="CX293" s="14">
        <f>ROUND(IF(CC293=0,0,HLOOKUP(CC$14,Villagers!$B$1:$V$33,CC293+3,FALSE)),)</f>
        <v>0</v>
      </c>
      <c r="CY293" s="14">
        <f>ROUND(IF(CD293=0,0,HLOOKUP(CD$14,Villagers!$B$1:$V$33,CD293+3,FALSE)),)</f>
        <v>0</v>
      </c>
      <c r="CZ293" s="14">
        <f>ROUND(IF(CE293=0,0,HLOOKUP(CE$14,Villagers!$B$1:$V$33,CE293+3,FALSE)),)</f>
        <v>5</v>
      </c>
      <c r="DA293" s="14">
        <f>ROUND(IF(CF293=0,0,HLOOKUP(CF$14,Villagers!$B$1:$V$33,CF293+3,FALSE)),)</f>
        <v>10</v>
      </c>
      <c r="DB293" s="14">
        <f>ROUND(IF(CG293=0,0,HLOOKUP(CG$14,Villagers!$B$1:$V$33,CG293+3,FALSE)),)</f>
        <v>10</v>
      </c>
      <c r="DC293" s="14">
        <f>ROUND(IF(CH293=0,0,HLOOKUP(CH$14,Villagers!$B$1:$V$33,CH293+3,FALSE)),)</f>
        <v>0</v>
      </c>
      <c r="DD293" s="14">
        <f>ROUND(IF(CI293=0,0,HLOOKUP(CI$14,Villagers!$B$1:$V$33,CI293+3,FALSE)),)</f>
        <v>0</v>
      </c>
      <c r="DE293" s="14">
        <f>ROUND(IF(CJ293=0,0,HLOOKUP(CJ$14,Villagers!$B$1:$V$33,CJ293+3,FALSE)),)</f>
        <v>2</v>
      </c>
      <c r="DF293" s="370">
        <f>ROUND(IF(CK293=0,0,HLOOKUP(CK$14,Villagers!$B$1:$V$33,CK293+3,FALSE)),)</f>
        <v>0</v>
      </c>
      <c r="DG293" s="370">
        <f>ROUND(IF(CL293=0,0,HLOOKUP(CL$14,Villagers!$B$1:$V$33,CL293+3,FALSE)),)</f>
        <v>0</v>
      </c>
      <c r="DH293" s="34">
        <f>ROUND(IF(CM293=0,0,HLOOKUP(CM$14,Villagers!$B$1:$V$33,CM293+3,FALSE)),)</f>
        <v>0</v>
      </c>
      <c r="DI293" s="109">
        <f t="shared" si="679"/>
        <v>0</v>
      </c>
      <c r="DJ293" s="50">
        <f t="shared" si="680"/>
        <v>0</v>
      </c>
      <c r="DK293" s="50">
        <f t="shared" si="681"/>
        <v>0</v>
      </c>
      <c r="DL293" s="50">
        <f t="shared" si="682"/>
        <v>0</v>
      </c>
      <c r="DM293" s="50">
        <f t="shared" si="683"/>
        <v>0</v>
      </c>
      <c r="DN293" s="50">
        <f t="shared" si="684"/>
        <v>0</v>
      </c>
      <c r="DO293" s="50">
        <f t="shared" si="685"/>
        <v>0</v>
      </c>
      <c r="DP293" s="50">
        <f t="shared" si="686"/>
        <v>0</v>
      </c>
      <c r="DQ293" s="50">
        <f t="shared" si="663"/>
        <v>0</v>
      </c>
      <c r="DR293" s="50">
        <f t="shared" si="664"/>
        <v>0</v>
      </c>
      <c r="DS293" s="96">
        <f>Miscelaneous!$D$4*Miscelaneous!$D$2^($CI293-1)</f>
        <v>1000</v>
      </c>
      <c r="DT293" s="333">
        <f t="shared" si="643"/>
        <v>1</v>
      </c>
      <c r="DU293" s="81">
        <v>1</v>
      </c>
      <c r="DV293" s="79">
        <f t="shared" si="665"/>
        <v>0</v>
      </c>
      <c r="DW293" s="79">
        <f t="shared" si="666"/>
        <v>0</v>
      </c>
      <c r="DX293" s="79">
        <f t="shared" si="667"/>
        <v>0</v>
      </c>
      <c r="DY293" s="79">
        <v>1</v>
      </c>
      <c r="DZ293" s="79">
        <f t="shared" si="668"/>
        <v>0</v>
      </c>
      <c r="EA293" s="79">
        <f t="shared" si="669"/>
        <v>0</v>
      </c>
      <c r="EB293" s="79">
        <f t="shared" si="670"/>
        <v>0</v>
      </c>
      <c r="EC293" s="79">
        <f t="shared" si="671"/>
        <v>0</v>
      </c>
      <c r="ED293" s="79">
        <v>1</v>
      </c>
      <c r="EE293" s="79">
        <v>1</v>
      </c>
      <c r="EF293" s="79">
        <f t="shared" si="672"/>
        <v>0</v>
      </c>
      <c r="EG293" s="79">
        <v>1</v>
      </c>
      <c r="EH293" s="79">
        <v>1</v>
      </c>
      <c r="EI293" s="79">
        <v>1</v>
      </c>
      <c r="EJ293" s="79">
        <v>1</v>
      </c>
      <c r="EK293" s="79">
        <v>1</v>
      </c>
      <c r="EL293" s="79">
        <v>1</v>
      </c>
      <c r="EM293" s="143">
        <f t="shared" si="673"/>
        <v>0</v>
      </c>
      <c r="EN293" s="143">
        <f t="shared" si="674"/>
        <v>0</v>
      </c>
      <c r="EO293" s="82">
        <f t="shared" si="675"/>
        <v>0</v>
      </c>
    </row>
    <row r="294" spans="1:145" x14ac:dyDescent="0.25">
      <c r="A294">
        <v>280</v>
      </c>
      <c r="B294" s="172" t="e">
        <f t="shared" si="644"/>
        <v>#N/A</v>
      </c>
      <c r="C294" s="121" t="e">
        <f t="shared" ref="C294:E294" si="726">AJ294-SUM(AB294:AB298)</f>
        <v>#N/A</v>
      </c>
      <c r="D294" s="122" t="e">
        <f t="shared" si="726"/>
        <v>#N/A</v>
      </c>
      <c r="E294" s="122" t="e">
        <f t="shared" si="726"/>
        <v>#N/A</v>
      </c>
      <c r="F294" s="176" t="e">
        <f t="shared" si="626"/>
        <v>#N/A</v>
      </c>
      <c r="G294" s="121">
        <f t="shared" si="646"/>
        <v>208</v>
      </c>
      <c r="H294" s="176" t="e">
        <f t="shared" si="647"/>
        <v>#N/A</v>
      </c>
      <c r="I294" s="48">
        <v>1</v>
      </c>
      <c r="J294" s="39"/>
      <c r="K294" s="350">
        <v>1</v>
      </c>
      <c r="L294" s="34" t="e">
        <f t="shared" si="627"/>
        <v>#N/A</v>
      </c>
      <c r="M294" s="38" t="e">
        <f>(HLOOKUP(J294,'Construction Times'!$B$3:$W$34,L294+2,FALSE)*HLOOKUP("hq modifier",'Construction Times'!$W$3:$W$34,BS294+2,FALSE))*(1-$H$9)</f>
        <v>#N/A</v>
      </c>
      <c r="N294" s="426" t="e">
        <f t="shared" si="648"/>
        <v>#N/A</v>
      </c>
      <c r="O294" s="427"/>
      <c r="P294" s="430" t="e">
        <f t="shared" si="649"/>
        <v>#N/A</v>
      </c>
      <c r="Q294" s="431"/>
      <c r="R294" s="103">
        <f t="shared" si="677"/>
        <v>0</v>
      </c>
      <c r="S294" s="104">
        <f t="shared" si="677"/>
        <v>0</v>
      </c>
      <c r="T294" s="104">
        <f t="shared" si="678"/>
        <v>0</v>
      </c>
      <c r="U294" s="104">
        <f t="shared" si="678"/>
        <v>0</v>
      </c>
      <c r="V294" s="104">
        <f t="shared" si="678"/>
        <v>9.9999999999999995E-8</v>
      </c>
      <c r="W294" s="104">
        <f t="shared" si="678"/>
        <v>0</v>
      </c>
      <c r="X294" s="104">
        <f t="shared" si="584"/>
        <v>0</v>
      </c>
      <c r="Y294" s="104">
        <f t="shared" si="584"/>
        <v>9.9999999999999995E-8</v>
      </c>
      <c r="Z294" s="104">
        <f t="shared" si="584"/>
        <v>9.9999999999999995E-8</v>
      </c>
      <c r="AA294" s="105">
        <f t="shared" si="584"/>
        <v>9.9999999999999995E-8</v>
      </c>
      <c r="AB294" s="101" t="e">
        <f>$DT294*HLOOKUP($J294,'Construction Costs (timber)'!$B$1:$V$32,'Construction Planner'!$L294+2,FALSE)</f>
        <v>#N/A</v>
      </c>
      <c r="AC294" s="14" t="e">
        <f>$DT294*HLOOKUP($J294,'Construction Costs (clay)'!$B$1:$V$32,'Construction Planner'!$L294+2,FALSE)</f>
        <v>#N/A</v>
      </c>
      <c r="AD294" s="14" t="e">
        <f>$DT294*HLOOKUP($J294,'Construction Costs (iron)'!$B$1:$V$32,'Construction Planner'!$L294+2,FALSE)</f>
        <v>#N/A</v>
      </c>
      <c r="AE294" s="34" t="e">
        <f t="shared" si="690"/>
        <v>#N/A</v>
      </c>
      <c r="AF294" s="33" t="e">
        <f t="shared" si="628"/>
        <v>#N/A</v>
      </c>
      <c r="AG294" s="14" t="e">
        <f t="shared" si="629"/>
        <v>#N/A</v>
      </c>
      <c r="AH294" s="14" t="e">
        <f t="shared" si="630"/>
        <v>#N/A</v>
      </c>
      <c r="AI294" s="34" t="e">
        <f t="shared" si="691"/>
        <v>#N/A</v>
      </c>
      <c r="AJ294" s="49" t="e">
        <f t="shared" si="651"/>
        <v>#N/A</v>
      </c>
      <c r="AK294" s="49" t="e">
        <f t="shared" si="652"/>
        <v>#N/A</v>
      </c>
      <c r="AL294" s="49" t="e">
        <f t="shared" si="653"/>
        <v>#N/A</v>
      </c>
      <c r="AM294" s="25">
        <f t="shared" si="631"/>
        <v>30</v>
      </c>
      <c r="AN294" s="25">
        <f t="shared" si="632"/>
        <v>30</v>
      </c>
      <c r="AO294" s="25">
        <f t="shared" si="633"/>
        <v>30</v>
      </c>
      <c r="AP294" s="52" t="e">
        <f t="shared" si="654"/>
        <v>#N/A</v>
      </c>
      <c r="AQ294" s="53" t="e">
        <f t="shared" si="654"/>
        <v>#N/A</v>
      </c>
      <c r="AR294" s="54" t="e">
        <f t="shared" si="654"/>
        <v>#N/A</v>
      </c>
      <c r="AS294" s="316">
        <f t="shared" si="724"/>
        <v>0</v>
      </c>
      <c r="AT294" s="106">
        <f>_xlfn.IFNA($M294/VLOOKUP($BT294,'Unit information'!$A$2:$K$29,2,FALSE)*R294,0)*(1+$E$9)</f>
        <v>0</v>
      </c>
      <c r="AU294" s="107">
        <f>_xlfn.IFNA($M294/VLOOKUP($BT294,'Unit information'!$A$2:$K$29,3,FALSE)*S294,0)*(1+$E$9)</f>
        <v>0</v>
      </c>
      <c r="AV294" s="107">
        <f>_xlfn.IFNA($M294/VLOOKUP($BT294,'Unit information'!$A$2:$K$29,4,FALSE)*T294,0)*(1+$E$9)</f>
        <v>0</v>
      </c>
      <c r="AW294" s="107">
        <f>_xlfn.IFNA($M294/VLOOKUP($BT294,'Unit information'!$A$2:$K$29,5,FALSE)*U294,0)*(1+$E$9)</f>
        <v>0</v>
      </c>
      <c r="AX294" s="107">
        <f>_xlfn.IFNA($M294/VLOOKUP($BU294,'Unit information'!$A$2:$K$29,6,FALSE)*V294,0)*(1+$E$9)</f>
        <v>0</v>
      </c>
      <c r="AY294" s="107">
        <f>_xlfn.IFNA($M294/VLOOKUP($BU294,'Unit information'!$A$2:$K$29,7,FALSE)*W294,0)*(1+$E$9)</f>
        <v>0</v>
      </c>
      <c r="AZ294" s="107">
        <f>_xlfn.IFNA($M294/VLOOKUP($BU294,'Unit information'!$A$2:$K$29,8,FALSE)*X294,0)*(1+$E$9)</f>
        <v>0</v>
      </c>
      <c r="BA294" s="107">
        <f>_xlfn.IFNA($M294/VLOOKUP($BU294,'Unit information'!$A$2:$K$29,9,FALSE)*Y294,0)*(1+$E$9)</f>
        <v>0</v>
      </c>
      <c r="BB294" s="107">
        <f>_xlfn.IFNA($M294/VLOOKUP($BV294,'Unit information'!$A$2:$K$29,10,FALSE)*Z294,0)*(1+$E$9)</f>
        <v>0</v>
      </c>
      <c r="BC294" s="108">
        <f>_xlfn.IFNA($M294/VLOOKUP($BV294,'Unit information'!$A$2:$K$29,11,FALSE)*AA294,0)*(1+$E$9)</f>
        <v>0</v>
      </c>
      <c r="BD294" s="106">
        <f t="shared" si="634"/>
        <v>0</v>
      </c>
      <c r="BE294" s="107">
        <f t="shared" si="635"/>
        <v>0</v>
      </c>
      <c r="BF294" s="108">
        <f t="shared" si="636"/>
        <v>0</v>
      </c>
      <c r="BG294" s="25" t="e">
        <f t="shared" si="637"/>
        <v>#N/A</v>
      </c>
      <c r="BH294" s="25" t="e">
        <f t="shared" si="638"/>
        <v>#N/A</v>
      </c>
      <c r="BI294" s="25" t="e">
        <f t="shared" si="639"/>
        <v>#N/A</v>
      </c>
      <c r="BJ294" s="27" t="e">
        <f t="shared" si="640"/>
        <v>#N/A</v>
      </c>
      <c r="BK294" s="18" t="e">
        <f t="shared" si="641"/>
        <v>#N/A</v>
      </c>
      <c r="BL294" s="18" t="e">
        <f t="shared" si="642"/>
        <v>#N/A</v>
      </c>
      <c r="BM294" s="28" t="e">
        <f t="shared" si="693"/>
        <v>#N/A</v>
      </c>
      <c r="BN294" s="33">
        <f>HLOOKUP("maximum population",Miscelaneous!$C$1:$C$33,CH294+3,FALSE)</f>
        <v>240</v>
      </c>
      <c r="BO294" s="14">
        <f t="shared" si="655"/>
        <v>32</v>
      </c>
      <c r="BP294" s="14">
        <f t="shared" si="656"/>
        <v>0</v>
      </c>
      <c r="BQ294" s="14">
        <f t="shared" si="657"/>
        <v>208</v>
      </c>
      <c r="BR294" s="34" t="e">
        <f>HLOOKUP(J294,Villagers!$B$1:$V$33,L294+3,FALSE)-HLOOKUP(J294,Villagers!$B$1:$V$33,L294+2,FALSE)</f>
        <v>#N/A</v>
      </c>
      <c r="BS294" s="49">
        <f t="shared" si="658"/>
        <v>1</v>
      </c>
      <c r="BT294" s="50">
        <f t="shared" si="659"/>
        <v>0</v>
      </c>
      <c r="BU294" s="50">
        <f t="shared" si="660"/>
        <v>0</v>
      </c>
      <c r="BV294" s="50">
        <f t="shared" si="661"/>
        <v>0</v>
      </c>
      <c r="BW294" s="50">
        <f t="shared" si="719"/>
        <v>0</v>
      </c>
      <c r="BX294" s="50">
        <f t="shared" si="719"/>
        <v>0</v>
      </c>
      <c r="BY294" s="50">
        <f t="shared" si="719"/>
        <v>0</v>
      </c>
      <c r="BZ294" s="50">
        <f t="shared" si="707"/>
        <v>0</v>
      </c>
      <c r="CA294" s="50">
        <f t="shared" si="708"/>
        <v>0</v>
      </c>
      <c r="CB294" s="50">
        <f t="shared" si="709"/>
        <v>1</v>
      </c>
      <c r="CC294" s="50">
        <f t="shared" si="710"/>
        <v>0</v>
      </c>
      <c r="CD294" s="50">
        <f t="shared" si="711"/>
        <v>0</v>
      </c>
      <c r="CE294" s="50">
        <f t="shared" si="712"/>
        <v>1</v>
      </c>
      <c r="CF294" s="50">
        <f t="shared" si="713"/>
        <v>1</v>
      </c>
      <c r="CG294" s="50">
        <f t="shared" si="714"/>
        <v>1</v>
      </c>
      <c r="CH294" s="50">
        <f t="shared" si="715"/>
        <v>1</v>
      </c>
      <c r="CI294" s="50">
        <f t="shared" si="716"/>
        <v>1</v>
      </c>
      <c r="CJ294" s="50">
        <f t="shared" si="717"/>
        <v>1</v>
      </c>
      <c r="CK294" s="50">
        <f t="shared" si="717"/>
        <v>0</v>
      </c>
      <c r="CL294" s="50">
        <f t="shared" si="717"/>
        <v>0</v>
      </c>
      <c r="CM294" s="51">
        <f t="shared" si="605"/>
        <v>0</v>
      </c>
      <c r="CN294" s="33">
        <f>ROUND(IF(BS294=0,0,HLOOKUP(BS$14,Villagers!$B$1:$V$33,BS294+3,FALSE)),)</f>
        <v>5</v>
      </c>
      <c r="CO294" s="14">
        <f>ROUND(IF(BT294=0,0,HLOOKUP(BT$14,Villagers!$B$1:$V$33,BT294+3,FALSE)),)</f>
        <v>0</v>
      </c>
      <c r="CP294" s="14">
        <f>ROUND(IF(BU294=0,0,HLOOKUP(BU$14,Villagers!$B$1:$V$33,BU294+3,FALSE)),)</f>
        <v>0</v>
      </c>
      <c r="CQ294" s="14">
        <f>ROUND(IF(BV294=0,0,HLOOKUP(BV$14,Villagers!$B$1:$V$33,BV294+3,FALSE)),)</f>
        <v>0</v>
      </c>
      <c r="CR294" s="14">
        <f>ROUND(IF(BW294=0,0,HLOOKUP(BW$14,Villagers!$B$1:$V$33,BW294+3,FALSE)),)</f>
        <v>0</v>
      </c>
      <c r="CS294" s="14">
        <f>ROUND(IF(BX294=0,0,HLOOKUP(BX$14,Villagers!$B$1:$V$33,BX294+3,FALSE)),)</f>
        <v>0</v>
      </c>
      <c r="CT294" s="14">
        <f>ROUND(IF(BY294=0,0,HLOOKUP(BY$14,Villagers!$B$1:$V$33,BY294+3,FALSE)),)</f>
        <v>0</v>
      </c>
      <c r="CU294" s="14">
        <f>ROUND(IF(BZ294=0,0,HLOOKUP(BZ$14,Villagers!$B$1:$V$33,BZ294+3,FALSE)),)</f>
        <v>0</v>
      </c>
      <c r="CV294" s="14">
        <f>ROUND(IF(CA294=0,0,HLOOKUP(CA$14,Villagers!$B$1:$V$33,CA294+3,FALSE)),)</f>
        <v>0</v>
      </c>
      <c r="CW294" s="14">
        <f>ROUND(IF(CB294=0,0,HLOOKUP(CB$14,Villagers!$B$1:$V$33,CB294+3,FALSE)),)</f>
        <v>0</v>
      </c>
      <c r="CX294" s="14">
        <f>ROUND(IF(CC294=0,0,HLOOKUP(CC$14,Villagers!$B$1:$V$33,CC294+3,FALSE)),)</f>
        <v>0</v>
      </c>
      <c r="CY294" s="14">
        <f>ROUND(IF(CD294=0,0,HLOOKUP(CD$14,Villagers!$B$1:$V$33,CD294+3,FALSE)),)</f>
        <v>0</v>
      </c>
      <c r="CZ294" s="14">
        <f>ROUND(IF(CE294=0,0,HLOOKUP(CE$14,Villagers!$B$1:$V$33,CE294+3,FALSE)),)</f>
        <v>5</v>
      </c>
      <c r="DA294" s="14">
        <f>ROUND(IF(CF294=0,0,HLOOKUP(CF$14,Villagers!$B$1:$V$33,CF294+3,FALSE)),)</f>
        <v>10</v>
      </c>
      <c r="DB294" s="14">
        <f>ROUND(IF(CG294=0,0,HLOOKUP(CG$14,Villagers!$B$1:$V$33,CG294+3,FALSE)),)</f>
        <v>10</v>
      </c>
      <c r="DC294" s="14">
        <f>ROUND(IF(CH294=0,0,HLOOKUP(CH$14,Villagers!$B$1:$V$33,CH294+3,FALSE)),)</f>
        <v>0</v>
      </c>
      <c r="DD294" s="14">
        <f>ROUND(IF(CI294=0,0,HLOOKUP(CI$14,Villagers!$B$1:$V$33,CI294+3,FALSE)),)</f>
        <v>0</v>
      </c>
      <c r="DE294" s="14">
        <f>ROUND(IF(CJ294=0,0,HLOOKUP(CJ$14,Villagers!$B$1:$V$33,CJ294+3,FALSE)),)</f>
        <v>2</v>
      </c>
      <c r="DF294" s="370">
        <f>ROUND(IF(CK294=0,0,HLOOKUP(CK$14,Villagers!$B$1:$V$33,CK294+3,FALSE)),)</f>
        <v>0</v>
      </c>
      <c r="DG294" s="370">
        <f>ROUND(IF(CL294=0,0,HLOOKUP(CL$14,Villagers!$B$1:$V$33,CL294+3,FALSE)),)</f>
        <v>0</v>
      </c>
      <c r="DH294" s="34">
        <f>ROUND(IF(CM294=0,0,HLOOKUP(CM$14,Villagers!$B$1:$V$33,CM294+3,FALSE)),)</f>
        <v>0</v>
      </c>
      <c r="DI294" s="109">
        <f t="shared" si="679"/>
        <v>0</v>
      </c>
      <c r="DJ294" s="50">
        <f t="shared" si="680"/>
        <v>0</v>
      </c>
      <c r="DK294" s="50">
        <f t="shared" si="681"/>
        <v>0</v>
      </c>
      <c r="DL294" s="50">
        <f t="shared" si="682"/>
        <v>0</v>
      </c>
      <c r="DM294" s="50">
        <f t="shared" si="683"/>
        <v>0</v>
      </c>
      <c r="DN294" s="50">
        <f t="shared" si="684"/>
        <v>0</v>
      </c>
      <c r="DO294" s="50">
        <f t="shared" si="685"/>
        <v>0</v>
      </c>
      <c r="DP294" s="50">
        <f t="shared" si="686"/>
        <v>0</v>
      </c>
      <c r="DQ294" s="50">
        <f t="shared" si="663"/>
        <v>0</v>
      </c>
      <c r="DR294" s="50">
        <f t="shared" si="664"/>
        <v>0</v>
      </c>
      <c r="DS294" s="96">
        <f>Miscelaneous!$D$4*Miscelaneous!$D$2^($CI294-1)</f>
        <v>1000</v>
      </c>
      <c r="DT294" s="333">
        <f t="shared" si="643"/>
        <v>1</v>
      </c>
      <c r="DU294" s="81">
        <v>1</v>
      </c>
      <c r="DV294" s="79">
        <f t="shared" si="665"/>
        <v>0</v>
      </c>
      <c r="DW294" s="79">
        <f t="shared" si="666"/>
        <v>0</v>
      </c>
      <c r="DX294" s="79">
        <f t="shared" si="667"/>
        <v>0</v>
      </c>
      <c r="DY294" s="79">
        <v>1</v>
      </c>
      <c r="DZ294" s="79">
        <f t="shared" si="668"/>
        <v>0</v>
      </c>
      <c r="EA294" s="79">
        <f t="shared" si="669"/>
        <v>0</v>
      </c>
      <c r="EB294" s="79">
        <f t="shared" si="670"/>
        <v>0</v>
      </c>
      <c r="EC294" s="79">
        <f t="shared" si="671"/>
        <v>0</v>
      </c>
      <c r="ED294" s="79">
        <v>1</v>
      </c>
      <c r="EE294" s="79">
        <v>1</v>
      </c>
      <c r="EF294" s="79">
        <f t="shared" si="672"/>
        <v>0</v>
      </c>
      <c r="EG294" s="79">
        <v>1</v>
      </c>
      <c r="EH294" s="79">
        <v>1</v>
      </c>
      <c r="EI294" s="79">
        <v>1</v>
      </c>
      <c r="EJ294" s="79">
        <v>1</v>
      </c>
      <c r="EK294" s="79">
        <v>1</v>
      </c>
      <c r="EL294" s="79">
        <v>1</v>
      </c>
      <c r="EM294" s="143">
        <f t="shared" si="673"/>
        <v>0</v>
      </c>
      <c r="EN294" s="143">
        <f t="shared" si="674"/>
        <v>0</v>
      </c>
      <c r="EO294" s="82">
        <f t="shared" si="675"/>
        <v>0</v>
      </c>
    </row>
    <row r="295" spans="1:145" x14ac:dyDescent="0.25">
      <c r="A295">
        <v>281</v>
      </c>
      <c r="B295" s="172" t="e">
        <f t="shared" si="644"/>
        <v>#N/A</v>
      </c>
      <c r="C295" s="121" t="e">
        <f t="shared" ref="C295:E295" si="727">AJ295-SUM(AB295:AB299)</f>
        <v>#N/A</v>
      </c>
      <c r="D295" s="122" t="e">
        <f t="shared" si="727"/>
        <v>#N/A</v>
      </c>
      <c r="E295" s="122" t="e">
        <f t="shared" si="727"/>
        <v>#N/A</v>
      </c>
      <c r="F295" s="176" t="e">
        <f t="shared" si="626"/>
        <v>#N/A</v>
      </c>
      <c r="G295" s="121">
        <f t="shared" si="646"/>
        <v>208</v>
      </c>
      <c r="H295" s="176" t="e">
        <f t="shared" si="647"/>
        <v>#N/A</v>
      </c>
      <c r="I295" s="48">
        <v>1</v>
      </c>
      <c r="J295" s="39"/>
      <c r="K295" s="350">
        <v>1</v>
      </c>
      <c r="L295" s="34" t="e">
        <f t="shared" si="627"/>
        <v>#N/A</v>
      </c>
      <c r="M295" s="38" t="e">
        <f>(HLOOKUP(J295,'Construction Times'!$B$3:$W$34,L295+2,FALSE)*HLOOKUP("hq modifier",'Construction Times'!$W$3:$W$34,BS295+2,FALSE))*(1-$H$9)</f>
        <v>#N/A</v>
      </c>
      <c r="N295" s="426" t="e">
        <f t="shared" si="648"/>
        <v>#N/A</v>
      </c>
      <c r="O295" s="427"/>
      <c r="P295" s="430" t="e">
        <f t="shared" si="649"/>
        <v>#N/A</v>
      </c>
      <c r="Q295" s="431"/>
      <c r="R295" s="103">
        <f t="shared" si="677"/>
        <v>0</v>
      </c>
      <c r="S295" s="104">
        <f t="shared" si="677"/>
        <v>0</v>
      </c>
      <c r="T295" s="104">
        <f t="shared" si="678"/>
        <v>0</v>
      </c>
      <c r="U295" s="104">
        <f t="shared" si="678"/>
        <v>0</v>
      </c>
      <c r="V295" s="104">
        <f t="shared" si="678"/>
        <v>9.9999999999999995E-8</v>
      </c>
      <c r="W295" s="104">
        <f t="shared" si="678"/>
        <v>0</v>
      </c>
      <c r="X295" s="104">
        <f t="shared" si="584"/>
        <v>0</v>
      </c>
      <c r="Y295" s="104">
        <f t="shared" si="584"/>
        <v>9.9999999999999995E-8</v>
      </c>
      <c r="Z295" s="104">
        <f t="shared" si="584"/>
        <v>9.9999999999999995E-8</v>
      </c>
      <c r="AA295" s="105">
        <f t="shared" si="584"/>
        <v>9.9999999999999995E-8</v>
      </c>
      <c r="AB295" s="101" t="e">
        <f>$DT295*HLOOKUP($J295,'Construction Costs (timber)'!$B$1:$V$32,'Construction Planner'!$L295+2,FALSE)</f>
        <v>#N/A</v>
      </c>
      <c r="AC295" s="14" t="e">
        <f>$DT295*HLOOKUP($J295,'Construction Costs (clay)'!$B$1:$V$32,'Construction Planner'!$L295+2,FALSE)</f>
        <v>#N/A</v>
      </c>
      <c r="AD295" s="14" t="e">
        <f>$DT295*HLOOKUP($J295,'Construction Costs (iron)'!$B$1:$V$32,'Construction Planner'!$L295+2,FALSE)</f>
        <v>#N/A</v>
      </c>
      <c r="AE295" s="34" t="e">
        <f t="shared" si="690"/>
        <v>#N/A</v>
      </c>
      <c r="AF295" s="33" t="e">
        <f t="shared" si="628"/>
        <v>#N/A</v>
      </c>
      <c r="AG295" s="14" t="e">
        <f t="shared" si="629"/>
        <v>#N/A</v>
      </c>
      <c r="AH295" s="14" t="e">
        <f t="shared" si="630"/>
        <v>#N/A</v>
      </c>
      <c r="AI295" s="34" t="e">
        <f t="shared" si="691"/>
        <v>#N/A</v>
      </c>
      <c r="AJ295" s="49" t="e">
        <f t="shared" si="651"/>
        <v>#N/A</v>
      </c>
      <c r="AK295" s="49" t="e">
        <f t="shared" si="652"/>
        <v>#N/A</v>
      </c>
      <c r="AL295" s="49" t="e">
        <f t="shared" si="653"/>
        <v>#N/A</v>
      </c>
      <c r="AM295" s="25">
        <f t="shared" si="631"/>
        <v>30</v>
      </c>
      <c r="AN295" s="25">
        <f t="shared" si="632"/>
        <v>30</v>
      </c>
      <c r="AO295" s="25">
        <f t="shared" si="633"/>
        <v>30</v>
      </c>
      <c r="AP295" s="52" t="e">
        <f t="shared" si="654"/>
        <v>#N/A</v>
      </c>
      <c r="AQ295" s="53" t="e">
        <f t="shared" si="654"/>
        <v>#N/A</v>
      </c>
      <c r="AR295" s="54" t="e">
        <f t="shared" si="654"/>
        <v>#N/A</v>
      </c>
      <c r="AS295" s="316">
        <f t="shared" si="724"/>
        <v>0</v>
      </c>
      <c r="AT295" s="106">
        <f>_xlfn.IFNA($M295/VLOOKUP($BT295,'Unit information'!$A$2:$K$29,2,FALSE)*R295,0)*(1+$E$9)</f>
        <v>0</v>
      </c>
      <c r="AU295" s="107">
        <f>_xlfn.IFNA($M295/VLOOKUP($BT295,'Unit information'!$A$2:$K$29,3,FALSE)*S295,0)*(1+$E$9)</f>
        <v>0</v>
      </c>
      <c r="AV295" s="107">
        <f>_xlfn.IFNA($M295/VLOOKUP($BT295,'Unit information'!$A$2:$K$29,4,FALSE)*T295,0)*(1+$E$9)</f>
        <v>0</v>
      </c>
      <c r="AW295" s="107">
        <f>_xlfn.IFNA($M295/VLOOKUP($BT295,'Unit information'!$A$2:$K$29,5,FALSE)*U295,0)*(1+$E$9)</f>
        <v>0</v>
      </c>
      <c r="AX295" s="107">
        <f>_xlfn.IFNA($M295/VLOOKUP($BU295,'Unit information'!$A$2:$K$29,6,FALSE)*V295,0)*(1+$E$9)</f>
        <v>0</v>
      </c>
      <c r="AY295" s="107">
        <f>_xlfn.IFNA($M295/VLOOKUP($BU295,'Unit information'!$A$2:$K$29,7,FALSE)*W295,0)*(1+$E$9)</f>
        <v>0</v>
      </c>
      <c r="AZ295" s="107">
        <f>_xlfn.IFNA($M295/VLOOKUP($BU295,'Unit information'!$A$2:$K$29,8,FALSE)*X295,0)*(1+$E$9)</f>
        <v>0</v>
      </c>
      <c r="BA295" s="107">
        <f>_xlfn.IFNA($M295/VLOOKUP($BU295,'Unit information'!$A$2:$K$29,9,FALSE)*Y295,0)*(1+$E$9)</f>
        <v>0</v>
      </c>
      <c r="BB295" s="107">
        <f>_xlfn.IFNA($M295/VLOOKUP($BV295,'Unit information'!$A$2:$K$29,10,FALSE)*Z295,0)*(1+$E$9)</f>
        <v>0</v>
      </c>
      <c r="BC295" s="108">
        <f>_xlfn.IFNA($M295/VLOOKUP($BV295,'Unit information'!$A$2:$K$29,11,FALSE)*AA295,0)*(1+$E$9)</f>
        <v>0</v>
      </c>
      <c r="BD295" s="106">
        <f t="shared" si="634"/>
        <v>0</v>
      </c>
      <c r="BE295" s="107">
        <f t="shared" si="635"/>
        <v>0</v>
      </c>
      <c r="BF295" s="108">
        <f t="shared" si="636"/>
        <v>0</v>
      </c>
      <c r="BG295" s="25" t="e">
        <f t="shared" si="637"/>
        <v>#N/A</v>
      </c>
      <c r="BH295" s="25" t="e">
        <f t="shared" si="638"/>
        <v>#N/A</v>
      </c>
      <c r="BI295" s="25" t="e">
        <f t="shared" si="639"/>
        <v>#N/A</v>
      </c>
      <c r="BJ295" s="27" t="e">
        <f t="shared" si="640"/>
        <v>#N/A</v>
      </c>
      <c r="BK295" s="18" t="e">
        <f t="shared" si="641"/>
        <v>#N/A</v>
      </c>
      <c r="BL295" s="18" t="e">
        <f t="shared" si="642"/>
        <v>#N/A</v>
      </c>
      <c r="BM295" s="28" t="e">
        <f t="shared" si="693"/>
        <v>#N/A</v>
      </c>
      <c r="BN295" s="33">
        <f>HLOOKUP("maximum population",Miscelaneous!$C$1:$C$33,CH295+3,FALSE)</f>
        <v>240</v>
      </c>
      <c r="BO295" s="14">
        <f t="shared" si="655"/>
        <v>32</v>
      </c>
      <c r="BP295" s="14">
        <f t="shared" si="656"/>
        <v>0</v>
      </c>
      <c r="BQ295" s="14">
        <f t="shared" si="657"/>
        <v>208</v>
      </c>
      <c r="BR295" s="34" t="e">
        <f>HLOOKUP(J295,Villagers!$B$1:$V$33,L295+3,FALSE)-HLOOKUP(J295,Villagers!$B$1:$V$33,L295+2,FALSE)</f>
        <v>#N/A</v>
      </c>
      <c r="BS295" s="49">
        <f t="shared" si="658"/>
        <v>1</v>
      </c>
      <c r="BT295" s="50">
        <f t="shared" si="659"/>
        <v>0</v>
      </c>
      <c r="BU295" s="50">
        <f t="shared" si="660"/>
        <v>0</v>
      </c>
      <c r="BV295" s="50">
        <f t="shared" si="661"/>
        <v>0</v>
      </c>
      <c r="BW295" s="50">
        <f>IF($J294=BW$14,$L294,BW294)</f>
        <v>0</v>
      </c>
      <c r="BX295" s="50">
        <f t="shared" ref="BX295:BY303" si="728">IF($J294=BX$14,$L294,BX294)</f>
        <v>0</v>
      </c>
      <c r="BY295" s="50">
        <f t="shared" si="728"/>
        <v>0</v>
      </c>
      <c r="BZ295" s="50">
        <f t="shared" si="707"/>
        <v>0</v>
      </c>
      <c r="CA295" s="50">
        <f t="shared" si="708"/>
        <v>0</v>
      </c>
      <c r="CB295" s="50">
        <f t="shared" si="709"/>
        <v>1</v>
      </c>
      <c r="CC295" s="50">
        <f t="shared" si="710"/>
        <v>0</v>
      </c>
      <c r="CD295" s="50">
        <f t="shared" si="711"/>
        <v>0</v>
      </c>
      <c r="CE295" s="50">
        <f t="shared" si="712"/>
        <v>1</v>
      </c>
      <c r="CF295" s="50">
        <f t="shared" si="713"/>
        <v>1</v>
      </c>
      <c r="CG295" s="50">
        <f t="shared" si="714"/>
        <v>1</v>
      </c>
      <c r="CH295" s="50">
        <f t="shared" si="715"/>
        <v>1</v>
      </c>
      <c r="CI295" s="50">
        <f t="shared" si="716"/>
        <v>1</v>
      </c>
      <c r="CJ295" s="50">
        <f t="shared" si="717"/>
        <v>1</v>
      </c>
      <c r="CK295" s="50">
        <f t="shared" si="717"/>
        <v>0</v>
      </c>
      <c r="CL295" s="50">
        <f t="shared" si="717"/>
        <v>0</v>
      </c>
      <c r="CM295" s="51">
        <f t="shared" si="605"/>
        <v>0</v>
      </c>
      <c r="CN295" s="33">
        <f>ROUND(IF(BS295=0,0,HLOOKUP(BS$14,Villagers!$B$1:$V$33,BS295+3,FALSE)),)</f>
        <v>5</v>
      </c>
      <c r="CO295" s="14">
        <f>ROUND(IF(BT295=0,0,HLOOKUP(BT$14,Villagers!$B$1:$V$33,BT295+3,FALSE)),)</f>
        <v>0</v>
      </c>
      <c r="CP295" s="14">
        <f>ROUND(IF(BU295=0,0,HLOOKUP(BU$14,Villagers!$B$1:$V$33,BU295+3,FALSE)),)</f>
        <v>0</v>
      </c>
      <c r="CQ295" s="14">
        <f>ROUND(IF(BV295=0,0,HLOOKUP(BV$14,Villagers!$B$1:$V$33,BV295+3,FALSE)),)</f>
        <v>0</v>
      </c>
      <c r="CR295" s="14">
        <f>ROUND(IF(BW295=0,0,HLOOKUP(BW$14,Villagers!$B$1:$V$33,BW295+3,FALSE)),)</f>
        <v>0</v>
      </c>
      <c r="CS295" s="14">
        <f>ROUND(IF(BX295=0,0,HLOOKUP(BX$14,Villagers!$B$1:$V$33,BX295+3,FALSE)),)</f>
        <v>0</v>
      </c>
      <c r="CT295" s="14">
        <f>ROUND(IF(BY295=0,0,HLOOKUP(BY$14,Villagers!$B$1:$V$33,BY295+3,FALSE)),)</f>
        <v>0</v>
      </c>
      <c r="CU295" s="14">
        <f>ROUND(IF(BZ295=0,0,HLOOKUP(BZ$14,Villagers!$B$1:$V$33,BZ295+3,FALSE)),)</f>
        <v>0</v>
      </c>
      <c r="CV295" s="14">
        <f>ROUND(IF(CA295=0,0,HLOOKUP(CA$14,Villagers!$B$1:$V$33,CA295+3,FALSE)),)</f>
        <v>0</v>
      </c>
      <c r="CW295" s="14">
        <f>ROUND(IF(CB295=0,0,HLOOKUP(CB$14,Villagers!$B$1:$V$33,CB295+3,FALSE)),)</f>
        <v>0</v>
      </c>
      <c r="CX295" s="14">
        <f>ROUND(IF(CC295=0,0,HLOOKUP(CC$14,Villagers!$B$1:$V$33,CC295+3,FALSE)),)</f>
        <v>0</v>
      </c>
      <c r="CY295" s="14">
        <f>ROUND(IF(CD295=0,0,HLOOKUP(CD$14,Villagers!$B$1:$V$33,CD295+3,FALSE)),)</f>
        <v>0</v>
      </c>
      <c r="CZ295" s="14">
        <f>ROUND(IF(CE295=0,0,HLOOKUP(CE$14,Villagers!$B$1:$V$33,CE295+3,FALSE)),)</f>
        <v>5</v>
      </c>
      <c r="DA295" s="14">
        <f>ROUND(IF(CF295=0,0,HLOOKUP(CF$14,Villagers!$B$1:$V$33,CF295+3,FALSE)),)</f>
        <v>10</v>
      </c>
      <c r="DB295" s="14">
        <f>ROUND(IF(CG295=0,0,HLOOKUP(CG$14,Villagers!$B$1:$V$33,CG295+3,FALSE)),)</f>
        <v>10</v>
      </c>
      <c r="DC295" s="14">
        <f>ROUND(IF(CH295=0,0,HLOOKUP(CH$14,Villagers!$B$1:$V$33,CH295+3,FALSE)),)</f>
        <v>0</v>
      </c>
      <c r="DD295" s="14">
        <f>ROUND(IF(CI295=0,0,HLOOKUP(CI$14,Villagers!$B$1:$V$33,CI295+3,FALSE)),)</f>
        <v>0</v>
      </c>
      <c r="DE295" s="14">
        <f>ROUND(IF(CJ295=0,0,HLOOKUP(CJ$14,Villagers!$B$1:$V$33,CJ295+3,FALSE)),)</f>
        <v>2</v>
      </c>
      <c r="DF295" s="370">
        <f>ROUND(IF(CK295=0,0,HLOOKUP(CK$14,Villagers!$B$1:$V$33,CK295+3,FALSE)),)</f>
        <v>0</v>
      </c>
      <c r="DG295" s="370">
        <f>ROUND(IF(CL295=0,0,HLOOKUP(CL$14,Villagers!$B$1:$V$33,CL295+3,FALSE)),)</f>
        <v>0</v>
      </c>
      <c r="DH295" s="34">
        <f>ROUND(IF(CM295=0,0,HLOOKUP(CM$14,Villagers!$B$1:$V$33,CM295+3,FALSE)),)</f>
        <v>0</v>
      </c>
      <c r="DI295" s="109">
        <f t="shared" si="679"/>
        <v>0</v>
      </c>
      <c r="DJ295" s="50">
        <f t="shared" si="680"/>
        <v>0</v>
      </c>
      <c r="DK295" s="50">
        <f t="shared" si="681"/>
        <v>0</v>
      </c>
      <c r="DL295" s="50">
        <f t="shared" si="682"/>
        <v>0</v>
      </c>
      <c r="DM295" s="50">
        <f t="shared" si="683"/>
        <v>0</v>
      </c>
      <c r="DN295" s="50">
        <f t="shared" si="684"/>
        <v>0</v>
      </c>
      <c r="DO295" s="50">
        <f t="shared" si="685"/>
        <v>0</v>
      </c>
      <c r="DP295" s="50">
        <f t="shared" si="686"/>
        <v>0</v>
      </c>
      <c r="DQ295" s="50">
        <f t="shared" si="663"/>
        <v>0</v>
      </c>
      <c r="DR295" s="50">
        <f t="shared" si="664"/>
        <v>0</v>
      </c>
      <c r="DS295" s="96">
        <f>Miscelaneous!$D$4*Miscelaneous!$D$2^($CI295-1)</f>
        <v>1000</v>
      </c>
      <c r="DT295" s="333">
        <f t="shared" si="643"/>
        <v>1</v>
      </c>
      <c r="DU295" s="81">
        <v>1</v>
      </c>
      <c r="DV295" s="79">
        <f t="shared" si="665"/>
        <v>0</v>
      </c>
      <c r="DW295" s="79">
        <f t="shared" si="666"/>
        <v>0</v>
      </c>
      <c r="DX295" s="79">
        <f t="shared" si="667"/>
        <v>0</v>
      </c>
      <c r="DY295" s="79">
        <v>1</v>
      </c>
      <c r="DZ295" s="79">
        <f t="shared" si="668"/>
        <v>0</v>
      </c>
      <c r="EA295" s="79">
        <f t="shared" si="669"/>
        <v>0</v>
      </c>
      <c r="EB295" s="79">
        <f t="shared" si="670"/>
        <v>0</v>
      </c>
      <c r="EC295" s="79">
        <f t="shared" si="671"/>
        <v>0</v>
      </c>
      <c r="ED295" s="79">
        <v>1</v>
      </c>
      <c r="EE295" s="79">
        <v>1</v>
      </c>
      <c r="EF295" s="79">
        <f t="shared" si="672"/>
        <v>0</v>
      </c>
      <c r="EG295" s="79">
        <v>1</v>
      </c>
      <c r="EH295" s="79">
        <v>1</v>
      </c>
      <c r="EI295" s="79">
        <v>1</v>
      </c>
      <c r="EJ295" s="79">
        <v>1</v>
      </c>
      <c r="EK295" s="79">
        <v>1</v>
      </c>
      <c r="EL295" s="79">
        <v>1</v>
      </c>
      <c r="EM295" s="143">
        <f t="shared" si="673"/>
        <v>0</v>
      </c>
      <c r="EN295" s="143">
        <f t="shared" si="674"/>
        <v>0</v>
      </c>
      <c r="EO295" s="82">
        <f t="shared" si="675"/>
        <v>0</v>
      </c>
    </row>
    <row r="296" spans="1:145" x14ac:dyDescent="0.25">
      <c r="A296">
        <v>282</v>
      </c>
      <c r="B296" s="172" t="e">
        <f t="shared" si="644"/>
        <v>#N/A</v>
      </c>
      <c r="C296" s="121" t="e">
        <f t="shared" ref="C296:E296" si="729">AJ296-SUM(AB296:AB300)</f>
        <v>#N/A</v>
      </c>
      <c r="D296" s="122" t="e">
        <f t="shared" si="729"/>
        <v>#N/A</v>
      </c>
      <c r="E296" s="122" t="e">
        <f t="shared" si="729"/>
        <v>#N/A</v>
      </c>
      <c r="F296" s="176" t="e">
        <f t="shared" si="626"/>
        <v>#N/A</v>
      </c>
      <c r="G296" s="121">
        <f t="shared" si="646"/>
        <v>208</v>
      </c>
      <c r="H296" s="176" t="e">
        <f t="shared" si="647"/>
        <v>#N/A</v>
      </c>
      <c r="I296" s="48">
        <v>1</v>
      </c>
      <c r="J296" s="39"/>
      <c r="K296" s="350">
        <v>1</v>
      </c>
      <c r="L296" s="34" t="e">
        <f t="shared" si="627"/>
        <v>#N/A</v>
      </c>
      <c r="M296" s="38" t="e">
        <f>(HLOOKUP(J296,'Construction Times'!$B$3:$W$34,L296+2,FALSE)*HLOOKUP("hq modifier",'Construction Times'!$W$3:$W$34,BS296+2,FALSE))*(1-$H$9)</f>
        <v>#N/A</v>
      </c>
      <c r="N296" s="426" t="e">
        <f t="shared" si="648"/>
        <v>#N/A</v>
      </c>
      <c r="O296" s="427"/>
      <c r="P296" s="430" t="e">
        <f t="shared" si="649"/>
        <v>#N/A</v>
      </c>
      <c r="Q296" s="431"/>
      <c r="R296" s="103">
        <f t="shared" si="677"/>
        <v>0</v>
      </c>
      <c r="S296" s="104">
        <f t="shared" si="677"/>
        <v>0</v>
      </c>
      <c r="T296" s="104">
        <f t="shared" si="678"/>
        <v>0</v>
      </c>
      <c r="U296" s="104">
        <f t="shared" si="678"/>
        <v>0</v>
      </c>
      <c r="V296" s="104">
        <f t="shared" si="678"/>
        <v>9.9999999999999995E-8</v>
      </c>
      <c r="W296" s="104">
        <f t="shared" si="678"/>
        <v>0</v>
      </c>
      <c r="X296" s="104">
        <f t="shared" si="584"/>
        <v>0</v>
      </c>
      <c r="Y296" s="104">
        <f t="shared" si="584"/>
        <v>9.9999999999999995E-8</v>
      </c>
      <c r="Z296" s="104">
        <f t="shared" si="584"/>
        <v>9.9999999999999995E-8</v>
      </c>
      <c r="AA296" s="105">
        <f t="shared" si="584"/>
        <v>9.9999999999999995E-8</v>
      </c>
      <c r="AB296" s="101" t="e">
        <f>$DT296*HLOOKUP($J296,'Construction Costs (timber)'!$B$1:$V$32,'Construction Planner'!$L296+2,FALSE)</f>
        <v>#N/A</v>
      </c>
      <c r="AC296" s="14" t="e">
        <f>$DT296*HLOOKUP($J296,'Construction Costs (clay)'!$B$1:$V$32,'Construction Planner'!$L296+2,FALSE)</f>
        <v>#N/A</v>
      </c>
      <c r="AD296" s="14" t="e">
        <f>$DT296*HLOOKUP($J296,'Construction Costs (iron)'!$B$1:$V$32,'Construction Planner'!$L296+2,FALSE)</f>
        <v>#N/A</v>
      </c>
      <c r="AE296" s="34" t="e">
        <f t="shared" si="690"/>
        <v>#N/A</v>
      </c>
      <c r="AF296" s="33" t="e">
        <f t="shared" si="628"/>
        <v>#N/A</v>
      </c>
      <c r="AG296" s="14" t="e">
        <f t="shared" si="629"/>
        <v>#N/A</v>
      </c>
      <c r="AH296" s="14" t="e">
        <f t="shared" si="630"/>
        <v>#N/A</v>
      </c>
      <c r="AI296" s="34" t="e">
        <f t="shared" si="691"/>
        <v>#N/A</v>
      </c>
      <c r="AJ296" s="49" t="e">
        <f t="shared" si="651"/>
        <v>#N/A</v>
      </c>
      <c r="AK296" s="49" t="e">
        <f t="shared" si="652"/>
        <v>#N/A</v>
      </c>
      <c r="AL296" s="49" t="e">
        <f t="shared" si="653"/>
        <v>#N/A</v>
      </c>
      <c r="AM296" s="25">
        <f t="shared" si="631"/>
        <v>30</v>
      </c>
      <c r="AN296" s="25">
        <f t="shared" si="632"/>
        <v>30</v>
      </c>
      <c r="AO296" s="25">
        <f t="shared" si="633"/>
        <v>30</v>
      </c>
      <c r="AP296" s="52" t="e">
        <f t="shared" si="654"/>
        <v>#N/A</v>
      </c>
      <c r="AQ296" s="53" t="e">
        <f t="shared" si="654"/>
        <v>#N/A</v>
      </c>
      <c r="AR296" s="54" t="e">
        <f t="shared" si="654"/>
        <v>#N/A</v>
      </c>
      <c r="AS296" s="316">
        <f t="shared" si="724"/>
        <v>0</v>
      </c>
      <c r="AT296" s="106">
        <f>_xlfn.IFNA($M296/VLOOKUP($BT296,'Unit information'!$A$2:$K$29,2,FALSE)*R296,0)*(1+$E$9)</f>
        <v>0</v>
      </c>
      <c r="AU296" s="107">
        <f>_xlfn.IFNA($M296/VLOOKUP($BT296,'Unit information'!$A$2:$K$29,3,FALSE)*S296,0)*(1+$E$9)</f>
        <v>0</v>
      </c>
      <c r="AV296" s="107">
        <f>_xlfn.IFNA($M296/VLOOKUP($BT296,'Unit information'!$A$2:$K$29,4,FALSE)*T296,0)*(1+$E$9)</f>
        <v>0</v>
      </c>
      <c r="AW296" s="107">
        <f>_xlfn.IFNA($M296/VLOOKUP($BT296,'Unit information'!$A$2:$K$29,5,FALSE)*U296,0)*(1+$E$9)</f>
        <v>0</v>
      </c>
      <c r="AX296" s="107">
        <f>_xlfn.IFNA($M296/VLOOKUP($BU296,'Unit information'!$A$2:$K$29,6,FALSE)*V296,0)*(1+$E$9)</f>
        <v>0</v>
      </c>
      <c r="AY296" s="107">
        <f>_xlfn.IFNA($M296/VLOOKUP($BU296,'Unit information'!$A$2:$K$29,7,FALSE)*W296,0)*(1+$E$9)</f>
        <v>0</v>
      </c>
      <c r="AZ296" s="107">
        <f>_xlfn.IFNA($M296/VLOOKUP($BU296,'Unit information'!$A$2:$K$29,8,FALSE)*X296,0)*(1+$E$9)</f>
        <v>0</v>
      </c>
      <c r="BA296" s="107">
        <f>_xlfn.IFNA($M296/VLOOKUP($BU296,'Unit information'!$A$2:$K$29,9,FALSE)*Y296,0)*(1+$E$9)</f>
        <v>0</v>
      </c>
      <c r="BB296" s="107">
        <f>_xlfn.IFNA($M296/VLOOKUP($BV296,'Unit information'!$A$2:$K$29,10,FALSE)*Z296,0)*(1+$E$9)</f>
        <v>0</v>
      </c>
      <c r="BC296" s="108">
        <f>_xlfn.IFNA($M296/VLOOKUP($BV296,'Unit information'!$A$2:$K$29,11,FALSE)*AA296,0)*(1+$E$9)</f>
        <v>0</v>
      </c>
      <c r="BD296" s="106">
        <f t="shared" si="634"/>
        <v>0</v>
      </c>
      <c r="BE296" s="107">
        <f t="shared" si="635"/>
        <v>0</v>
      </c>
      <c r="BF296" s="108">
        <f t="shared" si="636"/>
        <v>0</v>
      </c>
      <c r="BG296" s="25" t="e">
        <f t="shared" si="637"/>
        <v>#N/A</v>
      </c>
      <c r="BH296" s="25" t="e">
        <f t="shared" si="638"/>
        <v>#N/A</v>
      </c>
      <c r="BI296" s="25" t="e">
        <f t="shared" si="639"/>
        <v>#N/A</v>
      </c>
      <c r="BJ296" s="27" t="e">
        <f t="shared" si="640"/>
        <v>#N/A</v>
      </c>
      <c r="BK296" s="18" t="e">
        <f t="shared" si="641"/>
        <v>#N/A</v>
      </c>
      <c r="BL296" s="18" t="e">
        <f t="shared" si="642"/>
        <v>#N/A</v>
      </c>
      <c r="BM296" s="28" t="e">
        <f t="shared" si="693"/>
        <v>#N/A</v>
      </c>
      <c r="BN296" s="33">
        <f>HLOOKUP("maximum population",Miscelaneous!$C$1:$C$33,CH296+3,FALSE)</f>
        <v>240</v>
      </c>
      <c r="BO296" s="14">
        <f t="shared" si="655"/>
        <v>32</v>
      </c>
      <c r="BP296" s="14">
        <f t="shared" si="656"/>
        <v>0</v>
      </c>
      <c r="BQ296" s="14">
        <f t="shared" si="657"/>
        <v>208</v>
      </c>
      <c r="BR296" s="34" t="e">
        <f>HLOOKUP(J296,Villagers!$B$1:$V$33,L296+3,FALSE)-HLOOKUP(J296,Villagers!$B$1:$V$33,L296+2,FALSE)</f>
        <v>#N/A</v>
      </c>
      <c r="BS296" s="49">
        <f t="shared" si="658"/>
        <v>1</v>
      </c>
      <c r="BT296" s="50">
        <f t="shared" si="659"/>
        <v>0</v>
      </c>
      <c r="BU296" s="50">
        <f t="shared" si="660"/>
        <v>0</v>
      </c>
      <c r="BV296" s="50">
        <f t="shared" si="661"/>
        <v>0</v>
      </c>
      <c r="BW296" s="50">
        <f t="shared" ref="BW296:BW303" si="730">IF($J295=BW$14,$L295,BW295)</f>
        <v>0</v>
      </c>
      <c r="BX296" s="50">
        <f t="shared" si="728"/>
        <v>0</v>
      </c>
      <c r="BY296" s="50">
        <f t="shared" si="728"/>
        <v>0</v>
      </c>
      <c r="BZ296" s="50">
        <f t="shared" si="707"/>
        <v>0</v>
      </c>
      <c r="CA296" s="50">
        <f t="shared" si="708"/>
        <v>0</v>
      </c>
      <c r="CB296" s="50">
        <f t="shared" si="709"/>
        <v>1</v>
      </c>
      <c r="CC296" s="50">
        <f t="shared" si="710"/>
        <v>0</v>
      </c>
      <c r="CD296" s="50">
        <f t="shared" si="711"/>
        <v>0</v>
      </c>
      <c r="CE296" s="50">
        <f t="shared" si="712"/>
        <v>1</v>
      </c>
      <c r="CF296" s="50">
        <f t="shared" si="713"/>
        <v>1</v>
      </c>
      <c r="CG296" s="50">
        <f t="shared" si="714"/>
        <v>1</v>
      </c>
      <c r="CH296" s="50">
        <f t="shared" si="715"/>
        <v>1</v>
      </c>
      <c r="CI296" s="50">
        <f t="shared" si="716"/>
        <v>1</v>
      </c>
      <c r="CJ296" s="50">
        <f t="shared" si="717"/>
        <v>1</v>
      </c>
      <c r="CK296" s="50">
        <f t="shared" si="717"/>
        <v>0</v>
      </c>
      <c r="CL296" s="50">
        <f t="shared" si="717"/>
        <v>0</v>
      </c>
      <c r="CM296" s="51">
        <f t="shared" si="605"/>
        <v>0</v>
      </c>
      <c r="CN296" s="33">
        <f>ROUND(IF(BS296=0,0,HLOOKUP(BS$14,Villagers!$B$1:$V$33,BS296+3,FALSE)),)</f>
        <v>5</v>
      </c>
      <c r="CO296" s="14">
        <f>ROUND(IF(BT296=0,0,HLOOKUP(BT$14,Villagers!$B$1:$V$33,BT296+3,FALSE)),)</f>
        <v>0</v>
      </c>
      <c r="CP296" s="14">
        <f>ROUND(IF(BU296=0,0,HLOOKUP(BU$14,Villagers!$B$1:$V$33,BU296+3,FALSE)),)</f>
        <v>0</v>
      </c>
      <c r="CQ296" s="14">
        <f>ROUND(IF(BV296=0,0,HLOOKUP(BV$14,Villagers!$B$1:$V$33,BV296+3,FALSE)),)</f>
        <v>0</v>
      </c>
      <c r="CR296" s="14">
        <f>ROUND(IF(BW296=0,0,HLOOKUP(BW$14,Villagers!$B$1:$V$33,BW296+3,FALSE)),)</f>
        <v>0</v>
      </c>
      <c r="CS296" s="14">
        <f>ROUND(IF(BX296=0,0,HLOOKUP(BX$14,Villagers!$B$1:$V$33,BX296+3,FALSE)),)</f>
        <v>0</v>
      </c>
      <c r="CT296" s="14">
        <f>ROUND(IF(BY296=0,0,HLOOKUP(BY$14,Villagers!$B$1:$V$33,BY296+3,FALSE)),)</f>
        <v>0</v>
      </c>
      <c r="CU296" s="14">
        <f>ROUND(IF(BZ296=0,0,HLOOKUP(BZ$14,Villagers!$B$1:$V$33,BZ296+3,FALSE)),)</f>
        <v>0</v>
      </c>
      <c r="CV296" s="14">
        <f>ROUND(IF(CA296=0,0,HLOOKUP(CA$14,Villagers!$B$1:$V$33,CA296+3,FALSE)),)</f>
        <v>0</v>
      </c>
      <c r="CW296" s="14">
        <f>ROUND(IF(CB296=0,0,HLOOKUP(CB$14,Villagers!$B$1:$V$33,CB296+3,FALSE)),)</f>
        <v>0</v>
      </c>
      <c r="CX296" s="14">
        <f>ROUND(IF(CC296=0,0,HLOOKUP(CC$14,Villagers!$B$1:$V$33,CC296+3,FALSE)),)</f>
        <v>0</v>
      </c>
      <c r="CY296" s="14">
        <f>ROUND(IF(CD296=0,0,HLOOKUP(CD$14,Villagers!$B$1:$V$33,CD296+3,FALSE)),)</f>
        <v>0</v>
      </c>
      <c r="CZ296" s="14">
        <f>ROUND(IF(CE296=0,0,HLOOKUP(CE$14,Villagers!$B$1:$V$33,CE296+3,FALSE)),)</f>
        <v>5</v>
      </c>
      <c r="DA296" s="14">
        <f>ROUND(IF(CF296=0,0,HLOOKUP(CF$14,Villagers!$B$1:$V$33,CF296+3,FALSE)),)</f>
        <v>10</v>
      </c>
      <c r="DB296" s="14">
        <f>ROUND(IF(CG296=0,0,HLOOKUP(CG$14,Villagers!$B$1:$V$33,CG296+3,FALSE)),)</f>
        <v>10</v>
      </c>
      <c r="DC296" s="14">
        <f>ROUND(IF(CH296=0,0,HLOOKUP(CH$14,Villagers!$B$1:$V$33,CH296+3,FALSE)),)</f>
        <v>0</v>
      </c>
      <c r="DD296" s="14">
        <f>ROUND(IF(CI296=0,0,HLOOKUP(CI$14,Villagers!$B$1:$V$33,CI296+3,FALSE)),)</f>
        <v>0</v>
      </c>
      <c r="DE296" s="14">
        <f>ROUND(IF(CJ296=0,0,HLOOKUP(CJ$14,Villagers!$B$1:$V$33,CJ296+3,FALSE)),)</f>
        <v>2</v>
      </c>
      <c r="DF296" s="370">
        <f>ROUND(IF(CK296=0,0,HLOOKUP(CK$14,Villagers!$B$1:$V$33,CK296+3,FALSE)),)</f>
        <v>0</v>
      </c>
      <c r="DG296" s="370">
        <f>ROUND(IF(CL296=0,0,HLOOKUP(CL$14,Villagers!$B$1:$V$33,CL296+3,FALSE)),)</f>
        <v>0</v>
      </c>
      <c r="DH296" s="34">
        <f>ROUND(IF(CM296=0,0,HLOOKUP(CM$14,Villagers!$B$1:$V$33,CM296+3,FALSE)),)</f>
        <v>0</v>
      </c>
      <c r="DI296" s="109">
        <f t="shared" si="679"/>
        <v>0</v>
      </c>
      <c r="DJ296" s="50">
        <f t="shared" si="680"/>
        <v>0</v>
      </c>
      <c r="DK296" s="50">
        <f t="shared" si="681"/>
        <v>0</v>
      </c>
      <c r="DL296" s="50">
        <f t="shared" si="682"/>
        <v>0</v>
      </c>
      <c r="DM296" s="50">
        <f t="shared" si="683"/>
        <v>0</v>
      </c>
      <c r="DN296" s="50">
        <f t="shared" si="684"/>
        <v>0</v>
      </c>
      <c r="DO296" s="50">
        <f t="shared" si="685"/>
        <v>0</v>
      </c>
      <c r="DP296" s="50">
        <f t="shared" si="686"/>
        <v>0</v>
      </c>
      <c r="DQ296" s="50">
        <f t="shared" si="663"/>
        <v>0</v>
      </c>
      <c r="DR296" s="50">
        <f t="shared" si="664"/>
        <v>0</v>
      </c>
      <c r="DS296" s="96">
        <f>Miscelaneous!$D$4*Miscelaneous!$D$2^($CI296-1)</f>
        <v>1000</v>
      </c>
      <c r="DT296" s="333">
        <f t="shared" si="643"/>
        <v>1</v>
      </c>
      <c r="DU296" s="81">
        <v>1</v>
      </c>
      <c r="DV296" s="79">
        <f t="shared" si="665"/>
        <v>0</v>
      </c>
      <c r="DW296" s="79">
        <f t="shared" si="666"/>
        <v>0</v>
      </c>
      <c r="DX296" s="79">
        <f t="shared" si="667"/>
        <v>0</v>
      </c>
      <c r="DY296" s="79">
        <v>1</v>
      </c>
      <c r="DZ296" s="79">
        <f t="shared" si="668"/>
        <v>0</v>
      </c>
      <c r="EA296" s="79">
        <f t="shared" si="669"/>
        <v>0</v>
      </c>
      <c r="EB296" s="79">
        <f t="shared" si="670"/>
        <v>0</v>
      </c>
      <c r="EC296" s="79">
        <f t="shared" si="671"/>
        <v>0</v>
      </c>
      <c r="ED296" s="79">
        <v>1</v>
      </c>
      <c r="EE296" s="79">
        <v>1</v>
      </c>
      <c r="EF296" s="79">
        <f t="shared" si="672"/>
        <v>0</v>
      </c>
      <c r="EG296" s="79">
        <v>1</v>
      </c>
      <c r="EH296" s="79">
        <v>1</v>
      </c>
      <c r="EI296" s="79">
        <v>1</v>
      </c>
      <c r="EJ296" s="79">
        <v>1</v>
      </c>
      <c r="EK296" s="79">
        <v>1</v>
      </c>
      <c r="EL296" s="79">
        <v>1</v>
      </c>
      <c r="EM296" s="143">
        <f t="shared" si="673"/>
        <v>0</v>
      </c>
      <c r="EN296" s="143">
        <f t="shared" si="674"/>
        <v>0</v>
      </c>
      <c r="EO296" s="82">
        <f t="shared" si="675"/>
        <v>0</v>
      </c>
    </row>
    <row r="297" spans="1:145" x14ac:dyDescent="0.25">
      <c r="A297">
        <v>283</v>
      </c>
      <c r="B297" s="172" t="e">
        <f t="shared" si="644"/>
        <v>#N/A</v>
      </c>
      <c r="C297" s="121" t="e">
        <f t="shared" ref="C297:E297" si="731">AJ297-SUM(AB297:AB301)</f>
        <v>#N/A</v>
      </c>
      <c r="D297" s="122" t="e">
        <f t="shared" si="731"/>
        <v>#N/A</v>
      </c>
      <c r="E297" s="122" t="e">
        <f t="shared" si="731"/>
        <v>#N/A</v>
      </c>
      <c r="F297" s="176" t="e">
        <f t="shared" si="626"/>
        <v>#N/A</v>
      </c>
      <c r="G297" s="121">
        <f t="shared" si="646"/>
        <v>208</v>
      </c>
      <c r="H297" s="176" t="e">
        <f t="shared" si="647"/>
        <v>#N/A</v>
      </c>
      <c r="I297" s="48">
        <v>1</v>
      </c>
      <c r="J297" s="39"/>
      <c r="K297" s="350">
        <v>1</v>
      </c>
      <c r="L297" s="34" t="e">
        <f t="shared" si="627"/>
        <v>#N/A</v>
      </c>
      <c r="M297" s="38" t="e">
        <f>(HLOOKUP(J297,'Construction Times'!$B$3:$W$34,L297+2,FALSE)*HLOOKUP("hq modifier",'Construction Times'!$W$3:$W$34,BS297+2,FALSE))*(1-$H$9)</f>
        <v>#N/A</v>
      </c>
      <c r="N297" s="426" t="e">
        <f t="shared" si="648"/>
        <v>#N/A</v>
      </c>
      <c r="O297" s="427"/>
      <c r="P297" s="430" t="e">
        <f t="shared" si="649"/>
        <v>#N/A</v>
      </c>
      <c r="Q297" s="431"/>
      <c r="R297" s="103">
        <f t="shared" si="677"/>
        <v>0</v>
      </c>
      <c r="S297" s="104">
        <f t="shared" si="677"/>
        <v>0</v>
      </c>
      <c r="T297" s="104">
        <f t="shared" si="678"/>
        <v>0</v>
      </c>
      <c r="U297" s="104">
        <f t="shared" si="678"/>
        <v>0</v>
      </c>
      <c r="V297" s="104">
        <f t="shared" si="678"/>
        <v>9.9999999999999995E-8</v>
      </c>
      <c r="W297" s="104">
        <f t="shared" si="678"/>
        <v>0</v>
      </c>
      <c r="X297" s="104">
        <f t="shared" si="584"/>
        <v>0</v>
      </c>
      <c r="Y297" s="104">
        <f t="shared" si="584"/>
        <v>9.9999999999999995E-8</v>
      </c>
      <c r="Z297" s="104">
        <f t="shared" si="584"/>
        <v>9.9999999999999995E-8</v>
      </c>
      <c r="AA297" s="105">
        <f t="shared" si="584"/>
        <v>9.9999999999999995E-8</v>
      </c>
      <c r="AB297" s="101" t="e">
        <f>$DT297*HLOOKUP($J297,'Construction Costs (timber)'!$B$1:$V$32,'Construction Planner'!$L297+2,FALSE)</f>
        <v>#N/A</v>
      </c>
      <c r="AC297" s="14" t="e">
        <f>$DT297*HLOOKUP($J297,'Construction Costs (clay)'!$B$1:$V$32,'Construction Planner'!$L297+2,FALSE)</f>
        <v>#N/A</v>
      </c>
      <c r="AD297" s="14" t="e">
        <f>$DT297*HLOOKUP($J297,'Construction Costs (iron)'!$B$1:$V$32,'Construction Planner'!$L297+2,FALSE)</f>
        <v>#N/A</v>
      </c>
      <c r="AE297" s="34" t="e">
        <f t="shared" si="690"/>
        <v>#N/A</v>
      </c>
      <c r="AF297" s="33" t="e">
        <f t="shared" si="628"/>
        <v>#N/A</v>
      </c>
      <c r="AG297" s="14" t="e">
        <f t="shared" si="629"/>
        <v>#N/A</v>
      </c>
      <c r="AH297" s="14" t="e">
        <f t="shared" si="630"/>
        <v>#N/A</v>
      </c>
      <c r="AI297" s="34" t="e">
        <f t="shared" si="691"/>
        <v>#N/A</v>
      </c>
      <c r="AJ297" s="49" t="e">
        <f t="shared" si="651"/>
        <v>#N/A</v>
      </c>
      <c r="AK297" s="49" t="e">
        <f t="shared" si="652"/>
        <v>#N/A</v>
      </c>
      <c r="AL297" s="49" t="e">
        <f t="shared" si="653"/>
        <v>#N/A</v>
      </c>
      <c r="AM297" s="25">
        <f t="shared" si="631"/>
        <v>30</v>
      </c>
      <c r="AN297" s="25">
        <f t="shared" si="632"/>
        <v>30</v>
      </c>
      <c r="AO297" s="25">
        <f t="shared" si="633"/>
        <v>30</v>
      </c>
      <c r="AP297" s="52" t="e">
        <f t="shared" si="654"/>
        <v>#N/A</v>
      </c>
      <c r="AQ297" s="53" t="e">
        <f t="shared" si="654"/>
        <v>#N/A</v>
      </c>
      <c r="AR297" s="54" t="e">
        <f t="shared" si="654"/>
        <v>#N/A</v>
      </c>
      <c r="AS297" s="316">
        <f t="shared" si="724"/>
        <v>0</v>
      </c>
      <c r="AT297" s="106">
        <f>_xlfn.IFNA($M297/VLOOKUP($BT297,'Unit information'!$A$2:$K$29,2,FALSE)*R297,0)*(1+$E$9)</f>
        <v>0</v>
      </c>
      <c r="AU297" s="107">
        <f>_xlfn.IFNA($M297/VLOOKUP($BT297,'Unit information'!$A$2:$K$29,3,FALSE)*S297,0)*(1+$E$9)</f>
        <v>0</v>
      </c>
      <c r="AV297" s="107">
        <f>_xlfn.IFNA($M297/VLOOKUP($BT297,'Unit information'!$A$2:$K$29,4,FALSE)*T297,0)*(1+$E$9)</f>
        <v>0</v>
      </c>
      <c r="AW297" s="107">
        <f>_xlfn.IFNA($M297/VLOOKUP($BT297,'Unit information'!$A$2:$K$29,5,FALSE)*U297,0)*(1+$E$9)</f>
        <v>0</v>
      </c>
      <c r="AX297" s="107">
        <f>_xlfn.IFNA($M297/VLOOKUP($BU297,'Unit information'!$A$2:$K$29,6,FALSE)*V297,0)*(1+$E$9)</f>
        <v>0</v>
      </c>
      <c r="AY297" s="107">
        <f>_xlfn.IFNA($M297/VLOOKUP($BU297,'Unit information'!$A$2:$K$29,7,FALSE)*W297,0)*(1+$E$9)</f>
        <v>0</v>
      </c>
      <c r="AZ297" s="107">
        <f>_xlfn.IFNA($M297/VLOOKUP($BU297,'Unit information'!$A$2:$K$29,8,FALSE)*X297,0)*(1+$E$9)</f>
        <v>0</v>
      </c>
      <c r="BA297" s="107">
        <f>_xlfn.IFNA($M297/VLOOKUP($BU297,'Unit information'!$A$2:$K$29,9,FALSE)*Y297,0)*(1+$E$9)</f>
        <v>0</v>
      </c>
      <c r="BB297" s="107">
        <f>_xlfn.IFNA($M297/VLOOKUP($BV297,'Unit information'!$A$2:$K$29,10,FALSE)*Z297,0)*(1+$E$9)</f>
        <v>0</v>
      </c>
      <c r="BC297" s="108">
        <f>_xlfn.IFNA($M297/VLOOKUP($BV297,'Unit information'!$A$2:$K$29,11,FALSE)*AA297,0)*(1+$E$9)</f>
        <v>0</v>
      </c>
      <c r="BD297" s="106">
        <f t="shared" si="634"/>
        <v>0</v>
      </c>
      <c r="BE297" s="107">
        <f t="shared" si="635"/>
        <v>0</v>
      </c>
      <c r="BF297" s="108">
        <f t="shared" si="636"/>
        <v>0</v>
      </c>
      <c r="BG297" s="25" t="e">
        <f t="shared" si="637"/>
        <v>#N/A</v>
      </c>
      <c r="BH297" s="25" t="e">
        <f t="shared" si="638"/>
        <v>#N/A</v>
      </c>
      <c r="BI297" s="25" t="e">
        <f t="shared" si="639"/>
        <v>#N/A</v>
      </c>
      <c r="BJ297" s="27" t="e">
        <f t="shared" si="640"/>
        <v>#N/A</v>
      </c>
      <c r="BK297" s="18" t="e">
        <f t="shared" si="641"/>
        <v>#N/A</v>
      </c>
      <c r="BL297" s="18" t="e">
        <f t="shared" si="642"/>
        <v>#N/A</v>
      </c>
      <c r="BM297" s="28" t="e">
        <f t="shared" si="693"/>
        <v>#N/A</v>
      </c>
      <c r="BN297" s="33">
        <f>HLOOKUP("maximum population",Miscelaneous!$C$1:$C$33,CH297+3,FALSE)</f>
        <v>240</v>
      </c>
      <c r="BO297" s="14">
        <f t="shared" si="655"/>
        <v>32</v>
      </c>
      <c r="BP297" s="14">
        <f t="shared" si="656"/>
        <v>0</v>
      </c>
      <c r="BQ297" s="14">
        <f t="shared" si="657"/>
        <v>208</v>
      </c>
      <c r="BR297" s="34" t="e">
        <f>HLOOKUP(J297,Villagers!$B$1:$V$33,L297+3,FALSE)-HLOOKUP(J297,Villagers!$B$1:$V$33,L297+2,FALSE)</f>
        <v>#N/A</v>
      </c>
      <c r="BS297" s="49">
        <f t="shared" si="658"/>
        <v>1</v>
      </c>
      <c r="BT297" s="50">
        <f t="shared" si="659"/>
        <v>0</v>
      </c>
      <c r="BU297" s="50">
        <f t="shared" si="660"/>
        <v>0</v>
      </c>
      <c r="BV297" s="50">
        <f t="shared" si="661"/>
        <v>0</v>
      </c>
      <c r="BW297" s="50">
        <f t="shared" si="730"/>
        <v>0</v>
      </c>
      <c r="BX297" s="50">
        <f t="shared" si="728"/>
        <v>0</v>
      </c>
      <c r="BY297" s="50">
        <f t="shared" si="728"/>
        <v>0</v>
      </c>
      <c r="BZ297" s="50">
        <f t="shared" si="707"/>
        <v>0</v>
      </c>
      <c r="CA297" s="50">
        <f t="shared" si="708"/>
        <v>0</v>
      </c>
      <c r="CB297" s="50">
        <f t="shared" si="709"/>
        <v>1</v>
      </c>
      <c r="CC297" s="50">
        <f t="shared" si="710"/>
        <v>0</v>
      </c>
      <c r="CD297" s="50">
        <f t="shared" si="711"/>
        <v>0</v>
      </c>
      <c r="CE297" s="50">
        <f t="shared" si="712"/>
        <v>1</v>
      </c>
      <c r="CF297" s="50">
        <f t="shared" si="713"/>
        <v>1</v>
      </c>
      <c r="CG297" s="50">
        <f t="shared" si="714"/>
        <v>1</v>
      </c>
      <c r="CH297" s="50">
        <f t="shared" si="715"/>
        <v>1</v>
      </c>
      <c r="CI297" s="50">
        <f t="shared" si="716"/>
        <v>1</v>
      </c>
      <c r="CJ297" s="50">
        <f t="shared" si="717"/>
        <v>1</v>
      </c>
      <c r="CK297" s="50">
        <f t="shared" si="717"/>
        <v>0</v>
      </c>
      <c r="CL297" s="50">
        <f t="shared" si="717"/>
        <v>0</v>
      </c>
      <c r="CM297" s="51">
        <f t="shared" si="605"/>
        <v>0</v>
      </c>
      <c r="CN297" s="33">
        <f>ROUND(IF(BS297=0,0,HLOOKUP(BS$14,Villagers!$B$1:$V$33,BS297+3,FALSE)),)</f>
        <v>5</v>
      </c>
      <c r="CO297" s="14">
        <f>ROUND(IF(BT297=0,0,HLOOKUP(BT$14,Villagers!$B$1:$V$33,BT297+3,FALSE)),)</f>
        <v>0</v>
      </c>
      <c r="CP297" s="14">
        <f>ROUND(IF(BU297=0,0,HLOOKUP(BU$14,Villagers!$B$1:$V$33,BU297+3,FALSE)),)</f>
        <v>0</v>
      </c>
      <c r="CQ297" s="14">
        <f>ROUND(IF(BV297=0,0,HLOOKUP(BV$14,Villagers!$B$1:$V$33,BV297+3,FALSE)),)</f>
        <v>0</v>
      </c>
      <c r="CR297" s="14">
        <f>ROUND(IF(BW297=0,0,HLOOKUP(BW$14,Villagers!$B$1:$V$33,BW297+3,FALSE)),)</f>
        <v>0</v>
      </c>
      <c r="CS297" s="14">
        <f>ROUND(IF(BX297=0,0,HLOOKUP(BX$14,Villagers!$B$1:$V$33,BX297+3,FALSE)),)</f>
        <v>0</v>
      </c>
      <c r="CT297" s="14">
        <f>ROUND(IF(BY297=0,0,HLOOKUP(BY$14,Villagers!$B$1:$V$33,BY297+3,FALSE)),)</f>
        <v>0</v>
      </c>
      <c r="CU297" s="14">
        <f>ROUND(IF(BZ297=0,0,HLOOKUP(BZ$14,Villagers!$B$1:$V$33,BZ297+3,FALSE)),)</f>
        <v>0</v>
      </c>
      <c r="CV297" s="14">
        <f>ROUND(IF(CA297=0,0,HLOOKUP(CA$14,Villagers!$B$1:$V$33,CA297+3,FALSE)),)</f>
        <v>0</v>
      </c>
      <c r="CW297" s="14">
        <f>ROUND(IF(CB297=0,0,HLOOKUP(CB$14,Villagers!$B$1:$V$33,CB297+3,FALSE)),)</f>
        <v>0</v>
      </c>
      <c r="CX297" s="14">
        <f>ROUND(IF(CC297=0,0,HLOOKUP(CC$14,Villagers!$B$1:$V$33,CC297+3,FALSE)),)</f>
        <v>0</v>
      </c>
      <c r="CY297" s="14">
        <f>ROUND(IF(CD297=0,0,HLOOKUP(CD$14,Villagers!$B$1:$V$33,CD297+3,FALSE)),)</f>
        <v>0</v>
      </c>
      <c r="CZ297" s="14">
        <f>ROUND(IF(CE297=0,0,HLOOKUP(CE$14,Villagers!$B$1:$V$33,CE297+3,FALSE)),)</f>
        <v>5</v>
      </c>
      <c r="DA297" s="14">
        <f>ROUND(IF(CF297=0,0,HLOOKUP(CF$14,Villagers!$B$1:$V$33,CF297+3,FALSE)),)</f>
        <v>10</v>
      </c>
      <c r="DB297" s="14">
        <f>ROUND(IF(CG297=0,0,HLOOKUP(CG$14,Villagers!$B$1:$V$33,CG297+3,FALSE)),)</f>
        <v>10</v>
      </c>
      <c r="DC297" s="14">
        <f>ROUND(IF(CH297=0,0,HLOOKUP(CH$14,Villagers!$B$1:$V$33,CH297+3,FALSE)),)</f>
        <v>0</v>
      </c>
      <c r="DD297" s="14">
        <f>ROUND(IF(CI297=0,0,HLOOKUP(CI$14,Villagers!$B$1:$V$33,CI297+3,FALSE)),)</f>
        <v>0</v>
      </c>
      <c r="DE297" s="14">
        <f>ROUND(IF(CJ297=0,0,HLOOKUP(CJ$14,Villagers!$B$1:$V$33,CJ297+3,FALSE)),)</f>
        <v>2</v>
      </c>
      <c r="DF297" s="370">
        <f>ROUND(IF(CK297=0,0,HLOOKUP(CK$14,Villagers!$B$1:$V$33,CK297+3,FALSE)),)</f>
        <v>0</v>
      </c>
      <c r="DG297" s="370">
        <f>ROUND(IF(CL297=0,0,HLOOKUP(CL$14,Villagers!$B$1:$V$33,CL297+3,FALSE)),)</f>
        <v>0</v>
      </c>
      <c r="DH297" s="34">
        <f>ROUND(IF(CM297=0,0,HLOOKUP(CM$14,Villagers!$B$1:$V$33,CM297+3,FALSE)),)</f>
        <v>0</v>
      </c>
      <c r="DI297" s="109">
        <f t="shared" si="679"/>
        <v>0</v>
      </c>
      <c r="DJ297" s="50">
        <f t="shared" si="680"/>
        <v>0</v>
      </c>
      <c r="DK297" s="50">
        <f t="shared" si="681"/>
        <v>0</v>
      </c>
      <c r="DL297" s="50">
        <f t="shared" si="682"/>
        <v>0</v>
      </c>
      <c r="DM297" s="50">
        <f t="shared" si="683"/>
        <v>0</v>
      </c>
      <c r="DN297" s="50">
        <f t="shared" si="684"/>
        <v>0</v>
      </c>
      <c r="DO297" s="50">
        <f t="shared" si="685"/>
        <v>0</v>
      </c>
      <c r="DP297" s="50">
        <f t="shared" si="686"/>
        <v>0</v>
      </c>
      <c r="DQ297" s="50">
        <f t="shared" si="663"/>
        <v>0</v>
      </c>
      <c r="DR297" s="50">
        <f t="shared" si="664"/>
        <v>0</v>
      </c>
      <c r="DS297" s="96">
        <f>Miscelaneous!$D$4*Miscelaneous!$D$2^($CI297-1)</f>
        <v>1000</v>
      </c>
      <c r="DT297" s="333">
        <f t="shared" si="643"/>
        <v>1</v>
      </c>
      <c r="DU297" s="81">
        <v>1</v>
      </c>
      <c r="DV297" s="79">
        <f t="shared" si="665"/>
        <v>0</v>
      </c>
      <c r="DW297" s="79">
        <f t="shared" si="666"/>
        <v>0</v>
      </c>
      <c r="DX297" s="79">
        <f t="shared" si="667"/>
        <v>0</v>
      </c>
      <c r="DY297" s="79">
        <v>1</v>
      </c>
      <c r="DZ297" s="79">
        <f t="shared" si="668"/>
        <v>0</v>
      </c>
      <c r="EA297" s="79">
        <f t="shared" si="669"/>
        <v>0</v>
      </c>
      <c r="EB297" s="79">
        <f t="shared" si="670"/>
        <v>0</v>
      </c>
      <c r="EC297" s="79">
        <f t="shared" si="671"/>
        <v>0</v>
      </c>
      <c r="ED297" s="79">
        <v>1</v>
      </c>
      <c r="EE297" s="79">
        <v>1</v>
      </c>
      <c r="EF297" s="79">
        <f t="shared" si="672"/>
        <v>0</v>
      </c>
      <c r="EG297" s="79">
        <v>1</v>
      </c>
      <c r="EH297" s="79">
        <v>1</v>
      </c>
      <c r="EI297" s="79">
        <v>1</v>
      </c>
      <c r="EJ297" s="79">
        <v>1</v>
      </c>
      <c r="EK297" s="79">
        <v>1</v>
      </c>
      <c r="EL297" s="79">
        <v>1</v>
      </c>
      <c r="EM297" s="143">
        <f t="shared" si="673"/>
        <v>0</v>
      </c>
      <c r="EN297" s="143">
        <f t="shared" si="674"/>
        <v>0</v>
      </c>
      <c r="EO297" s="82">
        <f t="shared" si="675"/>
        <v>0</v>
      </c>
    </row>
    <row r="298" spans="1:145" x14ac:dyDescent="0.25">
      <c r="A298">
        <v>284</v>
      </c>
      <c r="B298" s="172" t="e">
        <f t="shared" si="644"/>
        <v>#N/A</v>
      </c>
      <c r="C298" s="121" t="e">
        <f t="shared" ref="C298:E298" si="732">AJ298-SUM(AB298:AB302)</f>
        <v>#N/A</v>
      </c>
      <c r="D298" s="122" t="e">
        <f t="shared" si="732"/>
        <v>#N/A</v>
      </c>
      <c r="E298" s="122" t="e">
        <f t="shared" si="732"/>
        <v>#N/A</v>
      </c>
      <c r="F298" s="176" t="e">
        <f t="shared" si="626"/>
        <v>#N/A</v>
      </c>
      <c r="G298" s="121">
        <f t="shared" si="646"/>
        <v>208</v>
      </c>
      <c r="H298" s="176" t="e">
        <f t="shared" si="647"/>
        <v>#N/A</v>
      </c>
      <c r="I298" s="48">
        <v>1</v>
      </c>
      <c r="J298" s="39"/>
      <c r="K298" s="350">
        <v>1</v>
      </c>
      <c r="L298" s="34" t="e">
        <f t="shared" si="627"/>
        <v>#N/A</v>
      </c>
      <c r="M298" s="38" t="e">
        <f>(HLOOKUP(J298,'Construction Times'!$B$3:$W$34,L298+2,FALSE)*HLOOKUP("hq modifier",'Construction Times'!$W$3:$W$34,BS298+2,FALSE))*(1-$H$9)</f>
        <v>#N/A</v>
      </c>
      <c r="N298" s="426" t="e">
        <f t="shared" si="648"/>
        <v>#N/A</v>
      </c>
      <c r="O298" s="427"/>
      <c r="P298" s="430" t="e">
        <f t="shared" si="649"/>
        <v>#N/A</v>
      </c>
      <c r="Q298" s="431"/>
      <c r="R298" s="103">
        <f t="shared" si="677"/>
        <v>0</v>
      </c>
      <c r="S298" s="104">
        <f t="shared" si="677"/>
        <v>0</v>
      </c>
      <c r="T298" s="104">
        <f t="shared" si="678"/>
        <v>0</v>
      </c>
      <c r="U298" s="104">
        <f t="shared" si="678"/>
        <v>0</v>
      </c>
      <c r="V298" s="104">
        <f t="shared" si="678"/>
        <v>9.9999999999999995E-8</v>
      </c>
      <c r="W298" s="104">
        <f t="shared" si="678"/>
        <v>0</v>
      </c>
      <c r="X298" s="104">
        <f t="shared" si="584"/>
        <v>0</v>
      </c>
      <c r="Y298" s="104">
        <f t="shared" si="584"/>
        <v>9.9999999999999995E-8</v>
      </c>
      <c r="Z298" s="104">
        <f t="shared" si="584"/>
        <v>9.9999999999999995E-8</v>
      </c>
      <c r="AA298" s="105">
        <f t="shared" si="584"/>
        <v>9.9999999999999995E-8</v>
      </c>
      <c r="AB298" s="101" t="e">
        <f>$DT298*HLOOKUP($J298,'Construction Costs (timber)'!$B$1:$V$32,'Construction Planner'!$L298+2,FALSE)</f>
        <v>#N/A</v>
      </c>
      <c r="AC298" s="14" t="e">
        <f>$DT298*HLOOKUP($J298,'Construction Costs (clay)'!$B$1:$V$32,'Construction Planner'!$L298+2,FALSE)</f>
        <v>#N/A</v>
      </c>
      <c r="AD298" s="14" t="e">
        <f>$DT298*HLOOKUP($J298,'Construction Costs (iron)'!$B$1:$V$32,'Construction Planner'!$L298+2,FALSE)</f>
        <v>#N/A</v>
      </c>
      <c r="AE298" s="34" t="e">
        <f t="shared" si="690"/>
        <v>#N/A</v>
      </c>
      <c r="AF298" s="33" t="e">
        <f t="shared" si="628"/>
        <v>#N/A</v>
      </c>
      <c r="AG298" s="14" t="e">
        <f t="shared" si="629"/>
        <v>#N/A</v>
      </c>
      <c r="AH298" s="14" t="e">
        <f t="shared" si="630"/>
        <v>#N/A</v>
      </c>
      <c r="AI298" s="34" t="e">
        <f t="shared" si="691"/>
        <v>#N/A</v>
      </c>
      <c r="AJ298" s="49" t="e">
        <f t="shared" si="651"/>
        <v>#N/A</v>
      </c>
      <c r="AK298" s="49" t="e">
        <f t="shared" si="652"/>
        <v>#N/A</v>
      </c>
      <c r="AL298" s="49" t="e">
        <f t="shared" si="653"/>
        <v>#N/A</v>
      </c>
      <c r="AM298" s="25">
        <f t="shared" si="631"/>
        <v>30</v>
      </c>
      <c r="AN298" s="25">
        <f t="shared" si="632"/>
        <v>30</v>
      </c>
      <c r="AO298" s="25">
        <f t="shared" si="633"/>
        <v>30</v>
      </c>
      <c r="AP298" s="52" t="e">
        <f t="shared" si="654"/>
        <v>#N/A</v>
      </c>
      <c r="AQ298" s="53" t="e">
        <f t="shared" si="654"/>
        <v>#N/A</v>
      </c>
      <c r="AR298" s="54" t="e">
        <f t="shared" si="654"/>
        <v>#N/A</v>
      </c>
      <c r="AS298" s="316">
        <f t="shared" si="724"/>
        <v>0</v>
      </c>
      <c r="AT298" s="106">
        <f>_xlfn.IFNA($M298/VLOOKUP($BT298,'Unit information'!$A$2:$K$29,2,FALSE)*R298,0)*(1+$E$9)</f>
        <v>0</v>
      </c>
      <c r="AU298" s="107">
        <f>_xlfn.IFNA($M298/VLOOKUP($BT298,'Unit information'!$A$2:$K$29,3,FALSE)*S298,0)*(1+$E$9)</f>
        <v>0</v>
      </c>
      <c r="AV298" s="107">
        <f>_xlfn.IFNA($M298/VLOOKUP($BT298,'Unit information'!$A$2:$K$29,4,FALSE)*T298,0)*(1+$E$9)</f>
        <v>0</v>
      </c>
      <c r="AW298" s="107">
        <f>_xlfn.IFNA($M298/VLOOKUP($BT298,'Unit information'!$A$2:$K$29,5,FALSE)*U298,0)*(1+$E$9)</f>
        <v>0</v>
      </c>
      <c r="AX298" s="107">
        <f>_xlfn.IFNA($M298/VLOOKUP($BU298,'Unit information'!$A$2:$K$29,6,FALSE)*V298,0)*(1+$E$9)</f>
        <v>0</v>
      </c>
      <c r="AY298" s="107">
        <f>_xlfn.IFNA($M298/VLOOKUP($BU298,'Unit information'!$A$2:$K$29,7,FALSE)*W298,0)*(1+$E$9)</f>
        <v>0</v>
      </c>
      <c r="AZ298" s="107">
        <f>_xlfn.IFNA($M298/VLOOKUP($BU298,'Unit information'!$A$2:$K$29,8,FALSE)*X298,0)*(1+$E$9)</f>
        <v>0</v>
      </c>
      <c r="BA298" s="107">
        <f>_xlfn.IFNA($M298/VLOOKUP($BU298,'Unit information'!$A$2:$K$29,9,FALSE)*Y298,0)*(1+$E$9)</f>
        <v>0</v>
      </c>
      <c r="BB298" s="107">
        <f>_xlfn.IFNA($M298/VLOOKUP($BV298,'Unit information'!$A$2:$K$29,10,FALSE)*Z298,0)*(1+$E$9)</f>
        <v>0</v>
      </c>
      <c r="BC298" s="108">
        <f>_xlfn.IFNA($M298/VLOOKUP($BV298,'Unit information'!$A$2:$K$29,11,FALSE)*AA298,0)*(1+$E$9)</f>
        <v>0</v>
      </c>
      <c r="BD298" s="106">
        <f t="shared" si="634"/>
        <v>0</v>
      </c>
      <c r="BE298" s="107">
        <f t="shared" si="635"/>
        <v>0</v>
      </c>
      <c r="BF298" s="108">
        <f t="shared" si="636"/>
        <v>0</v>
      </c>
      <c r="BG298" s="25" t="e">
        <f t="shared" si="637"/>
        <v>#N/A</v>
      </c>
      <c r="BH298" s="25" t="e">
        <f t="shared" si="638"/>
        <v>#N/A</v>
      </c>
      <c r="BI298" s="25" t="e">
        <f t="shared" si="639"/>
        <v>#N/A</v>
      </c>
      <c r="BJ298" s="27" t="e">
        <f t="shared" si="640"/>
        <v>#N/A</v>
      </c>
      <c r="BK298" s="18" t="e">
        <f t="shared" si="641"/>
        <v>#N/A</v>
      </c>
      <c r="BL298" s="18" t="e">
        <f t="shared" si="642"/>
        <v>#N/A</v>
      </c>
      <c r="BM298" s="28" t="e">
        <f t="shared" si="693"/>
        <v>#N/A</v>
      </c>
      <c r="BN298" s="33">
        <f>HLOOKUP("maximum population",Miscelaneous!$C$1:$C$33,CH298+3,FALSE)</f>
        <v>240</v>
      </c>
      <c r="BO298" s="14">
        <f t="shared" si="655"/>
        <v>32</v>
      </c>
      <c r="BP298" s="14">
        <f t="shared" si="656"/>
        <v>0</v>
      </c>
      <c r="BQ298" s="14">
        <f t="shared" si="657"/>
        <v>208</v>
      </c>
      <c r="BR298" s="34" t="e">
        <f>HLOOKUP(J298,Villagers!$B$1:$V$33,L298+3,FALSE)-HLOOKUP(J298,Villagers!$B$1:$V$33,L298+2,FALSE)</f>
        <v>#N/A</v>
      </c>
      <c r="BS298" s="49">
        <f t="shared" si="658"/>
        <v>1</v>
      </c>
      <c r="BT298" s="50">
        <f t="shared" si="659"/>
        <v>0</v>
      </c>
      <c r="BU298" s="50">
        <f t="shared" si="660"/>
        <v>0</v>
      </c>
      <c r="BV298" s="50">
        <f t="shared" si="661"/>
        <v>0</v>
      </c>
      <c r="BW298" s="50">
        <f t="shared" si="730"/>
        <v>0</v>
      </c>
      <c r="BX298" s="50">
        <f t="shared" si="728"/>
        <v>0</v>
      </c>
      <c r="BY298" s="50">
        <f t="shared" si="728"/>
        <v>0</v>
      </c>
      <c r="BZ298" s="50">
        <f t="shared" si="707"/>
        <v>0</v>
      </c>
      <c r="CA298" s="50">
        <f t="shared" si="708"/>
        <v>0</v>
      </c>
      <c r="CB298" s="50">
        <f t="shared" si="709"/>
        <v>1</v>
      </c>
      <c r="CC298" s="50">
        <f t="shared" si="710"/>
        <v>0</v>
      </c>
      <c r="CD298" s="50">
        <f t="shared" si="711"/>
        <v>0</v>
      </c>
      <c r="CE298" s="50">
        <f t="shared" si="712"/>
        <v>1</v>
      </c>
      <c r="CF298" s="50">
        <f t="shared" si="713"/>
        <v>1</v>
      </c>
      <c r="CG298" s="50">
        <f t="shared" si="714"/>
        <v>1</v>
      </c>
      <c r="CH298" s="50">
        <f t="shared" si="715"/>
        <v>1</v>
      </c>
      <c r="CI298" s="50">
        <f t="shared" si="716"/>
        <v>1</v>
      </c>
      <c r="CJ298" s="50">
        <f t="shared" si="717"/>
        <v>1</v>
      </c>
      <c r="CK298" s="50">
        <f t="shared" si="717"/>
        <v>0</v>
      </c>
      <c r="CL298" s="50">
        <f t="shared" si="717"/>
        <v>0</v>
      </c>
      <c r="CM298" s="51">
        <f t="shared" si="605"/>
        <v>0</v>
      </c>
      <c r="CN298" s="33">
        <f>ROUND(IF(BS298=0,0,HLOOKUP(BS$14,Villagers!$B$1:$V$33,BS298+3,FALSE)),)</f>
        <v>5</v>
      </c>
      <c r="CO298" s="14">
        <f>ROUND(IF(BT298=0,0,HLOOKUP(BT$14,Villagers!$B$1:$V$33,BT298+3,FALSE)),)</f>
        <v>0</v>
      </c>
      <c r="CP298" s="14">
        <f>ROUND(IF(BU298=0,0,HLOOKUP(BU$14,Villagers!$B$1:$V$33,BU298+3,FALSE)),)</f>
        <v>0</v>
      </c>
      <c r="CQ298" s="14">
        <f>ROUND(IF(BV298=0,0,HLOOKUP(BV$14,Villagers!$B$1:$V$33,BV298+3,FALSE)),)</f>
        <v>0</v>
      </c>
      <c r="CR298" s="14">
        <f>ROUND(IF(BW298=0,0,HLOOKUP(BW$14,Villagers!$B$1:$V$33,BW298+3,FALSE)),)</f>
        <v>0</v>
      </c>
      <c r="CS298" s="14">
        <f>ROUND(IF(BX298=0,0,HLOOKUP(BX$14,Villagers!$B$1:$V$33,BX298+3,FALSE)),)</f>
        <v>0</v>
      </c>
      <c r="CT298" s="14">
        <f>ROUND(IF(BY298=0,0,HLOOKUP(BY$14,Villagers!$B$1:$V$33,BY298+3,FALSE)),)</f>
        <v>0</v>
      </c>
      <c r="CU298" s="14">
        <f>ROUND(IF(BZ298=0,0,HLOOKUP(BZ$14,Villagers!$B$1:$V$33,BZ298+3,FALSE)),)</f>
        <v>0</v>
      </c>
      <c r="CV298" s="14">
        <f>ROUND(IF(CA298=0,0,HLOOKUP(CA$14,Villagers!$B$1:$V$33,CA298+3,FALSE)),)</f>
        <v>0</v>
      </c>
      <c r="CW298" s="14">
        <f>ROUND(IF(CB298=0,0,HLOOKUP(CB$14,Villagers!$B$1:$V$33,CB298+3,FALSE)),)</f>
        <v>0</v>
      </c>
      <c r="CX298" s="14">
        <f>ROUND(IF(CC298=0,0,HLOOKUP(CC$14,Villagers!$B$1:$V$33,CC298+3,FALSE)),)</f>
        <v>0</v>
      </c>
      <c r="CY298" s="14">
        <f>ROUND(IF(CD298=0,0,HLOOKUP(CD$14,Villagers!$B$1:$V$33,CD298+3,FALSE)),)</f>
        <v>0</v>
      </c>
      <c r="CZ298" s="14">
        <f>ROUND(IF(CE298=0,0,HLOOKUP(CE$14,Villagers!$B$1:$V$33,CE298+3,FALSE)),)</f>
        <v>5</v>
      </c>
      <c r="DA298" s="14">
        <f>ROUND(IF(CF298=0,0,HLOOKUP(CF$14,Villagers!$B$1:$V$33,CF298+3,FALSE)),)</f>
        <v>10</v>
      </c>
      <c r="DB298" s="14">
        <f>ROUND(IF(CG298=0,0,HLOOKUP(CG$14,Villagers!$B$1:$V$33,CG298+3,FALSE)),)</f>
        <v>10</v>
      </c>
      <c r="DC298" s="14">
        <f>ROUND(IF(CH298=0,0,HLOOKUP(CH$14,Villagers!$B$1:$V$33,CH298+3,FALSE)),)</f>
        <v>0</v>
      </c>
      <c r="DD298" s="14">
        <f>ROUND(IF(CI298=0,0,HLOOKUP(CI$14,Villagers!$B$1:$V$33,CI298+3,FALSE)),)</f>
        <v>0</v>
      </c>
      <c r="DE298" s="14">
        <f>ROUND(IF(CJ298=0,0,HLOOKUP(CJ$14,Villagers!$B$1:$V$33,CJ298+3,FALSE)),)</f>
        <v>2</v>
      </c>
      <c r="DF298" s="370">
        <f>ROUND(IF(CK298=0,0,HLOOKUP(CK$14,Villagers!$B$1:$V$33,CK298+3,FALSE)),)</f>
        <v>0</v>
      </c>
      <c r="DG298" s="370">
        <f>ROUND(IF(CL298=0,0,HLOOKUP(CL$14,Villagers!$B$1:$V$33,CL298+3,FALSE)),)</f>
        <v>0</v>
      </c>
      <c r="DH298" s="34">
        <f>ROUND(IF(CM298=0,0,HLOOKUP(CM$14,Villagers!$B$1:$V$33,CM298+3,FALSE)),)</f>
        <v>0</v>
      </c>
      <c r="DI298" s="109">
        <f t="shared" si="679"/>
        <v>0</v>
      </c>
      <c r="DJ298" s="50">
        <f t="shared" si="680"/>
        <v>0</v>
      </c>
      <c r="DK298" s="50">
        <f t="shared" si="681"/>
        <v>0</v>
      </c>
      <c r="DL298" s="50">
        <f t="shared" si="682"/>
        <v>0</v>
      </c>
      <c r="DM298" s="50">
        <f t="shared" si="683"/>
        <v>0</v>
      </c>
      <c r="DN298" s="50">
        <f t="shared" si="684"/>
        <v>0</v>
      </c>
      <c r="DO298" s="50">
        <f t="shared" si="685"/>
        <v>0</v>
      </c>
      <c r="DP298" s="50">
        <f t="shared" si="686"/>
        <v>0</v>
      </c>
      <c r="DQ298" s="50">
        <f t="shared" si="663"/>
        <v>0</v>
      </c>
      <c r="DR298" s="50">
        <f t="shared" si="664"/>
        <v>0</v>
      </c>
      <c r="DS298" s="96">
        <f>Miscelaneous!$D$4*Miscelaneous!$D$2^($CI298-1)</f>
        <v>1000</v>
      </c>
      <c r="DT298" s="333">
        <f t="shared" si="643"/>
        <v>1</v>
      </c>
      <c r="DU298" s="81">
        <v>1</v>
      </c>
      <c r="DV298" s="79">
        <f t="shared" si="665"/>
        <v>0</v>
      </c>
      <c r="DW298" s="79">
        <f t="shared" si="666"/>
        <v>0</v>
      </c>
      <c r="DX298" s="79">
        <f t="shared" si="667"/>
        <v>0</v>
      </c>
      <c r="DY298" s="79">
        <v>1</v>
      </c>
      <c r="DZ298" s="79">
        <f t="shared" si="668"/>
        <v>0</v>
      </c>
      <c r="EA298" s="79">
        <f t="shared" si="669"/>
        <v>0</v>
      </c>
      <c r="EB298" s="79">
        <f t="shared" si="670"/>
        <v>0</v>
      </c>
      <c r="EC298" s="79">
        <f t="shared" si="671"/>
        <v>0</v>
      </c>
      <c r="ED298" s="79">
        <v>1</v>
      </c>
      <c r="EE298" s="79">
        <v>1</v>
      </c>
      <c r="EF298" s="79">
        <f t="shared" si="672"/>
        <v>0</v>
      </c>
      <c r="EG298" s="79">
        <v>1</v>
      </c>
      <c r="EH298" s="79">
        <v>1</v>
      </c>
      <c r="EI298" s="79">
        <v>1</v>
      </c>
      <c r="EJ298" s="79">
        <v>1</v>
      </c>
      <c r="EK298" s="79">
        <v>1</v>
      </c>
      <c r="EL298" s="79">
        <v>1</v>
      </c>
      <c r="EM298" s="143">
        <f t="shared" si="673"/>
        <v>0</v>
      </c>
      <c r="EN298" s="143">
        <f t="shared" si="674"/>
        <v>0</v>
      </c>
      <c r="EO298" s="82">
        <f t="shared" si="675"/>
        <v>0</v>
      </c>
    </row>
    <row r="299" spans="1:145" x14ac:dyDescent="0.25">
      <c r="A299">
        <v>285</v>
      </c>
      <c r="B299" s="172" t="e">
        <f t="shared" si="644"/>
        <v>#N/A</v>
      </c>
      <c r="C299" s="121" t="e">
        <f t="shared" ref="C299:E299" si="733">AJ299-SUM(AB299:AB303)</f>
        <v>#N/A</v>
      </c>
      <c r="D299" s="122" t="e">
        <f t="shared" si="733"/>
        <v>#N/A</v>
      </c>
      <c r="E299" s="122" t="e">
        <f t="shared" si="733"/>
        <v>#N/A</v>
      </c>
      <c r="F299" s="176" t="e">
        <f t="shared" si="626"/>
        <v>#N/A</v>
      </c>
      <c r="G299" s="121">
        <f t="shared" si="646"/>
        <v>208</v>
      </c>
      <c r="H299" s="176" t="e">
        <f t="shared" si="647"/>
        <v>#N/A</v>
      </c>
      <c r="I299" s="48">
        <v>1</v>
      </c>
      <c r="J299" s="39"/>
      <c r="K299" s="350">
        <v>1</v>
      </c>
      <c r="L299" s="34" t="e">
        <f t="shared" si="627"/>
        <v>#N/A</v>
      </c>
      <c r="M299" s="38" t="e">
        <f>(HLOOKUP(J299,'Construction Times'!$B$3:$W$34,L299+2,FALSE)*HLOOKUP("hq modifier",'Construction Times'!$W$3:$W$34,BS299+2,FALSE))*(1-$H$9)</f>
        <v>#N/A</v>
      </c>
      <c r="N299" s="426" t="e">
        <f t="shared" si="648"/>
        <v>#N/A</v>
      </c>
      <c r="O299" s="427"/>
      <c r="P299" s="430" t="e">
        <f t="shared" si="649"/>
        <v>#N/A</v>
      </c>
      <c r="Q299" s="431"/>
      <c r="R299" s="103">
        <f t="shared" si="677"/>
        <v>0</v>
      </c>
      <c r="S299" s="104">
        <f t="shared" si="677"/>
        <v>0</v>
      </c>
      <c r="T299" s="104">
        <f t="shared" si="678"/>
        <v>0</v>
      </c>
      <c r="U299" s="104">
        <f t="shared" si="678"/>
        <v>0</v>
      </c>
      <c r="V299" s="104">
        <f t="shared" si="678"/>
        <v>9.9999999999999995E-8</v>
      </c>
      <c r="W299" s="104">
        <f t="shared" si="678"/>
        <v>0</v>
      </c>
      <c r="X299" s="104">
        <f t="shared" si="584"/>
        <v>0</v>
      </c>
      <c r="Y299" s="104">
        <f t="shared" si="584"/>
        <v>9.9999999999999995E-8</v>
      </c>
      <c r="Z299" s="104">
        <f t="shared" si="584"/>
        <v>9.9999999999999995E-8</v>
      </c>
      <c r="AA299" s="105">
        <f t="shared" si="584"/>
        <v>9.9999999999999995E-8</v>
      </c>
      <c r="AB299" s="101" t="e">
        <f>$DT299*HLOOKUP($J299,'Construction Costs (timber)'!$B$1:$V$32,'Construction Planner'!$L299+2,FALSE)</f>
        <v>#N/A</v>
      </c>
      <c r="AC299" s="14" t="e">
        <f>$DT299*HLOOKUP($J299,'Construction Costs (clay)'!$B$1:$V$32,'Construction Planner'!$L299+2,FALSE)</f>
        <v>#N/A</v>
      </c>
      <c r="AD299" s="14" t="e">
        <f>$DT299*HLOOKUP($J299,'Construction Costs (iron)'!$B$1:$V$32,'Construction Planner'!$L299+2,FALSE)</f>
        <v>#N/A</v>
      </c>
      <c r="AE299" s="34" t="e">
        <f t="shared" si="690"/>
        <v>#N/A</v>
      </c>
      <c r="AF299" s="33" t="e">
        <f t="shared" si="628"/>
        <v>#N/A</v>
      </c>
      <c r="AG299" s="14" t="e">
        <f t="shared" si="629"/>
        <v>#N/A</v>
      </c>
      <c r="AH299" s="14" t="e">
        <f t="shared" si="630"/>
        <v>#N/A</v>
      </c>
      <c r="AI299" s="34" t="e">
        <f t="shared" si="691"/>
        <v>#N/A</v>
      </c>
      <c r="AJ299" s="49" t="e">
        <f t="shared" si="651"/>
        <v>#N/A</v>
      </c>
      <c r="AK299" s="49" t="e">
        <f t="shared" si="652"/>
        <v>#N/A</v>
      </c>
      <c r="AL299" s="49" t="e">
        <f t="shared" si="653"/>
        <v>#N/A</v>
      </c>
      <c r="AM299" s="25">
        <f t="shared" si="631"/>
        <v>30</v>
      </c>
      <c r="AN299" s="25">
        <f t="shared" si="632"/>
        <v>30</v>
      </c>
      <c r="AO299" s="25">
        <f t="shared" si="633"/>
        <v>30</v>
      </c>
      <c r="AP299" s="52" t="e">
        <f t="shared" si="654"/>
        <v>#N/A</v>
      </c>
      <c r="AQ299" s="53" t="e">
        <f t="shared" si="654"/>
        <v>#N/A</v>
      </c>
      <c r="AR299" s="54" t="e">
        <f t="shared" si="654"/>
        <v>#N/A</v>
      </c>
      <c r="AS299" s="316">
        <f t="shared" si="724"/>
        <v>0</v>
      </c>
      <c r="AT299" s="106">
        <f>_xlfn.IFNA($M299/VLOOKUP($BT299,'Unit information'!$A$2:$K$29,2,FALSE)*R299,0)*(1+$E$9)</f>
        <v>0</v>
      </c>
      <c r="AU299" s="107">
        <f>_xlfn.IFNA($M299/VLOOKUP($BT299,'Unit information'!$A$2:$K$29,3,FALSE)*S299,0)*(1+$E$9)</f>
        <v>0</v>
      </c>
      <c r="AV299" s="107">
        <f>_xlfn.IFNA($M299/VLOOKUP($BT299,'Unit information'!$A$2:$K$29,4,FALSE)*T299,0)*(1+$E$9)</f>
        <v>0</v>
      </c>
      <c r="AW299" s="107">
        <f>_xlfn.IFNA($M299/VLOOKUP($BT299,'Unit information'!$A$2:$K$29,5,FALSE)*U299,0)*(1+$E$9)</f>
        <v>0</v>
      </c>
      <c r="AX299" s="107">
        <f>_xlfn.IFNA($M299/VLOOKUP($BU299,'Unit information'!$A$2:$K$29,6,FALSE)*V299,0)*(1+$E$9)</f>
        <v>0</v>
      </c>
      <c r="AY299" s="107">
        <f>_xlfn.IFNA($M299/VLOOKUP($BU299,'Unit information'!$A$2:$K$29,7,FALSE)*W299,0)*(1+$E$9)</f>
        <v>0</v>
      </c>
      <c r="AZ299" s="107">
        <f>_xlfn.IFNA($M299/VLOOKUP($BU299,'Unit information'!$A$2:$K$29,8,FALSE)*X299,0)*(1+$E$9)</f>
        <v>0</v>
      </c>
      <c r="BA299" s="107">
        <f>_xlfn.IFNA($M299/VLOOKUP($BU299,'Unit information'!$A$2:$K$29,9,FALSE)*Y299,0)*(1+$E$9)</f>
        <v>0</v>
      </c>
      <c r="BB299" s="107">
        <f>_xlfn.IFNA($M299/VLOOKUP($BV299,'Unit information'!$A$2:$K$29,10,FALSE)*Z299,0)*(1+$E$9)</f>
        <v>0</v>
      </c>
      <c r="BC299" s="108">
        <f>_xlfn.IFNA($M299/VLOOKUP($BV299,'Unit information'!$A$2:$K$29,11,FALSE)*AA299,0)*(1+$E$9)</f>
        <v>0</v>
      </c>
      <c r="BD299" s="106">
        <f t="shared" si="634"/>
        <v>0</v>
      </c>
      <c r="BE299" s="107">
        <f t="shared" si="635"/>
        <v>0</v>
      </c>
      <c r="BF299" s="108">
        <f t="shared" si="636"/>
        <v>0</v>
      </c>
      <c r="BG299" s="25" t="e">
        <f t="shared" si="637"/>
        <v>#N/A</v>
      </c>
      <c r="BH299" s="25" t="e">
        <f t="shared" si="638"/>
        <v>#N/A</v>
      </c>
      <c r="BI299" s="25" t="e">
        <f t="shared" si="639"/>
        <v>#N/A</v>
      </c>
      <c r="BJ299" s="27" t="e">
        <f t="shared" si="640"/>
        <v>#N/A</v>
      </c>
      <c r="BK299" s="18" t="e">
        <f t="shared" si="641"/>
        <v>#N/A</v>
      </c>
      <c r="BL299" s="18" t="e">
        <f t="shared" si="642"/>
        <v>#N/A</v>
      </c>
      <c r="BM299" s="28" t="e">
        <f t="shared" si="693"/>
        <v>#N/A</v>
      </c>
      <c r="BN299" s="33">
        <f>HLOOKUP("maximum population",Miscelaneous!$C$1:$C$33,CH299+3,FALSE)</f>
        <v>240</v>
      </c>
      <c r="BO299" s="14">
        <f t="shared" si="655"/>
        <v>32</v>
      </c>
      <c r="BP299" s="14">
        <f t="shared" si="656"/>
        <v>0</v>
      </c>
      <c r="BQ299" s="14">
        <f t="shared" si="657"/>
        <v>208</v>
      </c>
      <c r="BR299" s="34" t="e">
        <f>HLOOKUP(J299,Villagers!$B$1:$V$33,L299+3,FALSE)-HLOOKUP(J299,Villagers!$B$1:$V$33,L299+2,FALSE)</f>
        <v>#N/A</v>
      </c>
      <c r="BS299" s="49">
        <f t="shared" si="658"/>
        <v>1</v>
      </c>
      <c r="BT299" s="50">
        <f t="shared" si="659"/>
        <v>0</v>
      </c>
      <c r="BU299" s="50">
        <f t="shared" si="660"/>
        <v>0</v>
      </c>
      <c r="BV299" s="50">
        <f t="shared" si="661"/>
        <v>0</v>
      </c>
      <c r="BW299" s="50">
        <f t="shared" si="730"/>
        <v>0</v>
      </c>
      <c r="BX299" s="50">
        <f t="shared" si="728"/>
        <v>0</v>
      </c>
      <c r="BY299" s="50">
        <f t="shared" si="728"/>
        <v>0</v>
      </c>
      <c r="BZ299" s="50">
        <f t="shared" si="707"/>
        <v>0</v>
      </c>
      <c r="CA299" s="50">
        <f t="shared" si="708"/>
        <v>0</v>
      </c>
      <c r="CB299" s="50">
        <f t="shared" si="709"/>
        <v>1</v>
      </c>
      <c r="CC299" s="50">
        <f t="shared" si="710"/>
        <v>0</v>
      </c>
      <c r="CD299" s="50">
        <f t="shared" si="711"/>
        <v>0</v>
      </c>
      <c r="CE299" s="50">
        <f t="shared" si="712"/>
        <v>1</v>
      </c>
      <c r="CF299" s="50">
        <f t="shared" si="713"/>
        <v>1</v>
      </c>
      <c r="CG299" s="50">
        <f t="shared" si="714"/>
        <v>1</v>
      </c>
      <c r="CH299" s="50">
        <f t="shared" si="715"/>
        <v>1</v>
      </c>
      <c r="CI299" s="50">
        <f t="shared" si="716"/>
        <v>1</v>
      </c>
      <c r="CJ299" s="50">
        <f t="shared" si="717"/>
        <v>1</v>
      </c>
      <c r="CK299" s="50">
        <f t="shared" si="717"/>
        <v>0</v>
      </c>
      <c r="CL299" s="50">
        <f t="shared" si="717"/>
        <v>0</v>
      </c>
      <c r="CM299" s="51">
        <f t="shared" si="605"/>
        <v>0</v>
      </c>
      <c r="CN299" s="33">
        <f>ROUND(IF(BS299=0,0,HLOOKUP(BS$14,Villagers!$B$1:$V$33,BS299+3,FALSE)),)</f>
        <v>5</v>
      </c>
      <c r="CO299" s="14">
        <f>ROUND(IF(BT299=0,0,HLOOKUP(BT$14,Villagers!$B$1:$V$33,BT299+3,FALSE)),)</f>
        <v>0</v>
      </c>
      <c r="CP299" s="14">
        <f>ROUND(IF(BU299=0,0,HLOOKUP(BU$14,Villagers!$B$1:$V$33,BU299+3,FALSE)),)</f>
        <v>0</v>
      </c>
      <c r="CQ299" s="14">
        <f>ROUND(IF(BV299=0,0,HLOOKUP(BV$14,Villagers!$B$1:$V$33,BV299+3,FALSE)),)</f>
        <v>0</v>
      </c>
      <c r="CR299" s="14">
        <f>ROUND(IF(BW299=0,0,HLOOKUP(BW$14,Villagers!$B$1:$V$33,BW299+3,FALSE)),)</f>
        <v>0</v>
      </c>
      <c r="CS299" s="14">
        <f>ROUND(IF(BX299=0,0,HLOOKUP(BX$14,Villagers!$B$1:$V$33,BX299+3,FALSE)),)</f>
        <v>0</v>
      </c>
      <c r="CT299" s="14">
        <f>ROUND(IF(BY299=0,0,HLOOKUP(BY$14,Villagers!$B$1:$V$33,BY299+3,FALSE)),)</f>
        <v>0</v>
      </c>
      <c r="CU299" s="14">
        <f>ROUND(IF(BZ299=0,0,HLOOKUP(BZ$14,Villagers!$B$1:$V$33,BZ299+3,FALSE)),)</f>
        <v>0</v>
      </c>
      <c r="CV299" s="14">
        <f>ROUND(IF(CA299=0,0,HLOOKUP(CA$14,Villagers!$B$1:$V$33,CA299+3,FALSE)),)</f>
        <v>0</v>
      </c>
      <c r="CW299" s="14">
        <f>ROUND(IF(CB299=0,0,HLOOKUP(CB$14,Villagers!$B$1:$V$33,CB299+3,FALSE)),)</f>
        <v>0</v>
      </c>
      <c r="CX299" s="14">
        <f>ROUND(IF(CC299=0,0,HLOOKUP(CC$14,Villagers!$B$1:$V$33,CC299+3,FALSE)),)</f>
        <v>0</v>
      </c>
      <c r="CY299" s="14">
        <f>ROUND(IF(CD299=0,0,HLOOKUP(CD$14,Villagers!$B$1:$V$33,CD299+3,FALSE)),)</f>
        <v>0</v>
      </c>
      <c r="CZ299" s="14">
        <f>ROUND(IF(CE299=0,0,HLOOKUP(CE$14,Villagers!$B$1:$V$33,CE299+3,FALSE)),)</f>
        <v>5</v>
      </c>
      <c r="DA299" s="14">
        <f>ROUND(IF(CF299=0,0,HLOOKUP(CF$14,Villagers!$B$1:$V$33,CF299+3,FALSE)),)</f>
        <v>10</v>
      </c>
      <c r="DB299" s="14">
        <f>ROUND(IF(CG299=0,0,HLOOKUP(CG$14,Villagers!$B$1:$V$33,CG299+3,FALSE)),)</f>
        <v>10</v>
      </c>
      <c r="DC299" s="14">
        <f>ROUND(IF(CH299=0,0,HLOOKUP(CH$14,Villagers!$B$1:$V$33,CH299+3,FALSE)),)</f>
        <v>0</v>
      </c>
      <c r="DD299" s="14">
        <f>ROUND(IF(CI299=0,0,HLOOKUP(CI$14,Villagers!$B$1:$V$33,CI299+3,FALSE)),)</f>
        <v>0</v>
      </c>
      <c r="DE299" s="14">
        <f>ROUND(IF(CJ299=0,0,HLOOKUP(CJ$14,Villagers!$B$1:$V$33,CJ299+3,FALSE)),)</f>
        <v>2</v>
      </c>
      <c r="DF299" s="370">
        <f>ROUND(IF(CK299=0,0,HLOOKUP(CK$14,Villagers!$B$1:$V$33,CK299+3,FALSE)),)</f>
        <v>0</v>
      </c>
      <c r="DG299" s="370">
        <f>ROUND(IF(CL299=0,0,HLOOKUP(CL$14,Villagers!$B$1:$V$33,CL299+3,FALSE)),)</f>
        <v>0</v>
      </c>
      <c r="DH299" s="34">
        <f>ROUND(IF(CM299=0,0,HLOOKUP(CM$14,Villagers!$B$1:$V$33,CM299+3,FALSE)),)</f>
        <v>0</v>
      </c>
      <c r="DI299" s="109">
        <f t="shared" si="679"/>
        <v>0</v>
      </c>
      <c r="DJ299" s="50">
        <f t="shared" si="680"/>
        <v>0</v>
      </c>
      <c r="DK299" s="50">
        <f t="shared" si="681"/>
        <v>0</v>
      </c>
      <c r="DL299" s="50">
        <f t="shared" si="682"/>
        <v>0</v>
      </c>
      <c r="DM299" s="50">
        <f t="shared" si="683"/>
        <v>0</v>
      </c>
      <c r="DN299" s="50">
        <f t="shared" si="684"/>
        <v>0</v>
      </c>
      <c r="DO299" s="50">
        <f t="shared" si="685"/>
        <v>0</v>
      </c>
      <c r="DP299" s="50">
        <f t="shared" si="686"/>
        <v>0</v>
      </c>
      <c r="DQ299" s="50">
        <f t="shared" si="663"/>
        <v>0</v>
      </c>
      <c r="DR299" s="50">
        <f t="shared" si="664"/>
        <v>0</v>
      </c>
      <c r="DS299" s="96">
        <f>Miscelaneous!$D$4*Miscelaneous!$D$2^($CI299-1)</f>
        <v>1000</v>
      </c>
      <c r="DT299" s="333">
        <f t="shared" si="643"/>
        <v>1</v>
      </c>
      <c r="DU299" s="81">
        <v>1</v>
      </c>
      <c r="DV299" s="79">
        <f t="shared" si="665"/>
        <v>0</v>
      </c>
      <c r="DW299" s="79">
        <f t="shared" si="666"/>
        <v>0</v>
      </c>
      <c r="DX299" s="79">
        <f t="shared" si="667"/>
        <v>0</v>
      </c>
      <c r="DY299" s="79">
        <v>1</v>
      </c>
      <c r="DZ299" s="79">
        <f t="shared" si="668"/>
        <v>0</v>
      </c>
      <c r="EA299" s="79">
        <f t="shared" si="669"/>
        <v>0</v>
      </c>
      <c r="EB299" s="79">
        <f t="shared" si="670"/>
        <v>0</v>
      </c>
      <c r="EC299" s="79">
        <f t="shared" si="671"/>
        <v>0</v>
      </c>
      <c r="ED299" s="79">
        <v>1</v>
      </c>
      <c r="EE299" s="79">
        <v>1</v>
      </c>
      <c r="EF299" s="79">
        <f t="shared" si="672"/>
        <v>0</v>
      </c>
      <c r="EG299" s="79">
        <v>1</v>
      </c>
      <c r="EH299" s="79">
        <v>1</v>
      </c>
      <c r="EI299" s="79">
        <v>1</v>
      </c>
      <c r="EJ299" s="79">
        <v>1</v>
      </c>
      <c r="EK299" s="79">
        <v>1</v>
      </c>
      <c r="EL299" s="79">
        <v>1</v>
      </c>
      <c r="EM299" s="143">
        <f t="shared" si="673"/>
        <v>0</v>
      </c>
      <c r="EN299" s="143">
        <f t="shared" si="674"/>
        <v>0</v>
      </c>
      <c r="EO299" s="82">
        <f t="shared" si="675"/>
        <v>0</v>
      </c>
    </row>
    <row r="300" spans="1:145" x14ac:dyDescent="0.25">
      <c r="A300">
        <v>286</v>
      </c>
      <c r="B300" s="172" t="e">
        <f t="shared" si="644"/>
        <v>#N/A</v>
      </c>
      <c r="C300" s="121" t="e">
        <f t="shared" ref="C300:E300" si="734">AJ300-SUM(AB300:AB304)</f>
        <v>#N/A</v>
      </c>
      <c r="D300" s="122" t="e">
        <f t="shared" si="734"/>
        <v>#N/A</v>
      </c>
      <c r="E300" s="122" t="e">
        <f t="shared" si="734"/>
        <v>#N/A</v>
      </c>
      <c r="F300" s="176" t="e">
        <f t="shared" si="626"/>
        <v>#N/A</v>
      </c>
      <c r="G300" s="121">
        <f t="shared" si="646"/>
        <v>208</v>
      </c>
      <c r="H300" s="176" t="e">
        <f t="shared" si="647"/>
        <v>#N/A</v>
      </c>
      <c r="I300" s="48">
        <v>1</v>
      </c>
      <c r="J300" s="39"/>
      <c r="K300" s="350">
        <v>1</v>
      </c>
      <c r="L300" s="34" t="e">
        <f t="shared" si="627"/>
        <v>#N/A</v>
      </c>
      <c r="M300" s="38" t="e">
        <f>(HLOOKUP(J300,'Construction Times'!$B$3:$W$34,L300+2,FALSE)*HLOOKUP("hq modifier",'Construction Times'!$W$3:$W$34,BS300+2,FALSE))*(1-$H$9)</f>
        <v>#N/A</v>
      </c>
      <c r="N300" s="426" t="e">
        <f t="shared" si="648"/>
        <v>#N/A</v>
      </c>
      <c r="O300" s="427"/>
      <c r="P300" s="430" t="e">
        <f t="shared" si="649"/>
        <v>#N/A</v>
      </c>
      <c r="Q300" s="431"/>
      <c r="R300" s="103">
        <f t="shared" si="677"/>
        <v>0</v>
      </c>
      <c r="S300" s="104">
        <f t="shared" si="677"/>
        <v>0</v>
      </c>
      <c r="T300" s="104">
        <f t="shared" si="678"/>
        <v>0</v>
      </c>
      <c r="U300" s="104">
        <f t="shared" si="678"/>
        <v>0</v>
      </c>
      <c r="V300" s="104">
        <f t="shared" si="678"/>
        <v>9.9999999999999995E-8</v>
      </c>
      <c r="W300" s="104">
        <f t="shared" si="678"/>
        <v>0</v>
      </c>
      <c r="X300" s="104">
        <f t="shared" si="584"/>
        <v>0</v>
      </c>
      <c r="Y300" s="104">
        <f t="shared" si="584"/>
        <v>9.9999999999999995E-8</v>
      </c>
      <c r="Z300" s="104">
        <f t="shared" si="584"/>
        <v>9.9999999999999995E-8</v>
      </c>
      <c r="AA300" s="105">
        <f t="shared" ref="AA300" si="735">AA299</f>
        <v>9.9999999999999995E-8</v>
      </c>
      <c r="AB300" s="101" t="e">
        <f>$DT300*HLOOKUP($J300,'Construction Costs (timber)'!$B$1:$V$32,'Construction Planner'!$L300+2,FALSE)</f>
        <v>#N/A</v>
      </c>
      <c r="AC300" s="14" t="e">
        <f>$DT300*HLOOKUP($J300,'Construction Costs (clay)'!$B$1:$V$32,'Construction Planner'!$L300+2,FALSE)</f>
        <v>#N/A</v>
      </c>
      <c r="AD300" s="14" t="e">
        <f>$DT300*HLOOKUP($J300,'Construction Costs (iron)'!$B$1:$V$32,'Construction Planner'!$L300+2,FALSE)</f>
        <v>#N/A</v>
      </c>
      <c r="AE300" s="34" t="e">
        <f t="shared" si="690"/>
        <v>#N/A</v>
      </c>
      <c r="AF300" s="33" t="e">
        <f t="shared" si="628"/>
        <v>#N/A</v>
      </c>
      <c r="AG300" s="14" t="e">
        <f t="shared" si="629"/>
        <v>#N/A</v>
      </c>
      <c r="AH300" s="14" t="e">
        <f t="shared" si="630"/>
        <v>#N/A</v>
      </c>
      <c r="AI300" s="34" t="e">
        <f t="shared" si="691"/>
        <v>#N/A</v>
      </c>
      <c r="AJ300" s="49" t="e">
        <f t="shared" si="651"/>
        <v>#N/A</v>
      </c>
      <c r="AK300" s="49" t="e">
        <f t="shared" si="652"/>
        <v>#N/A</v>
      </c>
      <c r="AL300" s="49" t="e">
        <f t="shared" si="653"/>
        <v>#N/A</v>
      </c>
      <c r="AM300" s="25">
        <f t="shared" si="631"/>
        <v>30</v>
      </c>
      <c r="AN300" s="25">
        <f t="shared" si="632"/>
        <v>30</v>
      </c>
      <c r="AO300" s="25">
        <f t="shared" si="633"/>
        <v>30</v>
      </c>
      <c r="AP300" s="52" t="e">
        <f t="shared" si="654"/>
        <v>#N/A</v>
      </c>
      <c r="AQ300" s="53" t="e">
        <f t="shared" si="654"/>
        <v>#N/A</v>
      </c>
      <c r="AR300" s="54" t="e">
        <f t="shared" si="654"/>
        <v>#N/A</v>
      </c>
      <c r="AS300" s="316">
        <f t="shared" si="724"/>
        <v>0</v>
      </c>
      <c r="AT300" s="106">
        <f>_xlfn.IFNA($M300/VLOOKUP($BT300,'Unit information'!$A$2:$K$29,2,FALSE)*R300,0)*(1+$E$9)</f>
        <v>0</v>
      </c>
      <c r="AU300" s="107">
        <f>_xlfn.IFNA($M300/VLOOKUP($BT300,'Unit information'!$A$2:$K$29,3,FALSE)*S300,0)*(1+$E$9)</f>
        <v>0</v>
      </c>
      <c r="AV300" s="107">
        <f>_xlfn.IFNA($M300/VLOOKUP($BT300,'Unit information'!$A$2:$K$29,4,FALSE)*T300,0)*(1+$E$9)</f>
        <v>0</v>
      </c>
      <c r="AW300" s="107">
        <f>_xlfn.IFNA($M300/VLOOKUP($BT300,'Unit information'!$A$2:$K$29,5,FALSE)*U300,0)*(1+$E$9)</f>
        <v>0</v>
      </c>
      <c r="AX300" s="107">
        <f>_xlfn.IFNA($M300/VLOOKUP($BU300,'Unit information'!$A$2:$K$29,6,FALSE)*V300,0)*(1+$E$9)</f>
        <v>0</v>
      </c>
      <c r="AY300" s="107">
        <f>_xlfn.IFNA($M300/VLOOKUP($BU300,'Unit information'!$A$2:$K$29,7,FALSE)*W300,0)*(1+$E$9)</f>
        <v>0</v>
      </c>
      <c r="AZ300" s="107">
        <f>_xlfn.IFNA($M300/VLOOKUP($BU300,'Unit information'!$A$2:$K$29,8,FALSE)*X300,0)*(1+$E$9)</f>
        <v>0</v>
      </c>
      <c r="BA300" s="107">
        <f>_xlfn.IFNA($M300/VLOOKUP($BU300,'Unit information'!$A$2:$K$29,9,FALSE)*Y300,0)*(1+$E$9)</f>
        <v>0</v>
      </c>
      <c r="BB300" s="107">
        <f>_xlfn.IFNA($M300/VLOOKUP($BV300,'Unit information'!$A$2:$K$29,10,FALSE)*Z300,0)*(1+$E$9)</f>
        <v>0</v>
      </c>
      <c r="BC300" s="108">
        <f>_xlfn.IFNA($M300/VLOOKUP($BV300,'Unit information'!$A$2:$K$29,11,FALSE)*AA300,0)*(1+$E$9)</f>
        <v>0</v>
      </c>
      <c r="BD300" s="106">
        <f t="shared" si="634"/>
        <v>0</v>
      </c>
      <c r="BE300" s="107">
        <f t="shared" si="635"/>
        <v>0</v>
      </c>
      <c r="BF300" s="108">
        <f t="shared" si="636"/>
        <v>0</v>
      </c>
      <c r="BG300" s="25" t="e">
        <f t="shared" si="637"/>
        <v>#N/A</v>
      </c>
      <c r="BH300" s="25" t="e">
        <f t="shared" si="638"/>
        <v>#N/A</v>
      </c>
      <c r="BI300" s="25" t="e">
        <f t="shared" si="639"/>
        <v>#N/A</v>
      </c>
      <c r="BJ300" s="27" t="e">
        <f t="shared" si="640"/>
        <v>#N/A</v>
      </c>
      <c r="BK300" s="18" t="e">
        <f t="shared" si="641"/>
        <v>#N/A</v>
      </c>
      <c r="BL300" s="18" t="e">
        <f t="shared" si="642"/>
        <v>#N/A</v>
      </c>
      <c r="BM300" s="28" t="e">
        <f t="shared" si="693"/>
        <v>#N/A</v>
      </c>
      <c r="BN300" s="33">
        <f>HLOOKUP("maximum population",Miscelaneous!$C$1:$C$33,CH300+3,FALSE)</f>
        <v>240</v>
      </c>
      <c r="BO300" s="14">
        <f t="shared" si="655"/>
        <v>32</v>
      </c>
      <c r="BP300" s="14">
        <f t="shared" si="656"/>
        <v>0</v>
      </c>
      <c r="BQ300" s="14">
        <f t="shared" si="657"/>
        <v>208</v>
      </c>
      <c r="BR300" s="34" t="e">
        <f>HLOOKUP(J300,Villagers!$B$1:$V$33,L300+3,FALSE)-HLOOKUP(J300,Villagers!$B$1:$V$33,L300+2,FALSE)</f>
        <v>#N/A</v>
      </c>
      <c r="BS300" s="49">
        <f t="shared" si="658"/>
        <v>1</v>
      </c>
      <c r="BT300" s="50">
        <f t="shared" si="659"/>
        <v>0</v>
      </c>
      <c r="BU300" s="50">
        <f t="shared" si="660"/>
        <v>0</v>
      </c>
      <c r="BV300" s="50">
        <f t="shared" si="661"/>
        <v>0</v>
      </c>
      <c r="BW300" s="50">
        <f t="shared" si="730"/>
        <v>0</v>
      </c>
      <c r="BX300" s="50">
        <f t="shared" si="728"/>
        <v>0</v>
      </c>
      <c r="BY300" s="50">
        <f t="shared" si="728"/>
        <v>0</v>
      </c>
      <c r="BZ300" s="50">
        <f t="shared" si="707"/>
        <v>0</v>
      </c>
      <c r="CA300" s="50">
        <f t="shared" si="708"/>
        <v>0</v>
      </c>
      <c r="CB300" s="50">
        <f t="shared" si="709"/>
        <v>1</v>
      </c>
      <c r="CC300" s="50">
        <f t="shared" si="710"/>
        <v>0</v>
      </c>
      <c r="CD300" s="50">
        <f t="shared" si="711"/>
        <v>0</v>
      </c>
      <c r="CE300" s="50">
        <f t="shared" si="712"/>
        <v>1</v>
      </c>
      <c r="CF300" s="50">
        <f t="shared" si="713"/>
        <v>1</v>
      </c>
      <c r="CG300" s="50">
        <f t="shared" si="714"/>
        <v>1</v>
      </c>
      <c r="CH300" s="50">
        <f t="shared" si="715"/>
        <v>1</v>
      </c>
      <c r="CI300" s="50">
        <f t="shared" si="716"/>
        <v>1</v>
      </c>
      <c r="CJ300" s="50">
        <f t="shared" si="717"/>
        <v>1</v>
      </c>
      <c r="CK300" s="50">
        <f t="shared" si="717"/>
        <v>0</v>
      </c>
      <c r="CL300" s="50">
        <f t="shared" si="717"/>
        <v>0</v>
      </c>
      <c r="CM300" s="51">
        <f t="shared" si="605"/>
        <v>0</v>
      </c>
      <c r="CN300" s="33">
        <f>ROUND(IF(BS300=0,0,HLOOKUP(BS$14,Villagers!$B$1:$V$33,BS300+3,FALSE)),)</f>
        <v>5</v>
      </c>
      <c r="CO300" s="14">
        <f>ROUND(IF(BT300=0,0,HLOOKUP(BT$14,Villagers!$B$1:$V$33,BT300+3,FALSE)),)</f>
        <v>0</v>
      </c>
      <c r="CP300" s="14">
        <f>ROUND(IF(BU300=0,0,HLOOKUP(BU$14,Villagers!$B$1:$V$33,BU300+3,FALSE)),)</f>
        <v>0</v>
      </c>
      <c r="CQ300" s="14">
        <f>ROUND(IF(BV300=0,0,HLOOKUP(BV$14,Villagers!$B$1:$V$33,BV300+3,FALSE)),)</f>
        <v>0</v>
      </c>
      <c r="CR300" s="14">
        <f>ROUND(IF(BW300=0,0,HLOOKUP(BW$14,Villagers!$B$1:$V$33,BW300+3,FALSE)),)</f>
        <v>0</v>
      </c>
      <c r="CS300" s="14">
        <f>ROUND(IF(BX300=0,0,HLOOKUP(BX$14,Villagers!$B$1:$V$33,BX300+3,FALSE)),)</f>
        <v>0</v>
      </c>
      <c r="CT300" s="14">
        <f>ROUND(IF(BY300=0,0,HLOOKUP(BY$14,Villagers!$B$1:$V$33,BY300+3,FALSE)),)</f>
        <v>0</v>
      </c>
      <c r="CU300" s="14">
        <f>ROUND(IF(BZ300=0,0,HLOOKUP(BZ$14,Villagers!$B$1:$V$33,BZ300+3,FALSE)),)</f>
        <v>0</v>
      </c>
      <c r="CV300" s="14">
        <f>ROUND(IF(CA300=0,0,HLOOKUP(CA$14,Villagers!$B$1:$V$33,CA300+3,FALSE)),)</f>
        <v>0</v>
      </c>
      <c r="CW300" s="14">
        <f>ROUND(IF(CB300=0,0,HLOOKUP(CB$14,Villagers!$B$1:$V$33,CB300+3,FALSE)),)</f>
        <v>0</v>
      </c>
      <c r="CX300" s="14">
        <f>ROUND(IF(CC300=0,0,HLOOKUP(CC$14,Villagers!$B$1:$V$33,CC300+3,FALSE)),)</f>
        <v>0</v>
      </c>
      <c r="CY300" s="14">
        <f>ROUND(IF(CD300=0,0,HLOOKUP(CD$14,Villagers!$B$1:$V$33,CD300+3,FALSE)),)</f>
        <v>0</v>
      </c>
      <c r="CZ300" s="14">
        <f>ROUND(IF(CE300=0,0,HLOOKUP(CE$14,Villagers!$B$1:$V$33,CE300+3,FALSE)),)</f>
        <v>5</v>
      </c>
      <c r="DA300" s="14">
        <f>ROUND(IF(CF300=0,0,HLOOKUP(CF$14,Villagers!$B$1:$V$33,CF300+3,FALSE)),)</f>
        <v>10</v>
      </c>
      <c r="DB300" s="14">
        <f>ROUND(IF(CG300=0,0,HLOOKUP(CG$14,Villagers!$B$1:$V$33,CG300+3,FALSE)),)</f>
        <v>10</v>
      </c>
      <c r="DC300" s="14">
        <f>ROUND(IF(CH300=0,0,HLOOKUP(CH$14,Villagers!$B$1:$V$33,CH300+3,FALSE)),)</f>
        <v>0</v>
      </c>
      <c r="DD300" s="14">
        <f>ROUND(IF(CI300=0,0,HLOOKUP(CI$14,Villagers!$B$1:$V$33,CI300+3,FALSE)),)</f>
        <v>0</v>
      </c>
      <c r="DE300" s="14">
        <f>ROUND(IF(CJ300=0,0,HLOOKUP(CJ$14,Villagers!$B$1:$V$33,CJ300+3,FALSE)),)</f>
        <v>2</v>
      </c>
      <c r="DF300" s="370">
        <f>ROUND(IF(CK300=0,0,HLOOKUP(CK$14,Villagers!$B$1:$V$33,CK300+3,FALSE)),)</f>
        <v>0</v>
      </c>
      <c r="DG300" s="370">
        <f>ROUND(IF(CL300=0,0,HLOOKUP(CL$14,Villagers!$B$1:$V$33,CL300+3,FALSE)),)</f>
        <v>0</v>
      </c>
      <c r="DH300" s="34">
        <f>ROUND(IF(CM300=0,0,HLOOKUP(CM$14,Villagers!$B$1:$V$33,CM300+3,FALSE)),)</f>
        <v>0</v>
      </c>
      <c r="DI300" s="109">
        <f t="shared" si="679"/>
        <v>0</v>
      </c>
      <c r="DJ300" s="50">
        <f t="shared" si="680"/>
        <v>0</v>
      </c>
      <c r="DK300" s="50">
        <f t="shared" si="681"/>
        <v>0</v>
      </c>
      <c r="DL300" s="50">
        <f t="shared" si="682"/>
        <v>0</v>
      </c>
      <c r="DM300" s="50">
        <f t="shared" si="683"/>
        <v>0</v>
      </c>
      <c r="DN300" s="50">
        <f t="shared" si="684"/>
        <v>0</v>
      </c>
      <c r="DO300" s="50">
        <f t="shared" si="685"/>
        <v>0</v>
      </c>
      <c r="DP300" s="50">
        <f t="shared" si="686"/>
        <v>0</v>
      </c>
      <c r="DQ300" s="50">
        <f t="shared" si="663"/>
        <v>0</v>
      </c>
      <c r="DR300" s="50">
        <f t="shared" si="664"/>
        <v>0</v>
      </c>
      <c r="DS300" s="96">
        <f>Miscelaneous!$D$4*Miscelaneous!$D$2^($CI300-1)</f>
        <v>1000</v>
      </c>
      <c r="DT300" s="333">
        <f t="shared" si="643"/>
        <v>1</v>
      </c>
      <c r="DU300" s="81">
        <v>1</v>
      </c>
      <c r="DV300" s="79">
        <f t="shared" si="665"/>
        <v>0</v>
      </c>
      <c r="DW300" s="79">
        <f t="shared" si="666"/>
        <v>0</v>
      </c>
      <c r="DX300" s="79">
        <f t="shared" si="667"/>
        <v>0</v>
      </c>
      <c r="DY300" s="79">
        <v>1</v>
      </c>
      <c r="DZ300" s="79">
        <f t="shared" si="668"/>
        <v>0</v>
      </c>
      <c r="EA300" s="79">
        <f t="shared" si="669"/>
        <v>0</v>
      </c>
      <c r="EB300" s="79">
        <f t="shared" si="670"/>
        <v>0</v>
      </c>
      <c r="EC300" s="79">
        <f t="shared" si="671"/>
        <v>0</v>
      </c>
      <c r="ED300" s="79">
        <v>1</v>
      </c>
      <c r="EE300" s="79">
        <v>1</v>
      </c>
      <c r="EF300" s="79">
        <f t="shared" si="672"/>
        <v>0</v>
      </c>
      <c r="EG300" s="79">
        <v>1</v>
      </c>
      <c r="EH300" s="79">
        <v>1</v>
      </c>
      <c r="EI300" s="79">
        <v>1</v>
      </c>
      <c r="EJ300" s="79">
        <v>1</v>
      </c>
      <c r="EK300" s="79">
        <v>1</v>
      </c>
      <c r="EL300" s="79">
        <v>1</v>
      </c>
      <c r="EM300" s="143">
        <f t="shared" si="673"/>
        <v>0</v>
      </c>
      <c r="EN300" s="143">
        <f t="shared" si="674"/>
        <v>0</v>
      </c>
      <c r="EO300" s="82">
        <f t="shared" si="675"/>
        <v>0</v>
      </c>
    </row>
    <row r="301" spans="1:145" x14ac:dyDescent="0.25">
      <c r="A301">
        <v>287</v>
      </c>
      <c r="B301" s="172" t="e">
        <f t="shared" si="644"/>
        <v>#N/A</v>
      </c>
      <c r="C301" s="121" t="e">
        <f t="shared" ref="C301:E301" si="736">AJ301-SUM(AB301:AB305)</f>
        <v>#N/A</v>
      </c>
      <c r="D301" s="122" t="e">
        <f t="shared" si="736"/>
        <v>#N/A</v>
      </c>
      <c r="E301" s="122" t="e">
        <f t="shared" si="736"/>
        <v>#N/A</v>
      </c>
      <c r="F301" s="176" t="e">
        <f t="shared" si="626"/>
        <v>#N/A</v>
      </c>
      <c r="G301" s="121">
        <f t="shared" si="646"/>
        <v>208</v>
      </c>
      <c r="H301" s="176" t="e">
        <f t="shared" si="647"/>
        <v>#N/A</v>
      </c>
      <c r="I301" s="48">
        <v>1</v>
      </c>
      <c r="J301" s="39"/>
      <c r="K301" s="350">
        <v>1</v>
      </c>
      <c r="L301" s="34" t="e">
        <f t="shared" si="627"/>
        <v>#N/A</v>
      </c>
      <c r="M301" s="38" t="e">
        <f>(HLOOKUP(J301,'Construction Times'!$B$3:$W$34,L301+2,FALSE)*HLOOKUP("hq modifier",'Construction Times'!$W$3:$W$34,BS301+2,FALSE))*(1-$H$9)</f>
        <v>#N/A</v>
      </c>
      <c r="N301" s="426" t="e">
        <f t="shared" si="648"/>
        <v>#N/A</v>
      </c>
      <c r="O301" s="427"/>
      <c r="P301" s="430" t="e">
        <f t="shared" si="649"/>
        <v>#N/A</v>
      </c>
      <c r="Q301" s="431"/>
      <c r="R301" s="103">
        <f t="shared" si="677"/>
        <v>0</v>
      </c>
      <c r="S301" s="104">
        <f t="shared" si="677"/>
        <v>0</v>
      </c>
      <c r="T301" s="104">
        <f t="shared" si="678"/>
        <v>0</v>
      </c>
      <c r="U301" s="104">
        <f t="shared" si="678"/>
        <v>0</v>
      </c>
      <c r="V301" s="104">
        <f t="shared" si="678"/>
        <v>9.9999999999999995E-8</v>
      </c>
      <c r="W301" s="104">
        <f t="shared" si="678"/>
        <v>0</v>
      </c>
      <c r="X301" s="104">
        <f t="shared" ref="X301:AA364" si="737">X300</f>
        <v>0</v>
      </c>
      <c r="Y301" s="104">
        <f t="shared" si="737"/>
        <v>9.9999999999999995E-8</v>
      </c>
      <c r="Z301" s="104">
        <f t="shared" si="737"/>
        <v>9.9999999999999995E-8</v>
      </c>
      <c r="AA301" s="105">
        <f t="shared" si="737"/>
        <v>9.9999999999999995E-8</v>
      </c>
      <c r="AB301" s="101" t="e">
        <f>$DT301*HLOOKUP($J301,'Construction Costs (timber)'!$B$1:$V$32,'Construction Planner'!$L301+2,FALSE)</f>
        <v>#N/A</v>
      </c>
      <c r="AC301" s="14" t="e">
        <f>$DT301*HLOOKUP($J301,'Construction Costs (clay)'!$B$1:$V$32,'Construction Planner'!$L301+2,FALSE)</f>
        <v>#N/A</v>
      </c>
      <c r="AD301" s="14" t="e">
        <f>$DT301*HLOOKUP($J301,'Construction Costs (iron)'!$B$1:$V$32,'Construction Planner'!$L301+2,FALSE)</f>
        <v>#N/A</v>
      </c>
      <c r="AE301" s="34" t="e">
        <f t="shared" si="690"/>
        <v>#N/A</v>
      </c>
      <c r="AF301" s="33" t="e">
        <f t="shared" si="628"/>
        <v>#N/A</v>
      </c>
      <c r="AG301" s="14" t="e">
        <f t="shared" si="629"/>
        <v>#N/A</v>
      </c>
      <c r="AH301" s="14" t="e">
        <f t="shared" si="630"/>
        <v>#N/A</v>
      </c>
      <c r="AI301" s="34" t="e">
        <f t="shared" si="691"/>
        <v>#N/A</v>
      </c>
      <c r="AJ301" s="49" t="e">
        <f t="shared" si="651"/>
        <v>#N/A</v>
      </c>
      <c r="AK301" s="49" t="e">
        <f t="shared" si="652"/>
        <v>#N/A</v>
      </c>
      <c r="AL301" s="49" t="e">
        <f t="shared" si="653"/>
        <v>#N/A</v>
      </c>
      <c r="AM301" s="25">
        <f t="shared" si="631"/>
        <v>30</v>
      </c>
      <c r="AN301" s="25">
        <f t="shared" si="632"/>
        <v>30</v>
      </c>
      <c r="AO301" s="25">
        <f t="shared" si="633"/>
        <v>30</v>
      </c>
      <c r="AP301" s="52" t="e">
        <f t="shared" si="654"/>
        <v>#N/A</v>
      </c>
      <c r="AQ301" s="53" t="e">
        <f t="shared" si="654"/>
        <v>#N/A</v>
      </c>
      <c r="AR301" s="54" t="e">
        <f t="shared" si="654"/>
        <v>#N/A</v>
      </c>
      <c r="AS301" s="316">
        <f t="shared" si="724"/>
        <v>0</v>
      </c>
      <c r="AT301" s="106">
        <f>_xlfn.IFNA($M301/VLOOKUP($BT301,'Unit information'!$A$2:$K$29,2,FALSE)*R301,0)*(1+$E$9)</f>
        <v>0</v>
      </c>
      <c r="AU301" s="107">
        <f>_xlfn.IFNA($M301/VLOOKUP($BT301,'Unit information'!$A$2:$K$29,3,FALSE)*S301,0)*(1+$E$9)</f>
        <v>0</v>
      </c>
      <c r="AV301" s="107">
        <f>_xlfn.IFNA($M301/VLOOKUP($BT301,'Unit information'!$A$2:$K$29,4,FALSE)*T301,0)*(1+$E$9)</f>
        <v>0</v>
      </c>
      <c r="AW301" s="107">
        <f>_xlfn.IFNA($M301/VLOOKUP($BT301,'Unit information'!$A$2:$K$29,5,FALSE)*U301,0)*(1+$E$9)</f>
        <v>0</v>
      </c>
      <c r="AX301" s="107">
        <f>_xlfn.IFNA($M301/VLOOKUP($BU301,'Unit information'!$A$2:$K$29,6,FALSE)*V301,0)*(1+$E$9)</f>
        <v>0</v>
      </c>
      <c r="AY301" s="107">
        <f>_xlfn.IFNA($M301/VLOOKUP($BU301,'Unit information'!$A$2:$K$29,7,FALSE)*W301,0)*(1+$E$9)</f>
        <v>0</v>
      </c>
      <c r="AZ301" s="107">
        <f>_xlfn.IFNA($M301/VLOOKUP($BU301,'Unit information'!$A$2:$K$29,8,FALSE)*X301,0)*(1+$E$9)</f>
        <v>0</v>
      </c>
      <c r="BA301" s="107">
        <f>_xlfn.IFNA($M301/VLOOKUP($BU301,'Unit information'!$A$2:$K$29,9,FALSE)*Y301,0)*(1+$E$9)</f>
        <v>0</v>
      </c>
      <c r="BB301" s="107">
        <f>_xlfn.IFNA($M301/VLOOKUP($BV301,'Unit information'!$A$2:$K$29,10,FALSE)*Z301,0)*(1+$E$9)</f>
        <v>0</v>
      </c>
      <c r="BC301" s="108">
        <f>_xlfn.IFNA($M301/VLOOKUP($BV301,'Unit information'!$A$2:$K$29,11,FALSE)*AA301,0)*(1+$E$9)</f>
        <v>0</v>
      </c>
      <c r="BD301" s="106">
        <f t="shared" si="634"/>
        <v>0</v>
      </c>
      <c r="BE301" s="107">
        <f t="shared" si="635"/>
        <v>0</v>
      </c>
      <c r="BF301" s="108">
        <f t="shared" si="636"/>
        <v>0</v>
      </c>
      <c r="BG301" s="25" t="e">
        <f t="shared" si="637"/>
        <v>#N/A</v>
      </c>
      <c r="BH301" s="25" t="e">
        <f t="shared" si="638"/>
        <v>#N/A</v>
      </c>
      <c r="BI301" s="25" t="e">
        <f t="shared" si="639"/>
        <v>#N/A</v>
      </c>
      <c r="BJ301" s="27" t="e">
        <f t="shared" si="640"/>
        <v>#N/A</v>
      </c>
      <c r="BK301" s="18" t="e">
        <f t="shared" si="641"/>
        <v>#N/A</v>
      </c>
      <c r="BL301" s="18" t="e">
        <f t="shared" si="642"/>
        <v>#N/A</v>
      </c>
      <c r="BM301" s="28" t="e">
        <f t="shared" si="693"/>
        <v>#N/A</v>
      </c>
      <c r="BN301" s="33">
        <f>HLOOKUP("maximum population",Miscelaneous!$C$1:$C$33,CH301+3,FALSE)</f>
        <v>240</v>
      </c>
      <c r="BO301" s="14">
        <f t="shared" si="655"/>
        <v>32</v>
      </c>
      <c r="BP301" s="14">
        <f t="shared" si="656"/>
        <v>0</v>
      </c>
      <c r="BQ301" s="14">
        <f t="shared" si="657"/>
        <v>208</v>
      </c>
      <c r="BR301" s="34" t="e">
        <f>HLOOKUP(J301,Villagers!$B$1:$V$33,L301+3,FALSE)-HLOOKUP(J301,Villagers!$B$1:$V$33,L301+2,FALSE)</f>
        <v>#N/A</v>
      </c>
      <c r="BS301" s="49">
        <f t="shared" si="658"/>
        <v>1</v>
      </c>
      <c r="BT301" s="50">
        <f t="shared" si="659"/>
        <v>0</v>
      </c>
      <c r="BU301" s="50">
        <f t="shared" si="660"/>
        <v>0</v>
      </c>
      <c r="BV301" s="50">
        <f t="shared" si="661"/>
        <v>0</v>
      </c>
      <c r="BW301" s="50">
        <f t="shared" si="730"/>
        <v>0</v>
      </c>
      <c r="BX301" s="50">
        <f t="shared" si="728"/>
        <v>0</v>
      </c>
      <c r="BY301" s="50">
        <f t="shared" si="728"/>
        <v>0</v>
      </c>
      <c r="BZ301" s="50">
        <f t="shared" si="707"/>
        <v>0</v>
      </c>
      <c r="CA301" s="50">
        <f t="shared" si="708"/>
        <v>0</v>
      </c>
      <c r="CB301" s="50">
        <f t="shared" si="709"/>
        <v>1</v>
      </c>
      <c r="CC301" s="50">
        <f t="shared" si="710"/>
        <v>0</v>
      </c>
      <c r="CD301" s="50">
        <f t="shared" si="711"/>
        <v>0</v>
      </c>
      <c r="CE301" s="50">
        <f t="shared" si="712"/>
        <v>1</v>
      </c>
      <c r="CF301" s="50">
        <f t="shared" si="713"/>
        <v>1</v>
      </c>
      <c r="CG301" s="50">
        <f t="shared" si="714"/>
        <v>1</v>
      </c>
      <c r="CH301" s="50">
        <f t="shared" si="715"/>
        <v>1</v>
      </c>
      <c r="CI301" s="50">
        <f t="shared" si="716"/>
        <v>1</v>
      </c>
      <c r="CJ301" s="50">
        <f t="shared" si="717"/>
        <v>1</v>
      </c>
      <c r="CK301" s="50">
        <f t="shared" si="717"/>
        <v>0</v>
      </c>
      <c r="CL301" s="50">
        <f t="shared" si="717"/>
        <v>0</v>
      </c>
      <c r="CM301" s="51">
        <f t="shared" si="605"/>
        <v>0</v>
      </c>
      <c r="CN301" s="33">
        <f>ROUND(IF(BS301=0,0,HLOOKUP(BS$14,Villagers!$B$1:$V$33,BS301+3,FALSE)),)</f>
        <v>5</v>
      </c>
      <c r="CO301" s="14">
        <f>ROUND(IF(BT301=0,0,HLOOKUP(BT$14,Villagers!$B$1:$V$33,BT301+3,FALSE)),)</f>
        <v>0</v>
      </c>
      <c r="CP301" s="14">
        <f>ROUND(IF(BU301=0,0,HLOOKUP(BU$14,Villagers!$B$1:$V$33,BU301+3,FALSE)),)</f>
        <v>0</v>
      </c>
      <c r="CQ301" s="14">
        <f>ROUND(IF(BV301=0,0,HLOOKUP(BV$14,Villagers!$B$1:$V$33,BV301+3,FALSE)),)</f>
        <v>0</v>
      </c>
      <c r="CR301" s="14">
        <f>ROUND(IF(BW301=0,0,HLOOKUP(BW$14,Villagers!$B$1:$V$33,BW301+3,FALSE)),)</f>
        <v>0</v>
      </c>
      <c r="CS301" s="14">
        <f>ROUND(IF(BX301=0,0,HLOOKUP(BX$14,Villagers!$B$1:$V$33,BX301+3,FALSE)),)</f>
        <v>0</v>
      </c>
      <c r="CT301" s="14">
        <f>ROUND(IF(BY301=0,0,HLOOKUP(BY$14,Villagers!$B$1:$V$33,BY301+3,FALSE)),)</f>
        <v>0</v>
      </c>
      <c r="CU301" s="14">
        <f>ROUND(IF(BZ301=0,0,HLOOKUP(BZ$14,Villagers!$B$1:$V$33,BZ301+3,FALSE)),)</f>
        <v>0</v>
      </c>
      <c r="CV301" s="14">
        <f>ROUND(IF(CA301=0,0,HLOOKUP(CA$14,Villagers!$B$1:$V$33,CA301+3,FALSE)),)</f>
        <v>0</v>
      </c>
      <c r="CW301" s="14">
        <f>ROUND(IF(CB301=0,0,HLOOKUP(CB$14,Villagers!$B$1:$V$33,CB301+3,FALSE)),)</f>
        <v>0</v>
      </c>
      <c r="CX301" s="14">
        <f>ROUND(IF(CC301=0,0,HLOOKUP(CC$14,Villagers!$B$1:$V$33,CC301+3,FALSE)),)</f>
        <v>0</v>
      </c>
      <c r="CY301" s="14">
        <f>ROUND(IF(CD301=0,0,HLOOKUP(CD$14,Villagers!$B$1:$V$33,CD301+3,FALSE)),)</f>
        <v>0</v>
      </c>
      <c r="CZ301" s="14">
        <f>ROUND(IF(CE301=0,0,HLOOKUP(CE$14,Villagers!$B$1:$V$33,CE301+3,FALSE)),)</f>
        <v>5</v>
      </c>
      <c r="DA301" s="14">
        <f>ROUND(IF(CF301=0,0,HLOOKUP(CF$14,Villagers!$B$1:$V$33,CF301+3,FALSE)),)</f>
        <v>10</v>
      </c>
      <c r="DB301" s="14">
        <f>ROUND(IF(CG301=0,0,HLOOKUP(CG$14,Villagers!$B$1:$V$33,CG301+3,FALSE)),)</f>
        <v>10</v>
      </c>
      <c r="DC301" s="14">
        <f>ROUND(IF(CH301=0,0,HLOOKUP(CH$14,Villagers!$B$1:$V$33,CH301+3,FALSE)),)</f>
        <v>0</v>
      </c>
      <c r="DD301" s="14">
        <f>ROUND(IF(CI301=0,0,HLOOKUP(CI$14,Villagers!$B$1:$V$33,CI301+3,FALSE)),)</f>
        <v>0</v>
      </c>
      <c r="DE301" s="14">
        <f>ROUND(IF(CJ301=0,0,HLOOKUP(CJ$14,Villagers!$B$1:$V$33,CJ301+3,FALSE)),)</f>
        <v>2</v>
      </c>
      <c r="DF301" s="370">
        <f>ROUND(IF(CK301=0,0,HLOOKUP(CK$14,Villagers!$B$1:$V$33,CK301+3,FALSE)),)</f>
        <v>0</v>
      </c>
      <c r="DG301" s="370">
        <f>ROUND(IF(CL301=0,0,HLOOKUP(CL$14,Villagers!$B$1:$V$33,CL301+3,FALSE)),)</f>
        <v>0</v>
      </c>
      <c r="DH301" s="34">
        <f>ROUND(IF(CM301=0,0,HLOOKUP(CM$14,Villagers!$B$1:$V$33,CM301+3,FALSE)),)</f>
        <v>0</v>
      </c>
      <c r="DI301" s="109">
        <f t="shared" si="679"/>
        <v>0</v>
      </c>
      <c r="DJ301" s="50">
        <f t="shared" si="680"/>
        <v>0</v>
      </c>
      <c r="DK301" s="50">
        <f t="shared" si="681"/>
        <v>0</v>
      </c>
      <c r="DL301" s="50">
        <f t="shared" si="682"/>
        <v>0</v>
      </c>
      <c r="DM301" s="50">
        <f t="shared" si="683"/>
        <v>0</v>
      </c>
      <c r="DN301" s="50">
        <f t="shared" si="684"/>
        <v>0</v>
      </c>
      <c r="DO301" s="50">
        <f t="shared" si="685"/>
        <v>0</v>
      </c>
      <c r="DP301" s="50">
        <f t="shared" si="686"/>
        <v>0</v>
      </c>
      <c r="DQ301" s="50">
        <f t="shared" si="663"/>
        <v>0</v>
      </c>
      <c r="DR301" s="50">
        <f t="shared" si="664"/>
        <v>0</v>
      </c>
      <c r="DS301" s="96">
        <f>Miscelaneous!$D$4*Miscelaneous!$D$2^($CI301-1)</f>
        <v>1000</v>
      </c>
      <c r="DT301" s="333">
        <f t="shared" si="643"/>
        <v>1</v>
      </c>
      <c r="DU301" s="81">
        <v>1</v>
      </c>
      <c r="DV301" s="79">
        <f t="shared" si="665"/>
        <v>0</v>
      </c>
      <c r="DW301" s="79">
        <f t="shared" si="666"/>
        <v>0</v>
      </c>
      <c r="DX301" s="79">
        <f t="shared" si="667"/>
        <v>0</v>
      </c>
      <c r="DY301" s="79">
        <v>1</v>
      </c>
      <c r="DZ301" s="79">
        <f t="shared" si="668"/>
        <v>0</v>
      </c>
      <c r="EA301" s="79">
        <f t="shared" si="669"/>
        <v>0</v>
      </c>
      <c r="EB301" s="79">
        <f t="shared" si="670"/>
        <v>0</v>
      </c>
      <c r="EC301" s="79">
        <f t="shared" si="671"/>
        <v>0</v>
      </c>
      <c r="ED301" s="79">
        <v>1</v>
      </c>
      <c r="EE301" s="79">
        <v>1</v>
      </c>
      <c r="EF301" s="79">
        <f t="shared" si="672"/>
        <v>0</v>
      </c>
      <c r="EG301" s="79">
        <v>1</v>
      </c>
      <c r="EH301" s="79">
        <v>1</v>
      </c>
      <c r="EI301" s="79">
        <v>1</v>
      </c>
      <c r="EJ301" s="79">
        <v>1</v>
      </c>
      <c r="EK301" s="79">
        <v>1</v>
      </c>
      <c r="EL301" s="79">
        <v>1</v>
      </c>
      <c r="EM301" s="143">
        <f t="shared" si="673"/>
        <v>0</v>
      </c>
      <c r="EN301" s="143">
        <f t="shared" si="674"/>
        <v>0</v>
      </c>
      <c r="EO301" s="82">
        <f t="shared" si="675"/>
        <v>0</v>
      </c>
    </row>
    <row r="302" spans="1:145" x14ac:dyDescent="0.25">
      <c r="A302">
        <v>288</v>
      </c>
      <c r="B302" s="172" t="e">
        <f t="shared" si="644"/>
        <v>#N/A</v>
      </c>
      <c r="C302" s="121" t="e">
        <f t="shared" ref="C302:E302" si="738">AJ302-SUM(AB302:AB306)</f>
        <v>#N/A</v>
      </c>
      <c r="D302" s="122" t="e">
        <f t="shared" si="738"/>
        <v>#N/A</v>
      </c>
      <c r="E302" s="122" t="e">
        <f t="shared" si="738"/>
        <v>#N/A</v>
      </c>
      <c r="F302" s="176" t="e">
        <f t="shared" si="626"/>
        <v>#N/A</v>
      </c>
      <c r="G302" s="121">
        <f t="shared" si="646"/>
        <v>208</v>
      </c>
      <c r="H302" s="176" t="e">
        <f t="shared" si="647"/>
        <v>#N/A</v>
      </c>
      <c r="I302" s="48">
        <v>1</v>
      </c>
      <c r="J302" s="39"/>
      <c r="K302" s="350">
        <v>1</v>
      </c>
      <c r="L302" s="34" t="e">
        <f t="shared" si="627"/>
        <v>#N/A</v>
      </c>
      <c r="M302" s="38" t="e">
        <f>(HLOOKUP(J302,'Construction Times'!$B$3:$W$34,L302+2,FALSE)*HLOOKUP("hq modifier",'Construction Times'!$W$3:$W$34,BS302+2,FALSE))*(1-$H$9)</f>
        <v>#N/A</v>
      </c>
      <c r="N302" s="426" t="e">
        <f t="shared" si="648"/>
        <v>#N/A</v>
      </c>
      <c r="O302" s="427"/>
      <c r="P302" s="430" t="e">
        <f t="shared" si="649"/>
        <v>#N/A</v>
      </c>
      <c r="Q302" s="431"/>
      <c r="R302" s="103">
        <f t="shared" si="677"/>
        <v>0</v>
      </c>
      <c r="S302" s="104">
        <f t="shared" si="677"/>
        <v>0</v>
      </c>
      <c r="T302" s="104">
        <f t="shared" si="678"/>
        <v>0</v>
      </c>
      <c r="U302" s="104">
        <f t="shared" si="678"/>
        <v>0</v>
      </c>
      <c r="V302" s="104">
        <f t="shared" si="678"/>
        <v>9.9999999999999995E-8</v>
      </c>
      <c r="W302" s="104">
        <f t="shared" si="678"/>
        <v>0</v>
      </c>
      <c r="X302" s="104">
        <f t="shared" si="737"/>
        <v>0</v>
      </c>
      <c r="Y302" s="104">
        <f t="shared" si="737"/>
        <v>9.9999999999999995E-8</v>
      </c>
      <c r="Z302" s="104">
        <f t="shared" si="737"/>
        <v>9.9999999999999995E-8</v>
      </c>
      <c r="AA302" s="105">
        <f t="shared" si="737"/>
        <v>9.9999999999999995E-8</v>
      </c>
      <c r="AB302" s="101" t="e">
        <f>$DT302*HLOOKUP($J302,'Construction Costs (timber)'!$B$1:$V$32,'Construction Planner'!$L302+2,FALSE)</f>
        <v>#N/A</v>
      </c>
      <c r="AC302" s="14" t="e">
        <f>$DT302*HLOOKUP($J302,'Construction Costs (clay)'!$B$1:$V$32,'Construction Planner'!$L302+2,FALSE)</f>
        <v>#N/A</v>
      </c>
      <c r="AD302" s="14" t="e">
        <f>$DT302*HLOOKUP($J302,'Construction Costs (iron)'!$B$1:$V$32,'Construction Planner'!$L302+2,FALSE)</f>
        <v>#N/A</v>
      </c>
      <c r="AE302" s="34" t="e">
        <f t="shared" si="690"/>
        <v>#N/A</v>
      </c>
      <c r="AF302" s="33" t="e">
        <f t="shared" si="628"/>
        <v>#N/A</v>
      </c>
      <c r="AG302" s="14" t="e">
        <f t="shared" si="629"/>
        <v>#N/A</v>
      </c>
      <c r="AH302" s="14" t="e">
        <f t="shared" si="630"/>
        <v>#N/A</v>
      </c>
      <c r="AI302" s="34" t="e">
        <f t="shared" si="691"/>
        <v>#N/A</v>
      </c>
      <c r="AJ302" s="49" t="e">
        <f t="shared" si="651"/>
        <v>#N/A</v>
      </c>
      <c r="AK302" s="49" t="e">
        <f t="shared" si="652"/>
        <v>#N/A</v>
      </c>
      <c r="AL302" s="49" t="e">
        <f t="shared" si="653"/>
        <v>#N/A</v>
      </c>
      <c r="AM302" s="25">
        <f t="shared" si="631"/>
        <v>30</v>
      </c>
      <c r="AN302" s="25">
        <f t="shared" si="632"/>
        <v>30</v>
      </c>
      <c r="AO302" s="25">
        <f t="shared" si="633"/>
        <v>30</v>
      </c>
      <c r="AP302" s="52" t="e">
        <f t="shared" si="654"/>
        <v>#N/A</v>
      </c>
      <c r="AQ302" s="53" t="e">
        <f t="shared" si="654"/>
        <v>#N/A</v>
      </c>
      <c r="AR302" s="54" t="e">
        <f t="shared" si="654"/>
        <v>#N/A</v>
      </c>
      <c r="AS302" s="316">
        <f t="shared" si="724"/>
        <v>0</v>
      </c>
      <c r="AT302" s="106">
        <f>_xlfn.IFNA($M302/VLOOKUP($BT302,'Unit information'!$A$2:$K$29,2,FALSE)*R302,0)*(1+$E$9)</f>
        <v>0</v>
      </c>
      <c r="AU302" s="107">
        <f>_xlfn.IFNA($M302/VLOOKUP($BT302,'Unit information'!$A$2:$K$29,3,FALSE)*S302,0)*(1+$E$9)</f>
        <v>0</v>
      </c>
      <c r="AV302" s="107">
        <f>_xlfn.IFNA($M302/VLOOKUP($BT302,'Unit information'!$A$2:$K$29,4,FALSE)*T302,0)*(1+$E$9)</f>
        <v>0</v>
      </c>
      <c r="AW302" s="107">
        <f>_xlfn.IFNA($M302/VLOOKUP($BT302,'Unit information'!$A$2:$K$29,5,FALSE)*U302,0)*(1+$E$9)</f>
        <v>0</v>
      </c>
      <c r="AX302" s="107">
        <f>_xlfn.IFNA($M302/VLOOKUP($BU302,'Unit information'!$A$2:$K$29,6,FALSE)*V302,0)*(1+$E$9)</f>
        <v>0</v>
      </c>
      <c r="AY302" s="107">
        <f>_xlfn.IFNA($M302/VLOOKUP($BU302,'Unit information'!$A$2:$K$29,7,FALSE)*W302,0)*(1+$E$9)</f>
        <v>0</v>
      </c>
      <c r="AZ302" s="107">
        <f>_xlfn.IFNA($M302/VLOOKUP($BU302,'Unit information'!$A$2:$K$29,8,FALSE)*X302,0)*(1+$E$9)</f>
        <v>0</v>
      </c>
      <c r="BA302" s="107">
        <f>_xlfn.IFNA($M302/VLOOKUP($BU302,'Unit information'!$A$2:$K$29,9,FALSE)*Y302,0)*(1+$E$9)</f>
        <v>0</v>
      </c>
      <c r="BB302" s="107">
        <f>_xlfn.IFNA($M302/VLOOKUP($BV302,'Unit information'!$A$2:$K$29,10,FALSE)*Z302,0)*(1+$E$9)</f>
        <v>0</v>
      </c>
      <c r="BC302" s="108">
        <f>_xlfn.IFNA($M302/VLOOKUP($BV302,'Unit information'!$A$2:$K$29,11,FALSE)*AA302,0)*(1+$E$9)</f>
        <v>0</v>
      </c>
      <c r="BD302" s="106">
        <f t="shared" si="634"/>
        <v>0</v>
      </c>
      <c r="BE302" s="107">
        <f t="shared" si="635"/>
        <v>0</v>
      </c>
      <c r="BF302" s="108">
        <f t="shared" si="636"/>
        <v>0</v>
      </c>
      <c r="BG302" s="25" t="e">
        <f t="shared" si="637"/>
        <v>#N/A</v>
      </c>
      <c r="BH302" s="25" t="e">
        <f t="shared" si="638"/>
        <v>#N/A</v>
      </c>
      <c r="BI302" s="25" t="e">
        <f t="shared" si="639"/>
        <v>#N/A</v>
      </c>
      <c r="BJ302" s="27" t="e">
        <f t="shared" si="640"/>
        <v>#N/A</v>
      </c>
      <c r="BK302" s="18" t="e">
        <f t="shared" si="641"/>
        <v>#N/A</v>
      </c>
      <c r="BL302" s="18" t="e">
        <f t="shared" si="642"/>
        <v>#N/A</v>
      </c>
      <c r="BM302" s="28" t="e">
        <f t="shared" si="693"/>
        <v>#N/A</v>
      </c>
      <c r="BN302" s="33">
        <f>HLOOKUP("maximum population",Miscelaneous!$C$1:$C$33,CH302+3,FALSE)</f>
        <v>240</v>
      </c>
      <c r="BO302" s="14">
        <f t="shared" si="655"/>
        <v>32</v>
      </c>
      <c r="BP302" s="14">
        <f t="shared" si="656"/>
        <v>0</v>
      </c>
      <c r="BQ302" s="14">
        <f t="shared" si="657"/>
        <v>208</v>
      </c>
      <c r="BR302" s="34" t="e">
        <f>HLOOKUP(J302,Villagers!$B$1:$V$33,L302+3,FALSE)-HLOOKUP(J302,Villagers!$B$1:$V$33,L302+2,FALSE)</f>
        <v>#N/A</v>
      </c>
      <c r="BS302" s="49">
        <f t="shared" si="658"/>
        <v>1</v>
      </c>
      <c r="BT302" s="50">
        <f t="shared" si="659"/>
        <v>0</v>
      </c>
      <c r="BU302" s="50">
        <f t="shared" si="660"/>
        <v>0</v>
      </c>
      <c r="BV302" s="50">
        <f t="shared" si="661"/>
        <v>0</v>
      </c>
      <c r="BW302" s="50">
        <f t="shared" si="730"/>
        <v>0</v>
      </c>
      <c r="BX302" s="50">
        <f t="shared" si="728"/>
        <v>0</v>
      </c>
      <c r="BY302" s="50">
        <f t="shared" si="728"/>
        <v>0</v>
      </c>
      <c r="BZ302" s="50">
        <f t="shared" si="707"/>
        <v>0</v>
      </c>
      <c r="CA302" s="50">
        <f t="shared" si="708"/>
        <v>0</v>
      </c>
      <c r="CB302" s="50">
        <f t="shared" si="709"/>
        <v>1</v>
      </c>
      <c r="CC302" s="50">
        <f t="shared" si="710"/>
        <v>0</v>
      </c>
      <c r="CD302" s="50">
        <f t="shared" si="711"/>
        <v>0</v>
      </c>
      <c r="CE302" s="50">
        <f t="shared" si="712"/>
        <v>1</v>
      </c>
      <c r="CF302" s="50">
        <f t="shared" si="713"/>
        <v>1</v>
      </c>
      <c r="CG302" s="50">
        <f t="shared" si="714"/>
        <v>1</v>
      </c>
      <c r="CH302" s="50">
        <f t="shared" si="715"/>
        <v>1</v>
      </c>
      <c r="CI302" s="50">
        <f t="shared" si="716"/>
        <v>1</v>
      </c>
      <c r="CJ302" s="50">
        <f t="shared" si="717"/>
        <v>1</v>
      </c>
      <c r="CK302" s="50">
        <f t="shared" si="717"/>
        <v>0</v>
      </c>
      <c r="CL302" s="50">
        <f t="shared" si="717"/>
        <v>0</v>
      </c>
      <c r="CM302" s="51">
        <f t="shared" si="605"/>
        <v>0</v>
      </c>
      <c r="CN302" s="33">
        <f>ROUND(IF(BS302=0,0,HLOOKUP(BS$14,Villagers!$B$1:$V$33,BS302+3,FALSE)),)</f>
        <v>5</v>
      </c>
      <c r="CO302" s="14">
        <f>ROUND(IF(BT302=0,0,HLOOKUP(BT$14,Villagers!$B$1:$V$33,BT302+3,FALSE)),)</f>
        <v>0</v>
      </c>
      <c r="CP302" s="14">
        <f>ROUND(IF(BU302=0,0,HLOOKUP(BU$14,Villagers!$B$1:$V$33,BU302+3,FALSE)),)</f>
        <v>0</v>
      </c>
      <c r="CQ302" s="14">
        <f>ROUND(IF(BV302=0,0,HLOOKUP(BV$14,Villagers!$B$1:$V$33,BV302+3,FALSE)),)</f>
        <v>0</v>
      </c>
      <c r="CR302" s="14">
        <f>ROUND(IF(BW302=0,0,HLOOKUP(BW$14,Villagers!$B$1:$V$33,BW302+3,FALSE)),)</f>
        <v>0</v>
      </c>
      <c r="CS302" s="14">
        <f>ROUND(IF(BX302=0,0,HLOOKUP(BX$14,Villagers!$B$1:$V$33,BX302+3,FALSE)),)</f>
        <v>0</v>
      </c>
      <c r="CT302" s="14">
        <f>ROUND(IF(BY302=0,0,HLOOKUP(BY$14,Villagers!$B$1:$V$33,BY302+3,FALSE)),)</f>
        <v>0</v>
      </c>
      <c r="CU302" s="14">
        <f>ROUND(IF(BZ302=0,0,HLOOKUP(BZ$14,Villagers!$B$1:$V$33,BZ302+3,FALSE)),)</f>
        <v>0</v>
      </c>
      <c r="CV302" s="14">
        <f>ROUND(IF(CA302=0,0,HLOOKUP(CA$14,Villagers!$B$1:$V$33,CA302+3,FALSE)),)</f>
        <v>0</v>
      </c>
      <c r="CW302" s="14">
        <f>ROUND(IF(CB302=0,0,HLOOKUP(CB$14,Villagers!$B$1:$V$33,CB302+3,FALSE)),)</f>
        <v>0</v>
      </c>
      <c r="CX302" s="14">
        <f>ROUND(IF(CC302=0,0,HLOOKUP(CC$14,Villagers!$B$1:$V$33,CC302+3,FALSE)),)</f>
        <v>0</v>
      </c>
      <c r="CY302" s="14">
        <f>ROUND(IF(CD302=0,0,HLOOKUP(CD$14,Villagers!$B$1:$V$33,CD302+3,FALSE)),)</f>
        <v>0</v>
      </c>
      <c r="CZ302" s="14">
        <f>ROUND(IF(CE302=0,0,HLOOKUP(CE$14,Villagers!$B$1:$V$33,CE302+3,FALSE)),)</f>
        <v>5</v>
      </c>
      <c r="DA302" s="14">
        <f>ROUND(IF(CF302=0,0,HLOOKUP(CF$14,Villagers!$B$1:$V$33,CF302+3,FALSE)),)</f>
        <v>10</v>
      </c>
      <c r="DB302" s="14">
        <f>ROUND(IF(CG302=0,0,HLOOKUP(CG$14,Villagers!$B$1:$V$33,CG302+3,FALSE)),)</f>
        <v>10</v>
      </c>
      <c r="DC302" s="14">
        <f>ROUND(IF(CH302=0,0,HLOOKUP(CH$14,Villagers!$B$1:$V$33,CH302+3,FALSE)),)</f>
        <v>0</v>
      </c>
      <c r="DD302" s="14">
        <f>ROUND(IF(CI302=0,0,HLOOKUP(CI$14,Villagers!$B$1:$V$33,CI302+3,FALSE)),)</f>
        <v>0</v>
      </c>
      <c r="DE302" s="14">
        <f>ROUND(IF(CJ302=0,0,HLOOKUP(CJ$14,Villagers!$B$1:$V$33,CJ302+3,FALSE)),)</f>
        <v>2</v>
      </c>
      <c r="DF302" s="370">
        <f>ROUND(IF(CK302=0,0,HLOOKUP(CK$14,Villagers!$B$1:$V$33,CK302+3,FALSE)),)</f>
        <v>0</v>
      </c>
      <c r="DG302" s="370">
        <f>ROUND(IF(CL302=0,0,HLOOKUP(CL$14,Villagers!$B$1:$V$33,CL302+3,FALSE)),)</f>
        <v>0</v>
      </c>
      <c r="DH302" s="34">
        <f>ROUND(IF(CM302=0,0,HLOOKUP(CM$14,Villagers!$B$1:$V$33,CM302+3,FALSE)),)</f>
        <v>0</v>
      </c>
      <c r="DI302" s="109">
        <f t="shared" si="679"/>
        <v>0</v>
      </c>
      <c r="DJ302" s="50">
        <f t="shared" si="680"/>
        <v>0</v>
      </c>
      <c r="DK302" s="50">
        <f t="shared" si="681"/>
        <v>0</v>
      </c>
      <c r="DL302" s="50">
        <f t="shared" si="682"/>
        <v>0</v>
      </c>
      <c r="DM302" s="50">
        <f t="shared" si="683"/>
        <v>0</v>
      </c>
      <c r="DN302" s="50">
        <f t="shared" si="684"/>
        <v>0</v>
      </c>
      <c r="DO302" s="50">
        <f t="shared" si="685"/>
        <v>0</v>
      </c>
      <c r="DP302" s="50">
        <f t="shared" si="686"/>
        <v>0</v>
      </c>
      <c r="DQ302" s="50">
        <f t="shared" si="663"/>
        <v>0</v>
      </c>
      <c r="DR302" s="50">
        <f t="shared" si="664"/>
        <v>0</v>
      </c>
      <c r="DS302" s="96">
        <f>Miscelaneous!$D$4*Miscelaneous!$D$2^($CI302-1)</f>
        <v>1000</v>
      </c>
      <c r="DT302" s="333">
        <f t="shared" si="643"/>
        <v>1</v>
      </c>
      <c r="DU302" s="81">
        <v>1</v>
      </c>
      <c r="DV302" s="79">
        <f t="shared" si="665"/>
        <v>0</v>
      </c>
      <c r="DW302" s="79">
        <f t="shared" si="666"/>
        <v>0</v>
      </c>
      <c r="DX302" s="79">
        <f t="shared" si="667"/>
        <v>0</v>
      </c>
      <c r="DY302" s="79">
        <v>1</v>
      </c>
      <c r="DZ302" s="79">
        <f t="shared" si="668"/>
        <v>0</v>
      </c>
      <c r="EA302" s="79">
        <f t="shared" si="669"/>
        <v>0</v>
      </c>
      <c r="EB302" s="79">
        <f t="shared" si="670"/>
        <v>0</v>
      </c>
      <c r="EC302" s="79">
        <f t="shared" si="671"/>
        <v>0</v>
      </c>
      <c r="ED302" s="79">
        <v>1</v>
      </c>
      <c r="EE302" s="79">
        <v>1</v>
      </c>
      <c r="EF302" s="79">
        <f t="shared" si="672"/>
        <v>0</v>
      </c>
      <c r="EG302" s="79">
        <v>1</v>
      </c>
      <c r="EH302" s="79">
        <v>1</v>
      </c>
      <c r="EI302" s="79">
        <v>1</v>
      </c>
      <c r="EJ302" s="79">
        <v>1</v>
      </c>
      <c r="EK302" s="79">
        <v>1</v>
      </c>
      <c r="EL302" s="79">
        <v>1</v>
      </c>
      <c r="EM302" s="143">
        <f t="shared" si="673"/>
        <v>0</v>
      </c>
      <c r="EN302" s="143">
        <f t="shared" si="674"/>
        <v>0</v>
      </c>
      <c r="EO302" s="82">
        <f t="shared" si="675"/>
        <v>0</v>
      </c>
    </row>
    <row r="303" spans="1:145" x14ac:dyDescent="0.25">
      <c r="A303">
        <v>289</v>
      </c>
      <c r="B303" s="172" t="e">
        <f t="shared" si="644"/>
        <v>#N/A</v>
      </c>
      <c r="C303" s="121" t="e">
        <f t="shared" ref="C303:E303" si="739">AJ303-SUM(AB303:AB307)</f>
        <v>#N/A</v>
      </c>
      <c r="D303" s="122" t="e">
        <f t="shared" si="739"/>
        <v>#N/A</v>
      </c>
      <c r="E303" s="122" t="e">
        <f t="shared" si="739"/>
        <v>#N/A</v>
      </c>
      <c r="F303" s="176" t="e">
        <f t="shared" si="626"/>
        <v>#N/A</v>
      </c>
      <c r="G303" s="121">
        <f t="shared" si="646"/>
        <v>208</v>
      </c>
      <c r="H303" s="176" t="e">
        <f t="shared" si="647"/>
        <v>#N/A</v>
      </c>
      <c r="I303" s="48">
        <v>1</v>
      </c>
      <c r="J303" s="39"/>
      <c r="K303" s="350">
        <v>1</v>
      </c>
      <c r="L303" s="34" t="e">
        <f t="shared" si="627"/>
        <v>#N/A</v>
      </c>
      <c r="M303" s="38" t="e">
        <f>(HLOOKUP(J303,'Construction Times'!$B$3:$W$34,L303+2,FALSE)*HLOOKUP("hq modifier",'Construction Times'!$W$3:$W$34,BS303+2,FALSE))*(1-$H$9)</f>
        <v>#N/A</v>
      </c>
      <c r="N303" s="426" t="e">
        <f t="shared" si="648"/>
        <v>#N/A</v>
      </c>
      <c r="O303" s="427"/>
      <c r="P303" s="430" t="e">
        <f t="shared" si="649"/>
        <v>#N/A</v>
      </c>
      <c r="Q303" s="431"/>
      <c r="R303" s="103">
        <f t="shared" si="677"/>
        <v>0</v>
      </c>
      <c r="S303" s="104">
        <f t="shared" si="677"/>
        <v>0</v>
      </c>
      <c r="T303" s="104">
        <f t="shared" si="678"/>
        <v>0</v>
      </c>
      <c r="U303" s="104">
        <f t="shared" si="678"/>
        <v>0</v>
      </c>
      <c r="V303" s="104">
        <f t="shared" si="678"/>
        <v>9.9999999999999995E-8</v>
      </c>
      <c r="W303" s="104">
        <f t="shared" si="678"/>
        <v>0</v>
      </c>
      <c r="X303" s="104">
        <f t="shared" si="737"/>
        <v>0</v>
      </c>
      <c r="Y303" s="104">
        <f t="shared" si="737"/>
        <v>9.9999999999999995E-8</v>
      </c>
      <c r="Z303" s="104">
        <f t="shared" si="737"/>
        <v>9.9999999999999995E-8</v>
      </c>
      <c r="AA303" s="105">
        <f t="shared" si="737"/>
        <v>9.9999999999999995E-8</v>
      </c>
      <c r="AB303" s="101" t="e">
        <f>$DT303*HLOOKUP($J303,'Construction Costs (timber)'!$B$1:$V$32,'Construction Planner'!$L303+2,FALSE)</f>
        <v>#N/A</v>
      </c>
      <c r="AC303" s="14" t="e">
        <f>$DT303*HLOOKUP($J303,'Construction Costs (clay)'!$B$1:$V$32,'Construction Planner'!$L303+2,FALSE)</f>
        <v>#N/A</v>
      </c>
      <c r="AD303" s="14" t="e">
        <f>$DT303*HLOOKUP($J303,'Construction Costs (iron)'!$B$1:$V$32,'Construction Planner'!$L303+2,FALSE)</f>
        <v>#N/A</v>
      </c>
      <c r="AE303" s="34" t="e">
        <f t="shared" si="690"/>
        <v>#N/A</v>
      </c>
      <c r="AF303" s="33" t="e">
        <f t="shared" si="628"/>
        <v>#N/A</v>
      </c>
      <c r="AG303" s="14" t="e">
        <f t="shared" si="629"/>
        <v>#N/A</v>
      </c>
      <c r="AH303" s="14" t="e">
        <f t="shared" si="630"/>
        <v>#N/A</v>
      </c>
      <c r="AI303" s="34" t="e">
        <f t="shared" si="691"/>
        <v>#N/A</v>
      </c>
      <c r="AJ303" s="49" t="e">
        <f t="shared" si="651"/>
        <v>#N/A</v>
      </c>
      <c r="AK303" s="49" t="e">
        <f t="shared" si="652"/>
        <v>#N/A</v>
      </c>
      <c r="AL303" s="49" t="e">
        <f t="shared" si="653"/>
        <v>#N/A</v>
      </c>
      <c r="AM303" s="25">
        <f t="shared" si="631"/>
        <v>30</v>
      </c>
      <c r="AN303" s="25">
        <f t="shared" si="632"/>
        <v>30</v>
      </c>
      <c r="AO303" s="25">
        <f t="shared" si="633"/>
        <v>30</v>
      </c>
      <c r="AP303" s="52" t="e">
        <f t="shared" si="654"/>
        <v>#N/A</v>
      </c>
      <c r="AQ303" s="53" t="e">
        <f t="shared" si="654"/>
        <v>#N/A</v>
      </c>
      <c r="AR303" s="54" t="e">
        <f t="shared" si="654"/>
        <v>#N/A</v>
      </c>
      <c r="AS303" s="316">
        <f t="shared" si="724"/>
        <v>0</v>
      </c>
      <c r="AT303" s="106">
        <f>_xlfn.IFNA($M303/VLOOKUP($BT303,'Unit information'!$A$2:$K$29,2,FALSE)*R303,0)*(1+$E$9)</f>
        <v>0</v>
      </c>
      <c r="AU303" s="107">
        <f>_xlfn.IFNA($M303/VLOOKUP($BT303,'Unit information'!$A$2:$K$29,3,FALSE)*S303,0)*(1+$E$9)</f>
        <v>0</v>
      </c>
      <c r="AV303" s="107">
        <f>_xlfn.IFNA($M303/VLOOKUP($BT303,'Unit information'!$A$2:$K$29,4,FALSE)*T303,0)*(1+$E$9)</f>
        <v>0</v>
      </c>
      <c r="AW303" s="107">
        <f>_xlfn.IFNA($M303/VLOOKUP($BT303,'Unit information'!$A$2:$K$29,5,FALSE)*U303,0)*(1+$E$9)</f>
        <v>0</v>
      </c>
      <c r="AX303" s="107">
        <f>_xlfn.IFNA($M303/VLOOKUP($BU303,'Unit information'!$A$2:$K$29,6,FALSE)*V303,0)*(1+$E$9)</f>
        <v>0</v>
      </c>
      <c r="AY303" s="107">
        <f>_xlfn.IFNA($M303/VLOOKUP($BU303,'Unit information'!$A$2:$K$29,7,FALSE)*W303,0)*(1+$E$9)</f>
        <v>0</v>
      </c>
      <c r="AZ303" s="107">
        <f>_xlfn.IFNA($M303/VLOOKUP($BU303,'Unit information'!$A$2:$K$29,8,FALSE)*X303,0)*(1+$E$9)</f>
        <v>0</v>
      </c>
      <c r="BA303" s="107">
        <f>_xlfn.IFNA($M303/VLOOKUP($BU303,'Unit information'!$A$2:$K$29,9,FALSE)*Y303,0)*(1+$E$9)</f>
        <v>0</v>
      </c>
      <c r="BB303" s="107">
        <f>_xlfn.IFNA($M303/VLOOKUP($BV303,'Unit information'!$A$2:$K$29,10,FALSE)*Z303,0)*(1+$E$9)</f>
        <v>0</v>
      </c>
      <c r="BC303" s="108">
        <f>_xlfn.IFNA($M303/VLOOKUP($BV303,'Unit information'!$A$2:$K$29,11,FALSE)*AA303,0)*(1+$E$9)</f>
        <v>0</v>
      </c>
      <c r="BD303" s="106">
        <f t="shared" si="634"/>
        <v>0</v>
      </c>
      <c r="BE303" s="107">
        <f t="shared" si="635"/>
        <v>0</v>
      </c>
      <c r="BF303" s="108">
        <f t="shared" si="636"/>
        <v>0</v>
      </c>
      <c r="BG303" s="25" t="e">
        <f t="shared" si="637"/>
        <v>#N/A</v>
      </c>
      <c r="BH303" s="25" t="e">
        <f t="shared" si="638"/>
        <v>#N/A</v>
      </c>
      <c r="BI303" s="25" t="e">
        <f t="shared" si="639"/>
        <v>#N/A</v>
      </c>
      <c r="BJ303" s="27" t="e">
        <f t="shared" si="640"/>
        <v>#N/A</v>
      </c>
      <c r="BK303" s="18" t="e">
        <f t="shared" si="641"/>
        <v>#N/A</v>
      </c>
      <c r="BL303" s="18" t="e">
        <f t="shared" si="642"/>
        <v>#N/A</v>
      </c>
      <c r="BM303" s="28" t="e">
        <f t="shared" si="693"/>
        <v>#N/A</v>
      </c>
      <c r="BN303" s="33">
        <f>HLOOKUP("maximum population",Miscelaneous!$C$1:$C$33,CH303+3,FALSE)</f>
        <v>240</v>
      </c>
      <c r="BO303" s="14">
        <f t="shared" si="655"/>
        <v>32</v>
      </c>
      <c r="BP303" s="14">
        <f t="shared" si="656"/>
        <v>0</v>
      </c>
      <c r="BQ303" s="14">
        <f t="shared" si="657"/>
        <v>208</v>
      </c>
      <c r="BR303" s="34" t="e">
        <f>HLOOKUP(J303,Villagers!$B$1:$V$33,L303+3,FALSE)-HLOOKUP(J303,Villagers!$B$1:$V$33,L303+2,FALSE)</f>
        <v>#N/A</v>
      </c>
      <c r="BS303" s="49">
        <f t="shared" si="658"/>
        <v>1</v>
      </c>
      <c r="BT303" s="50">
        <f t="shared" si="659"/>
        <v>0</v>
      </c>
      <c r="BU303" s="50">
        <f t="shared" si="660"/>
        <v>0</v>
      </c>
      <c r="BV303" s="50">
        <f t="shared" si="661"/>
        <v>0</v>
      </c>
      <c r="BW303" s="50">
        <f t="shared" si="730"/>
        <v>0</v>
      </c>
      <c r="BX303" s="50">
        <f t="shared" si="728"/>
        <v>0</v>
      </c>
      <c r="BY303" s="50">
        <f t="shared" si="728"/>
        <v>0</v>
      </c>
      <c r="BZ303" s="50">
        <f t="shared" si="707"/>
        <v>0</v>
      </c>
      <c r="CA303" s="50">
        <f t="shared" si="708"/>
        <v>0</v>
      </c>
      <c r="CB303" s="50">
        <f t="shared" si="709"/>
        <v>1</v>
      </c>
      <c r="CC303" s="50">
        <f t="shared" si="710"/>
        <v>0</v>
      </c>
      <c r="CD303" s="50">
        <f t="shared" si="711"/>
        <v>0</v>
      </c>
      <c r="CE303" s="50">
        <f t="shared" si="712"/>
        <v>1</v>
      </c>
      <c r="CF303" s="50">
        <f t="shared" si="713"/>
        <v>1</v>
      </c>
      <c r="CG303" s="50">
        <f t="shared" si="714"/>
        <v>1</v>
      </c>
      <c r="CH303" s="50">
        <f t="shared" si="715"/>
        <v>1</v>
      </c>
      <c r="CI303" s="50">
        <f t="shared" si="716"/>
        <v>1</v>
      </c>
      <c r="CJ303" s="50">
        <f t="shared" si="717"/>
        <v>1</v>
      </c>
      <c r="CK303" s="50">
        <f t="shared" si="717"/>
        <v>0</v>
      </c>
      <c r="CL303" s="50">
        <f t="shared" si="717"/>
        <v>0</v>
      </c>
      <c r="CM303" s="51">
        <f t="shared" si="605"/>
        <v>0</v>
      </c>
      <c r="CN303" s="33">
        <f>ROUND(IF(BS303=0,0,HLOOKUP(BS$14,Villagers!$B$1:$V$33,BS303+3,FALSE)),)</f>
        <v>5</v>
      </c>
      <c r="CO303" s="14">
        <f>ROUND(IF(BT303=0,0,HLOOKUP(BT$14,Villagers!$B$1:$V$33,BT303+3,FALSE)),)</f>
        <v>0</v>
      </c>
      <c r="CP303" s="14">
        <f>ROUND(IF(BU303=0,0,HLOOKUP(BU$14,Villagers!$B$1:$V$33,BU303+3,FALSE)),)</f>
        <v>0</v>
      </c>
      <c r="CQ303" s="14">
        <f>ROUND(IF(BV303=0,0,HLOOKUP(BV$14,Villagers!$B$1:$V$33,BV303+3,FALSE)),)</f>
        <v>0</v>
      </c>
      <c r="CR303" s="14">
        <f>ROUND(IF(BW303=0,0,HLOOKUP(BW$14,Villagers!$B$1:$V$33,BW303+3,FALSE)),)</f>
        <v>0</v>
      </c>
      <c r="CS303" s="14">
        <f>ROUND(IF(BX303=0,0,HLOOKUP(BX$14,Villagers!$B$1:$V$33,BX303+3,FALSE)),)</f>
        <v>0</v>
      </c>
      <c r="CT303" s="14">
        <f>ROUND(IF(BY303=0,0,HLOOKUP(BY$14,Villagers!$B$1:$V$33,BY303+3,FALSE)),)</f>
        <v>0</v>
      </c>
      <c r="CU303" s="14">
        <f>ROUND(IF(BZ303=0,0,HLOOKUP(BZ$14,Villagers!$B$1:$V$33,BZ303+3,FALSE)),)</f>
        <v>0</v>
      </c>
      <c r="CV303" s="14">
        <f>ROUND(IF(CA303=0,0,HLOOKUP(CA$14,Villagers!$B$1:$V$33,CA303+3,FALSE)),)</f>
        <v>0</v>
      </c>
      <c r="CW303" s="14">
        <f>ROUND(IF(CB303=0,0,HLOOKUP(CB$14,Villagers!$B$1:$V$33,CB303+3,FALSE)),)</f>
        <v>0</v>
      </c>
      <c r="CX303" s="14">
        <f>ROUND(IF(CC303=0,0,HLOOKUP(CC$14,Villagers!$B$1:$V$33,CC303+3,FALSE)),)</f>
        <v>0</v>
      </c>
      <c r="CY303" s="14">
        <f>ROUND(IF(CD303=0,0,HLOOKUP(CD$14,Villagers!$B$1:$V$33,CD303+3,FALSE)),)</f>
        <v>0</v>
      </c>
      <c r="CZ303" s="14">
        <f>ROUND(IF(CE303=0,0,HLOOKUP(CE$14,Villagers!$B$1:$V$33,CE303+3,FALSE)),)</f>
        <v>5</v>
      </c>
      <c r="DA303" s="14">
        <f>ROUND(IF(CF303=0,0,HLOOKUP(CF$14,Villagers!$B$1:$V$33,CF303+3,FALSE)),)</f>
        <v>10</v>
      </c>
      <c r="DB303" s="14">
        <f>ROUND(IF(CG303=0,0,HLOOKUP(CG$14,Villagers!$B$1:$V$33,CG303+3,FALSE)),)</f>
        <v>10</v>
      </c>
      <c r="DC303" s="14">
        <f>ROUND(IF(CH303=0,0,HLOOKUP(CH$14,Villagers!$B$1:$V$33,CH303+3,FALSE)),)</f>
        <v>0</v>
      </c>
      <c r="DD303" s="14">
        <f>ROUND(IF(CI303=0,0,HLOOKUP(CI$14,Villagers!$B$1:$V$33,CI303+3,FALSE)),)</f>
        <v>0</v>
      </c>
      <c r="DE303" s="14">
        <f>ROUND(IF(CJ303=0,0,HLOOKUP(CJ$14,Villagers!$B$1:$V$33,CJ303+3,FALSE)),)</f>
        <v>2</v>
      </c>
      <c r="DF303" s="370">
        <f>ROUND(IF(CK303=0,0,HLOOKUP(CK$14,Villagers!$B$1:$V$33,CK303+3,FALSE)),)</f>
        <v>0</v>
      </c>
      <c r="DG303" s="370">
        <f>ROUND(IF(CL303=0,0,HLOOKUP(CL$14,Villagers!$B$1:$V$33,CL303+3,FALSE)),)</f>
        <v>0</v>
      </c>
      <c r="DH303" s="34">
        <f>ROUND(IF(CM303=0,0,HLOOKUP(CM$14,Villagers!$B$1:$V$33,CM303+3,FALSE)),)</f>
        <v>0</v>
      </c>
      <c r="DI303" s="109">
        <f t="shared" si="679"/>
        <v>0</v>
      </c>
      <c r="DJ303" s="50">
        <f t="shared" si="680"/>
        <v>0</v>
      </c>
      <c r="DK303" s="50">
        <f t="shared" si="681"/>
        <v>0</v>
      </c>
      <c r="DL303" s="50">
        <f t="shared" si="682"/>
        <v>0</v>
      </c>
      <c r="DM303" s="50">
        <f t="shared" si="683"/>
        <v>0</v>
      </c>
      <c r="DN303" s="50">
        <f t="shared" si="684"/>
        <v>0</v>
      </c>
      <c r="DO303" s="50">
        <f t="shared" si="685"/>
        <v>0</v>
      </c>
      <c r="DP303" s="50">
        <f t="shared" si="686"/>
        <v>0</v>
      </c>
      <c r="DQ303" s="50">
        <f t="shared" si="663"/>
        <v>0</v>
      </c>
      <c r="DR303" s="50">
        <f t="shared" si="664"/>
        <v>0</v>
      </c>
      <c r="DS303" s="96">
        <f>Miscelaneous!$D$4*Miscelaneous!$D$2^($CI303-1)</f>
        <v>1000</v>
      </c>
      <c r="DT303" s="333">
        <f t="shared" si="643"/>
        <v>1</v>
      </c>
      <c r="DU303" s="81">
        <v>1</v>
      </c>
      <c r="DV303" s="79">
        <f t="shared" si="665"/>
        <v>0</v>
      </c>
      <c r="DW303" s="79">
        <f t="shared" si="666"/>
        <v>0</v>
      </c>
      <c r="DX303" s="79">
        <f t="shared" si="667"/>
        <v>0</v>
      </c>
      <c r="DY303" s="79">
        <v>1</v>
      </c>
      <c r="DZ303" s="79">
        <f t="shared" si="668"/>
        <v>0</v>
      </c>
      <c r="EA303" s="79">
        <f t="shared" si="669"/>
        <v>0</v>
      </c>
      <c r="EB303" s="79">
        <f t="shared" si="670"/>
        <v>0</v>
      </c>
      <c r="EC303" s="79">
        <f t="shared" si="671"/>
        <v>0</v>
      </c>
      <c r="ED303" s="79">
        <v>1</v>
      </c>
      <c r="EE303" s="79">
        <v>1</v>
      </c>
      <c r="EF303" s="79">
        <f t="shared" si="672"/>
        <v>0</v>
      </c>
      <c r="EG303" s="79">
        <v>1</v>
      </c>
      <c r="EH303" s="79">
        <v>1</v>
      </c>
      <c r="EI303" s="79">
        <v>1</v>
      </c>
      <c r="EJ303" s="79">
        <v>1</v>
      </c>
      <c r="EK303" s="79">
        <v>1</v>
      </c>
      <c r="EL303" s="79">
        <v>1</v>
      </c>
      <c r="EM303" s="143">
        <f t="shared" si="673"/>
        <v>0</v>
      </c>
      <c r="EN303" s="143">
        <f t="shared" si="674"/>
        <v>0</v>
      </c>
      <c r="EO303" s="82">
        <f t="shared" si="675"/>
        <v>0</v>
      </c>
    </row>
    <row r="304" spans="1:145" x14ac:dyDescent="0.25">
      <c r="A304">
        <v>290</v>
      </c>
      <c r="B304" s="172" t="e">
        <f t="shared" si="644"/>
        <v>#N/A</v>
      </c>
      <c r="C304" s="121" t="e">
        <f t="shared" ref="C304:E304" si="740">AJ304-SUM(AB304:AB308)</f>
        <v>#N/A</v>
      </c>
      <c r="D304" s="122" t="e">
        <f t="shared" si="740"/>
        <v>#N/A</v>
      </c>
      <c r="E304" s="122" t="e">
        <f t="shared" si="740"/>
        <v>#N/A</v>
      </c>
      <c r="F304" s="176" t="e">
        <f t="shared" si="626"/>
        <v>#N/A</v>
      </c>
      <c r="G304" s="121">
        <f t="shared" si="646"/>
        <v>208</v>
      </c>
      <c r="H304" s="176" t="e">
        <f t="shared" si="647"/>
        <v>#N/A</v>
      </c>
      <c r="I304" s="48">
        <v>1</v>
      </c>
      <c r="J304" s="39"/>
      <c r="K304" s="350">
        <v>1</v>
      </c>
      <c r="L304" s="34" t="e">
        <f t="shared" si="627"/>
        <v>#N/A</v>
      </c>
      <c r="M304" s="38" t="e">
        <f>(HLOOKUP(J304,'Construction Times'!$B$3:$W$34,L304+2,FALSE)*HLOOKUP("hq modifier",'Construction Times'!$W$3:$W$34,BS304+2,FALSE))*(1-$H$9)</f>
        <v>#N/A</v>
      </c>
      <c r="N304" s="426" t="e">
        <f t="shared" si="648"/>
        <v>#N/A</v>
      </c>
      <c r="O304" s="427"/>
      <c r="P304" s="430" t="e">
        <f t="shared" si="649"/>
        <v>#N/A</v>
      </c>
      <c r="Q304" s="431"/>
      <c r="R304" s="103">
        <f t="shared" si="677"/>
        <v>0</v>
      </c>
      <c r="S304" s="104">
        <f t="shared" si="677"/>
        <v>0</v>
      </c>
      <c r="T304" s="104">
        <f t="shared" si="678"/>
        <v>0</v>
      </c>
      <c r="U304" s="104">
        <f t="shared" si="678"/>
        <v>0</v>
      </c>
      <c r="V304" s="104">
        <f t="shared" si="678"/>
        <v>9.9999999999999995E-8</v>
      </c>
      <c r="W304" s="104">
        <f t="shared" si="678"/>
        <v>0</v>
      </c>
      <c r="X304" s="104">
        <f t="shared" si="737"/>
        <v>0</v>
      </c>
      <c r="Y304" s="104">
        <f t="shared" si="737"/>
        <v>9.9999999999999995E-8</v>
      </c>
      <c r="Z304" s="104">
        <f t="shared" si="737"/>
        <v>9.9999999999999995E-8</v>
      </c>
      <c r="AA304" s="105">
        <f t="shared" si="737"/>
        <v>9.9999999999999995E-8</v>
      </c>
      <c r="AB304" s="101" t="e">
        <f>$DT304*HLOOKUP($J304,'Construction Costs (timber)'!$B$1:$V$32,'Construction Planner'!$L304+2,FALSE)</f>
        <v>#N/A</v>
      </c>
      <c r="AC304" s="14" t="e">
        <f>$DT304*HLOOKUP($J304,'Construction Costs (clay)'!$B$1:$V$32,'Construction Planner'!$L304+2,FALSE)</f>
        <v>#N/A</v>
      </c>
      <c r="AD304" s="14" t="e">
        <f>$DT304*HLOOKUP($J304,'Construction Costs (iron)'!$B$1:$V$32,'Construction Planner'!$L304+2,FALSE)</f>
        <v>#N/A</v>
      </c>
      <c r="AE304" s="34" t="e">
        <f t="shared" si="690"/>
        <v>#N/A</v>
      </c>
      <c r="AF304" s="33" t="e">
        <f t="shared" si="628"/>
        <v>#N/A</v>
      </c>
      <c r="AG304" s="14" t="e">
        <f t="shared" si="629"/>
        <v>#N/A</v>
      </c>
      <c r="AH304" s="14" t="e">
        <f t="shared" si="630"/>
        <v>#N/A</v>
      </c>
      <c r="AI304" s="34" t="e">
        <f t="shared" si="691"/>
        <v>#N/A</v>
      </c>
      <c r="AJ304" s="49" t="e">
        <f t="shared" si="651"/>
        <v>#N/A</v>
      </c>
      <c r="AK304" s="49" t="e">
        <f t="shared" si="652"/>
        <v>#N/A</v>
      </c>
      <c r="AL304" s="49" t="e">
        <f t="shared" si="653"/>
        <v>#N/A</v>
      </c>
      <c r="AM304" s="25">
        <f t="shared" si="631"/>
        <v>30</v>
      </c>
      <c r="AN304" s="25">
        <f t="shared" si="632"/>
        <v>30</v>
      </c>
      <c r="AO304" s="25">
        <f t="shared" si="633"/>
        <v>30</v>
      </c>
      <c r="AP304" s="52" t="e">
        <f t="shared" si="654"/>
        <v>#N/A</v>
      </c>
      <c r="AQ304" s="53" t="e">
        <f t="shared" si="654"/>
        <v>#N/A</v>
      </c>
      <c r="AR304" s="54" t="e">
        <f t="shared" si="654"/>
        <v>#N/A</v>
      </c>
      <c r="AS304" s="316">
        <f t="shared" si="724"/>
        <v>0</v>
      </c>
      <c r="AT304" s="106">
        <f>_xlfn.IFNA($M304/VLOOKUP($BT304,'Unit information'!$A$2:$K$29,2,FALSE)*R304,0)*(1+$E$9)</f>
        <v>0</v>
      </c>
      <c r="AU304" s="107">
        <f>_xlfn.IFNA($M304/VLOOKUP($BT304,'Unit information'!$A$2:$K$29,3,FALSE)*S304,0)*(1+$E$9)</f>
        <v>0</v>
      </c>
      <c r="AV304" s="107">
        <f>_xlfn.IFNA($M304/VLOOKUP($BT304,'Unit information'!$A$2:$K$29,4,FALSE)*T304,0)*(1+$E$9)</f>
        <v>0</v>
      </c>
      <c r="AW304" s="107">
        <f>_xlfn.IFNA($M304/VLOOKUP($BT304,'Unit information'!$A$2:$K$29,5,FALSE)*U304,0)*(1+$E$9)</f>
        <v>0</v>
      </c>
      <c r="AX304" s="107">
        <f>_xlfn.IFNA($M304/VLOOKUP($BU304,'Unit information'!$A$2:$K$29,6,FALSE)*V304,0)*(1+$E$9)</f>
        <v>0</v>
      </c>
      <c r="AY304" s="107">
        <f>_xlfn.IFNA($M304/VLOOKUP($BU304,'Unit information'!$A$2:$K$29,7,FALSE)*W304,0)*(1+$E$9)</f>
        <v>0</v>
      </c>
      <c r="AZ304" s="107">
        <f>_xlfn.IFNA($M304/VLOOKUP($BU304,'Unit information'!$A$2:$K$29,8,FALSE)*X304,0)*(1+$E$9)</f>
        <v>0</v>
      </c>
      <c r="BA304" s="107">
        <f>_xlfn.IFNA($M304/VLOOKUP($BU304,'Unit information'!$A$2:$K$29,9,FALSE)*Y304,0)*(1+$E$9)</f>
        <v>0</v>
      </c>
      <c r="BB304" s="107">
        <f>_xlfn.IFNA($M304/VLOOKUP($BV304,'Unit information'!$A$2:$K$29,10,FALSE)*Z304,0)*(1+$E$9)</f>
        <v>0</v>
      </c>
      <c r="BC304" s="108">
        <f>_xlfn.IFNA($M304/VLOOKUP($BV304,'Unit information'!$A$2:$K$29,11,FALSE)*AA304,0)*(1+$E$9)</f>
        <v>0</v>
      </c>
      <c r="BD304" s="106">
        <f t="shared" si="634"/>
        <v>0</v>
      </c>
      <c r="BE304" s="107">
        <f t="shared" si="635"/>
        <v>0</v>
      </c>
      <c r="BF304" s="108">
        <f t="shared" si="636"/>
        <v>0</v>
      </c>
      <c r="BG304" s="25" t="e">
        <f t="shared" si="637"/>
        <v>#N/A</v>
      </c>
      <c r="BH304" s="25" t="e">
        <f t="shared" si="638"/>
        <v>#N/A</v>
      </c>
      <c r="BI304" s="25" t="e">
        <f t="shared" si="639"/>
        <v>#N/A</v>
      </c>
      <c r="BJ304" s="27" t="e">
        <f t="shared" si="640"/>
        <v>#N/A</v>
      </c>
      <c r="BK304" s="18" t="e">
        <f t="shared" si="641"/>
        <v>#N/A</v>
      </c>
      <c r="BL304" s="18" t="e">
        <f t="shared" si="642"/>
        <v>#N/A</v>
      </c>
      <c r="BM304" s="28" t="e">
        <f t="shared" si="693"/>
        <v>#N/A</v>
      </c>
      <c r="BN304" s="33">
        <f>HLOOKUP("maximum population",Miscelaneous!$C$1:$C$33,CH304+3,FALSE)</f>
        <v>240</v>
      </c>
      <c r="BO304" s="14">
        <f t="shared" si="655"/>
        <v>32</v>
      </c>
      <c r="BP304" s="14">
        <f t="shared" si="656"/>
        <v>0</v>
      </c>
      <c r="BQ304" s="14">
        <f t="shared" si="657"/>
        <v>208</v>
      </c>
      <c r="BR304" s="34" t="e">
        <f>HLOOKUP(J304,Villagers!$B$1:$V$33,L304+3,FALSE)-HLOOKUP(J304,Villagers!$B$1:$V$33,L304+2,FALSE)</f>
        <v>#N/A</v>
      </c>
      <c r="BS304" s="49">
        <f t="shared" si="658"/>
        <v>1</v>
      </c>
      <c r="BT304" s="50">
        <f t="shared" si="659"/>
        <v>0</v>
      </c>
      <c r="BU304" s="50">
        <f t="shared" si="660"/>
        <v>0</v>
      </c>
      <c r="BV304" s="50">
        <f t="shared" si="661"/>
        <v>0</v>
      </c>
      <c r="BW304" s="50">
        <f t="shared" ref="BW304:BY310" si="741">IF($J303=BW$14,$L303,BW303)</f>
        <v>0</v>
      </c>
      <c r="BX304" s="50">
        <f t="shared" si="741"/>
        <v>0</v>
      </c>
      <c r="BY304" s="50">
        <f t="shared" si="741"/>
        <v>0</v>
      </c>
      <c r="BZ304" s="50">
        <f t="shared" si="707"/>
        <v>0</v>
      </c>
      <c r="CA304" s="50">
        <f t="shared" si="708"/>
        <v>0</v>
      </c>
      <c r="CB304" s="50">
        <f t="shared" si="709"/>
        <v>1</v>
      </c>
      <c r="CC304" s="50">
        <f t="shared" si="710"/>
        <v>0</v>
      </c>
      <c r="CD304" s="50">
        <f t="shared" si="711"/>
        <v>0</v>
      </c>
      <c r="CE304" s="50">
        <f t="shared" si="712"/>
        <v>1</v>
      </c>
      <c r="CF304" s="50">
        <f t="shared" si="713"/>
        <v>1</v>
      </c>
      <c r="CG304" s="50">
        <f t="shared" si="714"/>
        <v>1</v>
      </c>
      <c r="CH304" s="50">
        <f t="shared" si="715"/>
        <v>1</v>
      </c>
      <c r="CI304" s="50">
        <f t="shared" si="716"/>
        <v>1</v>
      </c>
      <c r="CJ304" s="50">
        <f t="shared" si="717"/>
        <v>1</v>
      </c>
      <c r="CK304" s="50">
        <f t="shared" si="717"/>
        <v>0</v>
      </c>
      <c r="CL304" s="50">
        <f t="shared" si="717"/>
        <v>0</v>
      </c>
      <c r="CM304" s="51">
        <f t="shared" si="605"/>
        <v>0</v>
      </c>
      <c r="CN304" s="33">
        <f>ROUND(IF(BS304=0,0,HLOOKUP(BS$14,Villagers!$B$1:$V$33,BS304+3,FALSE)),)</f>
        <v>5</v>
      </c>
      <c r="CO304" s="14">
        <f>ROUND(IF(BT304=0,0,HLOOKUP(BT$14,Villagers!$B$1:$V$33,BT304+3,FALSE)),)</f>
        <v>0</v>
      </c>
      <c r="CP304" s="14">
        <f>ROUND(IF(BU304=0,0,HLOOKUP(BU$14,Villagers!$B$1:$V$33,BU304+3,FALSE)),)</f>
        <v>0</v>
      </c>
      <c r="CQ304" s="14">
        <f>ROUND(IF(BV304=0,0,HLOOKUP(BV$14,Villagers!$B$1:$V$33,BV304+3,FALSE)),)</f>
        <v>0</v>
      </c>
      <c r="CR304" s="14">
        <f>ROUND(IF(BW304=0,0,HLOOKUP(BW$14,Villagers!$B$1:$V$33,BW304+3,FALSE)),)</f>
        <v>0</v>
      </c>
      <c r="CS304" s="14">
        <f>ROUND(IF(BX304=0,0,HLOOKUP(BX$14,Villagers!$B$1:$V$33,BX304+3,FALSE)),)</f>
        <v>0</v>
      </c>
      <c r="CT304" s="14">
        <f>ROUND(IF(BY304=0,0,HLOOKUP(BY$14,Villagers!$B$1:$V$33,BY304+3,FALSE)),)</f>
        <v>0</v>
      </c>
      <c r="CU304" s="14">
        <f>ROUND(IF(BZ304=0,0,HLOOKUP(BZ$14,Villagers!$B$1:$V$33,BZ304+3,FALSE)),)</f>
        <v>0</v>
      </c>
      <c r="CV304" s="14">
        <f>ROUND(IF(CA304=0,0,HLOOKUP(CA$14,Villagers!$B$1:$V$33,CA304+3,FALSE)),)</f>
        <v>0</v>
      </c>
      <c r="CW304" s="14">
        <f>ROUND(IF(CB304=0,0,HLOOKUP(CB$14,Villagers!$B$1:$V$33,CB304+3,FALSE)),)</f>
        <v>0</v>
      </c>
      <c r="CX304" s="14">
        <f>ROUND(IF(CC304=0,0,HLOOKUP(CC$14,Villagers!$B$1:$V$33,CC304+3,FALSE)),)</f>
        <v>0</v>
      </c>
      <c r="CY304" s="14">
        <f>ROUND(IF(CD304=0,0,HLOOKUP(CD$14,Villagers!$B$1:$V$33,CD304+3,FALSE)),)</f>
        <v>0</v>
      </c>
      <c r="CZ304" s="14">
        <f>ROUND(IF(CE304=0,0,HLOOKUP(CE$14,Villagers!$B$1:$V$33,CE304+3,FALSE)),)</f>
        <v>5</v>
      </c>
      <c r="DA304" s="14">
        <f>ROUND(IF(CF304=0,0,HLOOKUP(CF$14,Villagers!$B$1:$V$33,CF304+3,FALSE)),)</f>
        <v>10</v>
      </c>
      <c r="DB304" s="14">
        <f>ROUND(IF(CG304=0,0,HLOOKUP(CG$14,Villagers!$B$1:$V$33,CG304+3,FALSE)),)</f>
        <v>10</v>
      </c>
      <c r="DC304" s="14">
        <f>ROUND(IF(CH304=0,0,HLOOKUP(CH$14,Villagers!$B$1:$V$33,CH304+3,FALSE)),)</f>
        <v>0</v>
      </c>
      <c r="DD304" s="14">
        <f>ROUND(IF(CI304=0,0,HLOOKUP(CI$14,Villagers!$B$1:$V$33,CI304+3,FALSE)),)</f>
        <v>0</v>
      </c>
      <c r="DE304" s="14">
        <f>ROUND(IF(CJ304=0,0,HLOOKUP(CJ$14,Villagers!$B$1:$V$33,CJ304+3,FALSE)),)</f>
        <v>2</v>
      </c>
      <c r="DF304" s="370">
        <f>ROUND(IF(CK304=0,0,HLOOKUP(CK$14,Villagers!$B$1:$V$33,CK304+3,FALSE)),)</f>
        <v>0</v>
      </c>
      <c r="DG304" s="370">
        <f>ROUND(IF(CL304=0,0,HLOOKUP(CL$14,Villagers!$B$1:$V$33,CL304+3,FALSE)),)</f>
        <v>0</v>
      </c>
      <c r="DH304" s="34">
        <f>ROUND(IF(CM304=0,0,HLOOKUP(CM$14,Villagers!$B$1:$V$33,CM304+3,FALSE)),)</f>
        <v>0</v>
      </c>
      <c r="DI304" s="109">
        <f t="shared" si="679"/>
        <v>0</v>
      </c>
      <c r="DJ304" s="50">
        <f t="shared" si="680"/>
        <v>0</v>
      </c>
      <c r="DK304" s="50">
        <f t="shared" si="681"/>
        <v>0</v>
      </c>
      <c r="DL304" s="50">
        <f t="shared" si="682"/>
        <v>0</v>
      </c>
      <c r="DM304" s="50">
        <f t="shared" si="683"/>
        <v>0</v>
      </c>
      <c r="DN304" s="50">
        <f t="shared" si="684"/>
        <v>0</v>
      </c>
      <c r="DO304" s="50">
        <f t="shared" si="685"/>
        <v>0</v>
      </c>
      <c r="DP304" s="50">
        <f t="shared" si="686"/>
        <v>0</v>
      </c>
      <c r="DQ304" s="50">
        <f t="shared" si="663"/>
        <v>0</v>
      </c>
      <c r="DR304" s="50">
        <f t="shared" si="664"/>
        <v>0</v>
      </c>
      <c r="DS304" s="96">
        <f>Miscelaneous!$D$4*Miscelaneous!$D$2^($CI304-1)</f>
        <v>1000</v>
      </c>
      <c r="DT304" s="333">
        <f t="shared" si="643"/>
        <v>1</v>
      </c>
      <c r="DU304" s="81">
        <v>1</v>
      </c>
      <c r="DV304" s="79">
        <f t="shared" si="665"/>
        <v>0</v>
      </c>
      <c r="DW304" s="79">
        <f t="shared" si="666"/>
        <v>0</v>
      </c>
      <c r="DX304" s="79">
        <f t="shared" si="667"/>
        <v>0</v>
      </c>
      <c r="DY304" s="79">
        <v>1</v>
      </c>
      <c r="DZ304" s="79">
        <f t="shared" si="668"/>
        <v>0</v>
      </c>
      <c r="EA304" s="79">
        <f t="shared" si="669"/>
        <v>0</v>
      </c>
      <c r="EB304" s="79">
        <f t="shared" si="670"/>
        <v>0</v>
      </c>
      <c r="EC304" s="79">
        <f t="shared" si="671"/>
        <v>0</v>
      </c>
      <c r="ED304" s="79">
        <v>1</v>
      </c>
      <c r="EE304" s="79">
        <v>1</v>
      </c>
      <c r="EF304" s="79">
        <f t="shared" si="672"/>
        <v>0</v>
      </c>
      <c r="EG304" s="79">
        <v>1</v>
      </c>
      <c r="EH304" s="79">
        <v>1</v>
      </c>
      <c r="EI304" s="79">
        <v>1</v>
      </c>
      <c r="EJ304" s="79">
        <v>1</v>
      </c>
      <c r="EK304" s="79">
        <v>1</v>
      </c>
      <c r="EL304" s="79">
        <v>1</v>
      </c>
      <c r="EM304" s="143">
        <f t="shared" si="673"/>
        <v>0</v>
      </c>
      <c r="EN304" s="143">
        <f t="shared" si="674"/>
        <v>0</v>
      </c>
      <c r="EO304" s="82">
        <f t="shared" si="675"/>
        <v>0</v>
      </c>
    </row>
    <row r="305" spans="1:145" x14ac:dyDescent="0.25">
      <c r="A305">
        <v>291</v>
      </c>
      <c r="B305" s="172" t="e">
        <f t="shared" si="644"/>
        <v>#N/A</v>
      </c>
      <c r="C305" s="121" t="e">
        <f t="shared" ref="C305:E305" si="742">AJ305-SUM(AB305:AB309)</f>
        <v>#N/A</v>
      </c>
      <c r="D305" s="122" t="e">
        <f t="shared" si="742"/>
        <v>#N/A</v>
      </c>
      <c r="E305" s="122" t="e">
        <f t="shared" si="742"/>
        <v>#N/A</v>
      </c>
      <c r="F305" s="176" t="e">
        <f t="shared" si="626"/>
        <v>#N/A</v>
      </c>
      <c r="G305" s="121">
        <f t="shared" si="646"/>
        <v>208</v>
      </c>
      <c r="H305" s="176" t="e">
        <f t="shared" si="647"/>
        <v>#N/A</v>
      </c>
      <c r="I305" s="48">
        <v>1</v>
      </c>
      <c r="J305" s="39"/>
      <c r="K305" s="350">
        <v>1</v>
      </c>
      <c r="L305" s="34" t="e">
        <f t="shared" si="627"/>
        <v>#N/A</v>
      </c>
      <c r="M305" s="38" t="e">
        <f>(HLOOKUP(J305,'Construction Times'!$B$3:$W$34,L305+2,FALSE)*HLOOKUP("hq modifier",'Construction Times'!$W$3:$W$34,BS305+2,FALSE))*(1-$H$9)</f>
        <v>#N/A</v>
      </c>
      <c r="N305" s="426" t="e">
        <f t="shared" si="648"/>
        <v>#N/A</v>
      </c>
      <c r="O305" s="427"/>
      <c r="P305" s="430" t="e">
        <f t="shared" si="649"/>
        <v>#N/A</v>
      </c>
      <c r="Q305" s="431"/>
      <c r="R305" s="103">
        <f t="shared" si="677"/>
        <v>0</v>
      </c>
      <c r="S305" s="104">
        <f t="shared" si="677"/>
        <v>0</v>
      </c>
      <c r="T305" s="104">
        <f t="shared" si="678"/>
        <v>0</v>
      </c>
      <c r="U305" s="104">
        <f t="shared" si="678"/>
        <v>0</v>
      </c>
      <c r="V305" s="104">
        <f t="shared" si="678"/>
        <v>9.9999999999999995E-8</v>
      </c>
      <c r="W305" s="104">
        <f t="shared" si="678"/>
        <v>0</v>
      </c>
      <c r="X305" s="104">
        <f t="shared" si="737"/>
        <v>0</v>
      </c>
      <c r="Y305" s="104">
        <f t="shared" si="737"/>
        <v>9.9999999999999995E-8</v>
      </c>
      <c r="Z305" s="104">
        <f t="shared" si="737"/>
        <v>9.9999999999999995E-8</v>
      </c>
      <c r="AA305" s="105">
        <f t="shared" si="737"/>
        <v>9.9999999999999995E-8</v>
      </c>
      <c r="AB305" s="101" t="e">
        <f>$DT305*HLOOKUP($J305,'Construction Costs (timber)'!$B$1:$V$32,'Construction Planner'!$L305+2,FALSE)</f>
        <v>#N/A</v>
      </c>
      <c r="AC305" s="14" t="e">
        <f>$DT305*HLOOKUP($J305,'Construction Costs (clay)'!$B$1:$V$32,'Construction Planner'!$L305+2,FALSE)</f>
        <v>#N/A</v>
      </c>
      <c r="AD305" s="14" t="e">
        <f>$DT305*HLOOKUP($J305,'Construction Costs (iron)'!$B$1:$V$32,'Construction Planner'!$L305+2,FALSE)</f>
        <v>#N/A</v>
      </c>
      <c r="AE305" s="34" t="e">
        <f t="shared" si="690"/>
        <v>#N/A</v>
      </c>
      <c r="AF305" s="33" t="e">
        <f t="shared" si="628"/>
        <v>#N/A</v>
      </c>
      <c r="AG305" s="14" t="e">
        <f t="shared" si="629"/>
        <v>#N/A</v>
      </c>
      <c r="AH305" s="14" t="e">
        <f t="shared" si="630"/>
        <v>#N/A</v>
      </c>
      <c r="AI305" s="34" t="e">
        <f t="shared" si="691"/>
        <v>#N/A</v>
      </c>
      <c r="AJ305" s="49" t="e">
        <f t="shared" si="651"/>
        <v>#N/A</v>
      </c>
      <c r="AK305" s="49" t="e">
        <f t="shared" si="652"/>
        <v>#N/A</v>
      </c>
      <c r="AL305" s="49" t="e">
        <f t="shared" si="653"/>
        <v>#N/A</v>
      </c>
      <c r="AM305" s="25">
        <f t="shared" si="631"/>
        <v>30</v>
      </c>
      <c r="AN305" s="25">
        <f t="shared" si="632"/>
        <v>30</v>
      </c>
      <c r="AO305" s="25">
        <f t="shared" si="633"/>
        <v>30</v>
      </c>
      <c r="AP305" s="52" t="e">
        <f t="shared" si="654"/>
        <v>#N/A</v>
      </c>
      <c r="AQ305" s="53" t="e">
        <f t="shared" si="654"/>
        <v>#N/A</v>
      </c>
      <c r="AR305" s="54" t="e">
        <f t="shared" si="654"/>
        <v>#N/A</v>
      </c>
      <c r="AS305" s="316">
        <f t="shared" si="724"/>
        <v>0</v>
      </c>
      <c r="AT305" s="106">
        <f>_xlfn.IFNA($M305/VLOOKUP($BT305,'Unit information'!$A$2:$K$29,2,FALSE)*R305,0)*(1+$E$9)</f>
        <v>0</v>
      </c>
      <c r="AU305" s="107">
        <f>_xlfn.IFNA($M305/VLOOKUP($BT305,'Unit information'!$A$2:$K$29,3,FALSE)*S305,0)*(1+$E$9)</f>
        <v>0</v>
      </c>
      <c r="AV305" s="107">
        <f>_xlfn.IFNA($M305/VLOOKUP($BT305,'Unit information'!$A$2:$K$29,4,FALSE)*T305,0)*(1+$E$9)</f>
        <v>0</v>
      </c>
      <c r="AW305" s="107">
        <f>_xlfn.IFNA($M305/VLOOKUP($BT305,'Unit information'!$A$2:$K$29,5,FALSE)*U305,0)*(1+$E$9)</f>
        <v>0</v>
      </c>
      <c r="AX305" s="107">
        <f>_xlfn.IFNA($M305/VLOOKUP($BU305,'Unit information'!$A$2:$K$29,6,FALSE)*V305,0)*(1+$E$9)</f>
        <v>0</v>
      </c>
      <c r="AY305" s="107">
        <f>_xlfn.IFNA($M305/VLOOKUP($BU305,'Unit information'!$A$2:$K$29,7,FALSE)*W305,0)*(1+$E$9)</f>
        <v>0</v>
      </c>
      <c r="AZ305" s="107">
        <f>_xlfn.IFNA($M305/VLOOKUP($BU305,'Unit information'!$A$2:$K$29,8,FALSE)*X305,0)*(1+$E$9)</f>
        <v>0</v>
      </c>
      <c r="BA305" s="107">
        <f>_xlfn.IFNA($M305/VLOOKUP($BU305,'Unit information'!$A$2:$K$29,9,FALSE)*Y305,0)*(1+$E$9)</f>
        <v>0</v>
      </c>
      <c r="BB305" s="107">
        <f>_xlfn.IFNA($M305/VLOOKUP($BV305,'Unit information'!$A$2:$K$29,10,FALSE)*Z305,0)*(1+$E$9)</f>
        <v>0</v>
      </c>
      <c r="BC305" s="108">
        <f>_xlfn.IFNA($M305/VLOOKUP($BV305,'Unit information'!$A$2:$K$29,11,FALSE)*AA305,0)*(1+$E$9)</f>
        <v>0</v>
      </c>
      <c r="BD305" s="106">
        <f t="shared" si="634"/>
        <v>0</v>
      </c>
      <c r="BE305" s="107">
        <f t="shared" si="635"/>
        <v>0</v>
      </c>
      <c r="BF305" s="108">
        <f t="shared" si="636"/>
        <v>0</v>
      </c>
      <c r="BG305" s="25" t="e">
        <f t="shared" si="637"/>
        <v>#N/A</v>
      </c>
      <c r="BH305" s="25" t="e">
        <f t="shared" si="638"/>
        <v>#N/A</v>
      </c>
      <c r="BI305" s="25" t="e">
        <f t="shared" si="639"/>
        <v>#N/A</v>
      </c>
      <c r="BJ305" s="27" t="e">
        <f t="shared" si="640"/>
        <v>#N/A</v>
      </c>
      <c r="BK305" s="18" t="e">
        <f t="shared" si="641"/>
        <v>#N/A</v>
      </c>
      <c r="BL305" s="18" t="e">
        <f t="shared" si="642"/>
        <v>#N/A</v>
      </c>
      <c r="BM305" s="28" t="e">
        <f t="shared" si="693"/>
        <v>#N/A</v>
      </c>
      <c r="BN305" s="33">
        <f>HLOOKUP("maximum population",Miscelaneous!$C$1:$C$33,CH305+3,FALSE)</f>
        <v>240</v>
      </c>
      <c r="BO305" s="14">
        <f t="shared" si="655"/>
        <v>32</v>
      </c>
      <c r="BP305" s="14">
        <f t="shared" si="656"/>
        <v>0</v>
      </c>
      <c r="BQ305" s="14">
        <f t="shared" si="657"/>
        <v>208</v>
      </c>
      <c r="BR305" s="34" t="e">
        <f>HLOOKUP(J305,Villagers!$B$1:$V$33,L305+3,FALSE)-HLOOKUP(J305,Villagers!$B$1:$V$33,L305+2,FALSE)</f>
        <v>#N/A</v>
      </c>
      <c r="BS305" s="49">
        <f t="shared" si="658"/>
        <v>1</v>
      </c>
      <c r="BT305" s="50">
        <f t="shared" si="659"/>
        <v>0</v>
      </c>
      <c r="BU305" s="50">
        <f t="shared" si="660"/>
        <v>0</v>
      </c>
      <c r="BV305" s="50">
        <f t="shared" si="661"/>
        <v>0</v>
      </c>
      <c r="BW305" s="50">
        <f t="shared" si="741"/>
        <v>0</v>
      </c>
      <c r="BX305" s="50">
        <f t="shared" si="741"/>
        <v>0</v>
      </c>
      <c r="BY305" s="50">
        <f t="shared" si="741"/>
        <v>0</v>
      </c>
      <c r="BZ305" s="50">
        <f t="shared" si="707"/>
        <v>0</v>
      </c>
      <c r="CA305" s="50">
        <f t="shared" si="708"/>
        <v>0</v>
      </c>
      <c r="CB305" s="50">
        <f t="shared" si="709"/>
        <v>1</v>
      </c>
      <c r="CC305" s="50">
        <f t="shared" si="710"/>
        <v>0</v>
      </c>
      <c r="CD305" s="50">
        <f t="shared" si="711"/>
        <v>0</v>
      </c>
      <c r="CE305" s="50">
        <f t="shared" si="712"/>
        <v>1</v>
      </c>
      <c r="CF305" s="50">
        <f t="shared" si="713"/>
        <v>1</v>
      </c>
      <c r="CG305" s="50">
        <f t="shared" si="714"/>
        <v>1</v>
      </c>
      <c r="CH305" s="50">
        <f t="shared" si="715"/>
        <v>1</v>
      </c>
      <c r="CI305" s="50">
        <f t="shared" si="716"/>
        <v>1</v>
      </c>
      <c r="CJ305" s="50">
        <f t="shared" si="717"/>
        <v>1</v>
      </c>
      <c r="CK305" s="50">
        <f t="shared" si="717"/>
        <v>0</v>
      </c>
      <c r="CL305" s="50">
        <f t="shared" si="717"/>
        <v>0</v>
      </c>
      <c r="CM305" s="51">
        <f t="shared" si="605"/>
        <v>0</v>
      </c>
      <c r="CN305" s="33">
        <f>ROUND(IF(BS305=0,0,HLOOKUP(BS$14,Villagers!$B$1:$V$33,BS305+3,FALSE)),)</f>
        <v>5</v>
      </c>
      <c r="CO305" s="14">
        <f>ROUND(IF(BT305=0,0,HLOOKUP(BT$14,Villagers!$B$1:$V$33,BT305+3,FALSE)),)</f>
        <v>0</v>
      </c>
      <c r="CP305" s="14">
        <f>ROUND(IF(BU305=0,0,HLOOKUP(BU$14,Villagers!$B$1:$V$33,BU305+3,FALSE)),)</f>
        <v>0</v>
      </c>
      <c r="CQ305" s="14">
        <f>ROUND(IF(BV305=0,0,HLOOKUP(BV$14,Villagers!$B$1:$V$33,BV305+3,FALSE)),)</f>
        <v>0</v>
      </c>
      <c r="CR305" s="14">
        <f>ROUND(IF(BW305=0,0,HLOOKUP(BW$14,Villagers!$B$1:$V$33,BW305+3,FALSE)),)</f>
        <v>0</v>
      </c>
      <c r="CS305" s="14">
        <f>ROUND(IF(BX305=0,0,HLOOKUP(BX$14,Villagers!$B$1:$V$33,BX305+3,FALSE)),)</f>
        <v>0</v>
      </c>
      <c r="CT305" s="14">
        <f>ROUND(IF(BY305=0,0,HLOOKUP(BY$14,Villagers!$B$1:$V$33,BY305+3,FALSE)),)</f>
        <v>0</v>
      </c>
      <c r="CU305" s="14">
        <f>ROUND(IF(BZ305=0,0,HLOOKUP(BZ$14,Villagers!$B$1:$V$33,BZ305+3,FALSE)),)</f>
        <v>0</v>
      </c>
      <c r="CV305" s="14">
        <f>ROUND(IF(CA305=0,0,HLOOKUP(CA$14,Villagers!$B$1:$V$33,CA305+3,FALSE)),)</f>
        <v>0</v>
      </c>
      <c r="CW305" s="14">
        <f>ROUND(IF(CB305=0,0,HLOOKUP(CB$14,Villagers!$B$1:$V$33,CB305+3,FALSE)),)</f>
        <v>0</v>
      </c>
      <c r="CX305" s="14">
        <f>ROUND(IF(CC305=0,0,HLOOKUP(CC$14,Villagers!$B$1:$V$33,CC305+3,FALSE)),)</f>
        <v>0</v>
      </c>
      <c r="CY305" s="14">
        <f>ROUND(IF(CD305=0,0,HLOOKUP(CD$14,Villagers!$B$1:$V$33,CD305+3,FALSE)),)</f>
        <v>0</v>
      </c>
      <c r="CZ305" s="14">
        <f>ROUND(IF(CE305=0,0,HLOOKUP(CE$14,Villagers!$B$1:$V$33,CE305+3,FALSE)),)</f>
        <v>5</v>
      </c>
      <c r="DA305" s="14">
        <f>ROUND(IF(CF305=0,0,HLOOKUP(CF$14,Villagers!$B$1:$V$33,CF305+3,FALSE)),)</f>
        <v>10</v>
      </c>
      <c r="DB305" s="14">
        <f>ROUND(IF(CG305=0,0,HLOOKUP(CG$14,Villagers!$B$1:$V$33,CG305+3,FALSE)),)</f>
        <v>10</v>
      </c>
      <c r="DC305" s="14">
        <f>ROUND(IF(CH305=0,0,HLOOKUP(CH$14,Villagers!$B$1:$V$33,CH305+3,FALSE)),)</f>
        <v>0</v>
      </c>
      <c r="DD305" s="14">
        <f>ROUND(IF(CI305=0,0,HLOOKUP(CI$14,Villagers!$B$1:$V$33,CI305+3,FALSE)),)</f>
        <v>0</v>
      </c>
      <c r="DE305" s="14">
        <f>ROUND(IF(CJ305=0,0,HLOOKUP(CJ$14,Villagers!$B$1:$V$33,CJ305+3,FALSE)),)</f>
        <v>2</v>
      </c>
      <c r="DF305" s="370">
        <f>ROUND(IF(CK305=0,0,HLOOKUP(CK$14,Villagers!$B$1:$V$33,CK305+3,FALSE)),)</f>
        <v>0</v>
      </c>
      <c r="DG305" s="370">
        <f>ROUND(IF(CL305=0,0,HLOOKUP(CL$14,Villagers!$B$1:$V$33,CL305+3,FALSE)),)</f>
        <v>0</v>
      </c>
      <c r="DH305" s="34">
        <f>ROUND(IF(CM305=0,0,HLOOKUP(CM$14,Villagers!$B$1:$V$33,CM305+3,FALSE)),)</f>
        <v>0</v>
      </c>
      <c r="DI305" s="109">
        <f t="shared" si="679"/>
        <v>0</v>
      </c>
      <c r="DJ305" s="50">
        <f t="shared" si="680"/>
        <v>0</v>
      </c>
      <c r="DK305" s="50">
        <f t="shared" si="681"/>
        <v>0</v>
      </c>
      <c r="DL305" s="50">
        <f t="shared" si="682"/>
        <v>0</v>
      </c>
      <c r="DM305" s="50">
        <f t="shared" si="683"/>
        <v>0</v>
      </c>
      <c r="DN305" s="50">
        <f t="shared" si="684"/>
        <v>0</v>
      </c>
      <c r="DO305" s="50">
        <f t="shared" si="685"/>
        <v>0</v>
      </c>
      <c r="DP305" s="50">
        <f t="shared" si="686"/>
        <v>0</v>
      </c>
      <c r="DQ305" s="50">
        <f t="shared" si="663"/>
        <v>0</v>
      </c>
      <c r="DR305" s="50">
        <f t="shared" si="664"/>
        <v>0</v>
      </c>
      <c r="DS305" s="96">
        <f>Miscelaneous!$D$4*Miscelaneous!$D$2^($CI305-1)</f>
        <v>1000</v>
      </c>
      <c r="DT305" s="333">
        <f t="shared" si="643"/>
        <v>1</v>
      </c>
      <c r="DU305" s="81">
        <v>1</v>
      </c>
      <c r="DV305" s="79">
        <f t="shared" si="665"/>
        <v>0</v>
      </c>
      <c r="DW305" s="79">
        <f t="shared" si="666"/>
        <v>0</v>
      </c>
      <c r="DX305" s="79">
        <f t="shared" si="667"/>
        <v>0</v>
      </c>
      <c r="DY305" s="79">
        <v>1</v>
      </c>
      <c r="DZ305" s="79">
        <f t="shared" si="668"/>
        <v>0</v>
      </c>
      <c r="EA305" s="79">
        <f t="shared" si="669"/>
        <v>0</v>
      </c>
      <c r="EB305" s="79">
        <f t="shared" si="670"/>
        <v>0</v>
      </c>
      <c r="EC305" s="79">
        <f t="shared" si="671"/>
        <v>0</v>
      </c>
      <c r="ED305" s="79">
        <v>1</v>
      </c>
      <c r="EE305" s="79">
        <v>1</v>
      </c>
      <c r="EF305" s="79">
        <f t="shared" si="672"/>
        <v>0</v>
      </c>
      <c r="EG305" s="79">
        <v>1</v>
      </c>
      <c r="EH305" s="79">
        <v>1</v>
      </c>
      <c r="EI305" s="79">
        <v>1</v>
      </c>
      <c r="EJ305" s="79">
        <v>1</v>
      </c>
      <c r="EK305" s="79">
        <v>1</v>
      </c>
      <c r="EL305" s="79">
        <v>1</v>
      </c>
      <c r="EM305" s="143">
        <f t="shared" si="673"/>
        <v>0</v>
      </c>
      <c r="EN305" s="143">
        <f t="shared" si="674"/>
        <v>0</v>
      </c>
      <c r="EO305" s="82">
        <f t="shared" si="675"/>
        <v>0</v>
      </c>
    </row>
    <row r="306" spans="1:145" x14ac:dyDescent="0.25">
      <c r="A306">
        <v>292</v>
      </c>
      <c r="B306" s="172" t="e">
        <f t="shared" si="644"/>
        <v>#N/A</v>
      </c>
      <c r="C306" s="121" t="e">
        <f t="shared" ref="C306:E306" si="743">AJ306-SUM(AB306:AB310)</f>
        <v>#N/A</v>
      </c>
      <c r="D306" s="122" t="e">
        <f t="shared" si="743"/>
        <v>#N/A</v>
      </c>
      <c r="E306" s="122" t="e">
        <f t="shared" si="743"/>
        <v>#N/A</v>
      </c>
      <c r="F306" s="176" t="e">
        <f t="shared" si="626"/>
        <v>#N/A</v>
      </c>
      <c r="G306" s="121">
        <f t="shared" si="646"/>
        <v>208</v>
      </c>
      <c r="H306" s="176" t="e">
        <f t="shared" si="647"/>
        <v>#N/A</v>
      </c>
      <c r="I306" s="48">
        <v>1</v>
      </c>
      <c r="J306" s="39"/>
      <c r="K306" s="350">
        <v>1</v>
      </c>
      <c r="L306" s="34" t="e">
        <f t="shared" si="627"/>
        <v>#N/A</v>
      </c>
      <c r="M306" s="38" t="e">
        <f>(HLOOKUP(J306,'Construction Times'!$B$3:$W$34,L306+2,FALSE)*HLOOKUP("hq modifier",'Construction Times'!$W$3:$W$34,BS306+2,FALSE))*(1-$H$9)</f>
        <v>#N/A</v>
      </c>
      <c r="N306" s="426" t="e">
        <f t="shared" si="648"/>
        <v>#N/A</v>
      </c>
      <c r="O306" s="427"/>
      <c r="P306" s="430" t="e">
        <f t="shared" si="649"/>
        <v>#N/A</v>
      </c>
      <c r="Q306" s="431"/>
      <c r="R306" s="103">
        <f t="shared" si="677"/>
        <v>0</v>
      </c>
      <c r="S306" s="104">
        <f t="shared" si="677"/>
        <v>0</v>
      </c>
      <c r="T306" s="104">
        <f t="shared" si="678"/>
        <v>0</v>
      </c>
      <c r="U306" s="104">
        <f t="shared" si="678"/>
        <v>0</v>
      </c>
      <c r="V306" s="104">
        <f t="shared" si="678"/>
        <v>9.9999999999999995E-8</v>
      </c>
      <c r="W306" s="104">
        <f t="shared" si="678"/>
        <v>0</v>
      </c>
      <c r="X306" s="104">
        <f t="shared" si="737"/>
        <v>0</v>
      </c>
      <c r="Y306" s="104">
        <f t="shared" si="737"/>
        <v>9.9999999999999995E-8</v>
      </c>
      <c r="Z306" s="104">
        <f t="shared" si="737"/>
        <v>9.9999999999999995E-8</v>
      </c>
      <c r="AA306" s="105">
        <f t="shared" si="737"/>
        <v>9.9999999999999995E-8</v>
      </c>
      <c r="AB306" s="101" t="e">
        <f>$DT306*HLOOKUP($J306,'Construction Costs (timber)'!$B$1:$V$32,'Construction Planner'!$L306+2,FALSE)</f>
        <v>#N/A</v>
      </c>
      <c r="AC306" s="14" t="e">
        <f>$DT306*HLOOKUP($J306,'Construction Costs (clay)'!$B$1:$V$32,'Construction Planner'!$L306+2,FALSE)</f>
        <v>#N/A</v>
      </c>
      <c r="AD306" s="14" t="e">
        <f>$DT306*HLOOKUP($J306,'Construction Costs (iron)'!$B$1:$V$32,'Construction Planner'!$L306+2,FALSE)</f>
        <v>#N/A</v>
      </c>
      <c r="AE306" s="34" t="e">
        <f t="shared" si="690"/>
        <v>#N/A</v>
      </c>
      <c r="AF306" s="33" t="e">
        <f t="shared" si="628"/>
        <v>#N/A</v>
      </c>
      <c r="AG306" s="14" t="e">
        <f t="shared" si="629"/>
        <v>#N/A</v>
      </c>
      <c r="AH306" s="14" t="e">
        <f t="shared" si="630"/>
        <v>#N/A</v>
      </c>
      <c r="AI306" s="34" t="e">
        <f t="shared" si="691"/>
        <v>#N/A</v>
      </c>
      <c r="AJ306" s="49" t="e">
        <f t="shared" si="651"/>
        <v>#N/A</v>
      </c>
      <c r="AK306" s="49" t="e">
        <f t="shared" si="652"/>
        <v>#N/A</v>
      </c>
      <c r="AL306" s="49" t="e">
        <f t="shared" si="653"/>
        <v>#N/A</v>
      </c>
      <c r="AM306" s="25">
        <f t="shared" si="631"/>
        <v>30</v>
      </c>
      <c r="AN306" s="25">
        <f t="shared" si="632"/>
        <v>30</v>
      </c>
      <c r="AO306" s="25">
        <f t="shared" si="633"/>
        <v>30</v>
      </c>
      <c r="AP306" s="52" t="e">
        <f t="shared" si="654"/>
        <v>#N/A</v>
      </c>
      <c r="AQ306" s="53" t="e">
        <f t="shared" si="654"/>
        <v>#N/A</v>
      </c>
      <c r="AR306" s="54" t="e">
        <f t="shared" si="654"/>
        <v>#N/A</v>
      </c>
      <c r="AS306" s="316">
        <f t="shared" si="724"/>
        <v>0</v>
      </c>
      <c r="AT306" s="106">
        <f>_xlfn.IFNA($M306/VLOOKUP($BT306,'Unit information'!$A$2:$K$29,2,FALSE)*R306,0)*(1+$E$9)</f>
        <v>0</v>
      </c>
      <c r="AU306" s="107">
        <f>_xlfn.IFNA($M306/VLOOKUP($BT306,'Unit information'!$A$2:$K$29,3,FALSE)*S306,0)*(1+$E$9)</f>
        <v>0</v>
      </c>
      <c r="AV306" s="107">
        <f>_xlfn.IFNA($M306/VLOOKUP($BT306,'Unit information'!$A$2:$K$29,4,FALSE)*T306,0)*(1+$E$9)</f>
        <v>0</v>
      </c>
      <c r="AW306" s="107">
        <f>_xlfn.IFNA($M306/VLOOKUP($BT306,'Unit information'!$A$2:$K$29,5,FALSE)*U306,0)*(1+$E$9)</f>
        <v>0</v>
      </c>
      <c r="AX306" s="107">
        <f>_xlfn.IFNA($M306/VLOOKUP($BU306,'Unit information'!$A$2:$K$29,6,FALSE)*V306,0)*(1+$E$9)</f>
        <v>0</v>
      </c>
      <c r="AY306" s="107">
        <f>_xlfn.IFNA($M306/VLOOKUP($BU306,'Unit information'!$A$2:$K$29,7,FALSE)*W306,0)*(1+$E$9)</f>
        <v>0</v>
      </c>
      <c r="AZ306" s="107">
        <f>_xlfn.IFNA($M306/VLOOKUP($BU306,'Unit information'!$A$2:$K$29,8,FALSE)*X306,0)*(1+$E$9)</f>
        <v>0</v>
      </c>
      <c r="BA306" s="107">
        <f>_xlfn.IFNA($M306/VLOOKUP($BU306,'Unit information'!$A$2:$K$29,9,FALSE)*Y306,0)*(1+$E$9)</f>
        <v>0</v>
      </c>
      <c r="BB306" s="107">
        <f>_xlfn.IFNA($M306/VLOOKUP($BV306,'Unit information'!$A$2:$K$29,10,FALSE)*Z306,0)*(1+$E$9)</f>
        <v>0</v>
      </c>
      <c r="BC306" s="108">
        <f>_xlfn.IFNA($M306/VLOOKUP($BV306,'Unit information'!$A$2:$K$29,11,FALSE)*AA306,0)*(1+$E$9)</f>
        <v>0</v>
      </c>
      <c r="BD306" s="106">
        <f t="shared" si="634"/>
        <v>0</v>
      </c>
      <c r="BE306" s="107">
        <f t="shared" si="635"/>
        <v>0</v>
      </c>
      <c r="BF306" s="108">
        <f t="shared" si="636"/>
        <v>0</v>
      </c>
      <c r="BG306" s="25" t="e">
        <f t="shared" si="637"/>
        <v>#N/A</v>
      </c>
      <c r="BH306" s="25" t="e">
        <f t="shared" si="638"/>
        <v>#N/A</v>
      </c>
      <c r="BI306" s="25" t="e">
        <f t="shared" si="639"/>
        <v>#N/A</v>
      </c>
      <c r="BJ306" s="27" t="e">
        <f t="shared" si="640"/>
        <v>#N/A</v>
      </c>
      <c r="BK306" s="18" t="e">
        <f t="shared" si="641"/>
        <v>#N/A</v>
      </c>
      <c r="BL306" s="18" t="e">
        <f t="shared" si="642"/>
        <v>#N/A</v>
      </c>
      <c r="BM306" s="28" t="e">
        <f t="shared" si="693"/>
        <v>#N/A</v>
      </c>
      <c r="BN306" s="33">
        <f>HLOOKUP("maximum population",Miscelaneous!$C$1:$C$33,CH306+3,FALSE)</f>
        <v>240</v>
      </c>
      <c r="BO306" s="14">
        <f t="shared" si="655"/>
        <v>32</v>
      </c>
      <c r="BP306" s="14">
        <f t="shared" si="656"/>
        <v>0</v>
      </c>
      <c r="BQ306" s="14">
        <f t="shared" si="657"/>
        <v>208</v>
      </c>
      <c r="BR306" s="34" t="e">
        <f>HLOOKUP(J306,Villagers!$B$1:$V$33,L306+3,FALSE)-HLOOKUP(J306,Villagers!$B$1:$V$33,L306+2,FALSE)</f>
        <v>#N/A</v>
      </c>
      <c r="BS306" s="49">
        <f t="shared" si="658"/>
        <v>1</v>
      </c>
      <c r="BT306" s="50">
        <f t="shared" si="659"/>
        <v>0</v>
      </c>
      <c r="BU306" s="50">
        <f t="shared" si="660"/>
        <v>0</v>
      </c>
      <c r="BV306" s="50">
        <f t="shared" si="661"/>
        <v>0</v>
      </c>
      <c r="BW306" s="50">
        <f t="shared" si="741"/>
        <v>0</v>
      </c>
      <c r="BX306" s="50">
        <f t="shared" si="741"/>
        <v>0</v>
      </c>
      <c r="BY306" s="50">
        <f t="shared" si="741"/>
        <v>0</v>
      </c>
      <c r="BZ306" s="50">
        <f t="shared" si="707"/>
        <v>0</v>
      </c>
      <c r="CA306" s="50">
        <f t="shared" si="708"/>
        <v>0</v>
      </c>
      <c r="CB306" s="50">
        <f t="shared" si="709"/>
        <v>1</v>
      </c>
      <c r="CC306" s="50">
        <f t="shared" si="710"/>
        <v>0</v>
      </c>
      <c r="CD306" s="50">
        <f t="shared" si="711"/>
        <v>0</v>
      </c>
      <c r="CE306" s="50">
        <f t="shared" si="712"/>
        <v>1</v>
      </c>
      <c r="CF306" s="50">
        <f t="shared" si="713"/>
        <v>1</v>
      </c>
      <c r="CG306" s="50">
        <f t="shared" si="714"/>
        <v>1</v>
      </c>
      <c r="CH306" s="50">
        <f t="shared" si="715"/>
        <v>1</v>
      </c>
      <c r="CI306" s="50">
        <f t="shared" si="716"/>
        <v>1</v>
      </c>
      <c r="CJ306" s="50">
        <f t="shared" si="717"/>
        <v>1</v>
      </c>
      <c r="CK306" s="50">
        <f t="shared" si="717"/>
        <v>0</v>
      </c>
      <c r="CL306" s="50">
        <f t="shared" si="717"/>
        <v>0</v>
      </c>
      <c r="CM306" s="51">
        <f t="shared" si="605"/>
        <v>0</v>
      </c>
      <c r="CN306" s="33">
        <f>ROUND(IF(BS306=0,0,HLOOKUP(BS$14,Villagers!$B$1:$V$33,BS306+3,FALSE)),)</f>
        <v>5</v>
      </c>
      <c r="CO306" s="14">
        <f>ROUND(IF(BT306=0,0,HLOOKUP(BT$14,Villagers!$B$1:$V$33,BT306+3,FALSE)),)</f>
        <v>0</v>
      </c>
      <c r="CP306" s="14">
        <f>ROUND(IF(BU306=0,0,HLOOKUP(BU$14,Villagers!$B$1:$V$33,BU306+3,FALSE)),)</f>
        <v>0</v>
      </c>
      <c r="CQ306" s="14">
        <f>ROUND(IF(BV306=0,0,HLOOKUP(BV$14,Villagers!$B$1:$V$33,BV306+3,FALSE)),)</f>
        <v>0</v>
      </c>
      <c r="CR306" s="14">
        <f>ROUND(IF(BW306=0,0,HLOOKUP(BW$14,Villagers!$B$1:$V$33,BW306+3,FALSE)),)</f>
        <v>0</v>
      </c>
      <c r="CS306" s="14">
        <f>ROUND(IF(BX306=0,0,HLOOKUP(BX$14,Villagers!$B$1:$V$33,BX306+3,FALSE)),)</f>
        <v>0</v>
      </c>
      <c r="CT306" s="14">
        <f>ROUND(IF(BY306=0,0,HLOOKUP(BY$14,Villagers!$B$1:$V$33,BY306+3,FALSE)),)</f>
        <v>0</v>
      </c>
      <c r="CU306" s="14">
        <f>ROUND(IF(BZ306=0,0,HLOOKUP(BZ$14,Villagers!$B$1:$V$33,BZ306+3,FALSE)),)</f>
        <v>0</v>
      </c>
      <c r="CV306" s="14">
        <f>ROUND(IF(CA306=0,0,HLOOKUP(CA$14,Villagers!$B$1:$V$33,CA306+3,FALSE)),)</f>
        <v>0</v>
      </c>
      <c r="CW306" s="14">
        <f>ROUND(IF(CB306=0,0,HLOOKUP(CB$14,Villagers!$B$1:$V$33,CB306+3,FALSE)),)</f>
        <v>0</v>
      </c>
      <c r="CX306" s="14">
        <f>ROUND(IF(CC306=0,0,HLOOKUP(CC$14,Villagers!$B$1:$V$33,CC306+3,FALSE)),)</f>
        <v>0</v>
      </c>
      <c r="CY306" s="14">
        <f>ROUND(IF(CD306=0,0,HLOOKUP(CD$14,Villagers!$B$1:$V$33,CD306+3,FALSE)),)</f>
        <v>0</v>
      </c>
      <c r="CZ306" s="14">
        <f>ROUND(IF(CE306=0,0,HLOOKUP(CE$14,Villagers!$B$1:$V$33,CE306+3,FALSE)),)</f>
        <v>5</v>
      </c>
      <c r="DA306" s="14">
        <f>ROUND(IF(CF306=0,0,HLOOKUP(CF$14,Villagers!$B$1:$V$33,CF306+3,FALSE)),)</f>
        <v>10</v>
      </c>
      <c r="DB306" s="14">
        <f>ROUND(IF(CG306=0,0,HLOOKUP(CG$14,Villagers!$B$1:$V$33,CG306+3,FALSE)),)</f>
        <v>10</v>
      </c>
      <c r="DC306" s="14">
        <f>ROUND(IF(CH306=0,0,HLOOKUP(CH$14,Villagers!$B$1:$V$33,CH306+3,FALSE)),)</f>
        <v>0</v>
      </c>
      <c r="DD306" s="14">
        <f>ROUND(IF(CI306=0,0,HLOOKUP(CI$14,Villagers!$B$1:$V$33,CI306+3,FALSE)),)</f>
        <v>0</v>
      </c>
      <c r="DE306" s="14">
        <f>ROUND(IF(CJ306=0,0,HLOOKUP(CJ$14,Villagers!$B$1:$V$33,CJ306+3,FALSE)),)</f>
        <v>2</v>
      </c>
      <c r="DF306" s="370">
        <f>ROUND(IF(CK306=0,0,HLOOKUP(CK$14,Villagers!$B$1:$V$33,CK306+3,FALSE)),)</f>
        <v>0</v>
      </c>
      <c r="DG306" s="370">
        <f>ROUND(IF(CL306=0,0,HLOOKUP(CL$14,Villagers!$B$1:$V$33,CL306+3,FALSE)),)</f>
        <v>0</v>
      </c>
      <c r="DH306" s="34">
        <f>ROUND(IF(CM306=0,0,HLOOKUP(CM$14,Villagers!$B$1:$V$33,CM306+3,FALSE)),)</f>
        <v>0</v>
      </c>
      <c r="DI306" s="109">
        <f t="shared" si="679"/>
        <v>0</v>
      </c>
      <c r="DJ306" s="50">
        <f t="shared" si="680"/>
        <v>0</v>
      </c>
      <c r="DK306" s="50">
        <f t="shared" si="681"/>
        <v>0</v>
      </c>
      <c r="DL306" s="50">
        <f t="shared" si="682"/>
        <v>0</v>
      </c>
      <c r="DM306" s="50">
        <f t="shared" si="683"/>
        <v>0</v>
      </c>
      <c r="DN306" s="50">
        <f t="shared" si="684"/>
        <v>0</v>
      </c>
      <c r="DO306" s="50">
        <f t="shared" si="685"/>
        <v>0</v>
      </c>
      <c r="DP306" s="50">
        <f t="shared" si="686"/>
        <v>0</v>
      </c>
      <c r="DQ306" s="50">
        <f t="shared" si="663"/>
        <v>0</v>
      </c>
      <c r="DR306" s="50">
        <f t="shared" si="664"/>
        <v>0</v>
      </c>
      <c r="DS306" s="96">
        <f>Miscelaneous!$D$4*Miscelaneous!$D$2^($CI306-1)</f>
        <v>1000</v>
      </c>
      <c r="DT306" s="333">
        <f t="shared" si="643"/>
        <v>1</v>
      </c>
      <c r="DU306" s="81">
        <v>1</v>
      </c>
      <c r="DV306" s="79">
        <f t="shared" si="665"/>
        <v>0</v>
      </c>
      <c r="DW306" s="79">
        <f t="shared" si="666"/>
        <v>0</v>
      </c>
      <c r="DX306" s="79">
        <f t="shared" si="667"/>
        <v>0</v>
      </c>
      <c r="DY306" s="79">
        <v>1</v>
      </c>
      <c r="DZ306" s="79">
        <f t="shared" si="668"/>
        <v>0</v>
      </c>
      <c r="EA306" s="79">
        <f t="shared" si="669"/>
        <v>0</v>
      </c>
      <c r="EB306" s="79">
        <f t="shared" si="670"/>
        <v>0</v>
      </c>
      <c r="EC306" s="79">
        <f t="shared" si="671"/>
        <v>0</v>
      </c>
      <c r="ED306" s="79">
        <v>1</v>
      </c>
      <c r="EE306" s="79">
        <v>1</v>
      </c>
      <c r="EF306" s="79">
        <f t="shared" si="672"/>
        <v>0</v>
      </c>
      <c r="EG306" s="79">
        <v>1</v>
      </c>
      <c r="EH306" s="79">
        <v>1</v>
      </c>
      <c r="EI306" s="79">
        <v>1</v>
      </c>
      <c r="EJ306" s="79">
        <v>1</v>
      </c>
      <c r="EK306" s="79">
        <v>1</v>
      </c>
      <c r="EL306" s="79">
        <v>1</v>
      </c>
      <c r="EM306" s="143">
        <f t="shared" si="673"/>
        <v>0</v>
      </c>
      <c r="EN306" s="143">
        <f t="shared" si="674"/>
        <v>0</v>
      </c>
      <c r="EO306" s="82">
        <f t="shared" si="675"/>
        <v>0</v>
      </c>
    </row>
    <row r="307" spans="1:145" x14ac:dyDescent="0.25">
      <c r="A307">
        <v>293</v>
      </c>
      <c r="B307" s="172" t="e">
        <f t="shared" si="644"/>
        <v>#N/A</v>
      </c>
      <c r="C307" s="121" t="e">
        <f t="shared" ref="C307:E307" si="744">AJ307-SUM(AB307:AB311)</f>
        <v>#N/A</v>
      </c>
      <c r="D307" s="122" t="e">
        <f t="shared" si="744"/>
        <v>#N/A</v>
      </c>
      <c r="E307" s="122" t="e">
        <f t="shared" si="744"/>
        <v>#N/A</v>
      </c>
      <c r="F307" s="176" t="e">
        <f t="shared" si="626"/>
        <v>#N/A</v>
      </c>
      <c r="G307" s="121">
        <f t="shared" si="646"/>
        <v>208</v>
      </c>
      <c r="H307" s="176" t="e">
        <f t="shared" si="647"/>
        <v>#N/A</v>
      </c>
      <c r="I307" s="48">
        <v>1</v>
      </c>
      <c r="J307" s="39"/>
      <c r="K307" s="350">
        <v>1</v>
      </c>
      <c r="L307" s="34" t="e">
        <f t="shared" si="627"/>
        <v>#N/A</v>
      </c>
      <c r="M307" s="38" t="e">
        <f>(HLOOKUP(J307,'Construction Times'!$B$3:$W$34,L307+2,FALSE)*HLOOKUP("hq modifier",'Construction Times'!$W$3:$W$34,BS307+2,FALSE))*(1-$H$9)</f>
        <v>#N/A</v>
      </c>
      <c r="N307" s="426" t="e">
        <f t="shared" si="648"/>
        <v>#N/A</v>
      </c>
      <c r="O307" s="427"/>
      <c r="P307" s="430" t="e">
        <f t="shared" si="649"/>
        <v>#N/A</v>
      </c>
      <c r="Q307" s="431"/>
      <c r="R307" s="103">
        <f t="shared" si="677"/>
        <v>0</v>
      </c>
      <c r="S307" s="104">
        <f t="shared" si="677"/>
        <v>0</v>
      </c>
      <c r="T307" s="104">
        <f t="shared" si="678"/>
        <v>0</v>
      </c>
      <c r="U307" s="104">
        <f t="shared" si="678"/>
        <v>0</v>
      </c>
      <c r="V307" s="104">
        <f t="shared" si="678"/>
        <v>9.9999999999999995E-8</v>
      </c>
      <c r="W307" s="104">
        <f t="shared" si="678"/>
        <v>0</v>
      </c>
      <c r="X307" s="104">
        <f t="shared" si="737"/>
        <v>0</v>
      </c>
      <c r="Y307" s="104">
        <f t="shared" si="737"/>
        <v>9.9999999999999995E-8</v>
      </c>
      <c r="Z307" s="104">
        <f t="shared" si="737"/>
        <v>9.9999999999999995E-8</v>
      </c>
      <c r="AA307" s="105">
        <f t="shared" si="737"/>
        <v>9.9999999999999995E-8</v>
      </c>
      <c r="AB307" s="101" t="e">
        <f>$DT307*HLOOKUP($J307,'Construction Costs (timber)'!$B$1:$V$32,'Construction Planner'!$L307+2,FALSE)</f>
        <v>#N/A</v>
      </c>
      <c r="AC307" s="14" t="e">
        <f>$DT307*HLOOKUP($J307,'Construction Costs (clay)'!$B$1:$V$32,'Construction Planner'!$L307+2,FALSE)</f>
        <v>#N/A</v>
      </c>
      <c r="AD307" s="14" t="e">
        <f>$DT307*HLOOKUP($J307,'Construction Costs (iron)'!$B$1:$V$32,'Construction Planner'!$L307+2,FALSE)</f>
        <v>#N/A</v>
      </c>
      <c r="AE307" s="34" t="e">
        <f t="shared" si="690"/>
        <v>#N/A</v>
      </c>
      <c r="AF307" s="33" t="e">
        <f t="shared" si="628"/>
        <v>#N/A</v>
      </c>
      <c r="AG307" s="14" t="e">
        <f t="shared" si="629"/>
        <v>#N/A</v>
      </c>
      <c r="AH307" s="14" t="e">
        <f t="shared" si="630"/>
        <v>#N/A</v>
      </c>
      <c r="AI307" s="34" t="e">
        <f t="shared" si="691"/>
        <v>#N/A</v>
      </c>
      <c r="AJ307" s="49" t="e">
        <f t="shared" si="651"/>
        <v>#N/A</v>
      </c>
      <c r="AK307" s="49" t="e">
        <f t="shared" si="652"/>
        <v>#N/A</v>
      </c>
      <c r="AL307" s="49" t="e">
        <f t="shared" si="653"/>
        <v>#N/A</v>
      </c>
      <c r="AM307" s="25">
        <f t="shared" si="631"/>
        <v>30</v>
      </c>
      <c r="AN307" s="25">
        <f t="shared" si="632"/>
        <v>30</v>
      </c>
      <c r="AO307" s="25">
        <f t="shared" si="633"/>
        <v>30</v>
      </c>
      <c r="AP307" s="52" t="e">
        <f t="shared" si="654"/>
        <v>#N/A</v>
      </c>
      <c r="AQ307" s="53" t="e">
        <f t="shared" si="654"/>
        <v>#N/A</v>
      </c>
      <c r="AR307" s="54" t="e">
        <f t="shared" si="654"/>
        <v>#N/A</v>
      </c>
      <c r="AS307" s="316">
        <f t="shared" si="724"/>
        <v>0</v>
      </c>
      <c r="AT307" s="106">
        <f>_xlfn.IFNA($M307/VLOOKUP($BT307,'Unit information'!$A$2:$K$29,2,FALSE)*R307,0)*(1+$E$9)</f>
        <v>0</v>
      </c>
      <c r="AU307" s="107">
        <f>_xlfn.IFNA($M307/VLOOKUP($BT307,'Unit information'!$A$2:$K$29,3,FALSE)*S307,0)*(1+$E$9)</f>
        <v>0</v>
      </c>
      <c r="AV307" s="107">
        <f>_xlfn.IFNA($M307/VLOOKUP($BT307,'Unit information'!$A$2:$K$29,4,FALSE)*T307,0)*(1+$E$9)</f>
        <v>0</v>
      </c>
      <c r="AW307" s="107">
        <f>_xlfn.IFNA($M307/VLOOKUP($BT307,'Unit information'!$A$2:$K$29,5,FALSE)*U307,0)*(1+$E$9)</f>
        <v>0</v>
      </c>
      <c r="AX307" s="107">
        <f>_xlfn.IFNA($M307/VLOOKUP($BU307,'Unit information'!$A$2:$K$29,6,FALSE)*V307,0)*(1+$E$9)</f>
        <v>0</v>
      </c>
      <c r="AY307" s="107">
        <f>_xlfn.IFNA($M307/VLOOKUP($BU307,'Unit information'!$A$2:$K$29,7,FALSE)*W307,0)*(1+$E$9)</f>
        <v>0</v>
      </c>
      <c r="AZ307" s="107">
        <f>_xlfn.IFNA($M307/VLOOKUP($BU307,'Unit information'!$A$2:$K$29,8,FALSE)*X307,0)*(1+$E$9)</f>
        <v>0</v>
      </c>
      <c r="BA307" s="107">
        <f>_xlfn.IFNA($M307/VLOOKUP($BU307,'Unit information'!$A$2:$K$29,9,FALSE)*Y307,0)*(1+$E$9)</f>
        <v>0</v>
      </c>
      <c r="BB307" s="107">
        <f>_xlfn.IFNA($M307/VLOOKUP($BV307,'Unit information'!$A$2:$K$29,10,FALSE)*Z307,0)*(1+$E$9)</f>
        <v>0</v>
      </c>
      <c r="BC307" s="108">
        <f>_xlfn.IFNA($M307/VLOOKUP($BV307,'Unit information'!$A$2:$K$29,11,FALSE)*AA307,0)*(1+$E$9)</f>
        <v>0</v>
      </c>
      <c r="BD307" s="106">
        <f t="shared" si="634"/>
        <v>0</v>
      </c>
      <c r="BE307" s="107">
        <f t="shared" si="635"/>
        <v>0</v>
      </c>
      <c r="BF307" s="108">
        <f t="shared" si="636"/>
        <v>0</v>
      </c>
      <c r="BG307" s="25" t="e">
        <f t="shared" si="637"/>
        <v>#N/A</v>
      </c>
      <c r="BH307" s="25" t="e">
        <f t="shared" si="638"/>
        <v>#N/A</v>
      </c>
      <c r="BI307" s="25" t="e">
        <f t="shared" si="639"/>
        <v>#N/A</v>
      </c>
      <c r="BJ307" s="27" t="e">
        <f t="shared" si="640"/>
        <v>#N/A</v>
      </c>
      <c r="BK307" s="18" t="e">
        <f t="shared" si="641"/>
        <v>#N/A</v>
      </c>
      <c r="BL307" s="18" t="e">
        <f t="shared" si="642"/>
        <v>#N/A</v>
      </c>
      <c r="BM307" s="28" t="e">
        <f t="shared" si="693"/>
        <v>#N/A</v>
      </c>
      <c r="BN307" s="33">
        <f>HLOOKUP("maximum population",Miscelaneous!$C$1:$C$33,CH307+3,FALSE)</f>
        <v>240</v>
      </c>
      <c r="BO307" s="14">
        <f t="shared" si="655"/>
        <v>32</v>
      </c>
      <c r="BP307" s="14">
        <f t="shared" si="656"/>
        <v>0</v>
      </c>
      <c r="BQ307" s="14">
        <f t="shared" si="657"/>
        <v>208</v>
      </c>
      <c r="BR307" s="34" t="e">
        <f>HLOOKUP(J307,Villagers!$B$1:$V$33,L307+3,FALSE)-HLOOKUP(J307,Villagers!$B$1:$V$33,L307+2,FALSE)</f>
        <v>#N/A</v>
      </c>
      <c r="BS307" s="49">
        <f t="shared" si="658"/>
        <v>1</v>
      </c>
      <c r="BT307" s="50">
        <f t="shared" si="659"/>
        <v>0</v>
      </c>
      <c r="BU307" s="50">
        <f t="shared" si="660"/>
        <v>0</v>
      </c>
      <c r="BV307" s="50">
        <f t="shared" si="661"/>
        <v>0</v>
      </c>
      <c r="BW307" s="50">
        <f t="shared" si="741"/>
        <v>0</v>
      </c>
      <c r="BX307" s="50">
        <f t="shared" si="741"/>
        <v>0</v>
      </c>
      <c r="BY307" s="50">
        <f t="shared" si="741"/>
        <v>0</v>
      </c>
      <c r="BZ307" s="50">
        <f t="shared" si="707"/>
        <v>0</v>
      </c>
      <c r="CA307" s="50">
        <f t="shared" si="708"/>
        <v>0</v>
      </c>
      <c r="CB307" s="50">
        <f t="shared" si="709"/>
        <v>1</v>
      </c>
      <c r="CC307" s="50">
        <f t="shared" si="710"/>
        <v>0</v>
      </c>
      <c r="CD307" s="50">
        <f t="shared" si="711"/>
        <v>0</v>
      </c>
      <c r="CE307" s="50">
        <f t="shared" si="712"/>
        <v>1</v>
      </c>
      <c r="CF307" s="50">
        <f t="shared" si="713"/>
        <v>1</v>
      </c>
      <c r="CG307" s="50">
        <f t="shared" si="714"/>
        <v>1</v>
      </c>
      <c r="CH307" s="50">
        <f t="shared" si="715"/>
        <v>1</v>
      </c>
      <c r="CI307" s="50">
        <f t="shared" si="716"/>
        <v>1</v>
      </c>
      <c r="CJ307" s="50">
        <f t="shared" si="717"/>
        <v>1</v>
      </c>
      <c r="CK307" s="50">
        <f t="shared" si="717"/>
        <v>0</v>
      </c>
      <c r="CL307" s="50">
        <f t="shared" si="717"/>
        <v>0</v>
      </c>
      <c r="CM307" s="51">
        <f t="shared" si="605"/>
        <v>0</v>
      </c>
      <c r="CN307" s="33">
        <f>ROUND(IF(BS307=0,0,HLOOKUP(BS$14,Villagers!$B$1:$V$33,BS307+3,FALSE)),)</f>
        <v>5</v>
      </c>
      <c r="CO307" s="14">
        <f>ROUND(IF(BT307=0,0,HLOOKUP(BT$14,Villagers!$B$1:$V$33,BT307+3,FALSE)),)</f>
        <v>0</v>
      </c>
      <c r="CP307" s="14">
        <f>ROUND(IF(BU307=0,0,HLOOKUP(BU$14,Villagers!$B$1:$V$33,BU307+3,FALSE)),)</f>
        <v>0</v>
      </c>
      <c r="CQ307" s="14">
        <f>ROUND(IF(BV307=0,0,HLOOKUP(BV$14,Villagers!$B$1:$V$33,BV307+3,FALSE)),)</f>
        <v>0</v>
      </c>
      <c r="CR307" s="14">
        <f>ROUND(IF(BW307=0,0,HLOOKUP(BW$14,Villagers!$B$1:$V$33,BW307+3,FALSE)),)</f>
        <v>0</v>
      </c>
      <c r="CS307" s="14">
        <f>ROUND(IF(BX307=0,0,HLOOKUP(BX$14,Villagers!$B$1:$V$33,BX307+3,FALSE)),)</f>
        <v>0</v>
      </c>
      <c r="CT307" s="14">
        <f>ROUND(IF(BY307=0,0,HLOOKUP(BY$14,Villagers!$B$1:$V$33,BY307+3,FALSE)),)</f>
        <v>0</v>
      </c>
      <c r="CU307" s="14">
        <f>ROUND(IF(BZ307=0,0,HLOOKUP(BZ$14,Villagers!$B$1:$V$33,BZ307+3,FALSE)),)</f>
        <v>0</v>
      </c>
      <c r="CV307" s="14">
        <f>ROUND(IF(CA307=0,0,HLOOKUP(CA$14,Villagers!$B$1:$V$33,CA307+3,FALSE)),)</f>
        <v>0</v>
      </c>
      <c r="CW307" s="14">
        <f>ROUND(IF(CB307=0,0,HLOOKUP(CB$14,Villagers!$B$1:$V$33,CB307+3,FALSE)),)</f>
        <v>0</v>
      </c>
      <c r="CX307" s="14">
        <f>ROUND(IF(CC307=0,0,HLOOKUP(CC$14,Villagers!$B$1:$V$33,CC307+3,FALSE)),)</f>
        <v>0</v>
      </c>
      <c r="CY307" s="14">
        <f>ROUND(IF(CD307=0,0,HLOOKUP(CD$14,Villagers!$B$1:$V$33,CD307+3,FALSE)),)</f>
        <v>0</v>
      </c>
      <c r="CZ307" s="14">
        <f>ROUND(IF(CE307=0,0,HLOOKUP(CE$14,Villagers!$B$1:$V$33,CE307+3,FALSE)),)</f>
        <v>5</v>
      </c>
      <c r="DA307" s="14">
        <f>ROUND(IF(CF307=0,0,HLOOKUP(CF$14,Villagers!$B$1:$V$33,CF307+3,FALSE)),)</f>
        <v>10</v>
      </c>
      <c r="DB307" s="14">
        <f>ROUND(IF(CG307=0,0,HLOOKUP(CG$14,Villagers!$B$1:$V$33,CG307+3,FALSE)),)</f>
        <v>10</v>
      </c>
      <c r="DC307" s="14">
        <f>ROUND(IF(CH307=0,0,HLOOKUP(CH$14,Villagers!$B$1:$V$33,CH307+3,FALSE)),)</f>
        <v>0</v>
      </c>
      <c r="DD307" s="14">
        <f>ROUND(IF(CI307=0,0,HLOOKUP(CI$14,Villagers!$B$1:$V$33,CI307+3,FALSE)),)</f>
        <v>0</v>
      </c>
      <c r="DE307" s="14">
        <f>ROUND(IF(CJ307=0,0,HLOOKUP(CJ$14,Villagers!$B$1:$V$33,CJ307+3,FALSE)),)</f>
        <v>2</v>
      </c>
      <c r="DF307" s="370">
        <f>ROUND(IF(CK307=0,0,HLOOKUP(CK$14,Villagers!$B$1:$V$33,CK307+3,FALSE)),)</f>
        <v>0</v>
      </c>
      <c r="DG307" s="370">
        <f>ROUND(IF(CL307=0,0,HLOOKUP(CL$14,Villagers!$B$1:$V$33,CL307+3,FALSE)),)</f>
        <v>0</v>
      </c>
      <c r="DH307" s="34">
        <f>ROUND(IF(CM307=0,0,HLOOKUP(CM$14,Villagers!$B$1:$V$33,CM307+3,FALSE)),)</f>
        <v>0</v>
      </c>
      <c r="DI307" s="109">
        <f t="shared" si="679"/>
        <v>0</v>
      </c>
      <c r="DJ307" s="50">
        <f t="shared" si="680"/>
        <v>0</v>
      </c>
      <c r="DK307" s="50">
        <f t="shared" si="681"/>
        <v>0</v>
      </c>
      <c r="DL307" s="50">
        <f t="shared" si="682"/>
        <v>0</v>
      </c>
      <c r="DM307" s="50">
        <f t="shared" si="683"/>
        <v>0</v>
      </c>
      <c r="DN307" s="50">
        <f t="shared" si="684"/>
        <v>0</v>
      </c>
      <c r="DO307" s="50">
        <f t="shared" si="685"/>
        <v>0</v>
      </c>
      <c r="DP307" s="50">
        <f t="shared" si="686"/>
        <v>0</v>
      </c>
      <c r="DQ307" s="50">
        <f t="shared" si="663"/>
        <v>0</v>
      </c>
      <c r="DR307" s="50">
        <f t="shared" si="664"/>
        <v>0</v>
      </c>
      <c r="DS307" s="96">
        <f>Miscelaneous!$D$4*Miscelaneous!$D$2^($CI307-1)</f>
        <v>1000</v>
      </c>
      <c r="DT307" s="333">
        <f t="shared" si="643"/>
        <v>1</v>
      </c>
      <c r="DU307" s="81">
        <v>1</v>
      </c>
      <c r="DV307" s="79">
        <f t="shared" si="665"/>
        <v>0</v>
      </c>
      <c r="DW307" s="79">
        <f t="shared" si="666"/>
        <v>0</v>
      </c>
      <c r="DX307" s="79">
        <f t="shared" si="667"/>
        <v>0</v>
      </c>
      <c r="DY307" s="79">
        <v>1</v>
      </c>
      <c r="DZ307" s="79">
        <f t="shared" si="668"/>
        <v>0</v>
      </c>
      <c r="EA307" s="79">
        <f t="shared" si="669"/>
        <v>0</v>
      </c>
      <c r="EB307" s="79">
        <f t="shared" si="670"/>
        <v>0</v>
      </c>
      <c r="EC307" s="79">
        <f t="shared" si="671"/>
        <v>0</v>
      </c>
      <c r="ED307" s="79">
        <v>1</v>
      </c>
      <c r="EE307" s="79">
        <v>1</v>
      </c>
      <c r="EF307" s="79">
        <f t="shared" si="672"/>
        <v>0</v>
      </c>
      <c r="EG307" s="79">
        <v>1</v>
      </c>
      <c r="EH307" s="79">
        <v>1</v>
      </c>
      <c r="EI307" s="79">
        <v>1</v>
      </c>
      <c r="EJ307" s="79">
        <v>1</v>
      </c>
      <c r="EK307" s="79">
        <v>1</v>
      </c>
      <c r="EL307" s="79">
        <v>1</v>
      </c>
      <c r="EM307" s="143">
        <f t="shared" si="673"/>
        <v>0</v>
      </c>
      <c r="EN307" s="143">
        <f t="shared" si="674"/>
        <v>0</v>
      </c>
      <c r="EO307" s="82">
        <f t="shared" si="675"/>
        <v>0</v>
      </c>
    </row>
    <row r="308" spans="1:145" x14ac:dyDescent="0.25">
      <c r="A308">
        <v>294</v>
      </c>
      <c r="B308" s="172" t="e">
        <f t="shared" si="644"/>
        <v>#N/A</v>
      </c>
      <c r="C308" s="121" t="e">
        <f t="shared" ref="C308:E308" si="745">AJ308-SUM(AB308:AB312)</f>
        <v>#N/A</v>
      </c>
      <c r="D308" s="122" t="e">
        <f t="shared" si="745"/>
        <v>#N/A</v>
      </c>
      <c r="E308" s="122" t="e">
        <f t="shared" si="745"/>
        <v>#N/A</v>
      </c>
      <c r="F308" s="176" t="e">
        <f t="shared" si="626"/>
        <v>#N/A</v>
      </c>
      <c r="G308" s="121">
        <f t="shared" si="646"/>
        <v>208</v>
      </c>
      <c r="H308" s="176" t="e">
        <f t="shared" si="647"/>
        <v>#N/A</v>
      </c>
      <c r="I308" s="48">
        <v>1</v>
      </c>
      <c r="J308" s="39"/>
      <c r="K308" s="350">
        <v>1</v>
      </c>
      <c r="L308" s="34" t="e">
        <f t="shared" si="627"/>
        <v>#N/A</v>
      </c>
      <c r="M308" s="38" t="e">
        <f>(HLOOKUP(J308,'Construction Times'!$B$3:$W$34,L308+2,FALSE)*HLOOKUP("hq modifier",'Construction Times'!$W$3:$W$34,BS308+2,FALSE))*(1-$H$9)</f>
        <v>#N/A</v>
      </c>
      <c r="N308" s="426" t="e">
        <f t="shared" si="648"/>
        <v>#N/A</v>
      </c>
      <c r="O308" s="427"/>
      <c r="P308" s="430" t="e">
        <f t="shared" si="649"/>
        <v>#N/A</v>
      </c>
      <c r="Q308" s="431"/>
      <c r="R308" s="103">
        <f t="shared" si="677"/>
        <v>0</v>
      </c>
      <c r="S308" s="104">
        <f t="shared" si="677"/>
        <v>0</v>
      </c>
      <c r="T308" s="104">
        <f t="shared" si="678"/>
        <v>0</v>
      </c>
      <c r="U308" s="104">
        <f t="shared" si="678"/>
        <v>0</v>
      </c>
      <c r="V308" s="104">
        <f t="shared" si="678"/>
        <v>9.9999999999999995E-8</v>
      </c>
      <c r="W308" s="104">
        <f t="shared" si="678"/>
        <v>0</v>
      </c>
      <c r="X308" s="104">
        <f t="shared" si="737"/>
        <v>0</v>
      </c>
      <c r="Y308" s="104">
        <f t="shared" si="737"/>
        <v>9.9999999999999995E-8</v>
      </c>
      <c r="Z308" s="104">
        <f t="shared" si="737"/>
        <v>9.9999999999999995E-8</v>
      </c>
      <c r="AA308" s="105">
        <f t="shared" si="737"/>
        <v>9.9999999999999995E-8</v>
      </c>
      <c r="AB308" s="101" t="e">
        <f>$DT308*HLOOKUP($J308,'Construction Costs (timber)'!$B$1:$V$32,'Construction Planner'!$L308+2,FALSE)</f>
        <v>#N/A</v>
      </c>
      <c r="AC308" s="14" t="e">
        <f>$DT308*HLOOKUP($J308,'Construction Costs (clay)'!$B$1:$V$32,'Construction Planner'!$L308+2,FALSE)</f>
        <v>#N/A</v>
      </c>
      <c r="AD308" s="14" t="e">
        <f>$DT308*HLOOKUP($J308,'Construction Costs (iron)'!$B$1:$V$32,'Construction Planner'!$L308+2,FALSE)</f>
        <v>#N/A</v>
      </c>
      <c r="AE308" s="34" t="e">
        <f t="shared" si="690"/>
        <v>#N/A</v>
      </c>
      <c r="AF308" s="33" t="e">
        <f t="shared" si="628"/>
        <v>#N/A</v>
      </c>
      <c r="AG308" s="14" t="e">
        <f t="shared" si="629"/>
        <v>#N/A</v>
      </c>
      <c r="AH308" s="14" t="e">
        <f t="shared" si="630"/>
        <v>#N/A</v>
      </c>
      <c r="AI308" s="34" t="e">
        <f t="shared" si="691"/>
        <v>#N/A</v>
      </c>
      <c r="AJ308" s="49" t="e">
        <f t="shared" si="651"/>
        <v>#N/A</v>
      </c>
      <c r="AK308" s="49" t="e">
        <f t="shared" si="652"/>
        <v>#N/A</v>
      </c>
      <c r="AL308" s="49" t="e">
        <f t="shared" si="653"/>
        <v>#N/A</v>
      </c>
      <c r="AM308" s="25">
        <f t="shared" si="631"/>
        <v>30</v>
      </c>
      <c r="AN308" s="25">
        <f t="shared" si="632"/>
        <v>30</v>
      </c>
      <c r="AO308" s="25">
        <f t="shared" si="633"/>
        <v>30</v>
      </c>
      <c r="AP308" s="52" t="e">
        <f t="shared" si="654"/>
        <v>#N/A</v>
      </c>
      <c r="AQ308" s="53" t="e">
        <f t="shared" si="654"/>
        <v>#N/A</v>
      </c>
      <c r="AR308" s="54" t="e">
        <f t="shared" si="654"/>
        <v>#N/A</v>
      </c>
      <c r="AS308" s="316">
        <f t="shared" ref="AS308:AS323" si="746">AS307</f>
        <v>0</v>
      </c>
      <c r="AT308" s="106">
        <f>_xlfn.IFNA($M308/VLOOKUP($BT308,'Unit information'!$A$2:$K$29,2,FALSE)*R308,0)*(1+$E$9)</f>
        <v>0</v>
      </c>
      <c r="AU308" s="107">
        <f>_xlfn.IFNA($M308/VLOOKUP($BT308,'Unit information'!$A$2:$K$29,3,FALSE)*S308,0)*(1+$E$9)</f>
        <v>0</v>
      </c>
      <c r="AV308" s="107">
        <f>_xlfn.IFNA($M308/VLOOKUP($BT308,'Unit information'!$A$2:$K$29,4,FALSE)*T308,0)*(1+$E$9)</f>
        <v>0</v>
      </c>
      <c r="AW308" s="107">
        <f>_xlfn.IFNA($M308/VLOOKUP($BT308,'Unit information'!$A$2:$K$29,5,FALSE)*U308,0)*(1+$E$9)</f>
        <v>0</v>
      </c>
      <c r="AX308" s="107">
        <f>_xlfn.IFNA($M308/VLOOKUP($BU308,'Unit information'!$A$2:$K$29,6,FALSE)*V308,0)*(1+$E$9)</f>
        <v>0</v>
      </c>
      <c r="AY308" s="107">
        <f>_xlfn.IFNA($M308/VLOOKUP($BU308,'Unit information'!$A$2:$K$29,7,FALSE)*W308,0)*(1+$E$9)</f>
        <v>0</v>
      </c>
      <c r="AZ308" s="107">
        <f>_xlfn.IFNA($M308/VLOOKUP($BU308,'Unit information'!$A$2:$K$29,8,FALSE)*X308,0)*(1+$E$9)</f>
        <v>0</v>
      </c>
      <c r="BA308" s="107">
        <f>_xlfn.IFNA($M308/VLOOKUP($BU308,'Unit information'!$A$2:$K$29,9,FALSE)*Y308,0)*(1+$E$9)</f>
        <v>0</v>
      </c>
      <c r="BB308" s="107">
        <f>_xlfn.IFNA($M308/VLOOKUP($BV308,'Unit information'!$A$2:$K$29,10,FALSE)*Z308,0)*(1+$E$9)</f>
        <v>0</v>
      </c>
      <c r="BC308" s="108">
        <f>_xlfn.IFNA($M308/VLOOKUP($BV308,'Unit information'!$A$2:$K$29,11,FALSE)*AA308,0)*(1+$E$9)</f>
        <v>0</v>
      </c>
      <c r="BD308" s="106">
        <f t="shared" si="634"/>
        <v>0</v>
      </c>
      <c r="BE308" s="107">
        <f t="shared" si="635"/>
        <v>0</v>
      </c>
      <c r="BF308" s="108">
        <f t="shared" si="636"/>
        <v>0</v>
      </c>
      <c r="BG308" s="25" t="e">
        <f t="shared" si="637"/>
        <v>#N/A</v>
      </c>
      <c r="BH308" s="25" t="e">
        <f t="shared" si="638"/>
        <v>#N/A</v>
      </c>
      <c r="BI308" s="25" t="e">
        <f t="shared" si="639"/>
        <v>#N/A</v>
      </c>
      <c r="BJ308" s="27" t="e">
        <f t="shared" si="640"/>
        <v>#N/A</v>
      </c>
      <c r="BK308" s="18" t="e">
        <f t="shared" si="641"/>
        <v>#N/A</v>
      </c>
      <c r="BL308" s="18" t="e">
        <f t="shared" si="642"/>
        <v>#N/A</v>
      </c>
      <c r="BM308" s="28" t="e">
        <f t="shared" si="693"/>
        <v>#N/A</v>
      </c>
      <c r="BN308" s="33">
        <f>HLOOKUP("maximum population",Miscelaneous!$C$1:$C$33,CH308+3,FALSE)</f>
        <v>240</v>
      </c>
      <c r="BO308" s="14">
        <f t="shared" si="655"/>
        <v>32</v>
      </c>
      <c r="BP308" s="14">
        <f t="shared" si="656"/>
        <v>0</v>
      </c>
      <c r="BQ308" s="14">
        <f t="shared" si="657"/>
        <v>208</v>
      </c>
      <c r="BR308" s="34" t="e">
        <f>HLOOKUP(J308,Villagers!$B$1:$V$33,L308+3,FALSE)-HLOOKUP(J308,Villagers!$B$1:$V$33,L308+2,FALSE)</f>
        <v>#N/A</v>
      </c>
      <c r="BS308" s="49">
        <f t="shared" si="658"/>
        <v>1</v>
      </c>
      <c r="BT308" s="50">
        <f t="shared" si="659"/>
        <v>0</v>
      </c>
      <c r="BU308" s="50">
        <f t="shared" si="660"/>
        <v>0</v>
      </c>
      <c r="BV308" s="50">
        <f t="shared" si="661"/>
        <v>0</v>
      </c>
      <c r="BW308" s="50">
        <f t="shared" si="741"/>
        <v>0</v>
      </c>
      <c r="BX308" s="50">
        <f t="shared" si="741"/>
        <v>0</v>
      </c>
      <c r="BY308" s="50">
        <f t="shared" si="741"/>
        <v>0</v>
      </c>
      <c r="BZ308" s="50">
        <f t="shared" si="707"/>
        <v>0</v>
      </c>
      <c r="CA308" s="50">
        <f t="shared" si="708"/>
        <v>0</v>
      </c>
      <c r="CB308" s="50">
        <f t="shared" si="709"/>
        <v>1</v>
      </c>
      <c r="CC308" s="50">
        <f t="shared" si="710"/>
        <v>0</v>
      </c>
      <c r="CD308" s="50">
        <f t="shared" si="711"/>
        <v>0</v>
      </c>
      <c r="CE308" s="50">
        <f t="shared" si="712"/>
        <v>1</v>
      </c>
      <c r="CF308" s="50">
        <f t="shared" si="713"/>
        <v>1</v>
      </c>
      <c r="CG308" s="50">
        <f t="shared" si="714"/>
        <v>1</v>
      </c>
      <c r="CH308" s="50">
        <f t="shared" si="715"/>
        <v>1</v>
      </c>
      <c r="CI308" s="50">
        <f t="shared" si="716"/>
        <v>1</v>
      </c>
      <c r="CJ308" s="50">
        <f t="shared" si="717"/>
        <v>1</v>
      </c>
      <c r="CK308" s="50">
        <f t="shared" si="717"/>
        <v>0</v>
      </c>
      <c r="CL308" s="50">
        <f t="shared" si="717"/>
        <v>0</v>
      </c>
      <c r="CM308" s="51">
        <f t="shared" si="605"/>
        <v>0</v>
      </c>
      <c r="CN308" s="33">
        <f>ROUND(IF(BS308=0,0,HLOOKUP(BS$14,Villagers!$B$1:$V$33,BS308+3,FALSE)),)</f>
        <v>5</v>
      </c>
      <c r="CO308" s="14">
        <f>ROUND(IF(BT308=0,0,HLOOKUP(BT$14,Villagers!$B$1:$V$33,BT308+3,FALSE)),)</f>
        <v>0</v>
      </c>
      <c r="CP308" s="14">
        <f>ROUND(IF(BU308=0,0,HLOOKUP(BU$14,Villagers!$B$1:$V$33,BU308+3,FALSE)),)</f>
        <v>0</v>
      </c>
      <c r="CQ308" s="14">
        <f>ROUND(IF(BV308=0,0,HLOOKUP(BV$14,Villagers!$B$1:$V$33,BV308+3,FALSE)),)</f>
        <v>0</v>
      </c>
      <c r="CR308" s="14">
        <f>ROUND(IF(BW308=0,0,HLOOKUP(BW$14,Villagers!$B$1:$V$33,BW308+3,FALSE)),)</f>
        <v>0</v>
      </c>
      <c r="CS308" s="14">
        <f>ROUND(IF(BX308=0,0,HLOOKUP(BX$14,Villagers!$B$1:$V$33,BX308+3,FALSE)),)</f>
        <v>0</v>
      </c>
      <c r="CT308" s="14">
        <f>ROUND(IF(BY308=0,0,HLOOKUP(BY$14,Villagers!$B$1:$V$33,BY308+3,FALSE)),)</f>
        <v>0</v>
      </c>
      <c r="CU308" s="14">
        <f>ROUND(IF(BZ308=0,0,HLOOKUP(BZ$14,Villagers!$B$1:$V$33,BZ308+3,FALSE)),)</f>
        <v>0</v>
      </c>
      <c r="CV308" s="14">
        <f>ROUND(IF(CA308=0,0,HLOOKUP(CA$14,Villagers!$B$1:$V$33,CA308+3,FALSE)),)</f>
        <v>0</v>
      </c>
      <c r="CW308" s="14">
        <f>ROUND(IF(CB308=0,0,HLOOKUP(CB$14,Villagers!$B$1:$V$33,CB308+3,FALSE)),)</f>
        <v>0</v>
      </c>
      <c r="CX308" s="14">
        <f>ROUND(IF(CC308=0,0,HLOOKUP(CC$14,Villagers!$B$1:$V$33,CC308+3,FALSE)),)</f>
        <v>0</v>
      </c>
      <c r="CY308" s="14">
        <f>ROUND(IF(CD308=0,0,HLOOKUP(CD$14,Villagers!$B$1:$V$33,CD308+3,FALSE)),)</f>
        <v>0</v>
      </c>
      <c r="CZ308" s="14">
        <f>ROUND(IF(CE308=0,0,HLOOKUP(CE$14,Villagers!$B$1:$V$33,CE308+3,FALSE)),)</f>
        <v>5</v>
      </c>
      <c r="DA308" s="14">
        <f>ROUND(IF(CF308=0,0,HLOOKUP(CF$14,Villagers!$B$1:$V$33,CF308+3,FALSE)),)</f>
        <v>10</v>
      </c>
      <c r="DB308" s="14">
        <f>ROUND(IF(CG308=0,0,HLOOKUP(CG$14,Villagers!$B$1:$V$33,CG308+3,FALSE)),)</f>
        <v>10</v>
      </c>
      <c r="DC308" s="14">
        <f>ROUND(IF(CH308=0,0,HLOOKUP(CH$14,Villagers!$B$1:$V$33,CH308+3,FALSE)),)</f>
        <v>0</v>
      </c>
      <c r="DD308" s="14">
        <f>ROUND(IF(CI308=0,0,HLOOKUP(CI$14,Villagers!$B$1:$V$33,CI308+3,FALSE)),)</f>
        <v>0</v>
      </c>
      <c r="DE308" s="14">
        <f>ROUND(IF(CJ308=0,0,HLOOKUP(CJ$14,Villagers!$B$1:$V$33,CJ308+3,FALSE)),)</f>
        <v>2</v>
      </c>
      <c r="DF308" s="370">
        <f>ROUND(IF(CK308=0,0,HLOOKUP(CK$14,Villagers!$B$1:$V$33,CK308+3,FALSE)),)</f>
        <v>0</v>
      </c>
      <c r="DG308" s="370">
        <f>ROUND(IF(CL308=0,0,HLOOKUP(CL$14,Villagers!$B$1:$V$33,CL308+3,FALSE)),)</f>
        <v>0</v>
      </c>
      <c r="DH308" s="34">
        <f>ROUND(IF(CM308=0,0,HLOOKUP(CM$14,Villagers!$B$1:$V$33,CM308+3,FALSE)),)</f>
        <v>0</v>
      </c>
      <c r="DI308" s="109">
        <f t="shared" si="679"/>
        <v>0</v>
      </c>
      <c r="DJ308" s="50">
        <f t="shared" si="680"/>
        <v>0</v>
      </c>
      <c r="DK308" s="50">
        <f t="shared" si="681"/>
        <v>0</v>
      </c>
      <c r="DL308" s="50">
        <f t="shared" si="682"/>
        <v>0</v>
      </c>
      <c r="DM308" s="50">
        <f t="shared" si="683"/>
        <v>0</v>
      </c>
      <c r="DN308" s="50">
        <f t="shared" si="684"/>
        <v>0</v>
      </c>
      <c r="DO308" s="50">
        <f t="shared" si="685"/>
        <v>0</v>
      </c>
      <c r="DP308" s="50">
        <f t="shared" si="686"/>
        <v>0</v>
      </c>
      <c r="DQ308" s="50">
        <f t="shared" si="663"/>
        <v>0</v>
      </c>
      <c r="DR308" s="50">
        <f t="shared" si="664"/>
        <v>0</v>
      </c>
      <c r="DS308" s="96">
        <f>Miscelaneous!$D$4*Miscelaneous!$D$2^($CI308-1)</f>
        <v>1000</v>
      </c>
      <c r="DT308" s="333">
        <f t="shared" si="643"/>
        <v>1</v>
      </c>
      <c r="DU308" s="81">
        <v>1</v>
      </c>
      <c r="DV308" s="79">
        <f t="shared" si="665"/>
        <v>0</v>
      </c>
      <c r="DW308" s="79">
        <f t="shared" si="666"/>
        <v>0</v>
      </c>
      <c r="DX308" s="79">
        <f t="shared" si="667"/>
        <v>0</v>
      </c>
      <c r="DY308" s="79">
        <v>1</v>
      </c>
      <c r="DZ308" s="79">
        <f t="shared" si="668"/>
        <v>0</v>
      </c>
      <c r="EA308" s="79">
        <f t="shared" si="669"/>
        <v>0</v>
      </c>
      <c r="EB308" s="79">
        <f t="shared" si="670"/>
        <v>0</v>
      </c>
      <c r="EC308" s="79">
        <f t="shared" si="671"/>
        <v>0</v>
      </c>
      <c r="ED308" s="79">
        <v>1</v>
      </c>
      <c r="EE308" s="79">
        <v>1</v>
      </c>
      <c r="EF308" s="79">
        <f t="shared" si="672"/>
        <v>0</v>
      </c>
      <c r="EG308" s="79">
        <v>1</v>
      </c>
      <c r="EH308" s="79">
        <v>1</v>
      </c>
      <c r="EI308" s="79">
        <v>1</v>
      </c>
      <c r="EJ308" s="79">
        <v>1</v>
      </c>
      <c r="EK308" s="79">
        <v>1</v>
      </c>
      <c r="EL308" s="79">
        <v>1</v>
      </c>
      <c r="EM308" s="143">
        <f t="shared" si="673"/>
        <v>0</v>
      </c>
      <c r="EN308" s="143">
        <f t="shared" si="674"/>
        <v>0</v>
      </c>
      <c r="EO308" s="82">
        <f t="shared" si="675"/>
        <v>0</v>
      </c>
    </row>
    <row r="309" spans="1:145" x14ac:dyDescent="0.25">
      <c r="A309">
        <v>295</v>
      </c>
      <c r="B309" s="172" t="e">
        <f t="shared" si="644"/>
        <v>#N/A</v>
      </c>
      <c r="C309" s="121" t="e">
        <f t="shared" ref="C309:E309" si="747">AJ309-SUM(AB309:AB313)</f>
        <v>#N/A</v>
      </c>
      <c r="D309" s="122" t="e">
        <f t="shared" si="747"/>
        <v>#N/A</v>
      </c>
      <c r="E309" s="122" t="e">
        <f t="shared" si="747"/>
        <v>#N/A</v>
      </c>
      <c r="F309" s="176" t="e">
        <f t="shared" si="626"/>
        <v>#N/A</v>
      </c>
      <c r="G309" s="121">
        <f t="shared" si="646"/>
        <v>208</v>
      </c>
      <c r="H309" s="176" t="e">
        <f t="shared" si="647"/>
        <v>#N/A</v>
      </c>
      <c r="I309" s="48">
        <v>1</v>
      </c>
      <c r="J309" s="39"/>
      <c r="K309" s="350">
        <v>1</v>
      </c>
      <c r="L309" s="34" t="e">
        <f t="shared" si="627"/>
        <v>#N/A</v>
      </c>
      <c r="M309" s="38" t="e">
        <f>(HLOOKUP(J309,'Construction Times'!$B$3:$W$34,L309+2,FALSE)*HLOOKUP("hq modifier",'Construction Times'!$W$3:$W$34,BS309+2,FALSE))*(1-$H$9)</f>
        <v>#N/A</v>
      </c>
      <c r="N309" s="426" t="e">
        <f t="shared" si="648"/>
        <v>#N/A</v>
      </c>
      <c r="O309" s="427"/>
      <c r="P309" s="430" t="e">
        <f t="shared" si="649"/>
        <v>#N/A</v>
      </c>
      <c r="Q309" s="431"/>
      <c r="R309" s="103">
        <f t="shared" si="677"/>
        <v>0</v>
      </c>
      <c r="S309" s="104">
        <f t="shared" si="677"/>
        <v>0</v>
      </c>
      <c r="T309" s="104">
        <f t="shared" si="678"/>
        <v>0</v>
      </c>
      <c r="U309" s="104">
        <f t="shared" si="678"/>
        <v>0</v>
      </c>
      <c r="V309" s="104">
        <f t="shared" si="678"/>
        <v>9.9999999999999995E-8</v>
      </c>
      <c r="W309" s="104">
        <f t="shared" si="678"/>
        <v>0</v>
      </c>
      <c r="X309" s="104">
        <f t="shared" si="737"/>
        <v>0</v>
      </c>
      <c r="Y309" s="104">
        <f t="shared" si="737"/>
        <v>9.9999999999999995E-8</v>
      </c>
      <c r="Z309" s="104">
        <f t="shared" si="737"/>
        <v>9.9999999999999995E-8</v>
      </c>
      <c r="AA309" s="105">
        <f t="shared" si="737"/>
        <v>9.9999999999999995E-8</v>
      </c>
      <c r="AB309" s="101" t="e">
        <f>$DT309*HLOOKUP($J309,'Construction Costs (timber)'!$B$1:$V$32,'Construction Planner'!$L309+2,FALSE)</f>
        <v>#N/A</v>
      </c>
      <c r="AC309" s="14" t="e">
        <f>$DT309*HLOOKUP($J309,'Construction Costs (clay)'!$B$1:$V$32,'Construction Planner'!$L309+2,FALSE)</f>
        <v>#N/A</v>
      </c>
      <c r="AD309" s="14" t="e">
        <f>$DT309*HLOOKUP($J309,'Construction Costs (iron)'!$B$1:$V$32,'Construction Planner'!$L309+2,FALSE)</f>
        <v>#N/A</v>
      </c>
      <c r="AE309" s="34" t="e">
        <f t="shared" si="690"/>
        <v>#N/A</v>
      </c>
      <c r="AF309" s="33" t="e">
        <f t="shared" si="628"/>
        <v>#N/A</v>
      </c>
      <c r="AG309" s="14" t="e">
        <f t="shared" si="629"/>
        <v>#N/A</v>
      </c>
      <c r="AH309" s="14" t="e">
        <f t="shared" si="630"/>
        <v>#N/A</v>
      </c>
      <c r="AI309" s="34" t="e">
        <f t="shared" si="691"/>
        <v>#N/A</v>
      </c>
      <c r="AJ309" s="49" t="e">
        <f t="shared" si="651"/>
        <v>#N/A</v>
      </c>
      <c r="AK309" s="49" t="e">
        <f t="shared" si="652"/>
        <v>#N/A</v>
      </c>
      <c r="AL309" s="49" t="e">
        <f t="shared" si="653"/>
        <v>#N/A</v>
      </c>
      <c r="AM309" s="25">
        <f t="shared" si="631"/>
        <v>30</v>
      </c>
      <c r="AN309" s="25">
        <f t="shared" si="632"/>
        <v>30</v>
      </c>
      <c r="AO309" s="25">
        <f t="shared" si="633"/>
        <v>30</v>
      </c>
      <c r="AP309" s="52" t="e">
        <f t="shared" si="654"/>
        <v>#N/A</v>
      </c>
      <c r="AQ309" s="53" t="e">
        <f t="shared" si="654"/>
        <v>#N/A</v>
      </c>
      <c r="AR309" s="54" t="e">
        <f t="shared" si="654"/>
        <v>#N/A</v>
      </c>
      <c r="AS309" s="316">
        <f t="shared" si="746"/>
        <v>0</v>
      </c>
      <c r="AT309" s="106">
        <f>_xlfn.IFNA($M309/VLOOKUP($BT309,'Unit information'!$A$2:$K$29,2,FALSE)*R309,0)*(1+$E$9)</f>
        <v>0</v>
      </c>
      <c r="AU309" s="107">
        <f>_xlfn.IFNA($M309/VLOOKUP($BT309,'Unit information'!$A$2:$K$29,3,FALSE)*S309,0)*(1+$E$9)</f>
        <v>0</v>
      </c>
      <c r="AV309" s="107">
        <f>_xlfn.IFNA($M309/VLOOKUP($BT309,'Unit information'!$A$2:$K$29,4,FALSE)*T309,0)*(1+$E$9)</f>
        <v>0</v>
      </c>
      <c r="AW309" s="107">
        <f>_xlfn.IFNA($M309/VLOOKUP($BT309,'Unit information'!$A$2:$K$29,5,FALSE)*U309,0)*(1+$E$9)</f>
        <v>0</v>
      </c>
      <c r="AX309" s="107">
        <f>_xlfn.IFNA($M309/VLOOKUP($BU309,'Unit information'!$A$2:$K$29,6,FALSE)*V309,0)*(1+$E$9)</f>
        <v>0</v>
      </c>
      <c r="AY309" s="107">
        <f>_xlfn.IFNA($M309/VLOOKUP($BU309,'Unit information'!$A$2:$K$29,7,FALSE)*W309,0)*(1+$E$9)</f>
        <v>0</v>
      </c>
      <c r="AZ309" s="107">
        <f>_xlfn.IFNA($M309/VLOOKUP($BU309,'Unit information'!$A$2:$K$29,8,FALSE)*X309,0)*(1+$E$9)</f>
        <v>0</v>
      </c>
      <c r="BA309" s="107">
        <f>_xlfn.IFNA($M309/VLOOKUP($BU309,'Unit information'!$A$2:$K$29,9,FALSE)*Y309,0)*(1+$E$9)</f>
        <v>0</v>
      </c>
      <c r="BB309" s="107">
        <f>_xlfn.IFNA($M309/VLOOKUP($BV309,'Unit information'!$A$2:$K$29,10,FALSE)*Z309,0)*(1+$E$9)</f>
        <v>0</v>
      </c>
      <c r="BC309" s="108">
        <f>_xlfn.IFNA($M309/VLOOKUP($BV309,'Unit information'!$A$2:$K$29,11,FALSE)*AA309,0)*(1+$E$9)</f>
        <v>0</v>
      </c>
      <c r="BD309" s="106">
        <f t="shared" si="634"/>
        <v>0</v>
      </c>
      <c r="BE309" s="107">
        <f t="shared" si="635"/>
        <v>0</v>
      </c>
      <c r="BF309" s="108">
        <f t="shared" si="636"/>
        <v>0</v>
      </c>
      <c r="BG309" s="25" t="e">
        <f t="shared" si="637"/>
        <v>#N/A</v>
      </c>
      <c r="BH309" s="25" t="e">
        <f t="shared" si="638"/>
        <v>#N/A</v>
      </c>
      <c r="BI309" s="25" t="e">
        <f t="shared" si="639"/>
        <v>#N/A</v>
      </c>
      <c r="BJ309" s="27" t="e">
        <f t="shared" si="640"/>
        <v>#N/A</v>
      </c>
      <c r="BK309" s="18" t="e">
        <f t="shared" si="641"/>
        <v>#N/A</v>
      </c>
      <c r="BL309" s="18" t="e">
        <f t="shared" si="642"/>
        <v>#N/A</v>
      </c>
      <c r="BM309" s="28" t="e">
        <f t="shared" si="693"/>
        <v>#N/A</v>
      </c>
      <c r="BN309" s="33">
        <f>HLOOKUP("maximum population",Miscelaneous!$C$1:$C$33,CH309+3,FALSE)</f>
        <v>240</v>
      </c>
      <c r="BO309" s="14">
        <f t="shared" si="655"/>
        <v>32</v>
      </c>
      <c r="BP309" s="14">
        <f t="shared" si="656"/>
        <v>0</v>
      </c>
      <c r="BQ309" s="14">
        <f t="shared" si="657"/>
        <v>208</v>
      </c>
      <c r="BR309" s="34" t="e">
        <f>HLOOKUP(J309,Villagers!$B$1:$V$33,L309+3,FALSE)-HLOOKUP(J309,Villagers!$B$1:$V$33,L309+2,FALSE)</f>
        <v>#N/A</v>
      </c>
      <c r="BS309" s="49">
        <f t="shared" si="658"/>
        <v>1</v>
      </c>
      <c r="BT309" s="50">
        <f t="shared" si="659"/>
        <v>0</v>
      </c>
      <c r="BU309" s="50">
        <f t="shared" si="660"/>
        <v>0</v>
      </c>
      <c r="BV309" s="50">
        <f t="shared" si="661"/>
        <v>0</v>
      </c>
      <c r="BW309" s="50">
        <f t="shared" si="741"/>
        <v>0</v>
      </c>
      <c r="BX309" s="50">
        <f t="shared" si="741"/>
        <v>0</v>
      </c>
      <c r="BY309" s="50">
        <f t="shared" si="741"/>
        <v>0</v>
      </c>
      <c r="BZ309" s="50">
        <f t="shared" si="707"/>
        <v>0</v>
      </c>
      <c r="CA309" s="50">
        <f t="shared" si="708"/>
        <v>0</v>
      </c>
      <c r="CB309" s="50">
        <f t="shared" si="709"/>
        <v>1</v>
      </c>
      <c r="CC309" s="50">
        <f t="shared" si="710"/>
        <v>0</v>
      </c>
      <c r="CD309" s="50">
        <f t="shared" si="711"/>
        <v>0</v>
      </c>
      <c r="CE309" s="50">
        <f t="shared" si="712"/>
        <v>1</v>
      </c>
      <c r="CF309" s="50">
        <f t="shared" si="713"/>
        <v>1</v>
      </c>
      <c r="CG309" s="50">
        <f t="shared" si="714"/>
        <v>1</v>
      </c>
      <c r="CH309" s="50">
        <f t="shared" si="715"/>
        <v>1</v>
      </c>
      <c r="CI309" s="50">
        <f t="shared" si="716"/>
        <v>1</v>
      </c>
      <c r="CJ309" s="50">
        <f t="shared" si="717"/>
        <v>1</v>
      </c>
      <c r="CK309" s="50">
        <f t="shared" si="717"/>
        <v>0</v>
      </c>
      <c r="CL309" s="50">
        <f t="shared" si="717"/>
        <v>0</v>
      </c>
      <c r="CM309" s="51">
        <f t="shared" si="605"/>
        <v>0</v>
      </c>
      <c r="CN309" s="33">
        <f>ROUND(IF(BS309=0,0,HLOOKUP(BS$14,Villagers!$B$1:$V$33,BS309+3,FALSE)),)</f>
        <v>5</v>
      </c>
      <c r="CO309" s="14">
        <f>ROUND(IF(BT309=0,0,HLOOKUP(BT$14,Villagers!$B$1:$V$33,BT309+3,FALSE)),)</f>
        <v>0</v>
      </c>
      <c r="CP309" s="14">
        <f>ROUND(IF(BU309=0,0,HLOOKUP(BU$14,Villagers!$B$1:$V$33,BU309+3,FALSE)),)</f>
        <v>0</v>
      </c>
      <c r="CQ309" s="14">
        <f>ROUND(IF(BV309=0,0,HLOOKUP(BV$14,Villagers!$B$1:$V$33,BV309+3,FALSE)),)</f>
        <v>0</v>
      </c>
      <c r="CR309" s="14">
        <f>ROUND(IF(BW309=0,0,HLOOKUP(BW$14,Villagers!$B$1:$V$33,BW309+3,FALSE)),)</f>
        <v>0</v>
      </c>
      <c r="CS309" s="14">
        <f>ROUND(IF(BX309=0,0,HLOOKUP(BX$14,Villagers!$B$1:$V$33,BX309+3,FALSE)),)</f>
        <v>0</v>
      </c>
      <c r="CT309" s="14">
        <f>ROUND(IF(BY309=0,0,HLOOKUP(BY$14,Villagers!$B$1:$V$33,BY309+3,FALSE)),)</f>
        <v>0</v>
      </c>
      <c r="CU309" s="14">
        <f>ROUND(IF(BZ309=0,0,HLOOKUP(BZ$14,Villagers!$B$1:$V$33,BZ309+3,FALSE)),)</f>
        <v>0</v>
      </c>
      <c r="CV309" s="14">
        <f>ROUND(IF(CA309=0,0,HLOOKUP(CA$14,Villagers!$B$1:$V$33,CA309+3,FALSE)),)</f>
        <v>0</v>
      </c>
      <c r="CW309" s="14">
        <f>ROUND(IF(CB309=0,0,HLOOKUP(CB$14,Villagers!$B$1:$V$33,CB309+3,FALSE)),)</f>
        <v>0</v>
      </c>
      <c r="CX309" s="14">
        <f>ROUND(IF(CC309=0,0,HLOOKUP(CC$14,Villagers!$B$1:$V$33,CC309+3,FALSE)),)</f>
        <v>0</v>
      </c>
      <c r="CY309" s="14">
        <f>ROUND(IF(CD309=0,0,HLOOKUP(CD$14,Villagers!$B$1:$V$33,CD309+3,FALSE)),)</f>
        <v>0</v>
      </c>
      <c r="CZ309" s="14">
        <f>ROUND(IF(CE309=0,0,HLOOKUP(CE$14,Villagers!$B$1:$V$33,CE309+3,FALSE)),)</f>
        <v>5</v>
      </c>
      <c r="DA309" s="14">
        <f>ROUND(IF(CF309=0,0,HLOOKUP(CF$14,Villagers!$B$1:$V$33,CF309+3,FALSE)),)</f>
        <v>10</v>
      </c>
      <c r="DB309" s="14">
        <f>ROUND(IF(CG309=0,0,HLOOKUP(CG$14,Villagers!$B$1:$V$33,CG309+3,FALSE)),)</f>
        <v>10</v>
      </c>
      <c r="DC309" s="14">
        <f>ROUND(IF(CH309=0,0,HLOOKUP(CH$14,Villagers!$B$1:$V$33,CH309+3,FALSE)),)</f>
        <v>0</v>
      </c>
      <c r="DD309" s="14">
        <f>ROUND(IF(CI309=0,0,HLOOKUP(CI$14,Villagers!$B$1:$V$33,CI309+3,FALSE)),)</f>
        <v>0</v>
      </c>
      <c r="DE309" s="14">
        <f>ROUND(IF(CJ309=0,0,HLOOKUP(CJ$14,Villagers!$B$1:$V$33,CJ309+3,FALSE)),)</f>
        <v>2</v>
      </c>
      <c r="DF309" s="370">
        <f>ROUND(IF(CK309=0,0,HLOOKUP(CK$14,Villagers!$B$1:$V$33,CK309+3,FALSE)),)</f>
        <v>0</v>
      </c>
      <c r="DG309" s="370">
        <f>ROUND(IF(CL309=0,0,HLOOKUP(CL$14,Villagers!$B$1:$V$33,CL309+3,FALSE)),)</f>
        <v>0</v>
      </c>
      <c r="DH309" s="34">
        <f>ROUND(IF(CM309=0,0,HLOOKUP(CM$14,Villagers!$B$1:$V$33,CM309+3,FALSE)),)</f>
        <v>0</v>
      </c>
      <c r="DI309" s="109">
        <f t="shared" si="679"/>
        <v>0</v>
      </c>
      <c r="DJ309" s="50">
        <f t="shared" si="680"/>
        <v>0</v>
      </c>
      <c r="DK309" s="50">
        <f t="shared" si="681"/>
        <v>0</v>
      </c>
      <c r="DL309" s="50">
        <f t="shared" si="682"/>
        <v>0</v>
      </c>
      <c r="DM309" s="50">
        <f t="shared" si="683"/>
        <v>0</v>
      </c>
      <c r="DN309" s="50">
        <f t="shared" si="684"/>
        <v>0</v>
      </c>
      <c r="DO309" s="50">
        <f t="shared" si="685"/>
        <v>0</v>
      </c>
      <c r="DP309" s="50">
        <f t="shared" si="686"/>
        <v>0</v>
      </c>
      <c r="DQ309" s="50">
        <f t="shared" si="663"/>
        <v>0</v>
      </c>
      <c r="DR309" s="50">
        <f t="shared" si="664"/>
        <v>0</v>
      </c>
      <c r="DS309" s="96">
        <f>Miscelaneous!$D$4*Miscelaneous!$D$2^($CI309-1)</f>
        <v>1000</v>
      </c>
      <c r="DT309" s="333">
        <f t="shared" si="643"/>
        <v>1</v>
      </c>
      <c r="DU309" s="81">
        <v>1</v>
      </c>
      <c r="DV309" s="79">
        <f t="shared" si="665"/>
        <v>0</v>
      </c>
      <c r="DW309" s="79">
        <f t="shared" si="666"/>
        <v>0</v>
      </c>
      <c r="DX309" s="79">
        <f t="shared" si="667"/>
        <v>0</v>
      </c>
      <c r="DY309" s="79">
        <v>1</v>
      </c>
      <c r="DZ309" s="79">
        <f t="shared" si="668"/>
        <v>0</v>
      </c>
      <c r="EA309" s="79">
        <f t="shared" si="669"/>
        <v>0</v>
      </c>
      <c r="EB309" s="79">
        <f t="shared" si="670"/>
        <v>0</v>
      </c>
      <c r="EC309" s="79">
        <f t="shared" si="671"/>
        <v>0</v>
      </c>
      <c r="ED309" s="79">
        <v>1</v>
      </c>
      <c r="EE309" s="79">
        <v>1</v>
      </c>
      <c r="EF309" s="79">
        <f t="shared" si="672"/>
        <v>0</v>
      </c>
      <c r="EG309" s="79">
        <v>1</v>
      </c>
      <c r="EH309" s="79">
        <v>1</v>
      </c>
      <c r="EI309" s="79">
        <v>1</v>
      </c>
      <c r="EJ309" s="79">
        <v>1</v>
      </c>
      <c r="EK309" s="79">
        <v>1</v>
      </c>
      <c r="EL309" s="79">
        <v>1</v>
      </c>
      <c r="EM309" s="143">
        <f t="shared" si="673"/>
        <v>0</v>
      </c>
      <c r="EN309" s="143">
        <f t="shared" si="674"/>
        <v>0</v>
      </c>
      <c r="EO309" s="82">
        <f t="shared" si="675"/>
        <v>0</v>
      </c>
    </row>
    <row r="310" spans="1:145" x14ac:dyDescent="0.25">
      <c r="A310">
        <v>296</v>
      </c>
      <c r="B310" s="172" t="e">
        <f t="shared" si="644"/>
        <v>#N/A</v>
      </c>
      <c r="C310" s="121" t="e">
        <f t="shared" ref="C310:E310" si="748">AJ310-SUM(AB310:AB314)</f>
        <v>#N/A</v>
      </c>
      <c r="D310" s="122" t="e">
        <f t="shared" si="748"/>
        <v>#N/A</v>
      </c>
      <c r="E310" s="122" t="e">
        <f t="shared" si="748"/>
        <v>#N/A</v>
      </c>
      <c r="F310" s="176" t="e">
        <f t="shared" si="626"/>
        <v>#N/A</v>
      </c>
      <c r="G310" s="121">
        <f t="shared" si="646"/>
        <v>208</v>
      </c>
      <c r="H310" s="176" t="e">
        <f t="shared" si="647"/>
        <v>#N/A</v>
      </c>
      <c r="I310" s="48">
        <v>1</v>
      </c>
      <c r="J310" s="39"/>
      <c r="K310" s="350">
        <v>1</v>
      </c>
      <c r="L310" s="34" t="e">
        <f t="shared" si="627"/>
        <v>#N/A</v>
      </c>
      <c r="M310" s="38" t="e">
        <f>(HLOOKUP(J310,'Construction Times'!$B$3:$W$34,L310+2,FALSE)*HLOOKUP("hq modifier",'Construction Times'!$W$3:$W$34,BS310+2,FALSE))*(1-$H$9)</f>
        <v>#N/A</v>
      </c>
      <c r="N310" s="426" t="e">
        <f t="shared" si="648"/>
        <v>#N/A</v>
      </c>
      <c r="O310" s="427"/>
      <c r="P310" s="430" t="e">
        <f t="shared" si="649"/>
        <v>#N/A</v>
      </c>
      <c r="Q310" s="431"/>
      <c r="R310" s="103">
        <f t="shared" si="677"/>
        <v>0</v>
      </c>
      <c r="S310" s="104">
        <f t="shared" si="677"/>
        <v>0</v>
      </c>
      <c r="T310" s="104">
        <f t="shared" si="678"/>
        <v>0</v>
      </c>
      <c r="U310" s="104">
        <f t="shared" si="678"/>
        <v>0</v>
      </c>
      <c r="V310" s="104">
        <f t="shared" si="678"/>
        <v>9.9999999999999995E-8</v>
      </c>
      <c r="W310" s="104">
        <f t="shared" si="678"/>
        <v>0</v>
      </c>
      <c r="X310" s="104">
        <f t="shared" si="737"/>
        <v>0</v>
      </c>
      <c r="Y310" s="104">
        <f t="shared" si="737"/>
        <v>9.9999999999999995E-8</v>
      </c>
      <c r="Z310" s="104">
        <f t="shared" si="737"/>
        <v>9.9999999999999995E-8</v>
      </c>
      <c r="AA310" s="105">
        <f t="shared" si="737"/>
        <v>9.9999999999999995E-8</v>
      </c>
      <c r="AB310" s="101" t="e">
        <f>$DT310*HLOOKUP($J310,'Construction Costs (timber)'!$B$1:$V$32,'Construction Planner'!$L310+2,FALSE)</f>
        <v>#N/A</v>
      </c>
      <c r="AC310" s="14" t="e">
        <f>$DT310*HLOOKUP($J310,'Construction Costs (clay)'!$B$1:$V$32,'Construction Planner'!$L310+2,FALSE)</f>
        <v>#N/A</v>
      </c>
      <c r="AD310" s="14" t="e">
        <f>$DT310*HLOOKUP($J310,'Construction Costs (iron)'!$B$1:$V$32,'Construction Planner'!$L310+2,FALSE)</f>
        <v>#N/A</v>
      </c>
      <c r="AE310" s="34" t="e">
        <f t="shared" si="690"/>
        <v>#N/A</v>
      </c>
      <c r="AF310" s="33" t="e">
        <f t="shared" si="628"/>
        <v>#N/A</v>
      </c>
      <c r="AG310" s="14" t="e">
        <f t="shared" si="629"/>
        <v>#N/A</v>
      </c>
      <c r="AH310" s="14" t="e">
        <f t="shared" si="630"/>
        <v>#N/A</v>
      </c>
      <c r="AI310" s="34" t="e">
        <f t="shared" si="691"/>
        <v>#N/A</v>
      </c>
      <c r="AJ310" s="49" t="e">
        <f t="shared" si="651"/>
        <v>#N/A</v>
      </c>
      <c r="AK310" s="49" t="e">
        <f t="shared" si="652"/>
        <v>#N/A</v>
      </c>
      <c r="AL310" s="49" t="e">
        <f t="shared" si="653"/>
        <v>#N/A</v>
      </c>
      <c r="AM310" s="25">
        <f t="shared" si="631"/>
        <v>30</v>
      </c>
      <c r="AN310" s="25">
        <f t="shared" si="632"/>
        <v>30</v>
      </c>
      <c r="AO310" s="25">
        <f t="shared" si="633"/>
        <v>30</v>
      </c>
      <c r="AP310" s="52" t="e">
        <f t="shared" si="654"/>
        <v>#N/A</v>
      </c>
      <c r="AQ310" s="53" t="e">
        <f t="shared" si="654"/>
        <v>#N/A</v>
      </c>
      <c r="AR310" s="54" t="e">
        <f t="shared" si="654"/>
        <v>#N/A</v>
      </c>
      <c r="AS310" s="316">
        <f t="shared" si="746"/>
        <v>0</v>
      </c>
      <c r="AT310" s="106">
        <f>_xlfn.IFNA($M310/VLOOKUP($BT310,'Unit information'!$A$2:$K$29,2,FALSE)*R310,0)*(1+$E$9)</f>
        <v>0</v>
      </c>
      <c r="AU310" s="107">
        <f>_xlfn.IFNA($M310/VLOOKUP($BT310,'Unit information'!$A$2:$K$29,3,FALSE)*S310,0)*(1+$E$9)</f>
        <v>0</v>
      </c>
      <c r="AV310" s="107">
        <f>_xlfn.IFNA($M310/VLOOKUP($BT310,'Unit information'!$A$2:$K$29,4,FALSE)*T310,0)*(1+$E$9)</f>
        <v>0</v>
      </c>
      <c r="AW310" s="107">
        <f>_xlfn.IFNA($M310/VLOOKUP($BT310,'Unit information'!$A$2:$K$29,5,FALSE)*U310,0)*(1+$E$9)</f>
        <v>0</v>
      </c>
      <c r="AX310" s="107">
        <f>_xlfn.IFNA($M310/VLOOKUP($BU310,'Unit information'!$A$2:$K$29,6,FALSE)*V310,0)*(1+$E$9)</f>
        <v>0</v>
      </c>
      <c r="AY310" s="107">
        <f>_xlfn.IFNA($M310/VLOOKUP($BU310,'Unit information'!$A$2:$K$29,7,FALSE)*W310,0)*(1+$E$9)</f>
        <v>0</v>
      </c>
      <c r="AZ310" s="107">
        <f>_xlfn.IFNA($M310/VLOOKUP($BU310,'Unit information'!$A$2:$K$29,8,FALSE)*X310,0)*(1+$E$9)</f>
        <v>0</v>
      </c>
      <c r="BA310" s="107">
        <f>_xlfn.IFNA($M310/VLOOKUP($BU310,'Unit information'!$A$2:$K$29,9,FALSE)*Y310,0)*(1+$E$9)</f>
        <v>0</v>
      </c>
      <c r="BB310" s="107">
        <f>_xlfn.IFNA($M310/VLOOKUP($BV310,'Unit information'!$A$2:$K$29,10,FALSE)*Z310,0)*(1+$E$9)</f>
        <v>0</v>
      </c>
      <c r="BC310" s="108">
        <f>_xlfn.IFNA($M310/VLOOKUP($BV310,'Unit information'!$A$2:$K$29,11,FALSE)*AA310,0)*(1+$E$9)</f>
        <v>0</v>
      </c>
      <c r="BD310" s="106">
        <f t="shared" si="634"/>
        <v>0</v>
      </c>
      <c r="BE310" s="107">
        <f t="shared" si="635"/>
        <v>0</v>
      </c>
      <c r="BF310" s="108">
        <f t="shared" si="636"/>
        <v>0</v>
      </c>
      <c r="BG310" s="25" t="e">
        <f t="shared" si="637"/>
        <v>#N/A</v>
      </c>
      <c r="BH310" s="25" t="e">
        <f t="shared" si="638"/>
        <v>#N/A</v>
      </c>
      <c r="BI310" s="25" t="e">
        <f t="shared" si="639"/>
        <v>#N/A</v>
      </c>
      <c r="BJ310" s="27" t="e">
        <f t="shared" si="640"/>
        <v>#N/A</v>
      </c>
      <c r="BK310" s="18" t="e">
        <f t="shared" si="641"/>
        <v>#N/A</v>
      </c>
      <c r="BL310" s="18" t="e">
        <f t="shared" si="642"/>
        <v>#N/A</v>
      </c>
      <c r="BM310" s="28" t="e">
        <f t="shared" si="693"/>
        <v>#N/A</v>
      </c>
      <c r="BN310" s="33">
        <f>HLOOKUP("maximum population",Miscelaneous!$C$1:$C$33,CH310+3,FALSE)</f>
        <v>240</v>
      </c>
      <c r="BO310" s="14">
        <f t="shared" si="655"/>
        <v>32</v>
      </c>
      <c r="BP310" s="14">
        <f t="shared" si="656"/>
        <v>0</v>
      </c>
      <c r="BQ310" s="14">
        <f t="shared" si="657"/>
        <v>208</v>
      </c>
      <c r="BR310" s="34" t="e">
        <f>HLOOKUP(J310,Villagers!$B$1:$V$33,L310+3,FALSE)-HLOOKUP(J310,Villagers!$B$1:$V$33,L310+2,FALSE)</f>
        <v>#N/A</v>
      </c>
      <c r="BS310" s="49">
        <f t="shared" si="658"/>
        <v>1</v>
      </c>
      <c r="BT310" s="50">
        <f t="shared" si="659"/>
        <v>0</v>
      </c>
      <c r="BU310" s="50">
        <f t="shared" si="660"/>
        <v>0</v>
      </c>
      <c r="BV310" s="50">
        <f t="shared" si="661"/>
        <v>0</v>
      </c>
      <c r="BW310" s="50">
        <f t="shared" si="741"/>
        <v>0</v>
      </c>
      <c r="BX310" s="50">
        <f t="shared" si="741"/>
        <v>0</v>
      </c>
      <c r="BY310" s="50">
        <f t="shared" si="741"/>
        <v>0</v>
      </c>
      <c r="BZ310" s="50">
        <f t="shared" si="707"/>
        <v>0</v>
      </c>
      <c r="CA310" s="50">
        <f t="shared" si="708"/>
        <v>0</v>
      </c>
      <c r="CB310" s="50">
        <f t="shared" si="709"/>
        <v>1</v>
      </c>
      <c r="CC310" s="50">
        <f t="shared" si="710"/>
        <v>0</v>
      </c>
      <c r="CD310" s="50">
        <f t="shared" si="711"/>
        <v>0</v>
      </c>
      <c r="CE310" s="50">
        <f t="shared" si="712"/>
        <v>1</v>
      </c>
      <c r="CF310" s="50">
        <f t="shared" si="713"/>
        <v>1</v>
      </c>
      <c r="CG310" s="50">
        <f t="shared" si="714"/>
        <v>1</v>
      </c>
      <c r="CH310" s="50">
        <f t="shared" si="715"/>
        <v>1</v>
      </c>
      <c r="CI310" s="50">
        <f t="shared" si="716"/>
        <v>1</v>
      </c>
      <c r="CJ310" s="50">
        <f t="shared" si="717"/>
        <v>1</v>
      </c>
      <c r="CK310" s="50">
        <f t="shared" si="717"/>
        <v>0</v>
      </c>
      <c r="CL310" s="50">
        <f t="shared" si="717"/>
        <v>0</v>
      </c>
      <c r="CM310" s="51">
        <f t="shared" si="605"/>
        <v>0</v>
      </c>
      <c r="CN310" s="33">
        <f>ROUND(IF(BS310=0,0,HLOOKUP(BS$14,Villagers!$B$1:$V$33,BS310+3,FALSE)),)</f>
        <v>5</v>
      </c>
      <c r="CO310" s="14">
        <f>ROUND(IF(BT310=0,0,HLOOKUP(BT$14,Villagers!$B$1:$V$33,BT310+3,FALSE)),)</f>
        <v>0</v>
      </c>
      <c r="CP310" s="14">
        <f>ROUND(IF(BU310=0,0,HLOOKUP(BU$14,Villagers!$B$1:$V$33,BU310+3,FALSE)),)</f>
        <v>0</v>
      </c>
      <c r="CQ310" s="14">
        <f>ROUND(IF(BV310=0,0,HLOOKUP(BV$14,Villagers!$B$1:$V$33,BV310+3,FALSE)),)</f>
        <v>0</v>
      </c>
      <c r="CR310" s="14">
        <f>ROUND(IF(BW310=0,0,HLOOKUP(BW$14,Villagers!$B$1:$V$33,BW310+3,FALSE)),)</f>
        <v>0</v>
      </c>
      <c r="CS310" s="14">
        <f>ROUND(IF(BX310=0,0,HLOOKUP(BX$14,Villagers!$B$1:$V$33,BX310+3,FALSE)),)</f>
        <v>0</v>
      </c>
      <c r="CT310" s="14">
        <f>ROUND(IF(BY310=0,0,HLOOKUP(BY$14,Villagers!$B$1:$V$33,BY310+3,FALSE)),)</f>
        <v>0</v>
      </c>
      <c r="CU310" s="14">
        <f>ROUND(IF(BZ310=0,0,HLOOKUP(BZ$14,Villagers!$B$1:$V$33,BZ310+3,FALSE)),)</f>
        <v>0</v>
      </c>
      <c r="CV310" s="14">
        <f>ROUND(IF(CA310=0,0,HLOOKUP(CA$14,Villagers!$B$1:$V$33,CA310+3,FALSE)),)</f>
        <v>0</v>
      </c>
      <c r="CW310" s="14">
        <f>ROUND(IF(CB310=0,0,HLOOKUP(CB$14,Villagers!$B$1:$V$33,CB310+3,FALSE)),)</f>
        <v>0</v>
      </c>
      <c r="CX310" s="14">
        <f>ROUND(IF(CC310=0,0,HLOOKUP(CC$14,Villagers!$B$1:$V$33,CC310+3,FALSE)),)</f>
        <v>0</v>
      </c>
      <c r="CY310" s="14">
        <f>ROUND(IF(CD310=0,0,HLOOKUP(CD$14,Villagers!$B$1:$V$33,CD310+3,FALSE)),)</f>
        <v>0</v>
      </c>
      <c r="CZ310" s="14">
        <f>ROUND(IF(CE310=0,0,HLOOKUP(CE$14,Villagers!$B$1:$V$33,CE310+3,FALSE)),)</f>
        <v>5</v>
      </c>
      <c r="DA310" s="14">
        <f>ROUND(IF(CF310=0,0,HLOOKUP(CF$14,Villagers!$B$1:$V$33,CF310+3,FALSE)),)</f>
        <v>10</v>
      </c>
      <c r="DB310" s="14">
        <f>ROUND(IF(CG310=0,0,HLOOKUP(CG$14,Villagers!$B$1:$V$33,CG310+3,FALSE)),)</f>
        <v>10</v>
      </c>
      <c r="DC310" s="14">
        <f>ROUND(IF(CH310=0,0,HLOOKUP(CH$14,Villagers!$B$1:$V$33,CH310+3,FALSE)),)</f>
        <v>0</v>
      </c>
      <c r="DD310" s="14">
        <f>ROUND(IF(CI310=0,0,HLOOKUP(CI$14,Villagers!$B$1:$V$33,CI310+3,FALSE)),)</f>
        <v>0</v>
      </c>
      <c r="DE310" s="14">
        <f>ROUND(IF(CJ310=0,0,HLOOKUP(CJ$14,Villagers!$B$1:$V$33,CJ310+3,FALSE)),)</f>
        <v>2</v>
      </c>
      <c r="DF310" s="370">
        <f>ROUND(IF(CK310=0,0,HLOOKUP(CK$14,Villagers!$B$1:$V$33,CK310+3,FALSE)),)</f>
        <v>0</v>
      </c>
      <c r="DG310" s="370">
        <f>ROUND(IF(CL310=0,0,HLOOKUP(CL$14,Villagers!$B$1:$V$33,CL310+3,FALSE)),)</f>
        <v>0</v>
      </c>
      <c r="DH310" s="34">
        <f>ROUND(IF(CM310=0,0,HLOOKUP(CM$14,Villagers!$B$1:$V$33,CM310+3,FALSE)),)</f>
        <v>0</v>
      </c>
      <c r="DI310" s="109">
        <f t="shared" si="679"/>
        <v>0</v>
      </c>
      <c r="DJ310" s="50">
        <f t="shared" si="680"/>
        <v>0</v>
      </c>
      <c r="DK310" s="50">
        <f t="shared" si="681"/>
        <v>0</v>
      </c>
      <c r="DL310" s="50">
        <f t="shared" si="682"/>
        <v>0</v>
      </c>
      <c r="DM310" s="50">
        <f t="shared" si="683"/>
        <v>0</v>
      </c>
      <c r="DN310" s="50">
        <f t="shared" si="684"/>
        <v>0</v>
      </c>
      <c r="DO310" s="50">
        <f t="shared" si="685"/>
        <v>0</v>
      </c>
      <c r="DP310" s="50">
        <f t="shared" si="686"/>
        <v>0</v>
      </c>
      <c r="DQ310" s="50">
        <f t="shared" si="663"/>
        <v>0</v>
      </c>
      <c r="DR310" s="50">
        <f t="shared" si="664"/>
        <v>0</v>
      </c>
      <c r="DS310" s="96">
        <f>Miscelaneous!$D$4*Miscelaneous!$D$2^($CI310-1)</f>
        <v>1000</v>
      </c>
      <c r="DT310" s="333">
        <f t="shared" si="643"/>
        <v>1</v>
      </c>
      <c r="DU310" s="81">
        <v>1</v>
      </c>
      <c r="DV310" s="79">
        <f t="shared" si="665"/>
        <v>0</v>
      </c>
      <c r="DW310" s="79">
        <f t="shared" si="666"/>
        <v>0</v>
      </c>
      <c r="DX310" s="79">
        <f t="shared" si="667"/>
        <v>0</v>
      </c>
      <c r="DY310" s="79">
        <v>1</v>
      </c>
      <c r="DZ310" s="79">
        <f t="shared" si="668"/>
        <v>0</v>
      </c>
      <c r="EA310" s="79">
        <f t="shared" si="669"/>
        <v>0</v>
      </c>
      <c r="EB310" s="79">
        <f t="shared" si="670"/>
        <v>0</v>
      </c>
      <c r="EC310" s="79">
        <f t="shared" si="671"/>
        <v>0</v>
      </c>
      <c r="ED310" s="79">
        <v>1</v>
      </c>
      <c r="EE310" s="79">
        <v>1</v>
      </c>
      <c r="EF310" s="79">
        <f t="shared" si="672"/>
        <v>0</v>
      </c>
      <c r="EG310" s="79">
        <v>1</v>
      </c>
      <c r="EH310" s="79">
        <v>1</v>
      </c>
      <c r="EI310" s="79">
        <v>1</v>
      </c>
      <c r="EJ310" s="79">
        <v>1</v>
      </c>
      <c r="EK310" s="79">
        <v>1</v>
      </c>
      <c r="EL310" s="79">
        <v>1</v>
      </c>
      <c r="EM310" s="143">
        <f t="shared" si="673"/>
        <v>0</v>
      </c>
      <c r="EN310" s="143">
        <f t="shared" si="674"/>
        <v>0</v>
      </c>
      <c r="EO310" s="82">
        <f t="shared" si="675"/>
        <v>0</v>
      </c>
    </row>
    <row r="311" spans="1:145" x14ac:dyDescent="0.25">
      <c r="A311">
        <v>297</v>
      </c>
      <c r="B311" s="172" t="e">
        <f t="shared" si="644"/>
        <v>#N/A</v>
      </c>
      <c r="C311" s="121" t="e">
        <f t="shared" ref="C311:E311" si="749">AJ311-SUM(AB311:AB315)</f>
        <v>#N/A</v>
      </c>
      <c r="D311" s="122" t="e">
        <f t="shared" si="749"/>
        <v>#N/A</v>
      </c>
      <c r="E311" s="122" t="e">
        <f t="shared" si="749"/>
        <v>#N/A</v>
      </c>
      <c r="F311" s="176" t="e">
        <f t="shared" si="626"/>
        <v>#N/A</v>
      </c>
      <c r="G311" s="121">
        <f t="shared" si="646"/>
        <v>208</v>
      </c>
      <c r="H311" s="176" t="e">
        <f t="shared" si="647"/>
        <v>#N/A</v>
      </c>
      <c r="I311" s="48">
        <v>1</v>
      </c>
      <c r="J311" s="39"/>
      <c r="K311" s="350">
        <v>1</v>
      </c>
      <c r="L311" s="34" t="e">
        <f t="shared" si="627"/>
        <v>#N/A</v>
      </c>
      <c r="M311" s="38" t="e">
        <f>(HLOOKUP(J311,'Construction Times'!$B$3:$W$34,L311+2,FALSE)*HLOOKUP("hq modifier",'Construction Times'!$W$3:$W$34,BS311+2,FALSE))*(1-$H$9)</f>
        <v>#N/A</v>
      </c>
      <c r="N311" s="426" t="e">
        <f t="shared" si="648"/>
        <v>#N/A</v>
      </c>
      <c r="O311" s="427"/>
      <c r="P311" s="430" t="e">
        <f t="shared" si="649"/>
        <v>#N/A</v>
      </c>
      <c r="Q311" s="431"/>
      <c r="R311" s="103">
        <f t="shared" si="677"/>
        <v>0</v>
      </c>
      <c r="S311" s="104">
        <f t="shared" si="677"/>
        <v>0</v>
      </c>
      <c r="T311" s="104">
        <f t="shared" si="678"/>
        <v>0</v>
      </c>
      <c r="U311" s="104">
        <f t="shared" si="678"/>
        <v>0</v>
      </c>
      <c r="V311" s="104">
        <f t="shared" si="678"/>
        <v>9.9999999999999995E-8</v>
      </c>
      <c r="W311" s="104">
        <f t="shared" si="678"/>
        <v>0</v>
      </c>
      <c r="X311" s="104">
        <f t="shared" si="737"/>
        <v>0</v>
      </c>
      <c r="Y311" s="104">
        <f t="shared" si="737"/>
        <v>9.9999999999999995E-8</v>
      </c>
      <c r="Z311" s="104">
        <f t="shared" si="737"/>
        <v>9.9999999999999995E-8</v>
      </c>
      <c r="AA311" s="105">
        <f t="shared" si="737"/>
        <v>9.9999999999999995E-8</v>
      </c>
      <c r="AB311" s="101" t="e">
        <f>$DT311*HLOOKUP($J311,'Construction Costs (timber)'!$B$1:$V$32,'Construction Planner'!$L311+2,FALSE)</f>
        <v>#N/A</v>
      </c>
      <c r="AC311" s="14" t="e">
        <f>$DT311*HLOOKUP($J311,'Construction Costs (clay)'!$B$1:$V$32,'Construction Planner'!$L311+2,FALSE)</f>
        <v>#N/A</v>
      </c>
      <c r="AD311" s="14" t="e">
        <f>$DT311*HLOOKUP($J311,'Construction Costs (iron)'!$B$1:$V$32,'Construction Planner'!$L311+2,FALSE)</f>
        <v>#N/A</v>
      </c>
      <c r="AE311" s="34" t="e">
        <f t="shared" si="690"/>
        <v>#N/A</v>
      </c>
      <c r="AF311" s="33" t="e">
        <f t="shared" si="628"/>
        <v>#N/A</v>
      </c>
      <c r="AG311" s="14" t="e">
        <f t="shared" si="629"/>
        <v>#N/A</v>
      </c>
      <c r="AH311" s="14" t="e">
        <f t="shared" si="630"/>
        <v>#N/A</v>
      </c>
      <c r="AI311" s="34" t="e">
        <f t="shared" si="691"/>
        <v>#N/A</v>
      </c>
      <c r="AJ311" s="49" t="e">
        <f t="shared" si="651"/>
        <v>#N/A</v>
      </c>
      <c r="AK311" s="49" t="e">
        <f t="shared" si="652"/>
        <v>#N/A</v>
      </c>
      <c r="AL311" s="49" t="e">
        <f t="shared" si="653"/>
        <v>#N/A</v>
      </c>
      <c r="AM311" s="25">
        <f t="shared" si="631"/>
        <v>30</v>
      </c>
      <c r="AN311" s="25">
        <f t="shared" si="632"/>
        <v>30</v>
      </c>
      <c r="AO311" s="25">
        <f t="shared" si="633"/>
        <v>30</v>
      </c>
      <c r="AP311" s="52" t="e">
        <f t="shared" si="654"/>
        <v>#N/A</v>
      </c>
      <c r="AQ311" s="53" t="e">
        <f t="shared" si="654"/>
        <v>#N/A</v>
      </c>
      <c r="AR311" s="54" t="e">
        <f t="shared" si="654"/>
        <v>#N/A</v>
      </c>
      <c r="AS311" s="316">
        <f t="shared" si="746"/>
        <v>0</v>
      </c>
      <c r="AT311" s="106">
        <f>_xlfn.IFNA($M311/VLOOKUP($BT311,'Unit information'!$A$2:$K$29,2,FALSE)*R311,0)*(1+$E$9)</f>
        <v>0</v>
      </c>
      <c r="AU311" s="107">
        <f>_xlfn.IFNA($M311/VLOOKUP($BT311,'Unit information'!$A$2:$K$29,3,FALSE)*S311,0)*(1+$E$9)</f>
        <v>0</v>
      </c>
      <c r="AV311" s="107">
        <f>_xlfn.IFNA($M311/VLOOKUP($BT311,'Unit information'!$A$2:$K$29,4,FALSE)*T311,0)*(1+$E$9)</f>
        <v>0</v>
      </c>
      <c r="AW311" s="107">
        <f>_xlfn.IFNA($M311/VLOOKUP($BT311,'Unit information'!$A$2:$K$29,5,FALSE)*U311,0)*(1+$E$9)</f>
        <v>0</v>
      </c>
      <c r="AX311" s="107">
        <f>_xlfn.IFNA($M311/VLOOKUP($BU311,'Unit information'!$A$2:$K$29,6,FALSE)*V311,0)*(1+$E$9)</f>
        <v>0</v>
      </c>
      <c r="AY311" s="107">
        <f>_xlfn.IFNA($M311/VLOOKUP($BU311,'Unit information'!$A$2:$K$29,7,FALSE)*W311,0)*(1+$E$9)</f>
        <v>0</v>
      </c>
      <c r="AZ311" s="107">
        <f>_xlfn.IFNA($M311/VLOOKUP($BU311,'Unit information'!$A$2:$K$29,8,FALSE)*X311,0)*(1+$E$9)</f>
        <v>0</v>
      </c>
      <c r="BA311" s="107">
        <f>_xlfn.IFNA($M311/VLOOKUP($BU311,'Unit information'!$A$2:$K$29,9,FALSE)*Y311,0)*(1+$E$9)</f>
        <v>0</v>
      </c>
      <c r="BB311" s="107">
        <f>_xlfn.IFNA($M311/VLOOKUP($BV311,'Unit information'!$A$2:$K$29,10,FALSE)*Z311,0)*(1+$E$9)</f>
        <v>0</v>
      </c>
      <c r="BC311" s="108">
        <f>_xlfn.IFNA($M311/VLOOKUP($BV311,'Unit information'!$A$2:$K$29,11,FALSE)*AA311,0)*(1+$E$9)</f>
        <v>0</v>
      </c>
      <c r="BD311" s="106">
        <f t="shared" si="634"/>
        <v>0</v>
      </c>
      <c r="BE311" s="107">
        <f t="shared" si="635"/>
        <v>0</v>
      </c>
      <c r="BF311" s="108">
        <f t="shared" si="636"/>
        <v>0</v>
      </c>
      <c r="BG311" s="25" t="e">
        <f t="shared" si="637"/>
        <v>#N/A</v>
      </c>
      <c r="BH311" s="25" t="e">
        <f t="shared" si="638"/>
        <v>#N/A</v>
      </c>
      <c r="BI311" s="25" t="e">
        <f t="shared" si="639"/>
        <v>#N/A</v>
      </c>
      <c r="BJ311" s="27" t="e">
        <f t="shared" si="640"/>
        <v>#N/A</v>
      </c>
      <c r="BK311" s="18" t="e">
        <f t="shared" si="641"/>
        <v>#N/A</v>
      </c>
      <c r="BL311" s="18" t="e">
        <f t="shared" si="642"/>
        <v>#N/A</v>
      </c>
      <c r="BM311" s="28" t="e">
        <f t="shared" si="693"/>
        <v>#N/A</v>
      </c>
      <c r="BN311" s="33">
        <f>HLOOKUP("maximum population",Miscelaneous!$C$1:$C$33,CH311+3,FALSE)</f>
        <v>240</v>
      </c>
      <c r="BO311" s="14">
        <f t="shared" si="655"/>
        <v>32</v>
      </c>
      <c r="BP311" s="14">
        <f t="shared" si="656"/>
        <v>0</v>
      </c>
      <c r="BQ311" s="14">
        <f t="shared" si="657"/>
        <v>208</v>
      </c>
      <c r="BR311" s="34" t="e">
        <f>HLOOKUP(J311,Villagers!$B$1:$V$33,L311+3,FALSE)-HLOOKUP(J311,Villagers!$B$1:$V$33,L311+2,FALSE)</f>
        <v>#N/A</v>
      </c>
      <c r="BS311" s="49">
        <f t="shared" si="658"/>
        <v>1</v>
      </c>
      <c r="BT311" s="50">
        <f t="shared" si="659"/>
        <v>0</v>
      </c>
      <c r="BU311" s="50">
        <f t="shared" si="660"/>
        <v>0</v>
      </c>
      <c r="BV311" s="50">
        <f t="shared" si="661"/>
        <v>0</v>
      </c>
      <c r="BW311" s="50">
        <f t="shared" ref="BW311:BW335" si="750">IF($J310=BW$14,$L310,BW310)</f>
        <v>0</v>
      </c>
      <c r="BX311" s="50">
        <f t="shared" ref="BX311:BY335" si="751">IF($J310=BX$14,$L310,BX310)</f>
        <v>0</v>
      </c>
      <c r="BY311" s="50">
        <f t="shared" si="751"/>
        <v>0</v>
      </c>
      <c r="BZ311" s="50">
        <f t="shared" si="707"/>
        <v>0</v>
      </c>
      <c r="CA311" s="50">
        <f t="shared" si="708"/>
        <v>0</v>
      </c>
      <c r="CB311" s="50">
        <f t="shared" si="709"/>
        <v>1</v>
      </c>
      <c r="CC311" s="50">
        <f t="shared" si="710"/>
        <v>0</v>
      </c>
      <c r="CD311" s="50">
        <f t="shared" si="711"/>
        <v>0</v>
      </c>
      <c r="CE311" s="50">
        <f t="shared" si="712"/>
        <v>1</v>
      </c>
      <c r="CF311" s="50">
        <f t="shared" si="713"/>
        <v>1</v>
      </c>
      <c r="CG311" s="50">
        <f t="shared" si="714"/>
        <v>1</v>
      </c>
      <c r="CH311" s="50">
        <f t="shared" si="715"/>
        <v>1</v>
      </c>
      <c r="CI311" s="50">
        <f t="shared" si="716"/>
        <v>1</v>
      </c>
      <c r="CJ311" s="50">
        <f t="shared" si="717"/>
        <v>1</v>
      </c>
      <c r="CK311" s="50">
        <f t="shared" si="717"/>
        <v>0</v>
      </c>
      <c r="CL311" s="50">
        <f t="shared" si="717"/>
        <v>0</v>
      </c>
      <c r="CM311" s="51">
        <f t="shared" si="605"/>
        <v>0</v>
      </c>
      <c r="CN311" s="33">
        <f>ROUND(IF(BS311=0,0,HLOOKUP(BS$14,Villagers!$B$1:$V$33,BS311+3,FALSE)),)</f>
        <v>5</v>
      </c>
      <c r="CO311" s="14">
        <f>ROUND(IF(BT311=0,0,HLOOKUP(BT$14,Villagers!$B$1:$V$33,BT311+3,FALSE)),)</f>
        <v>0</v>
      </c>
      <c r="CP311" s="14">
        <f>ROUND(IF(BU311=0,0,HLOOKUP(BU$14,Villagers!$B$1:$V$33,BU311+3,FALSE)),)</f>
        <v>0</v>
      </c>
      <c r="CQ311" s="14">
        <f>ROUND(IF(BV311=0,0,HLOOKUP(BV$14,Villagers!$B$1:$V$33,BV311+3,FALSE)),)</f>
        <v>0</v>
      </c>
      <c r="CR311" s="14">
        <f>ROUND(IF(BW311=0,0,HLOOKUP(BW$14,Villagers!$B$1:$V$33,BW311+3,FALSE)),)</f>
        <v>0</v>
      </c>
      <c r="CS311" s="14">
        <f>ROUND(IF(BX311=0,0,HLOOKUP(BX$14,Villagers!$B$1:$V$33,BX311+3,FALSE)),)</f>
        <v>0</v>
      </c>
      <c r="CT311" s="14">
        <f>ROUND(IF(BY311=0,0,HLOOKUP(BY$14,Villagers!$B$1:$V$33,BY311+3,FALSE)),)</f>
        <v>0</v>
      </c>
      <c r="CU311" s="14">
        <f>ROUND(IF(BZ311=0,0,HLOOKUP(BZ$14,Villagers!$B$1:$V$33,BZ311+3,FALSE)),)</f>
        <v>0</v>
      </c>
      <c r="CV311" s="14">
        <f>ROUND(IF(CA311=0,0,HLOOKUP(CA$14,Villagers!$B$1:$V$33,CA311+3,FALSE)),)</f>
        <v>0</v>
      </c>
      <c r="CW311" s="14">
        <f>ROUND(IF(CB311=0,0,HLOOKUP(CB$14,Villagers!$B$1:$V$33,CB311+3,FALSE)),)</f>
        <v>0</v>
      </c>
      <c r="CX311" s="14">
        <f>ROUND(IF(CC311=0,0,HLOOKUP(CC$14,Villagers!$B$1:$V$33,CC311+3,FALSE)),)</f>
        <v>0</v>
      </c>
      <c r="CY311" s="14">
        <f>ROUND(IF(CD311=0,0,HLOOKUP(CD$14,Villagers!$B$1:$V$33,CD311+3,FALSE)),)</f>
        <v>0</v>
      </c>
      <c r="CZ311" s="14">
        <f>ROUND(IF(CE311=0,0,HLOOKUP(CE$14,Villagers!$B$1:$V$33,CE311+3,FALSE)),)</f>
        <v>5</v>
      </c>
      <c r="DA311" s="14">
        <f>ROUND(IF(CF311=0,0,HLOOKUP(CF$14,Villagers!$B$1:$V$33,CF311+3,FALSE)),)</f>
        <v>10</v>
      </c>
      <c r="DB311" s="14">
        <f>ROUND(IF(CG311=0,0,HLOOKUP(CG$14,Villagers!$B$1:$V$33,CG311+3,FALSE)),)</f>
        <v>10</v>
      </c>
      <c r="DC311" s="14">
        <f>ROUND(IF(CH311=0,0,HLOOKUP(CH$14,Villagers!$B$1:$V$33,CH311+3,FALSE)),)</f>
        <v>0</v>
      </c>
      <c r="DD311" s="14">
        <f>ROUND(IF(CI311=0,0,HLOOKUP(CI$14,Villagers!$B$1:$V$33,CI311+3,FALSE)),)</f>
        <v>0</v>
      </c>
      <c r="DE311" s="14">
        <f>ROUND(IF(CJ311=0,0,HLOOKUP(CJ$14,Villagers!$B$1:$V$33,CJ311+3,FALSE)),)</f>
        <v>2</v>
      </c>
      <c r="DF311" s="370">
        <f>ROUND(IF(CK311=0,0,HLOOKUP(CK$14,Villagers!$B$1:$V$33,CK311+3,FALSE)),)</f>
        <v>0</v>
      </c>
      <c r="DG311" s="370">
        <f>ROUND(IF(CL311=0,0,HLOOKUP(CL$14,Villagers!$B$1:$V$33,CL311+3,FALSE)),)</f>
        <v>0</v>
      </c>
      <c r="DH311" s="34">
        <f>ROUND(IF(CM311=0,0,HLOOKUP(CM$14,Villagers!$B$1:$V$33,CM311+3,FALSE)),)</f>
        <v>0</v>
      </c>
      <c r="DI311" s="109">
        <f t="shared" si="679"/>
        <v>0</v>
      </c>
      <c r="DJ311" s="50">
        <f t="shared" si="680"/>
        <v>0</v>
      </c>
      <c r="DK311" s="50">
        <f t="shared" si="681"/>
        <v>0</v>
      </c>
      <c r="DL311" s="50">
        <f t="shared" si="682"/>
        <v>0</v>
      </c>
      <c r="DM311" s="50">
        <f t="shared" si="683"/>
        <v>0</v>
      </c>
      <c r="DN311" s="50">
        <f t="shared" si="684"/>
        <v>0</v>
      </c>
      <c r="DO311" s="50">
        <f t="shared" si="685"/>
        <v>0</v>
      </c>
      <c r="DP311" s="50">
        <f t="shared" si="686"/>
        <v>0</v>
      </c>
      <c r="DQ311" s="50">
        <f t="shared" si="663"/>
        <v>0</v>
      </c>
      <c r="DR311" s="50">
        <f t="shared" si="664"/>
        <v>0</v>
      </c>
      <c r="DS311" s="96">
        <f>Miscelaneous!$D$4*Miscelaneous!$D$2^($CI311-1)</f>
        <v>1000</v>
      </c>
      <c r="DT311" s="333">
        <f t="shared" si="643"/>
        <v>1</v>
      </c>
      <c r="DU311" s="81">
        <v>1</v>
      </c>
      <c r="DV311" s="79">
        <f t="shared" si="665"/>
        <v>0</v>
      </c>
      <c r="DW311" s="79">
        <f t="shared" si="666"/>
        <v>0</v>
      </c>
      <c r="DX311" s="79">
        <f t="shared" si="667"/>
        <v>0</v>
      </c>
      <c r="DY311" s="79">
        <v>1</v>
      </c>
      <c r="DZ311" s="79">
        <f t="shared" si="668"/>
        <v>0</v>
      </c>
      <c r="EA311" s="79">
        <f t="shared" si="669"/>
        <v>0</v>
      </c>
      <c r="EB311" s="79">
        <f t="shared" si="670"/>
        <v>0</v>
      </c>
      <c r="EC311" s="79">
        <f t="shared" si="671"/>
        <v>0</v>
      </c>
      <c r="ED311" s="79">
        <v>1</v>
      </c>
      <c r="EE311" s="79">
        <v>1</v>
      </c>
      <c r="EF311" s="79">
        <f t="shared" si="672"/>
        <v>0</v>
      </c>
      <c r="EG311" s="79">
        <v>1</v>
      </c>
      <c r="EH311" s="79">
        <v>1</v>
      </c>
      <c r="EI311" s="79">
        <v>1</v>
      </c>
      <c r="EJ311" s="79">
        <v>1</v>
      </c>
      <c r="EK311" s="79">
        <v>1</v>
      </c>
      <c r="EL311" s="79">
        <v>1</v>
      </c>
      <c r="EM311" s="143">
        <f t="shared" si="673"/>
        <v>0</v>
      </c>
      <c r="EN311" s="143">
        <f t="shared" si="674"/>
        <v>0</v>
      </c>
      <c r="EO311" s="82">
        <f t="shared" si="675"/>
        <v>0</v>
      </c>
    </row>
    <row r="312" spans="1:145" x14ac:dyDescent="0.25">
      <c r="A312">
        <v>298</v>
      </c>
      <c r="B312" s="172" t="e">
        <f t="shared" si="644"/>
        <v>#N/A</v>
      </c>
      <c r="C312" s="121" t="e">
        <f t="shared" ref="C312:E312" si="752">AJ312-SUM(AB312:AB316)</f>
        <v>#N/A</v>
      </c>
      <c r="D312" s="122" t="e">
        <f t="shared" si="752"/>
        <v>#N/A</v>
      </c>
      <c r="E312" s="122" t="e">
        <f t="shared" si="752"/>
        <v>#N/A</v>
      </c>
      <c r="F312" s="176" t="e">
        <f t="shared" si="626"/>
        <v>#N/A</v>
      </c>
      <c r="G312" s="121">
        <f t="shared" si="646"/>
        <v>208</v>
      </c>
      <c r="H312" s="176" t="e">
        <f t="shared" si="647"/>
        <v>#N/A</v>
      </c>
      <c r="I312" s="48">
        <v>1</v>
      </c>
      <c r="J312" s="39"/>
      <c r="K312" s="350">
        <v>1</v>
      </c>
      <c r="L312" s="34" t="e">
        <f t="shared" si="627"/>
        <v>#N/A</v>
      </c>
      <c r="M312" s="38" t="e">
        <f>(HLOOKUP(J312,'Construction Times'!$B$3:$W$34,L312+2,FALSE)*HLOOKUP("hq modifier",'Construction Times'!$W$3:$W$34,BS312+2,FALSE))*(1-$H$9)</f>
        <v>#N/A</v>
      </c>
      <c r="N312" s="426" t="e">
        <f t="shared" si="648"/>
        <v>#N/A</v>
      </c>
      <c r="O312" s="427"/>
      <c r="P312" s="430" t="e">
        <f t="shared" si="649"/>
        <v>#N/A</v>
      </c>
      <c r="Q312" s="431"/>
      <c r="R312" s="103">
        <f t="shared" si="677"/>
        <v>0</v>
      </c>
      <c r="S312" s="104">
        <f t="shared" si="677"/>
        <v>0</v>
      </c>
      <c r="T312" s="104">
        <f t="shared" si="678"/>
        <v>0</v>
      </c>
      <c r="U312" s="104">
        <f t="shared" si="678"/>
        <v>0</v>
      </c>
      <c r="V312" s="104">
        <f t="shared" si="678"/>
        <v>9.9999999999999995E-8</v>
      </c>
      <c r="W312" s="104">
        <f t="shared" si="678"/>
        <v>0</v>
      </c>
      <c r="X312" s="104">
        <f t="shared" si="737"/>
        <v>0</v>
      </c>
      <c r="Y312" s="104">
        <f t="shared" si="737"/>
        <v>9.9999999999999995E-8</v>
      </c>
      <c r="Z312" s="104">
        <f t="shared" si="737"/>
        <v>9.9999999999999995E-8</v>
      </c>
      <c r="AA312" s="105">
        <f t="shared" si="737"/>
        <v>9.9999999999999995E-8</v>
      </c>
      <c r="AB312" s="101" t="e">
        <f>$DT312*HLOOKUP($J312,'Construction Costs (timber)'!$B$1:$V$32,'Construction Planner'!$L312+2,FALSE)</f>
        <v>#N/A</v>
      </c>
      <c r="AC312" s="14" t="e">
        <f>$DT312*HLOOKUP($J312,'Construction Costs (clay)'!$B$1:$V$32,'Construction Planner'!$L312+2,FALSE)</f>
        <v>#N/A</v>
      </c>
      <c r="AD312" s="14" t="e">
        <f>$DT312*HLOOKUP($J312,'Construction Costs (iron)'!$B$1:$V$32,'Construction Planner'!$L312+2,FALSE)</f>
        <v>#N/A</v>
      </c>
      <c r="AE312" s="34" t="e">
        <f t="shared" si="690"/>
        <v>#N/A</v>
      </c>
      <c r="AF312" s="33" t="e">
        <f t="shared" si="628"/>
        <v>#N/A</v>
      </c>
      <c r="AG312" s="14" t="e">
        <f t="shared" si="629"/>
        <v>#N/A</v>
      </c>
      <c r="AH312" s="14" t="e">
        <f t="shared" si="630"/>
        <v>#N/A</v>
      </c>
      <c r="AI312" s="34" t="e">
        <f t="shared" si="691"/>
        <v>#N/A</v>
      </c>
      <c r="AJ312" s="49" t="e">
        <f t="shared" si="651"/>
        <v>#N/A</v>
      </c>
      <c r="AK312" s="49" t="e">
        <f t="shared" si="652"/>
        <v>#N/A</v>
      </c>
      <c r="AL312" s="49" t="e">
        <f t="shared" si="653"/>
        <v>#N/A</v>
      </c>
      <c r="AM312" s="25">
        <f t="shared" si="631"/>
        <v>30</v>
      </c>
      <c r="AN312" s="25">
        <f t="shared" si="632"/>
        <v>30</v>
      </c>
      <c r="AO312" s="25">
        <f t="shared" si="633"/>
        <v>30</v>
      </c>
      <c r="AP312" s="52" t="e">
        <f t="shared" si="654"/>
        <v>#N/A</v>
      </c>
      <c r="AQ312" s="53" t="e">
        <f t="shared" si="654"/>
        <v>#N/A</v>
      </c>
      <c r="AR312" s="54" t="e">
        <f t="shared" si="654"/>
        <v>#N/A</v>
      </c>
      <c r="AS312" s="316">
        <f t="shared" si="746"/>
        <v>0</v>
      </c>
      <c r="AT312" s="106">
        <f>_xlfn.IFNA($M312/VLOOKUP($BT312,'Unit information'!$A$2:$K$29,2,FALSE)*R312,0)*(1+$E$9)</f>
        <v>0</v>
      </c>
      <c r="AU312" s="107">
        <f>_xlfn.IFNA($M312/VLOOKUP($BT312,'Unit information'!$A$2:$K$29,3,FALSE)*S312,0)*(1+$E$9)</f>
        <v>0</v>
      </c>
      <c r="AV312" s="107">
        <f>_xlfn.IFNA($M312/VLOOKUP($BT312,'Unit information'!$A$2:$K$29,4,FALSE)*T312,0)*(1+$E$9)</f>
        <v>0</v>
      </c>
      <c r="AW312" s="107">
        <f>_xlfn.IFNA($M312/VLOOKUP($BT312,'Unit information'!$A$2:$K$29,5,FALSE)*U312,0)*(1+$E$9)</f>
        <v>0</v>
      </c>
      <c r="AX312" s="107">
        <f>_xlfn.IFNA($M312/VLOOKUP($BU312,'Unit information'!$A$2:$K$29,6,FALSE)*V312,0)*(1+$E$9)</f>
        <v>0</v>
      </c>
      <c r="AY312" s="107">
        <f>_xlfn.IFNA($M312/VLOOKUP($BU312,'Unit information'!$A$2:$K$29,7,FALSE)*W312,0)*(1+$E$9)</f>
        <v>0</v>
      </c>
      <c r="AZ312" s="107">
        <f>_xlfn.IFNA($M312/VLOOKUP($BU312,'Unit information'!$A$2:$K$29,8,FALSE)*X312,0)*(1+$E$9)</f>
        <v>0</v>
      </c>
      <c r="BA312" s="107">
        <f>_xlfn.IFNA($M312/VLOOKUP($BU312,'Unit information'!$A$2:$K$29,9,FALSE)*Y312,0)*(1+$E$9)</f>
        <v>0</v>
      </c>
      <c r="BB312" s="107">
        <f>_xlfn.IFNA($M312/VLOOKUP($BV312,'Unit information'!$A$2:$K$29,10,FALSE)*Z312,0)*(1+$E$9)</f>
        <v>0</v>
      </c>
      <c r="BC312" s="108">
        <f>_xlfn.IFNA($M312/VLOOKUP($BV312,'Unit information'!$A$2:$K$29,11,FALSE)*AA312,0)*(1+$E$9)</f>
        <v>0</v>
      </c>
      <c r="BD312" s="106">
        <f t="shared" si="634"/>
        <v>0</v>
      </c>
      <c r="BE312" s="107">
        <f t="shared" si="635"/>
        <v>0</v>
      </c>
      <c r="BF312" s="108">
        <f t="shared" si="636"/>
        <v>0</v>
      </c>
      <c r="BG312" s="25" t="e">
        <f t="shared" si="637"/>
        <v>#N/A</v>
      </c>
      <c r="BH312" s="25" t="e">
        <f t="shared" si="638"/>
        <v>#N/A</v>
      </c>
      <c r="BI312" s="25" t="e">
        <f t="shared" si="639"/>
        <v>#N/A</v>
      </c>
      <c r="BJ312" s="27" t="e">
        <f t="shared" si="640"/>
        <v>#N/A</v>
      </c>
      <c r="BK312" s="18" t="e">
        <f t="shared" si="641"/>
        <v>#N/A</v>
      </c>
      <c r="BL312" s="18" t="e">
        <f t="shared" si="642"/>
        <v>#N/A</v>
      </c>
      <c r="BM312" s="28" t="e">
        <f t="shared" si="693"/>
        <v>#N/A</v>
      </c>
      <c r="BN312" s="33">
        <f>HLOOKUP("maximum population",Miscelaneous!$C$1:$C$33,CH312+3,FALSE)</f>
        <v>240</v>
      </c>
      <c r="BO312" s="14">
        <f t="shared" si="655"/>
        <v>32</v>
      </c>
      <c r="BP312" s="14">
        <f t="shared" si="656"/>
        <v>0</v>
      </c>
      <c r="BQ312" s="14">
        <f t="shared" si="657"/>
        <v>208</v>
      </c>
      <c r="BR312" s="34" t="e">
        <f>HLOOKUP(J312,Villagers!$B$1:$V$33,L312+3,FALSE)-HLOOKUP(J312,Villagers!$B$1:$V$33,L312+2,FALSE)</f>
        <v>#N/A</v>
      </c>
      <c r="BS312" s="49">
        <f t="shared" si="658"/>
        <v>1</v>
      </c>
      <c r="BT312" s="50">
        <f t="shared" si="659"/>
        <v>0</v>
      </c>
      <c r="BU312" s="50">
        <f t="shared" si="660"/>
        <v>0</v>
      </c>
      <c r="BV312" s="50">
        <f t="shared" si="661"/>
        <v>0</v>
      </c>
      <c r="BW312" s="50">
        <f t="shared" si="750"/>
        <v>0</v>
      </c>
      <c r="BX312" s="50">
        <f t="shared" si="751"/>
        <v>0</v>
      </c>
      <c r="BY312" s="50">
        <f t="shared" si="751"/>
        <v>0</v>
      </c>
      <c r="BZ312" s="50">
        <f t="shared" si="707"/>
        <v>0</v>
      </c>
      <c r="CA312" s="50">
        <f t="shared" si="708"/>
        <v>0</v>
      </c>
      <c r="CB312" s="50">
        <f t="shared" si="709"/>
        <v>1</v>
      </c>
      <c r="CC312" s="50">
        <f t="shared" si="710"/>
        <v>0</v>
      </c>
      <c r="CD312" s="50">
        <f t="shared" si="711"/>
        <v>0</v>
      </c>
      <c r="CE312" s="50">
        <f t="shared" si="712"/>
        <v>1</v>
      </c>
      <c r="CF312" s="50">
        <f t="shared" si="713"/>
        <v>1</v>
      </c>
      <c r="CG312" s="50">
        <f t="shared" si="714"/>
        <v>1</v>
      </c>
      <c r="CH312" s="50">
        <f t="shared" si="715"/>
        <v>1</v>
      </c>
      <c r="CI312" s="50">
        <f t="shared" si="716"/>
        <v>1</v>
      </c>
      <c r="CJ312" s="50">
        <f t="shared" si="717"/>
        <v>1</v>
      </c>
      <c r="CK312" s="50">
        <f t="shared" si="717"/>
        <v>0</v>
      </c>
      <c r="CL312" s="50">
        <f t="shared" si="717"/>
        <v>0</v>
      </c>
      <c r="CM312" s="51">
        <f t="shared" si="605"/>
        <v>0</v>
      </c>
      <c r="CN312" s="33">
        <f>ROUND(IF(BS312=0,0,HLOOKUP(BS$14,Villagers!$B$1:$V$33,BS312+3,FALSE)),)</f>
        <v>5</v>
      </c>
      <c r="CO312" s="14">
        <f>ROUND(IF(BT312=0,0,HLOOKUP(BT$14,Villagers!$B$1:$V$33,BT312+3,FALSE)),)</f>
        <v>0</v>
      </c>
      <c r="CP312" s="14">
        <f>ROUND(IF(BU312=0,0,HLOOKUP(BU$14,Villagers!$B$1:$V$33,BU312+3,FALSE)),)</f>
        <v>0</v>
      </c>
      <c r="CQ312" s="14">
        <f>ROUND(IF(BV312=0,0,HLOOKUP(BV$14,Villagers!$B$1:$V$33,BV312+3,FALSE)),)</f>
        <v>0</v>
      </c>
      <c r="CR312" s="14">
        <f>ROUND(IF(BW312=0,0,HLOOKUP(BW$14,Villagers!$B$1:$V$33,BW312+3,FALSE)),)</f>
        <v>0</v>
      </c>
      <c r="CS312" s="14">
        <f>ROUND(IF(BX312=0,0,HLOOKUP(BX$14,Villagers!$B$1:$V$33,BX312+3,FALSE)),)</f>
        <v>0</v>
      </c>
      <c r="CT312" s="14">
        <f>ROUND(IF(BY312=0,0,HLOOKUP(BY$14,Villagers!$B$1:$V$33,BY312+3,FALSE)),)</f>
        <v>0</v>
      </c>
      <c r="CU312" s="14">
        <f>ROUND(IF(BZ312=0,0,HLOOKUP(BZ$14,Villagers!$B$1:$V$33,BZ312+3,FALSE)),)</f>
        <v>0</v>
      </c>
      <c r="CV312" s="14">
        <f>ROUND(IF(CA312=0,0,HLOOKUP(CA$14,Villagers!$B$1:$V$33,CA312+3,FALSE)),)</f>
        <v>0</v>
      </c>
      <c r="CW312" s="14">
        <f>ROUND(IF(CB312=0,0,HLOOKUP(CB$14,Villagers!$B$1:$V$33,CB312+3,FALSE)),)</f>
        <v>0</v>
      </c>
      <c r="CX312" s="14">
        <f>ROUND(IF(CC312=0,0,HLOOKUP(CC$14,Villagers!$B$1:$V$33,CC312+3,FALSE)),)</f>
        <v>0</v>
      </c>
      <c r="CY312" s="14">
        <f>ROUND(IF(CD312=0,0,HLOOKUP(CD$14,Villagers!$B$1:$V$33,CD312+3,FALSE)),)</f>
        <v>0</v>
      </c>
      <c r="CZ312" s="14">
        <f>ROUND(IF(CE312=0,0,HLOOKUP(CE$14,Villagers!$B$1:$V$33,CE312+3,FALSE)),)</f>
        <v>5</v>
      </c>
      <c r="DA312" s="14">
        <f>ROUND(IF(CF312=0,0,HLOOKUP(CF$14,Villagers!$B$1:$V$33,CF312+3,FALSE)),)</f>
        <v>10</v>
      </c>
      <c r="DB312" s="14">
        <f>ROUND(IF(CG312=0,0,HLOOKUP(CG$14,Villagers!$B$1:$V$33,CG312+3,FALSE)),)</f>
        <v>10</v>
      </c>
      <c r="DC312" s="14">
        <f>ROUND(IF(CH312=0,0,HLOOKUP(CH$14,Villagers!$B$1:$V$33,CH312+3,FALSE)),)</f>
        <v>0</v>
      </c>
      <c r="DD312" s="14">
        <f>ROUND(IF(CI312=0,0,HLOOKUP(CI$14,Villagers!$B$1:$V$33,CI312+3,FALSE)),)</f>
        <v>0</v>
      </c>
      <c r="DE312" s="14">
        <f>ROUND(IF(CJ312=0,0,HLOOKUP(CJ$14,Villagers!$B$1:$V$33,CJ312+3,FALSE)),)</f>
        <v>2</v>
      </c>
      <c r="DF312" s="370">
        <f>ROUND(IF(CK312=0,0,HLOOKUP(CK$14,Villagers!$B$1:$V$33,CK312+3,FALSE)),)</f>
        <v>0</v>
      </c>
      <c r="DG312" s="370">
        <f>ROUND(IF(CL312=0,0,HLOOKUP(CL$14,Villagers!$B$1:$V$33,CL312+3,FALSE)),)</f>
        <v>0</v>
      </c>
      <c r="DH312" s="34">
        <f>ROUND(IF(CM312=0,0,HLOOKUP(CM$14,Villagers!$B$1:$V$33,CM312+3,FALSE)),)</f>
        <v>0</v>
      </c>
      <c r="DI312" s="109">
        <f t="shared" si="679"/>
        <v>0</v>
      </c>
      <c r="DJ312" s="50">
        <f t="shared" si="680"/>
        <v>0</v>
      </c>
      <c r="DK312" s="50">
        <f t="shared" si="681"/>
        <v>0</v>
      </c>
      <c r="DL312" s="50">
        <f t="shared" si="682"/>
        <v>0</v>
      </c>
      <c r="DM312" s="50">
        <f t="shared" si="683"/>
        <v>0</v>
      </c>
      <c r="DN312" s="50">
        <f t="shared" si="684"/>
        <v>0</v>
      </c>
      <c r="DO312" s="50">
        <f t="shared" si="685"/>
        <v>0</v>
      </c>
      <c r="DP312" s="50">
        <f t="shared" si="686"/>
        <v>0</v>
      </c>
      <c r="DQ312" s="50">
        <f t="shared" si="663"/>
        <v>0</v>
      </c>
      <c r="DR312" s="50">
        <f t="shared" si="664"/>
        <v>0</v>
      </c>
      <c r="DS312" s="96">
        <f>Miscelaneous!$D$4*Miscelaneous!$D$2^($CI312-1)</f>
        <v>1000</v>
      </c>
      <c r="DT312" s="333">
        <f t="shared" si="643"/>
        <v>1</v>
      </c>
      <c r="DU312" s="81">
        <v>1</v>
      </c>
      <c r="DV312" s="79">
        <f t="shared" si="665"/>
        <v>0</v>
      </c>
      <c r="DW312" s="79">
        <f t="shared" si="666"/>
        <v>0</v>
      </c>
      <c r="DX312" s="79">
        <f t="shared" si="667"/>
        <v>0</v>
      </c>
      <c r="DY312" s="79">
        <v>1</v>
      </c>
      <c r="DZ312" s="79">
        <f t="shared" si="668"/>
        <v>0</v>
      </c>
      <c r="EA312" s="79">
        <f t="shared" si="669"/>
        <v>0</v>
      </c>
      <c r="EB312" s="79">
        <f t="shared" si="670"/>
        <v>0</v>
      </c>
      <c r="EC312" s="79">
        <f t="shared" si="671"/>
        <v>0</v>
      </c>
      <c r="ED312" s="79">
        <v>1</v>
      </c>
      <c r="EE312" s="79">
        <v>1</v>
      </c>
      <c r="EF312" s="79">
        <f t="shared" si="672"/>
        <v>0</v>
      </c>
      <c r="EG312" s="79">
        <v>1</v>
      </c>
      <c r="EH312" s="79">
        <v>1</v>
      </c>
      <c r="EI312" s="79">
        <v>1</v>
      </c>
      <c r="EJ312" s="79">
        <v>1</v>
      </c>
      <c r="EK312" s="79">
        <v>1</v>
      </c>
      <c r="EL312" s="79">
        <v>1</v>
      </c>
      <c r="EM312" s="143">
        <f t="shared" si="673"/>
        <v>0</v>
      </c>
      <c r="EN312" s="143">
        <f t="shared" si="674"/>
        <v>0</v>
      </c>
      <c r="EO312" s="82">
        <f t="shared" si="675"/>
        <v>0</v>
      </c>
    </row>
    <row r="313" spans="1:145" x14ac:dyDescent="0.25">
      <c r="A313">
        <v>299</v>
      </c>
      <c r="B313" s="172" t="e">
        <f t="shared" si="644"/>
        <v>#N/A</v>
      </c>
      <c r="C313" s="121" t="e">
        <f t="shared" ref="C313:E313" si="753">AJ313-SUM(AB313:AB317)</f>
        <v>#N/A</v>
      </c>
      <c r="D313" s="122" t="e">
        <f t="shared" si="753"/>
        <v>#N/A</v>
      </c>
      <c r="E313" s="122" t="e">
        <f t="shared" si="753"/>
        <v>#N/A</v>
      </c>
      <c r="F313" s="176" t="e">
        <f t="shared" si="626"/>
        <v>#N/A</v>
      </c>
      <c r="G313" s="121">
        <f t="shared" si="646"/>
        <v>208</v>
      </c>
      <c r="H313" s="176" t="e">
        <f t="shared" si="647"/>
        <v>#N/A</v>
      </c>
      <c r="I313" s="48">
        <v>1</v>
      </c>
      <c r="J313" s="39"/>
      <c r="K313" s="350">
        <v>1</v>
      </c>
      <c r="L313" s="34" t="e">
        <f t="shared" si="627"/>
        <v>#N/A</v>
      </c>
      <c r="M313" s="38" t="e">
        <f>(HLOOKUP(J313,'Construction Times'!$B$3:$W$34,L313+2,FALSE)*HLOOKUP("hq modifier",'Construction Times'!$W$3:$W$34,BS313+2,FALSE))*(1-$H$9)</f>
        <v>#N/A</v>
      </c>
      <c r="N313" s="426" t="e">
        <f t="shared" si="648"/>
        <v>#N/A</v>
      </c>
      <c r="O313" s="427"/>
      <c r="P313" s="430" t="e">
        <f t="shared" si="649"/>
        <v>#N/A</v>
      </c>
      <c r="Q313" s="431"/>
      <c r="R313" s="103">
        <f t="shared" si="677"/>
        <v>0</v>
      </c>
      <c r="S313" s="104">
        <f t="shared" si="677"/>
        <v>0</v>
      </c>
      <c r="T313" s="104">
        <f t="shared" si="678"/>
        <v>0</v>
      </c>
      <c r="U313" s="104">
        <f t="shared" si="678"/>
        <v>0</v>
      </c>
      <c r="V313" s="104">
        <f t="shared" si="678"/>
        <v>9.9999999999999995E-8</v>
      </c>
      <c r="W313" s="104">
        <f t="shared" si="678"/>
        <v>0</v>
      </c>
      <c r="X313" s="104">
        <f t="shared" si="737"/>
        <v>0</v>
      </c>
      <c r="Y313" s="104">
        <f t="shared" si="737"/>
        <v>9.9999999999999995E-8</v>
      </c>
      <c r="Z313" s="104">
        <f t="shared" si="737"/>
        <v>9.9999999999999995E-8</v>
      </c>
      <c r="AA313" s="105">
        <f t="shared" si="737"/>
        <v>9.9999999999999995E-8</v>
      </c>
      <c r="AB313" s="101" t="e">
        <f>$DT313*HLOOKUP($J313,'Construction Costs (timber)'!$B$1:$V$32,'Construction Planner'!$L313+2,FALSE)</f>
        <v>#N/A</v>
      </c>
      <c r="AC313" s="14" t="e">
        <f>$DT313*HLOOKUP($J313,'Construction Costs (clay)'!$B$1:$V$32,'Construction Planner'!$L313+2,FALSE)</f>
        <v>#N/A</v>
      </c>
      <c r="AD313" s="14" t="e">
        <f>$DT313*HLOOKUP($J313,'Construction Costs (iron)'!$B$1:$V$32,'Construction Planner'!$L313+2,FALSE)</f>
        <v>#N/A</v>
      </c>
      <c r="AE313" s="34" t="e">
        <f t="shared" si="690"/>
        <v>#N/A</v>
      </c>
      <c r="AF313" s="33" t="e">
        <f t="shared" si="628"/>
        <v>#N/A</v>
      </c>
      <c r="AG313" s="14" t="e">
        <f t="shared" si="629"/>
        <v>#N/A</v>
      </c>
      <c r="AH313" s="14" t="e">
        <f t="shared" si="630"/>
        <v>#N/A</v>
      </c>
      <c r="AI313" s="34" t="e">
        <f t="shared" si="691"/>
        <v>#N/A</v>
      </c>
      <c r="AJ313" s="49" t="e">
        <f t="shared" si="651"/>
        <v>#N/A</v>
      </c>
      <c r="AK313" s="49" t="e">
        <f t="shared" si="652"/>
        <v>#N/A</v>
      </c>
      <c r="AL313" s="49" t="e">
        <f t="shared" si="653"/>
        <v>#N/A</v>
      </c>
      <c r="AM313" s="25">
        <f t="shared" si="631"/>
        <v>30</v>
      </c>
      <c r="AN313" s="25">
        <f t="shared" si="632"/>
        <v>30</v>
      </c>
      <c r="AO313" s="25">
        <f t="shared" si="633"/>
        <v>30</v>
      </c>
      <c r="AP313" s="52" t="e">
        <f t="shared" si="654"/>
        <v>#N/A</v>
      </c>
      <c r="AQ313" s="53" t="e">
        <f t="shared" si="654"/>
        <v>#N/A</v>
      </c>
      <c r="AR313" s="54" t="e">
        <f t="shared" si="654"/>
        <v>#N/A</v>
      </c>
      <c r="AS313" s="316">
        <f t="shared" si="746"/>
        <v>0</v>
      </c>
      <c r="AT313" s="106">
        <f>_xlfn.IFNA($M313/VLOOKUP($BT313,'Unit information'!$A$2:$K$29,2,FALSE)*R313,0)*(1+$E$9)</f>
        <v>0</v>
      </c>
      <c r="AU313" s="107">
        <f>_xlfn.IFNA($M313/VLOOKUP($BT313,'Unit information'!$A$2:$K$29,3,FALSE)*S313,0)*(1+$E$9)</f>
        <v>0</v>
      </c>
      <c r="AV313" s="107">
        <f>_xlfn.IFNA($M313/VLOOKUP($BT313,'Unit information'!$A$2:$K$29,4,FALSE)*T313,0)*(1+$E$9)</f>
        <v>0</v>
      </c>
      <c r="AW313" s="107">
        <f>_xlfn.IFNA($M313/VLOOKUP($BT313,'Unit information'!$A$2:$K$29,5,FALSE)*U313,0)*(1+$E$9)</f>
        <v>0</v>
      </c>
      <c r="AX313" s="107">
        <f>_xlfn.IFNA($M313/VLOOKUP($BU313,'Unit information'!$A$2:$K$29,6,FALSE)*V313,0)*(1+$E$9)</f>
        <v>0</v>
      </c>
      <c r="AY313" s="107">
        <f>_xlfn.IFNA($M313/VLOOKUP($BU313,'Unit information'!$A$2:$K$29,7,FALSE)*W313,0)*(1+$E$9)</f>
        <v>0</v>
      </c>
      <c r="AZ313" s="107">
        <f>_xlfn.IFNA($M313/VLOOKUP($BU313,'Unit information'!$A$2:$K$29,8,FALSE)*X313,0)*(1+$E$9)</f>
        <v>0</v>
      </c>
      <c r="BA313" s="107">
        <f>_xlfn.IFNA($M313/VLOOKUP($BU313,'Unit information'!$A$2:$K$29,9,FALSE)*Y313,0)*(1+$E$9)</f>
        <v>0</v>
      </c>
      <c r="BB313" s="107">
        <f>_xlfn.IFNA($M313/VLOOKUP($BV313,'Unit information'!$A$2:$K$29,10,FALSE)*Z313,0)*(1+$E$9)</f>
        <v>0</v>
      </c>
      <c r="BC313" s="108">
        <f>_xlfn.IFNA($M313/VLOOKUP($BV313,'Unit information'!$A$2:$K$29,11,FALSE)*AA313,0)*(1+$E$9)</f>
        <v>0</v>
      </c>
      <c r="BD313" s="106">
        <f t="shared" si="634"/>
        <v>0</v>
      </c>
      <c r="BE313" s="107">
        <f t="shared" si="635"/>
        <v>0</v>
      </c>
      <c r="BF313" s="108">
        <f t="shared" si="636"/>
        <v>0</v>
      </c>
      <c r="BG313" s="25" t="e">
        <f t="shared" si="637"/>
        <v>#N/A</v>
      </c>
      <c r="BH313" s="25" t="e">
        <f t="shared" si="638"/>
        <v>#N/A</v>
      </c>
      <c r="BI313" s="25" t="e">
        <f t="shared" si="639"/>
        <v>#N/A</v>
      </c>
      <c r="BJ313" s="27" t="e">
        <f t="shared" si="640"/>
        <v>#N/A</v>
      </c>
      <c r="BK313" s="18" t="e">
        <f t="shared" si="641"/>
        <v>#N/A</v>
      </c>
      <c r="BL313" s="18" t="e">
        <f t="shared" si="642"/>
        <v>#N/A</v>
      </c>
      <c r="BM313" s="28" t="e">
        <f t="shared" si="693"/>
        <v>#N/A</v>
      </c>
      <c r="BN313" s="33">
        <f>HLOOKUP("maximum population",Miscelaneous!$C$1:$C$33,CH313+3,FALSE)</f>
        <v>240</v>
      </c>
      <c r="BO313" s="14">
        <f t="shared" si="655"/>
        <v>32</v>
      </c>
      <c r="BP313" s="14">
        <f t="shared" si="656"/>
        <v>0</v>
      </c>
      <c r="BQ313" s="14">
        <f t="shared" si="657"/>
        <v>208</v>
      </c>
      <c r="BR313" s="34" t="e">
        <f>HLOOKUP(J313,Villagers!$B$1:$V$33,L313+3,FALSE)-HLOOKUP(J313,Villagers!$B$1:$V$33,L313+2,FALSE)</f>
        <v>#N/A</v>
      </c>
      <c r="BS313" s="49">
        <f t="shared" si="658"/>
        <v>1</v>
      </c>
      <c r="BT313" s="50">
        <f t="shared" si="659"/>
        <v>0</v>
      </c>
      <c r="BU313" s="50">
        <f t="shared" si="660"/>
        <v>0</v>
      </c>
      <c r="BV313" s="50">
        <f t="shared" si="661"/>
        <v>0</v>
      </c>
      <c r="BW313" s="50">
        <f t="shared" si="750"/>
        <v>0</v>
      </c>
      <c r="BX313" s="50">
        <f t="shared" si="751"/>
        <v>0</v>
      </c>
      <c r="BY313" s="50">
        <f t="shared" si="751"/>
        <v>0</v>
      </c>
      <c r="BZ313" s="50">
        <f t="shared" si="707"/>
        <v>0</v>
      </c>
      <c r="CA313" s="50">
        <f t="shared" si="708"/>
        <v>0</v>
      </c>
      <c r="CB313" s="50">
        <f t="shared" si="709"/>
        <v>1</v>
      </c>
      <c r="CC313" s="50">
        <f t="shared" si="710"/>
        <v>0</v>
      </c>
      <c r="CD313" s="50">
        <f t="shared" si="711"/>
        <v>0</v>
      </c>
      <c r="CE313" s="50">
        <f t="shared" si="712"/>
        <v>1</v>
      </c>
      <c r="CF313" s="50">
        <f t="shared" si="713"/>
        <v>1</v>
      </c>
      <c r="CG313" s="50">
        <f t="shared" si="714"/>
        <v>1</v>
      </c>
      <c r="CH313" s="50">
        <f t="shared" si="715"/>
        <v>1</v>
      </c>
      <c r="CI313" s="50">
        <f t="shared" si="716"/>
        <v>1</v>
      </c>
      <c r="CJ313" s="50">
        <f t="shared" si="717"/>
        <v>1</v>
      </c>
      <c r="CK313" s="50">
        <f t="shared" si="717"/>
        <v>0</v>
      </c>
      <c r="CL313" s="50">
        <f t="shared" si="717"/>
        <v>0</v>
      </c>
      <c r="CM313" s="51">
        <f t="shared" si="605"/>
        <v>0</v>
      </c>
      <c r="CN313" s="33">
        <f>ROUND(IF(BS313=0,0,HLOOKUP(BS$14,Villagers!$B$1:$V$33,BS313+3,FALSE)),)</f>
        <v>5</v>
      </c>
      <c r="CO313" s="14">
        <f>ROUND(IF(BT313=0,0,HLOOKUP(BT$14,Villagers!$B$1:$V$33,BT313+3,FALSE)),)</f>
        <v>0</v>
      </c>
      <c r="CP313" s="14">
        <f>ROUND(IF(BU313=0,0,HLOOKUP(BU$14,Villagers!$B$1:$V$33,BU313+3,FALSE)),)</f>
        <v>0</v>
      </c>
      <c r="CQ313" s="14">
        <f>ROUND(IF(BV313=0,0,HLOOKUP(BV$14,Villagers!$B$1:$V$33,BV313+3,FALSE)),)</f>
        <v>0</v>
      </c>
      <c r="CR313" s="14">
        <f>ROUND(IF(BW313=0,0,HLOOKUP(BW$14,Villagers!$B$1:$V$33,BW313+3,FALSE)),)</f>
        <v>0</v>
      </c>
      <c r="CS313" s="14">
        <f>ROUND(IF(BX313=0,0,HLOOKUP(BX$14,Villagers!$B$1:$V$33,BX313+3,FALSE)),)</f>
        <v>0</v>
      </c>
      <c r="CT313" s="14">
        <f>ROUND(IF(BY313=0,0,HLOOKUP(BY$14,Villagers!$B$1:$V$33,BY313+3,FALSE)),)</f>
        <v>0</v>
      </c>
      <c r="CU313" s="14">
        <f>ROUND(IF(BZ313=0,0,HLOOKUP(BZ$14,Villagers!$B$1:$V$33,BZ313+3,FALSE)),)</f>
        <v>0</v>
      </c>
      <c r="CV313" s="14">
        <f>ROUND(IF(CA313=0,0,HLOOKUP(CA$14,Villagers!$B$1:$V$33,CA313+3,FALSE)),)</f>
        <v>0</v>
      </c>
      <c r="CW313" s="14">
        <f>ROUND(IF(CB313=0,0,HLOOKUP(CB$14,Villagers!$B$1:$V$33,CB313+3,FALSE)),)</f>
        <v>0</v>
      </c>
      <c r="CX313" s="14">
        <f>ROUND(IF(CC313=0,0,HLOOKUP(CC$14,Villagers!$B$1:$V$33,CC313+3,FALSE)),)</f>
        <v>0</v>
      </c>
      <c r="CY313" s="14">
        <f>ROUND(IF(CD313=0,0,HLOOKUP(CD$14,Villagers!$B$1:$V$33,CD313+3,FALSE)),)</f>
        <v>0</v>
      </c>
      <c r="CZ313" s="14">
        <f>ROUND(IF(CE313=0,0,HLOOKUP(CE$14,Villagers!$B$1:$V$33,CE313+3,FALSE)),)</f>
        <v>5</v>
      </c>
      <c r="DA313" s="14">
        <f>ROUND(IF(CF313=0,0,HLOOKUP(CF$14,Villagers!$B$1:$V$33,CF313+3,FALSE)),)</f>
        <v>10</v>
      </c>
      <c r="DB313" s="14">
        <f>ROUND(IF(CG313=0,0,HLOOKUP(CG$14,Villagers!$B$1:$V$33,CG313+3,FALSE)),)</f>
        <v>10</v>
      </c>
      <c r="DC313" s="14">
        <f>ROUND(IF(CH313=0,0,HLOOKUP(CH$14,Villagers!$B$1:$V$33,CH313+3,FALSE)),)</f>
        <v>0</v>
      </c>
      <c r="DD313" s="14">
        <f>ROUND(IF(CI313=0,0,HLOOKUP(CI$14,Villagers!$B$1:$V$33,CI313+3,FALSE)),)</f>
        <v>0</v>
      </c>
      <c r="DE313" s="14">
        <f>ROUND(IF(CJ313=0,0,HLOOKUP(CJ$14,Villagers!$B$1:$V$33,CJ313+3,FALSE)),)</f>
        <v>2</v>
      </c>
      <c r="DF313" s="370">
        <f>ROUND(IF(CK313=0,0,HLOOKUP(CK$14,Villagers!$B$1:$V$33,CK313+3,FALSE)),)</f>
        <v>0</v>
      </c>
      <c r="DG313" s="370">
        <f>ROUND(IF(CL313=0,0,HLOOKUP(CL$14,Villagers!$B$1:$V$33,CL313+3,FALSE)),)</f>
        <v>0</v>
      </c>
      <c r="DH313" s="34">
        <f>ROUND(IF(CM313=0,0,HLOOKUP(CM$14,Villagers!$B$1:$V$33,CM313+3,FALSE)),)</f>
        <v>0</v>
      </c>
      <c r="DI313" s="109">
        <f t="shared" si="679"/>
        <v>0</v>
      </c>
      <c r="DJ313" s="50">
        <f t="shared" si="680"/>
        <v>0</v>
      </c>
      <c r="DK313" s="50">
        <f t="shared" si="681"/>
        <v>0</v>
      </c>
      <c r="DL313" s="50">
        <f t="shared" si="682"/>
        <v>0</v>
      </c>
      <c r="DM313" s="50">
        <f t="shared" si="683"/>
        <v>0</v>
      </c>
      <c r="DN313" s="50">
        <f t="shared" si="684"/>
        <v>0</v>
      </c>
      <c r="DO313" s="50">
        <f t="shared" si="685"/>
        <v>0</v>
      </c>
      <c r="DP313" s="50">
        <f t="shared" si="686"/>
        <v>0</v>
      </c>
      <c r="DQ313" s="50">
        <f t="shared" si="663"/>
        <v>0</v>
      </c>
      <c r="DR313" s="50">
        <f t="shared" si="664"/>
        <v>0</v>
      </c>
      <c r="DS313" s="96">
        <f>Miscelaneous!$D$4*Miscelaneous!$D$2^($CI313-1)</f>
        <v>1000</v>
      </c>
      <c r="DT313" s="333">
        <f t="shared" si="643"/>
        <v>1</v>
      </c>
      <c r="DU313" s="81">
        <v>1</v>
      </c>
      <c r="DV313" s="79">
        <f t="shared" si="665"/>
        <v>0</v>
      </c>
      <c r="DW313" s="79">
        <f t="shared" si="666"/>
        <v>0</v>
      </c>
      <c r="DX313" s="79">
        <f t="shared" si="667"/>
        <v>0</v>
      </c>
      <c r="DY313" s="79">
        <v>1</v>
      </c>
      <c r="DZ313" s="79">
        <f t="shared" si="668"/>
        <v>0</v>
      </c>
      <c r="EA313" s="79">
        <f t="shared" si="669"/>
        <v>0</v>
      </c>
      <c r="EB313" s="79">
        <f t="shared" si="670"/>
        <v>0</v>
      </c>
      <c r="EC313" s="79">
        <f t="shared" si="671"/>
        <v>0</v>
      </c>
      <c r="ED313" s="79">
        <v>1</v>
      </c>
      <c r="EE313" s="79">
        <v>1</v>
      </c>
      <c r="EF313" s="79">
        <f t="shared" si="672"/>
        <v>0</v>
      </c>
      <c r="EG313" s="79">
        <v>1</v>
      </c>
      <c r="EH313" s="79">
        <v>1</v>
      </c>
      <c r="EI313" s="79">
        <v>1</v>
      </c>
      <c r="EJ313" s="79">
        <v>1</v>
      </c>
      <c r="EK313" s="79">
        <v>1</v>
      </c>
      <c r="EL313" s="79">
        <v>1</v>
      </c>
      <c r="EM313" s="143">
        <f t="shared" si="673"/>
        <v>0</v>
      </c>
      <c r="EN313" s="143">
        <f t="shared" si="674"/>
        <v>0</v>
      </c>
      <c r="EO313" s="82">
        <f t="shared" si="675"/>
        <v>0</v>
      </c>
    </row>
    <row r="314" spans="1:145" x14ac:dyDescent="0.25">
      <c r="A314">
        <v>300</v>
      </c>
      <c r="B314" s="172" t="e">
        <f t="shared" si="644"/>
        <v>#N/A</v>
      </c>
      <c r="C314" s="121" t="e">
        <f t="shared" ref="C314:E314" si="754">AJ314-SUM(AB314:AB318)</f>
        <v>#N/A</v>
      </c>
      <c r="D314" s="122" t="e">
        <f t="shared" si="754"/>
        <v>#N/A</v>
      </c>
      <c r="E314" s="122" t="e">
        <f t="shared" si="754"/>
        <v>#N/A</v>
      </c>
      <c r="F314" s="176" t="e">
        <f t="shared" si="626"/>
        <v>#N/A</v>
      </c>
      <c r="G314" s="121">
        <f t="shared" si="646"/>
        <v>208</v>
      </c>
      <c r="H314" s="176" t="e">
        <f t="shared" si="647"/>
        <v>#N/A</v>
      </c>
      <c r="I314" s="48">
        <v>1</v>
      </c>
      <c r="J314" s="39"/>
      <c r="K314" s="350">
        <v>1</v>
      </c>
      <c r="L314" s="34" t="e">
        <f t="shared" si="627"/>
        <v>#N/A</v>
      </c>
      <c r="M314" s="38" t="e">
        <f>(HLOOKUP(J314,'Construction Times'!$B$3:$W$34,L314+2,FALSE)*HLOOKUP("hq modifier",'Construction Times'!$W$3:$W$34,BS314+2,FALSE))*(1-$H$9)</f>
        <v>#N/A</v>
      </c>
      <c r="N314" s="426" t="e">
        <f t="shared" si="648"/>
        <v>#N/A</v>
      </c>
      <c r="O314" s="427"/>
      <c r="P314" s="430" t="e">
        <f t="shared" si="649"/>
        <v>#N/A</v>
      </c>
      <c r="Q314" s="431"/>
      <c r="R314" s="103">
        <f t="shared" si="677"/>
        <v>0</v>
      </c>
      <c r="S314" s="104">
        <f t="shared" si="677"/>
        <v>0</v>
      </c>
      <c r="T314" s="104">
        <f t="shared" si="678"/>
        <v>0</v>
      </c>
      <c r="U314" s="104">
        <f t="shared" si="678"/>
        <v>0</v>
      </c>
      <c r="V314" s="104">
        <f t="shared" si="678"/>
        <v>9.9999999999999995E-8</v>
      </c>
      <c r="W314" s="104">
        <f t="shared" si="678"/>
        <v>0</v>
      </c>
      <c r="X314" s="104">
        <f t="shared" si="737"/>
        <v>0</v>
      </c>
      <c r="Y314" s="104">
        <f t="shared" si="737"/>
        <v>9.9999999999999995E-8</v>
      </c>
      <c r="Z314" s="104">
        <f t="shared" si="737"/>
        <v>9.9999999999999995E-8</v>
      </c>
      <c r="AA314" s="105">
        <f t="shared" si="737"/>
        <v>9.9999999999999995E-8</v>
      </c>
      <c r="AB314" s="101" t="e">
        <f>$DT314*HLOOKUP($J314,'Construction Costs (timber)'!$B$1:$V$32,'Construction Planner'!$L314+2,FALSE)</f>
        <v>#N/A</v>
      </c>
      <c r="AC314" s="14" t="e">
        <f>$DT314*HLOOKUP($J314,'Construction Costs (clay)'!$B$1:$V$32,'Construction Planner'!$L314+2,FALSE)</f>
        <v>#N/A</v>
      </c>
      <c r="AD314" s="14" t="e">
        <f>$DT314*HLOOKUP($J314,'Construction Costs (iron)'!$B$1:$V$32,'Construction Planner'!$L314+2,FALSE)</f>
        <v>#N/A</v>
      </c>
      <c r="AE314" s="34" t="e">
        <f t="shared" si="690"/>
        <v>#N/A</v>
      </c>
      <c r="AF314" s="33" t="e">
        <f t="shared" si="628"/>
        <v>#N/A</v>
      </c>
      <c r="AG314" s="14" t="e">
        <f t="shared" si="629"/>
        <v>#N/A</v>
      </c>
      <c r="AH314" s="14" t="e">
        <f t="shared" si="630"/>
        <v>#N/A</v>
      </c>
      <c r="AI314" s="34" t="e">
        <f t="shared" si="691"/>
        <v>#N/A</v>
      </c>
      <c r="AJ314" s="49" t="e">
        <f t="shared" si="651"/>
        <v>#N/A</v>
      </c>
      <c r="AK314" s="49" t="e">
        <f t="shared" si="652"/>
        <v>#N/A</v>
      </c>
      <c r="AL314" s="49" t="e">
        <f t="shared" si="653"/>
        <v>#N/A</v>
      </c>
      <c r="AM314" s="25">
        <f t="shared" si="631"/>
        <v>30</v>
      </c>
      <c r="AN314" s="25">
        <f t="shared" si="632"/>
        <v>30</v>
      </c>
      <c r="AO314" s="25">
        <f t="shared" si="633"/>
        <v>30</v>
      </c>
      <c r="AP314" s="52" t="e">
        <f t="shared" si="654"/>
        <v>#N/A</v>
      </c>
      <c r="AQ314" s="53" t="e">
        <f t="shared" si="654"/>
        <v>#N/A</v>
      </c>
      <c r="AR314" s="54" t="e">
        <f t="shared" si="654"/>
        <v>#N/A</v>
      </c>
      <c r="AS314" s="316">
        <f t="shared" si="746"/>
        <v>0</v>
      </c>
      <c r="AT314" s="106">
        <f>_xlfn.IFNA($M314/VLOOKUP($BT314,'Unit information'!$A$2:$K$29,2,FALSE)*R314,0)*(1+$E$9)</f>
        <v>0</v>
      </c>
      <c r="AU314" s="107">
        <f>_xlfn.IFNA($M314/VLOOKUP($BT314,'Unit information'!$A$2:$K$29,3,FALSE)*S314,0)*(1+$E$9)</f>
        <v>0</v>
      </c>
      <c r="AV314" s="107">
        <f>_xlfn.IFNA($M314/VLOOKUP($BT314,'Unit information'!$A$2:$K$29,4,FALSE)*T314,0)*(1+$E$9)</f>
        <v>0</v>
      </c>
      <c r="AW314" s="107">
        <f>_xlfn.IFNA($M314/VLOOKUP($BT314,'Unit information'!$A$2:$K$29,5,FALSE)*U314,0)*(1+$E$9)</f>
        <v>0</v>
      </c>
      <c r="AX314" s="107">
        <f>_xlfn.IFNA($M314/VLOOKUP($BU314,'Unit information'!$A$2:$K$29,6,FALSE)*V314,0)*(1+$E$9)</f>
        <v>0</v>
      </c>
      <c r="AY314" s="107">
        <f>_xlfn.IFNA($M314/VLOOKUP($BU314,'Unit information'!$A$2:$K$29,7,FALSE)*W314,0)*(1+$E$9)</f>
        <v>0</v>
      </c>
      <c r="AZ314" s="107">
        <f>_xlfn.IFNA($M314/VLOOKUP($BU314,'Unit information'!$A$2:$K$29,8,FALSE)*X314,0)*(1+$E$9)</f>
        <v>0</v>
      </c>
      <c r="BA314" s="107">
        <f>_xlfn.IFNA($M314/VLOOKUP($BU314,'Unit information'!$A$2:$K$29,9,FALSE)*Y314,0)*(1+$E$9)</f>
        <v>0</v>
      </c>
      <c r="BB314" s="107">
        <f>_xlfn.IFNA($M314/VLOOKUP($BV314,'Unit information'!$A$2:$K$29,10,FALSE)*Z314,0)*(1+$E$9)</f>
        <v>0</v>
      </c>
      <c r="BC314" s="108">
        <f>_xlfn.IFNA($M314/VLOOKUP($BV314,'Unit information'!$A$2:$K$29,11,FALSE)*AA314,0)*(1+$E$9)</f>
        <v>0</v>
      </c>
      <c r="BD314" s="106">
        <f t="shared" si="634"/>
        <v>0</v>
      </c>
      <c r="BE314" s="107">
        <f t="shared" si="635"/>
        <v>0</v>
      </c>
      <c r="BF314" s="108">
        <f t="shared" si="636"/>
        <v>0</v>
      </c>
      <c r="BG314" s="25" t="e">
        <f t="shared" si="637"/>
        <v>#N/A</v>
      </c>
      <c r="BH314" s="25" t="e">
        <f t="shared" si="638"/>
        <v>#N/A</v>
      </c>
      <c r="BI314" s="25" t="e">
        <f t="shared" si="639"/>
        <v>#N/A</v>
      </c>
      <c r="BJ314" s="27" t="e">
        <f t="shared" si="640"/>
        <v>#N/A</v>
      </c>
      <c r="BK314" s="18" t="e">
        <f t="shared" si="641"/>
        <v>#N/A</v>
      </c>
      <c r="BL314" s="18" t="e">
        <f t="shared" si="642"/>
        <v>#N/A</v>
      </c>
      <c r="BM314" s="28" t="e">
        <f t="shared" si="693"/>
        <v>#N/A</v>
      </c>
      <c r="BN314" s="33">
        <f>HLOOKUP("maximum population",Miscelaneous!$C$1:$C$33,CH314+3,FALSE)</f>
        <v>240</v>
      </c>
      <c r="BO314" s="14">
        <f t="shared" si="655"/>
        <v>32</v>
      </c>
      <c r="BP314" s="14">
        <f t="shared" si="656"/>
        <v>0</v>
      </c>
      <c r="BQ314" s="14">
        <f t="shared" si="657"/>
        <v>208</v>
      </c>
      <c r="BR314" s="34" t="e">
        <f>HLOOKUP(J314,Villagers!$B$1:$V$33,L314+3,FALSE)-HLOOKUP(J314,Villagers!$B$1:$V$33,L314+2,FALSE)</f>
        <v>#N/A</v>
      </c>
      <c r="BS314" s="49">
        <f t="shared" si="658"/>
        <v>1</v>
      </c>
      <c r="BT314" s="50">
        <f t="shared" si="659"/>
        <v>0</v>
      </c>
      <c r="BU314" s="50">
        <f t="shared" si="660"/>
        <v>0</v>
      </c>
      <c r="BV314" s="50">
        <f t="shared" si="661"/>
        <v>0</v>
      </c>
      <c r="BW314" s="50">
        <f t="shared" si="750"/>
        <v>0</v>
      </c>
      <c r="BX314" s="50">
        <f t="shared" si="751"/>
        <v>0</v>
      </c>
      <c r="BY314" s="50">
        <f t="shared" si="751"/>
        <v>0</v>
      </c>
      <c r="BZ314" s="50">
        <f t="shared" si="707"/>
        <v>0</v>
      </c>
      <c r="CA314" s="50">
        <f t="shared" si="708"/>
        <v>0</v>
      </c>
      <c r="CB314" s="50">
        <f t="shared" si="709"/>
        <v>1</v>
      </c>
      <c r="CC314" s="50">
        <f t="shared" si="710"/>
        <v>0</v>
      </c>
      <c r="CD314" s="50">
        <f t="shared" si="711"/>
        <v>0</v>
      </c>
      <c r="CE314" s="50">
        <f t="shared" si="712"/>
        <v>1</v>
      </c>
      <c r="CF314" s="50">
        <f t="shared" si="713"/>
        <v>1</v>
      </c>
      <c r="CG314" s="50">
        <f t="shared" si="714"/>
        <v>1</v>
      </c>
      <c r="CH314" s="50">
        <f t="shared" si="715"/>
        <v>1</v>
      </c>
      <c r="CI314" s="50">
        <f t="shared" si="716"/>
        <v>1</v>
      </c>
      <c r="CJ314" s="50">
        <f t="shared" si="717"/>
        <v>1</v>
      </c>
      <c r="CK314" s="50">
        <f t="shared" si="717"/>
        <v>0</v>
      </c>
      <c r="CL314" s="50">
        <f t="shared" si="717"/>
        <v>0</v>
      </c>
      <c r="CM314" s="51">
        <f t="shared" si="605"/>
        <v>0</v>
      </c>
      <c r="CN314" s="33">
        <f>ROUND(IF(BS314=0,0,HLOOKUP(BS$14,Villagers!$B$1:$V$33,BS314+3,FALSE)),)</f>
        <v>5</v>
      </c>
      <c r="CO314" s="14">
        <f>ROUND(IF(BT314=0,0,HLOOKUP(BT$14,Villagers!$B$1:$V$33,BT314+3,FALSE)),)</f>
        <v>0</v>
      </c>
      <c r="CP314" s="14">
        <f>ROUND(IF(BU314=0,0,HLOOKUP(BU$14,Villagers!$B$1:$V$33,BU314+3,FALSE)),)</f>
        <v>0</v>
      </c>
      <c r="CQ314" s="14">
        <f>ROUND(IF(BV314=0,0,HLOOKUP(BV$14,Villagers!$B$1:$V$33,BV314+3,FALSE)),)</f>
        <v>0</v>
      </c>
      <c r="CR314" s="14">
        <f>ROUND(IF(BW314=0,0,HLOOKUP(BW$14,Villagers!$B$1:$V$33,BW314+3,FALSE)),)</f>
        <v>0</v>
      </c>
      <c r="CS314" s="14">
        <f>ROUND(IF(BX314=0,0,HLOOKUP(BX$14,Villagers!$B$1:$V$33,BX314+3,FALSE)),)</f>
        <v>0</v>
      </c>
      <c r="CT314" s="14">
        <f>ROUND(IF(BY314=0,0,HLOOKUP(BY$14,Villagers!$B$1:$V$33,BY314+3,FALSE)),)</f>
        <v>0</v>
      </c>
      <c r="CU314" s="14">
        <f>ROUND(IF(BZ314=0,0,HLOOKUP(BZ$14,Villagers!$B$1:$V$33,BZ314+3,FALSE)),)</f>
        <v>0</v>
      </c>
      <c r="CV314" s="14">
        <f>ROUND(IF(CA314=0,0,HLOOKUP(CA$14,Villagers!$B$1:$V$33,CA314+3,FALSE)),)</f>
        <v>0</v>
      </c>
      <c r="CW314" s="14">
        <f>ROUND(IF(CB314=0,0,HLOOKUP(CB$14,Villagers!$B$1:$V$33,CB314+3,FALSE)),)</f>
        <v>0</v>
      </c>
      <c r="CX314" s="14">
        <f>ROUND(IF(CC314=0,0,HLOOKUP(CC$14,Villagers!$B$1:$V$33,CC314+3,FALSE)),)</f>
        <v>0</v>
      </c>
      <c r="CY314" s="14">
        <f>ROUND(IF(CD314=0,0,HLOOKUP(CD$14,Villagers!$B$1:$V$33,CD314+3,FALSE)),)</f>
        <v>0</v>
      </c>
      <c r="CZ314" s="14">
        <f>ROUND(IF(CE314=0,0,HLOOKUP(CE$14,Villagers!$B$1:$V$33,CE314+3,FALSE)),)</f>
        <v>5</v>
      </c>
      <c r="DA314" s="14">
        <f>ROUND(IF(CF314=0,0,HLOOKUP(CF$14,Villagers!$B$1:$V$33,CF314+3,FALSE)),)</f>
        <v>10</v>
      </c>
      <c r="DB314" s="14">
        <f>ROUND(IF(CG314=0,0,HLOOKUP(CG$14,Villagers!$B$1:$V$33,CG314+3,FALSE)),)</f>
        <v>10</v>
      </c>
      <c r="DC314" s="14">
        <f>ROUND(IF(CH314=0,0,HLOOKUP(CH$14,Villagers!$B$1:$V$33,CH314+3,FALSE)),)</f>
        <v>0</v>
      </c>
      <c r="DD314" s="14">
        <f>ROUND(IF(CI314=0,0,HLOOKUP(CI$14,Villagers!$B$1:$V$33,CI314+3,FALSE)),)</f>
        <v>0</v>
      </c>
      <c r="DE314" s="14">
        <f>ROUND(IF(CJ314=0,0,HLOOKUP(CJ$14,Villagers!$B$1:$V$33,CJ314+3,FALSE)),)</f>
        <v>2</v>
      </c>
      <c r="DF314" s="370">
        <f>ROUND(IF(CK314=0,0,HLOOKUP(CK$14,Villagers!$B$1:$V$33,CK314+3,FALSE)),)</f>
        <v>0</v>
      </c>
      <c r="DG314" s="370">
        <f>ROUND(IF(CL314=0,0,HLOOKUP(CL$14,Villagers!$B$1:$V$33,CL314+3,FALSE)),)</f>
        <v>0</v>
      </c>
      <c r="DH314" s="34">
        <f>ROUND(IF(CM314=0,0,HLOOKUP(CM$14,Villagers!$B$1:$V$33,CM314+3,FALSE)),)</f>
        <v>0</v>
      </c>
      <c r="DI314" s="109">
        <f t="shared" si="679"/>
        <v>0</v>
      </c>
      <c r="DJ314" s="50">
        <f t="shared" si="680"/>
        <v>0</v>
      </c>
      <c r="DK314" s="50">
        <f t="shared" si="681"/>
        <v>0</v>
      </c>
      <c r="DL314" s="50">
        <f t="shared" si="682"/>
        <v>0</v>
      </c>
      <c r="DM314" s="50">
        <f t="shared" si="683"/>
        <v>0</v>
      </c>
      <c r="DN314" s="50">
        <f t="shared" si="684"/>
        <v>0</v>
      </c>
      <c r="DO314" s="50">
        <f t="shared" si="685"/>
        <v>0</v>
      </c>
      <c r="DP314" s="50">
        <f t="shared" si="686"/>
        <v>0</v>
      </c>
      <c r="DQ314" s="50">
        <f t="shared" si="663"/>
        <v>0</v>
      </c>
      <c r="DR314" s="50">
        <f t="shared" si="664"/>
        <v>0</v>
      </c>
      <c r="DS314" s="96">
        <f>Miscelaneous!$D$4*Miscelaneous!$D$2^($CI314-1)</f>
        <v>1000</v>
      </c>
      <c r="DT314" s="333">
        <f t="shared" si="643"/>
        <v>1</v>
      </c>
      <c r="DU314" s="81">
        <v>1</v>
      </c>
      <c r="DV314" s="79">
        <f t="shared" si="665"/>
        <v>0</v>
      </c>
      <c r="DW314" s="79">
        <f t="shared" si="666"/>
        <v>0</v>
      </c>
      <c r="DX314" s="79">
        <f t="shared" si="667"/>
        <v>0</v>
      </c>
      <c r="DY314" s="79">
        <v>1</v>
      </c>
      <c r="DZ314" s="79">
        <f t="shared" si="668"/>
        <v>0</v>
      </c>
      <c r="EA314" s="79">
        <f t="shared" si="669"/>
        <v>0</v>
      </c>
      <c r="EB314" s="79">
        <f t="shared" si="670"/>
        <v>0</v>
      </c>
      <c r="EC314" s="79">
        <f t="shared" si="671"/>
        <v>0</v>
      </c>
      <c r="ED314" s="79">
        <v>1</v>
      </c>
      <c r="EE314" s="79">
        <v>1</v>
      </c>
      <c r="EF314" s="79">
        <f t="shared" si="672"/>
        <v>0</v>
      </c>
      <c r="EG314" s="79">
        <v>1</v>
      </c>
      <c r="EH314" s="79">
        <v>1</v>
      </c>
      <c r="EI314" s="79">
        <v>1</v>
      </c>
      <c r="EJ314" s="79">
        <v>1</v>
      </c>
      <c r="EK314" s="79">
        <v>1</v>
      </c>
      <c r="EL314" s="79">
        <v>1</v>
      </c>
      <c r="EM314" s="143">
        <f t="shared" si="673"/>
        <v>0</v>
      </c>
      <c r="EN314" s="143">
        <f t="shared" si="674"/>
        <v>0</v>
      </c>
      <c r="EO314" s="82">
        <f t="shared" si="675"/>
        <v>0</v>
      </c>
    </row>
    <row r="315" spans="1:145" x14ac:dyDescent="0.25">
      <c r="A315">
        <v>301</v>
      </c>
      <c r="B315" s="172" t="e">
        <f t="shared" si="644"/>
        <v>#N/A</v>
      </c>
      <c r="C315" s="121" t="e">
        <f t="shared" ref="C315:E315" si="755">AJ315-SUM(AB315:AB319)</f>
        <v>#N/A</v>
      </c>
      <c r="D315" s="122" t="e">
        <f t="shared" si="755"/>
        <v>#N/A</v>
      </c>
      <c r="E315" s="122" t="e">
        <f t="shared" si="755"/>
        <v>#N/A</v>
      </c>
      <c r="F315" s="176" t="e">
        <f t="shared" si="626"/>
        <v>#N/A</v>
      </c>
      <c r="G315" s="121">
        <f t="shared" si="646"/>
        <v>208</v>
      </c>
      <c r="H315" s="176" t="e">
        <f t="shared" si="647"/>
        <v>#N/A</v>
      </c>
      <c r="I315" s="48">
        <v>1</v>
      </c>
      <c r="J315" s="39"/>
      <c r="K315" s="350">
        <v>1</v>
      </c>
      <c r="L315" s="34" t="e">
        <f t="shared" si="627"/>
        <v>#N/A</v>
      </c>
      <c r="M315" s="38" t="e">
        <f>(HLOOKUP(J315,'Construction Times'!$B$3:$W$34,L315+2,FALSE)*HLOOKUP("hq modifier",'Construction Times'!$W$3:$W$34,BS315+2,FALSE))*(1-$H$9)</f>
        <v>#N/A</v>
      </c>
      <c r="N315" s="426" t="e">
        <f t="shared" si="648"/>
        <v>#N/A</v>
      </c>
      <c r="O315" s="427"/>
      <c r="P315" s="430" t="e">
        <f t="shared" si="649"/>
        <v>#N/A</v>
      </c>
      <c r="Q315" s="431"/>
      <c r="R315" s="103">
        <f t="shared" si="677"/>
        <v>0</v>
      </c>
      <c r="S315" s="104">
        <f t="shared" si="677"/>
        <v>0</v>
      </c>
      <c r="T315" s="104">
        <f t="shared" si="678"/>
        <v>0</v>
      </c>
      <c r="U315" s="104">
        <f t="shared" si="678"/>
        <v>0</v>
      </c>
      <c r="V315" s="104">
        <f t="shared" si="678"/>
        <v>9.9999999999999995E-8</v>
      </c>
      <c r="W315" s="104">
        <f t="shared" si="678"/>
        <v>0</v>
      </c>
      <c r="X315" s="104">
        <f t="shared" si="737"/>
        <v>0</v>
      </c>
      <c r="Y315" s="104">
        <f t="shared" si="737"/>
        <v>9.9999999999999995E-8</v>
      </c>
      <c r="Z315" s="104">
        <f t="shared" si="737"/>
        <v>9.9999999999999995E-8</v>
      </c>
      <c r="AA315" s="105">
        <f t="shared" si="737"/>
        <v>9.9999999999999995E-8</v>
      </c>
      <c r="AB315" s="101" t="e">
        <f>$DT315*HLOOKUP($J315,'Construction Costs (timber)'!$B$1:$V$32,'Construction Planner'!$L315+2,FALSE)</f>
        <v>#N/A</v>
      </c>
      <c r="AC315" s="14" t="e">
        <f>$DT315*HLOOKUP($J315,'Construction Costs (clay)'!$B$1:$V$32,'Construction Planner'!$L315+2,FALSE)</f>
        <v>#N/A</v>
      </c>
      <c r="AD315" s="14" t="e">
        <f>$DT315*HLOOKUP($J315,'Construction Costs (iron)'!$B$1:$V$32,'Construction Planner'!$L315+2,FALSE)</f>
        <v>#N/A</v>
      </c>
      <c r="AE315" s="34" t="e">
        <f t="shared" si="690"/>
        <v>#N/A</v>
      </c>
      <c r="AF315" s="33" t="e">
        <f t="shared" si="628"/>
        <v>#N/A</v>
      </c>
      <c r="AG315" s="14" t="e">
        <f t="shared" si="629"/>
        <v>#N/A</v>
      </c>
      <c r="AH315" s="14" t="e">
        <f t="shared" si="630"/>
        <v>#N/A</v>
      </c>
      <c r="AI315" s="34" t="e">
        <f t="shared" si="691"/>
        <v>#N/A</v>
      </c>
      <c r="AJ315" s="49" t="e">
        <f t="shared" si="651"/>
        <v>#N/A</v>
      </c>
      <c r="AK315" s="49" t="e">
        <f t="shared" si="652"/>
        <v>#N/A</v>
      </c>
      <c r="AL315" s="49" t="e">
        <f t="shared" si="653"/>
        <v>#N/A</v>
      </c>
      <c r="AM315" s="25">
        <f t="shared" si="631"/>
        <v>30</v>
      </c>
      <c r="AN315" s="25">
        <f t="shared" si="632"/>
        <v>30</v>
      </c>
      <c r="AO315" s="25">
        <f t="shared" si="633"/>
        <v>30</v>
      </c>
      <c r="AP315" s="52" t="e">
        <f t="shared" si="654"/>
        <v>#N/A</v>
      </c>
      <c r="AQ315" s="53" t="e">
        <f t="shared" si="654"/>
        <v>#N/A</v>
      </c>
      <c r="AR315" s="54" t="e">
        <f t="shared" si="654"/>
        <v>#N/A</v>
      </c>
      <c r="AS315" s="316">
        <f t="shared" si="746"/>
        <v>0</v>
      </c>
      <c r="AT315" s="106">
        <f>_xlfn.IFNA($M315/VLOOKUP($BT315,'Unit information'!$A$2:$K$29,2,FALSE)*R315,0)*(1+$E$9)</f>
        <v>0</v>
      </c>
      <c r="AU315" s="107">
        <f>_xlfn.IFNA($M315/VLOOKUP($BT315,'Unit information'!$A$2:$K$29,3,FALSE)*S315,0)*(1+$E$9)</f>
        <v>0</v>
      </c>
      <c r="AV315" s="107">
        <f>_xlfn.IFNA($M315/VLOOKUP($BT315,'Unit information'!$A$2:$K$29,4,FALSE)*T315,0)*(1+$E$9)</f>
        <v>0</v>
      </c>
      <c r="AW315" s="107">
        <f>_xlfn.IFNA($M315/VLOOKUP($BT315,'Unit information'!$A$2:$K$29,5,FALSE)*U315,0)*(1+$E$9)</f>
        <v>0</v>
      </c>
      <c r="AX315" s="107">
        <f>_xlfn.IFNA($M315/VLOOKUP($BU315,'Unit information'!$A$2:$K$29,6,FALSE)*V315,0)*(1+$E$9)</f>
        <v>0</v>
      </c>
      <c r="AY315" s="107">
        <f>_xlfn.IFNA($M315/VLOOKUP($BU315,'Unit information'!$A$2:$K$29,7,FALSE)*W315,0)*(1+$E$9)</f>
        <v>0</v>
      </c>
      <c r="AZ315" s="107">
        <f>_xlfn.IFNA($M315/VLOOKUP($BU315,'Unit information'!$A$2:$K$29,8,FALSE)*X315,0)*(1+$E$9)</f>
        <v>0</v>
      </c>
      <c r="BA315" s="107">
        <f>_xlfn.IFNA($M315/VLOOKUP($BU315,'Unit information'!$A$2:$K$29,9,FALSE)*Y315,0)*(1+$E$9)</f>
        <v>0</v>
      </c>
      <c r="BB315" s="107">
        <f>_xlfn.IFNA($M315/VLOOKUP($BV315,'Unit information'!$A$2:$K$29,10,FALSE)*Z315,0)*(1+$E$9)</f>
        <v>0</v>
      </c>
      <c r="BC315" s="108">
        <f>_xlfn.IFNA($M315/VLOOKUP($BV315,'Unit information'!$A$2:$K$29,11,FALSE)*AA315,0)*(1+$E$9)</f>
        <v>0</v>
      </c>
      <c r="BD315" s="106">
        <f t="shared" si="634"/>
        <v>0</v>
      </c>
      <c r="BE315" s="107">
        <f t="shared" si="635"/>
        <v>0</v>
      </c>
      <c r="BF315" s="108">
        <f t="shared" si="636"/>
        <v>0</v>
      </c>
      <c r="BG315" s="25" t="e">
        <f t="shared" si="637"/>
        <v>#N/A</v>
      </c>
      <c r="BH315" s="25" t="e">
        <f t="shared" si="638"/>
        <v>#N/A</v>
      </c>
      <c r="BI315" s="25" t="e">
        <f t="shared" si="639"/>
        <v>#N/A</v>
      </c>
      <c r="BJ315" s="27" t="e">
        <f t="shared" si="640"/>
        <v>#N/A</v>
      </c>
      <c r="BK315" s="18" t="e">
        <f t="shared" si="641"/>
        <v>#N/A</v>
      </c>
      <c r="BL315" s="18" t="e">
        <f t="shared" si="642"/>
        <v>#N/A</v>
      </c>
      <c r="BM315" s="28" t="e">
        <f t="shared" si="693"/>
        <v>#N/A</v>
      </c>
      <c r="BN315" s="33">
        <f>HLOOKUP("maximum population",Miscelaneous!$C$1:$C$33,CH315+3,FALSE)</f>
        <v>240</v>
      </c>
      <c r="BO315" s="14">
        <f t="shared" si="655"/>
        <v>32</v>
      </c>
      <c r="BP315" s="14">
        <f t="shared" si="656"/>
        <v>0</v>
      </c>
      <c r="BQ315" s="14">
        <f t="shared" si="657"/>
        <v>208</v>
      </c>
      <c r="BR315" s="34" t="e">
        <f>HLOOKUP(J315,Villagers!$B$1:$V$33,L315+3,FALSE)-HLOOKUP(J315,Villagers!$B$1:$V$33,L315+2,FALSE)</f>
        <v>#N/A</v>
      </c>
      <c r="BS315" s="49">
        <f t="shared" si="658"/>
        <v>1</v>
      </c>
      <c r="BT315" s="50">
        <f t="shared" si="659"/>
        <v>0</v>
      </c>
      <c r="BU315" s="50">
        <f t="shared" si="660"/>
        <v>0</v>
      </c>
      <c r="BV315" s="50">
        <f t="shared" si="661"/>
        <v>0</v>
      </c>
      <c r="BW315" s="50">
        <f t="shared" si="750"/>
        <v>0</v>
      </c>
      <c r="BX315" s="50">
        <f t="shared" si="751"/>
        <v>0</v>
      </c>
      <c r="BY315" s="50">
        <f t="shared" si="751"/>
        <v>0</v>
      </c>
      <c r="BZ315" s="50">
        <f t="shared" si="707"/>
        <v>0</v>
      </c>
      <c r="CA315" s="50">
        <f t="shared" si="708"/>
        <v>0</v>
      </c>
      <c r="CB315" s="50">
        <f t="shared" si="709"/>
        <v>1</v>
      </c>
      <c r="CC315" s="50">
        <f t="shared" si="710"/>
        <v>0</v>
      </c>
      <c r="CD315" s="50">
        <f t="shared" si="711"/>
        <v>0</v>
      </c>
      <c r="CE315" s="50">
        <f t="shared" si="712"/>
        <v>1</v>
      </c>
      <c r="CF315" s="50">
        <f t="shared" si="713"/>
        <v>1</v>
      </c>
      <c r="CG315" s="50">
        <f t="shared" si="714"/>
        <v>1</v>
      </c>
      <c r="CH315" s="50">
        <f t="shared" si="715"/>
        <v>1</v>
      </c>
      <c r="CI315" s="50">
        <f t="shared" si="716"/>
        <v>1</v>
      </c>
      <c r="CJ315" s="50">
        <f t="shared" si="717"/>
        <v>1</v>
      </c>
      <c r="CK315" s="50">
        <f t="shared" si="717"/>
        <v>0</v>
      </c>
      <c r="CL315" s="50">
        <f t="shared" si="717"/>
        <v>0</v>
      </c>
      <c r="CM315" s="51">
        <f t="shared" si="605"/>
        <v>0</v>
      </c>
      <c r="CN315" s="33">
        <f>ROUND(IF(BS315=0,0,HLOOKUP(BS$14,Villagers!$B$1:$V$33,BS315+3,FALSE)),)</f>
        <v>5</v>
      </c>
      <c r="CO315" s="14">
        <f>ROUND(IF(BT315=0,0,HLOOKUP(BT$14,Villagers!$B$1:$V$33,BT315+3,FALSE)),)</f>
        <v>0</v>
      </c>
      <c r="CP315" s="14">
        <f>ROUND(IF(BU315=0,0,HLOOKUP(BU$14,Villagers!$B$1:$V$33,BU315+3,FALSE)),)</f>
        <v>0</v>
      </c>
      <c r="CQ315" s="14">
        <f>ROUND(IF(BV315=0,0,HLOOKUP(BV$14,Villagers!$B$1:$V$33,BV315+3,FALSE)),)</f>
        <v>0</v>
      </c>
      <c r="CR315" s="14">
        <f>ROUND(IF(BW315=0,0,HLOOKUP(BW$14,Villagers!$B$1:$V$33,BW315+3,FALSE)),)</f>
        <v>0</v>
      </c>
      <c r="CS315" s="14">
        <f>ROUND(IF(BX315=0,0,HLOOKUP(BX$14,Villagers!$B$1:$V$33,BX315+3,FALSE)),)</f>
        <v>0</v>
      </c>
      <c r="CT315" s="14">
        <f>ROUND(IF(BY315=0,0,HLOOKUP(BY$14,Villagers!$B$1:$V$33,BY315+3,FALSE)),)</f>
        <v>0</v>
      </c>
      <c r="CU315" s="14">
        <f>ROUND(IF(BZ315=0,0,HLOOKUP(BZ$14,Villagers!$B$1:$V$33,BZ315+3,FALSE)),)</f>
        <v>0</v>
      </c>
      <c r="CV315" s="14">
        <f>ROUND(IF(CA315=0,0,HLOOKUP(CA$14,Villagers!$B$1:$V$33,CA315+3,FALSE)),)</f>
        <v>0</v>
      </c>
      <c r="CW315" s="14">
        <f>ROUND(IF(CB315=0,0,HLOOKUP(CB$14,Villagers!$B$1:$V$33,CB315+3,FALSE)),)</f>
        <v>0</v>
      </c>
      <c r="CX315" s="14">
        <f>ROUND(IF(CC315=0,0,HLOOKUP(CC$14,Villagers!$B$1:$V$33,CC315+3,FALSE)),)</f>
        <v>0</v>
      </c>
      <c r="CY315" s="14">
        <f>ROUND(IF(CD315=0,0,HLOOKUP(CD$14,Villagers!$B$1:$V$33,CD315+3,FALSE)),)</f>
        <v>0</v>
      </c>
      <c r="CZ315" s="14">
        <f>ROUND(IF(CE315=0,0,HLOOKUP(CE$14,Villagers!$B$1:$V$33,CE315+3,FALSE)),)</f>
        <v>5</v>
      </c>
      <c r="DA315" s="14">
        <f>ROUND(IF(CF315=0,0,HLOOKUP(CF$14,Villagers!$B$1:$V$33,CF315+3,FALSE)),)</f>
        <v>10</v>
      </c>
      <c r="DB315" s="14">
        <f>ROUND(IF(CG315=0,0,HLOOKUP(CG$14,Villagers!$B$1:$V$33,CG315+3,FALSE)),)</f>
        <v>10</v>
      </c>
      <c r="DC315" s="14">
        <f>ROUND(IF(CH315=0,0,HLOOKUP(CH$14,Villagers!$B$1:$V$33,CH315+3,FALSE)),)</f>
        <v>0</v>
      </c>
      <c r="DD315" s="14">
        <f>ROUND(IF(CI315=0,0,HLOOKUP(CI$14,Villagers!$B$1:$V$33,CI315+3,FALSE)),)</f>
        <v>0</v>
      </c>
      <c r="DE315" s="14">
        <f>ROUND(IF(CJ315=0,0,HLOOKUP(CJ$14,Villagers!$B$1:$V$33,CJ315+3,FALSE)),)</f>
        <v>2</v>
      </c>
      <c r="DF315" s="370">
        <f>ROUND(IF(CK315=0,0,HLOOKUP(CK$14,Villagers!$B$1:$V$33,CK315+3,FALSE)),)</f>
        <v>0</v>
      </c>
      <c r="DG315" s="370">
        <f>ROUND(IF(CL315=0,0,HLOOKUP(CL$14,Villagers!$B$1:$V$33,CL315+3,FALSE)),)</f>
        <v>0</v>
      </c>
      <c r="DH315" s="34">
        <f>ROUND(IF(CM315=0,0,HLOOKUP(CM$14,Villagers!$B$1:$V$33,CM315+3,FALSE)),)</f>
        <v>0</v>
      </c>
      <c r="DI315" s="109">
        <f t="shared" si="679"/>
        <v>0</v>
      </c>
      <c r="DJ315" s="50">
        <f t="shared" si="680"/>
        <v>0</v>
      </c>
      <c r="DK315" s="50">
        <f t="shared" si="681"/>
        <v>0</v>
      </c>
      <c r="DL315" s="50">
        <f t="shared" si="682"/>
        <v>0</v>
      </c>
      <c r="DM315" s="50">
        <f t="shared" si="683"/>
        <v>0</v>
      </c>
      <c r="DN315" s="50">
        <f t="shared" si="684"/>
        <v>0</v>
      </c>
      <c r="DO315" s="50">
        <f t="shared" si="685"/>
        <v>0</v>
      </c>
      <c r="DP315" s="50">
        <f t="shared" si="686"/>
        <v>0</v>
      </c>
      <c r="DQ315" s="50">
        <f t="shared" si="663"/>
        <v>0</v>
      </c>
      <c r="DR315" s="50">
        <f t="shared" si="664"/>
        <v>0</v>
      </c>
      <c r="DS315" s="96">
        <f>Miscelaneous!$D$4*Miscelaneous!$D$2^($CI315-1)</f>
        <v>1000</v>
      </c>
      <c r="DT315" s="333">
        <f t="shared" si="643"/>
        <v>1</v>
      </c>
      <c r="DU315" s="81">
        <v>1</v>
      </c>
      <c r="DV315" s="79">
        <f t="shared" si="665"/>
        <v>0</v>
      </c>
      <c r="DW315" s="79">
        <f t="shared" si="666"/>
        <v>0</v>
      </c>
      <c r="DX315" s="79">
        <f t="shared" si="667"/>
        <v>0</v>
      </c>
      <c r="DY315" s="79">
        <v>1</v>
      </c>
      <c r="DZ315" s="79">
        <f t="shared" si="668"/>
        <v>0</v>
      </c>
      <c r="EA315" s="79">
        <f t="shared" si="669"/>
        <v>0</v>
      </c>
      <c r="EB315" s="79">
        <f t="shared" si="670"/>
        <v>0</v>
      </c>
      <c r="EC315" s="79">
        <f t="shared" si="671"/>
        <v>0</v>
      </c>
      <c r="ED315" s="79">
        <v>1</v>
      </c>
      <c r="EE315" s="79">
        <v>1</v>
      </c>
      <c r="EF315" s="79">
        <f t="shared" si="672"/>
        <v>0</v>
      </c>
      <c r="EG315" s="79">
        <v>1</v>
      </c>
      <c r="EH315" s="79">
        <v>1</v>
      </c>
      <c r="EI315" s="79">
        <v>1</v>
      </c>
      <c r="EJ315" s="79">
        <v>1</v>
      </c>
      <c r="EK315" s="79">
        <v>1</v>
      </c>
      <c r="EL315" s="79">
        <v>1</v>
      </c>
      <c r="EM315" s="143">
        <f t="shared" si="673"/>
        <v>0</v>
      </c>
      <c r="EN315" s="143">
        <f t="shared" si="674"/>
        <v>0</v>
      </c>
      <c r="EO315" s="82">
        <f t="shared" si="675"/>
        <v>0</v>
      </c>
    </row>
    <row r="316" spans="1:145" x14ac:dyDescent="0.25">
      <c r="A316">
        <v>302</v>
      </c>
      <c r="B316" s="172" t="e">
        <f t="shared" si="644"/>
        <v>#N/A</v>
      </c>
      <c r="C316" s="121" t="e">
        <f t="shared" ref="C316:E316" si="756">AJ316-SUM(AB316:AB320)</f>
        <v>#N/A</v>
      </c>
      <c r="D316" s="122" t="e">
        <f t="shared" si="756"/>
        <v>#N/A</v>
      </c>
      <c r="E316" s="122" t="e">
        <f t="shared" si="756"/>
        <v>#N/A</v>
      </c>
      <c r="F316" s="176" t="e">
        <f t="shared" si="626"/>
        <v>#N/A</v>
      </c>
      <c r="G316" s="121">
        <f t="shared" si="646"/>
        <v>208</v>
      </c>
      <c r="H316" s="176" t="e">
        <f t="shared" si="647"/>
        <v>#N/A</v>
      </c>
      <c r="I316" s="48">
        <v>1</v>
      </c>
      <c r="J316" s="39"/>
      <c r="K316" s="350">
        <v>1</v>
      </c>
      <c r="L316" s="34" t="e">
        <f t="shared" si="627"/>
        <v>#N/A</v>
      </c>
      <c r="M316" s="38" t="e">
        <f>(HLOOKUP(J316,'Construction Times'!$B$3:$W$34,L316+2,FALSE)*HLOOKUP("hq modifier",'Construction Times'!$W$3:$W$34,BS316+2,FALSE))*(1-$H$9)</f>
        <v>#N/A</v>
      </c>
      <c r="N316" s="426" t="e">
        <f t="shared" si="648"/>
        <v>#N/A</v>
      </c>
      <c r="O316" s="427"/>
      <c r="P316" s="430" t="e">
        <f t="shared" si="649"/>
        <v>#N/A</v>
      </c>
      <c r="Q316" s="431"/>
      <c r="R316" s="103">
        <f t="shared" si="677"/>
        <v>0</v>
      </c>
      <c r="S316" s="104">
        <f t="shared" si="677"/>
        <v>0</v>
      </c>
      <c r="T316" s="104">
        <f t="shared" si="678"/>
        <v>0</v>
      </c>
      <c r="U316" s="104">
        <f t="shared" si="678"/>
        <v>0</v>
      </c>
      <c r="V316" s="104">
        <f t="shared" si="678"/>
        <v>9.9999999999999995E-8</v>
      </c>
      <c r="W316" s="104">
        <f t="shared" si="678"/>
        <v>0</v>
      </c>
      <c r="X316" s="104">
        <f t="shared" si="737"/>
        <v>0</v>
      </c>
      <c r="Y316" s="104">
        <f t="shared" si="737"/>
        <v>9.9999999999999995E-8</v>
      </c>
      <c r="Z316" s="104">
        <f t="shared" si="737"/>
        <v>9.9999999999999995E-8</v>
      </c>
      <c r="AA316" s="105">
        <f t="shared" si="737"/>
        <v>9.9999999999999995E-8</v>
      </c>
      <c r="AB316" s="101" t="e">
        <f>$DT316*HLOOKUP($J316,'Construction Costs (timber)'!$B$1:$V$32,'Construction Planner'!$L316+2,FALSE)</f>
        <v>#N/A</v>
      </c>
      <c r="AC316" s="14" t="e">
        <f>$DT316*HLOOKUP($J316,'Construction Costs (clay)'!$B$1:$V$32,'Construction Planner'!$L316+2,FALSE)</f>
        <v>#N/A</v>
      </c>
      <c r="AD316" s="14" t="e">
        <f>$DT316*HLOOKUP($J316,'Construction Costs (iron)'!$B$1:$V$32,'Construction Planner'!$L316+2,FALSE)</f>
        <v>#N/A</v>
      </c>
      <c r="AE316" s="34" t="e">
        <f t="shared" si="690"/>
        <v>#N/A</v>
      </c>
      <c r="AF316" s="33" t="e">
        <f t="shared" si="628"/>
        <v>#N/A</v>
      </c>
      <c r="AG316" s="14" t="e">
        <f t="shared" si="629"/>
        <v>#N/A</v>
      </c>
      <c r="AH316" s="14" t="e">
        <f t="shared" si="630"/>
        <v>#N/A</v>
      </c>
      <c r="AI316" s="34" t="e">
        <f t="shared" si="691"/>
        <v>#N/A</v>
      </c>
      <c r="AJ316" s="49" t="e">
        <f t="shared" si="651"/>
        <v>#N/A</v>
      </c>
      <c r="AK316" s="49" t="e">
        <f t="shared" si="652"/>
        <v>#N/A</v>
      </c>
      <c r="AL316" s="49" t="e">
        <f t="shared" si="653"/>
        <v>#N/A</v>
      </c>
      <c r="AM316" s="25">
        <f t="shared" si="631"/>
        <v>30</v>
      </c>
      <c r="AN316" s="25">
        <f t="shared" si="632"/>
        <v>30</v>
      </c>
      <c r="AO316" s="25">
        <f t="shared" si="633"/>
        <v>30</v>
      </c>
      <c r="AP316" s="52" t="e">
        <f t="shared" si="654"/>
        <v>#N/A</v>
      </c>
      <c r="AQ316" s="53" t="e">
        <f t="shared" si="654"/>
        <v>#N/A</v>
      </c>
      <c r="AR316" s="54" t="e">
        <f t="shared" si="654"/>
        <v>#N/A</v>
      </c>
      <c r="AS316" s="316">
        <f t="shared" si="746"/>
        <v>0</v>
      </c>
      <c r="AT316" s="106">
        <f>_xlfn.IFNA($M316/VLOOKUP($BT316,'Unit information'!$A$2:$K$29,2,FALSE)*R316,0)*(1+$E$9)</f>
        <v>0</v>
      </c>
      <c r="AU316" s="107">
        <f>_xlfn.IFNA($M316/VLOOKUP($BT316,'Unit information'!$A$2:$K$29,3,FALSE)*S316,0)*(1+$E$9)</f>
        <v>0</v>
      </c>
      <c r="AV316" s="107">
        <f>_xlfn.IFNA($M316/VLOOKUP($BT316,'Unit information'!$A$2:$K$29,4,FALSE)*T316,0)*(1+$E$9)</f>
        <v>0</v>
      </c>
      <c r="AW316" s="107">
        <f>_xlfn.IFNA($M316/VLOOKUP($BT316,'Unit information'!$A$2:$K$29,5,FALSE)*U316,0)*(1+$E$9)</f>
        <v>0</v>
      </c>
      <c r="AX316" s="107">
        <f>_xlfn.IFNA($M316/VLOOKUP($BU316,'Unit information'!$A$2:$K$29,6,FALSE)*V316,0)*(1+$E$9)</f>
        <v>0</v>
      </c>
      <c r="AY316" s="107">
        <f>_xlfn.IFNA($M316/VLOOKUP($BU316,'Unit information'!$A$2:$K$29,7,FALSE)*W316,0)*(1+$E$9)</f>
        <v>0</v>
      </c>
      <c r="AZ316" s="107">
        <f>_xlfn.IFNA($M316/VLOOKUP($BU316,'Unit information'!$A$2:$K$29,8,FALSE)*X316,0)*(1+$E$9)</f>
        <v>0</v>
      </c>
      <c r="BA316" s="107">
        <f>_xlfn.IFNA($M316/VLOOKUP($BU316,'Unit information'!$A$2:$K$29,9,FALSE)*Y316,0)*(1+$E$9)</f>
        <v>0</v>
      </c>
      <c r="BB316" s="107">
        <f>_xlfn.IFNA($M316/VLOOKUP($BV316,'Unit information'!$A$2:$K$29,10,FALSE)*Z316,0)*(1+$E$9)</f>
        <v>0</v>
      </c>
      <c r="BC316" s="108">
        <f>_xlfn.IFNA($M316/VLOOKUP($BV316,'Unit information'!$A$2:$K$29,11,FALSE)*AA316,0)*(1+$E$9)</f>
        <v>0</v>
      </c>
      <c r="BD316" s="106">
        <f t="shared" si="634"/>
        <v>0</v>
      </c>
      <c r="BE316" s="107">
        <f t="shared" si="635"/>
        <v>0</v>
      </c>
      <c r="BF316" s="108">
        <f t="shared" si="636"/>
        <v>0</v>
      </c>
      <c r="BG316" s="25" t="e">
        <f t="shared" si="637"/>
        <v>#N/A</v>
      </c>
      <c r="BH316" s="25" t="e">
        <f t="shared" si="638"/>
        <v>#N/A</v>
      </c>
      <c r="BI316" s="25" t="e">
        <f t="shared" si="639"/>
        <v>#N/A</v>
      </c>
      <c r="BJ316" s="27" t="e">
        <f t="shared" si="640"/>
        <v>#N/A</v>
      </c>
      <c r="BK316" s="18" t="e">
        <f t="shared" si="641"/>
        <v>#N/A</v>
      </c>
      <c r="BL316" s="18" t="e">
        <f t="shared" si="642"/>
        <v>#N/A</v>
      </c>
      <c r="BM316" s="28" t="e">
        <f t="shared" si="693"/>
        <v>#N/A</v>
      </c>
      <c r="BN316" s="33">
        <f>HLOOKUP("maximum population",Miscelaneous!$C$1:$C$33,CH316+3,FALSE)</f>
        <v>240</v>
      </c>
      <c r="BO316" s="14">
        <f t="shared" si="655"/>
        <v>32</v>
      </c>
      <c r="BP316" s="14">
        <f t="shared" si="656"/>
        <v>0</v>
      </c>
      <c r="BQ316" s="14">
        <f t="shared" si="657"/>
        <v>208</v>
      </c>
      <c r="BR316" s="34" t="e">
        <f>HLOOKUP(J316,Villagers!$B$1:$V$33,L316+3,FALSE)-HLOOKUP(J316,Villagers!$B$1:$V$33,L316+2,FALSE)</f>
        <v>#N/A</v>
      </c>
      <c r="BS316" s="49">
        <f t="shared" si="658"/>
        <v>1</v>
      </c>
      <c r="BT316" s="50">
        <f t="shared" si="659"/>
        <v>0</v>
      </c>
      <c r="BU316" s="50">
        <f t="shared" si="660"/>
        <v>0</v>
      </c>
      <c r="BV316" s="50">
        <f t="shared" si="661"/>
        <v>0</v>
      </c>
      <c r="BW316" s="50">
        <f t="shared" si="750"/>
        <v>0</v>
      </c>
      <c r="BX316" s="50">
        <f t="shared" si="751"/>
        <v>0</v>
      </c>
      <c r="BY316" s="50">
        <f t="shared" si="751"/>
        <v>0</v>
      </c>
      <c r="BZ316" s="50">
        <f t="shared" si="707"/>
        <v>0</v>
      </c>
      <c r="CA316" s="50">
        <f t="shared" si="708"/>
        <v>0</v>
      </c>
      <c r="CB316" s="50">
        <f t="shared" si="709"/>
        <v>1</v>
      </c>
      <c r="CC316" s="50">
        <f t="shared" si="710"/>
        <v>0</v>
      </c>
      <c r="CD316" s="50">
        <f t="shared" si="711"/>
        <v>0</v>
      </c>
      <c r="CE316" s="50">
        <f t="shared" si="712"/>
        <v>1</v>
      </c>
      <c r="CF316" s="50">
        <f t="shared" si="713"/>
        <v>1</v>
      </c>
      <c r="CG316" s="50">
        <f t="shared" si="714"/>
        <v>1</v>
      </c>
      <c r="CH316" s="50">
        <f t="shared" si="715"/>
        <v>1</v>
      </c>
      <c r="CI316" s="50">
        <f t="shared" si="716"/>
        <v>1</v>
      </c>
      <c r="CJ316" s="50">
        <f t="shared" si="717"/>
        <v>1</v>
      </c>
      <c r="CK316" s="50">
        <f t="shared" si="717"/>
        <v>0</v>
      </c>
      <c r="CL316" s="50">
        <f t="shared" si="717"/>
        <v>0</v>
      </c>
      <c r="CM316" s="51">
        <f t="shared" si="605"/>
        <v>0</v>
      </c>
      <c r="CN316" s="33">
        <f>ROUND(IF(BS316=0,0,HLOOKUP(BS$14,Villagers!$B$1:$V$33,BS316+3,FALSE)),)</f>
        <v>5</v>
      </c>
      <c r="CO316" s="14">
        <f>ROUND(IF(BT316=0,0,HLOOKUP(BT$14,Villagers!$B$1:$V$33,BT316+3,FALSE)),)</f>
        <v>0</v>
      </c>
      <c r="CP316" s="14">
        <f>ROUND(IF(BU316=0,0,HLOOKUP(BU$14,Villagers!$B$1:$V$33,BU316+3,FALSE)),)</f>
        <v>0</v>
      </c>
      <c r="CQ316" s="14">
        <f>ROUND(IF(BV316=0,0,HLOOKUP(BV$14,Villagers!$B$1:$V$33,BV316+3,FALSE)),)</f>
        <v>0</v>
      </c>
      <c r="CR316" s="14">
        <f>ROUND(IF(BW316=0,0,HLOOKUP(BW$14,Villagers!$B$1:$V$33,BW316+3,FALSE)),)</f>
        <v>0</v>
      </c>
      <c r="CS316" s="14">
        <f>ROUND(IF(BX316=0,0,HLOOKUP(BX$14,Villagers!$B$1:$V$33,BX316+3,FALSE)),)</f>
        <v>0</v>
      </c>
      <c r="CT316" s="14">
        <f>ROUND(IF(BY316=0,0,HLOOKUP(BY$14,Villagers!$B$1:$V$33,BY316+3,FALSE)),)</f>
        <v>0</v>
      </c>
      <c r="CU316" s="14">
        <f>ROUND(IF(BZ316=0,0,HLOOKUP(BZ$14,Villagers!$B$1:$V$33,BZ316+3,FALSE)),)</f>
        <v>0</v>
      </c>
      <c r="CV316" s="14">
        <f>ROUND(IF(CA316=0,0,HLOOKUP(CA$14,Villagers!$B$1:$V$33,CA316+3,FALSE)),)</f>
        <v>0</v>
      </c>
      <c r="CW316" s="14">
        <f>ROUND(IF(CB316=0,0,HLOOKUP(CB$14,Villagers!$B$1:$V$33,CB316+3,FALSE)),)</f>
        <v>0</v>
      </c>
      <c r="CX316" s="14">
        <f>ROUND(IF(CC316=0,0,HLOOKUP(CC$14,Villagers!$B$1:$V$33,CC316+3,FALSE)),)</f>
        <v>0</v>
      </c>
      <c r="CY316" s="14">
        <f>ROUND(IF(CD316=0,0,HLOOKUP(CD$14,Villagers!$B$1:$V$33,CD316+3,FALSE)),)</f>
        <v>0</v>
      </c>
      <c r="CZ316" s="14">
        <f>ROUND(IF(CE316=0,0,HLOOKUP(CE$14,Villagers!$B$1:$V$33,CE316+3,FALSE)),)</f>
        <v>5</v>
      </c>
      <c r="DA316" s="14">
        <f>ROUND(IF(CF316=0,0,HLOOKUP(CF$14,Villagers!$B$1:$V$33,CF316+3,FALSE)),)</f>
        <v>10</v>
      </c>
      <c r="DB316" s="14">
        <f>ROUND(IF(CG316=0,0,HLOOKUP(CG$14,Villagers!$B$1:$V$33,CG316+3,FALSE)),)</f>
        <v>10</v>
      </c>
      <c r="DC316" s="14">
        <f>ROUND(IF(CH316=0,0,HLOOKUP(CH$14,Villagers!$B$1:$V$33,CH316+3,FALSE)),)</f>
        <v>0</v>
      </c>
      <c r="DD316" s="14">
        <f>ROUND(IF(CI316=0,0,HLOOKUP(CI$14,Villagers!$B$1:$V$33,CI316+3,FALSE)),)</f>
        <v>0</v>
      </c>
      <c r="DE316" s="14">
        <f>ROUND(IF(CJ316=0,0,HLOOKUP(CJ$14,Villagers!$B$1:$V$33,CJ316+3,FALSE)),)</f>
        <v>2</v>
      </c>
      <c r="DF316" s="370">
        <f>ROUND(IF(CK316=0,0,HLOOKUP(CK$14,Villagers!$B$1:$V$33,CK316+3,FALSE)),)</f>
        <v>0</v>
      </c>
      <c r="DG316" s="370">
        <f>ROUND(IF(CL316=0,0,HLOOKUP(CL$14,Villagers!$B$1:$V$33,CL316+3,FALSE)),)</f>
        <v>0</v>
      </c>
      <c r="DH316" s="34">
        <f>ROUND(IF(CM316=0,0,HLOOKUP(CM$14,Villagers!$B$1:$V$33,CM316+3,FALSE)),)</f>
        <v>0</v>
      </c>
      <c r="DI316" s="109">
        <f t="shared" si="679"/>
        <v>0</v>
      </c>
      <c r="DJ316" s="50">
        <f t="shared" si="680"/>
        <v>0</v>
      </c>
      <c r="DK316" s="50">
        <f t="shared" si="681"/>
        <v>0</v>
      </c>
      <c r="DL316" s="50">
        <f t="shared" si="682"/>
        <v>0</v>
      </c>
      <c r="DM316" s="50">
        <f t="shared" si="683"/>
        <v>0</v>
      </c>
      <c r="DN316" s="50">
        <f t="shared" si="684"/>
        <v>0</v>
      </c>
      <c r="DO316" s="50">
        <f t="shared" si="685"/>
        <v>0</v>
      </c>
      <c r="DP316" s="50">
        <f t="shared" si="686"/>
        <v>0</v>
      </c>
      <c r="DQ316" s="50">
        <f t="shared" si="663"/>
        <v>0</v>
      </c>
      <c r="DR316" s="50">
        <f t="shared" si="664"/>
        <v>0</v>
      </c>
      <c r="DS316" s="96">
        <f>Miscelaneous!$D$4*Miscelaneous!$D$2^($CI316-1)</f>
        <v>1000</v>
      </c>
      <c r="DT316" s="333">
        <f t="shared" si="643"/>
        <v>1</v>
      </c>
      <c r="DU316" s="81">
        <v>1</v>
      </c>
      <c r="DV316" s="79">
        <f t="shared" si="665"/>
        <v>0</v>
      </c>
      <c r="DW316" s="79">
        <f t="shared" si="666"/>
        <v>0</v>
      </c>
      <c r="DX316" s="79">
        <f t="shared" si="667"/>
        <v>0</v>
      </c>
      <c r="DY316" s="79">
        <v>1</v>
      </c>
      <c r="DZ316" s="79">
        <f t="shared" si="668"/>
        <v>0</v>
      </c>
      <c r="EA316" s="79">
        <f t="shared" si="669"/>
        <v>0</v>
      </c>
      <c r="EB316" s="79">
        <f t="shared" si="670"/>
        <v>0</v>
      </c>
      <c r="EC316" s="79">
        <f t="shared" si="671"/>
        <v>0</v>
      </c>
      <c r="ED316" s="79">
        <v>1</v>
      </c>
      <c r="EE316" s="79">
        <v>1</v>
      </c>
      <c r="EF316" s="79">
        <f t="shared" si="672"/>
        <v>0</v>
      </c>
      <c r="EG316" s="79">
        <v>1</v>
      </c>
      <c r="EH316" s="79">
        <v>1</v>
      </c>
      <c r="EI316" s="79">
        <v>1</v>
      </c>
      <c r="EJ316" s="79">
        <v>1</v>
      </c>
      <c r="EK316" s="79">
        <v>1</v>
      </c>
      <c r="EL316" s="79">
        <v>1</v>
      </c>
      <c r="EM316" s="143">
        <f t="shared" si="673"/>
        <v>0</v>
      </c>
      <c r="EN316" s="143">
        <f t="shared" si="674"/>
        <v>0</v>
      </c>
      <c r="EO316" s="82">
        <f t="shared" si="675"/>
        <v>0</v>
      </c>
    </row>
    <row r="317" spans="1:145" x14ac:dyDescent="0.25">
      <c r="A317">
        <v>303</v>
      </c>
      <c r="B317" s="172" t="e">
        <f t="shared" si="644"/>
        <v>#N/A</v>
      </c>
      <c r="C317" s="121" t="e">
        <f t="shared" ref="C317:E317" si="757">AJ317-SUM(AB317:AB321)</f>
        <v>#N/A</v>
      </c>
      <c r="D317" s="122" t="e">
        <f t="shared" si="757"/>
        <v>#N/A</v>
      </c>
      <c r="E317" s="122" t="e">
        <f t="shared" si="757"/>
        <v>#N/A</v>
      </c>
      <c r="F317" s="176" t="e">
        <f t="shared" si="626"/>
        <v>#N/A</v>
      </c>
      <c r="G317" s="121">
        <f t="shared" si="646"/>
        <v>208</v>
      </c>
      <c r="H317" s="176" t="e">
        <f t="shared" si="647"/>
        <v>#N/A</v>
      </c>
      <c r="I317" s="48">
        <v>1</v>
      </c>
      <c r="J317" s="39"/>
      <c r="K317" s="350">
        <v>1</v>
      </c>
      <c r="L317" s="34" t="e">
        <f t="shared" si="627"/>
        <v>#N/A</v>
      </c>
      <c r="M317" s="38" t="e">
        <f>(HLOOKUP(J317,'Construction Times'!$B$3:$W$34,L317+2,FALSE)*HLOOKUP("hq modifier",'Construction Times'!$W$3:$W$34,BS317+2,FALSE))*(1-$H$9)</f>
        <v>#N/A</v>
      </c>
      <c r="N317" s="426" t="e">
        <f t="shared" si="648"/>
        <v>#N/A</v>
      </c>
      <c r="O317" s="427"/>
      <c r="P317" s="430" t="e">
        <f t="shared" si="649"/>
        <v>#N/A</v>
      </c>
      <c r="Q317" s="431"/>
      <c r="R317" s="103">
        <f t="shared" si="677"/>
        <v>0</v>
      </c>
      <c r="S317" s="104">
        <f t="shared" si="677"/>
        <v>0</v>
      </c>
      <c r="T317" s="104">
        <f t="shared" si="678"/>
        <v>0</v>
      </c>
      <c r="U317" s="104">
        <f t="shared" si="678"/>
        <v>0</v>
      </c>
      <c r="V317" s="104">
        <f t="shared" si="678"/>
        <v>9.9999999999999995E-8</v>
      </c>
      <c r="W317" s="104">
        <f t="shared" si="678"/>
        <v>0</v>
      </c>
      <c r="X317" s="104">
        <f t="shared" si="737"/>
        <v>0</v>
      </c>
      <c r="Y317" s="104">
        <f t="shared" si="737"/>
        <v>9.9999999999999995E-8</v>
      </c>
      <c r="Z317" s="104">
        <f t="shared" si="737"/>
        <v>9.9999999999999995E-8</v>
      </c>
      <c r="AA317" s="105">
        <f t="shared" si="737"/>
        <v>9.9999999999999995E-8</v>
      </c>
      <c r="AB317" s="101" t="e">
        <f>$DT317*HLOOKUP($J317,'Construction Costs (timber)'!$B$1:$V$32,'Construction Planner'!$L317+2,FALSE)</f>
        <v>#N/A</v>
      </c>
      <c r="AC317" s="14" t="e">
        <f>$DT317*HLOOKUP($J317,'Construction Costs (clay)'!$B$1:$V$32,'Construction Planner'!$L317+2,FALSE)</f>
        <v>#N/A</v>
      </c>
      <c r="AD317" s="14" t="e">
        <f>$DT317*HLOOKUP($J317,'Construction Costs (iron)'!$B$1:$V$32,'Construction Planner'!$L317+2,FALSE)</f>
        <v>#N/A</v>
      </c>
      <c r="AE317" s="34" t="e">
        <f t="shared" si="690"/>
        <v>#N/A</v>
      </c>
      <c r="AF317" s="33" t="e">
        <f t="shared" si="628"/>
        <v>#N/A</v>
      </c>
      <c r="AG317" s="14" t="e">
        <f t="shared" si="629"/>
        <v>#N/A</v>
      </c>
      <c r="AH317" s="14" t="e">
        <f t="shared" si="630"/>
        <v>#N/A</v>
      </c>
      <c r="AI317" s="34" t="e">
        <f t="shared" si="691"/>
        <v>#N/A</v>
      </c>
      <c r="AJ317" s="49" t="e">
        <f t="shared" si="651"/>
        <v>#N/A</v>
      </c>
      <c r="AK317" s="49" t="e">
        <f t="shared" si="652"/>
        <v>#N/A</v>
      </c>
      <c r="AL317" s="49" t="e">
        <f t="shared" si="653"/>
        <v>#N/A</v>
      </c>
      <c r="AM317" s="25">
        <f t="shared" si="631"/>
        <v>30</v>
      </c>
      <c r="AN317" s="25">
        <f t="shared" si="632"/>
        <v>30</v>
      </c>
      <c r="AO317" s="25">
        <f t="shared" si="633"/>
        <v>30</v>
      </c>
      <c r="AP317" s="52" t="e">
        <f t="shared" si="654"/>
        <v>#N/A</v>
      </c>
      <c r="AQ317" s="53" t="e">
        <f t="shared" si="654"/>
        <v>#N/A</v>
      </c>
      <c r="AR317" s="54" t="e">
        <f t="shared" si="654"/>
        <v>#N/A</v>
      </c>
      <c r="AS317" s="316">
        <f t="shared" si="746"/>
        <v>0</v>
      </c>
      <c r="AT317" s="106">
        <f>_xlfn.IFNA($M317/VLOOKUP($BT317,'Unit information'!$A$2:$K$29,2,FALSE)*R317,0)*(1+$E$9)</f>
        <v>0</v>
      </c>
      <c r="AU317" s="107">
        <f>_xlfn.IFNA($M317/VLOOKUP($BT317,'Unit information'!$A$2:$K$29,3,FALSE)*S317,0)*(1+$E$9)</f>
        <v>0</v>
      </c>
      <c r="AV317" s="107">
        <f>_xlfn.IFNA($M317/VLOOKUP($BT317,'Unit information'!$A$2:$K$29,4,FALSE)*T317,0)*(1+$E$9)</f>
        <v>0</v>
      </c>
      <c r="AW317" s="107">
        <f>_xlfn.IFNA($M317/VLOOKUP($BT317,'Unit information'!$A$2:$K$29,5,FALSE)*U317,0)*(1+$E$9)</f>
        <v>0</v>
      </c>
      <c r="AX317" s="107">
        <f>_xlfn.IFNA($M317/VLOOKUP($BU317,'Unit information'!$A$2:$K$29,6,FALSE)*V317,0)*(1+$E$9)</f>
        <v>0</v>
      </c>
      <c r="AY317" s="107">
        <f>_xlfn.IFNA($M317/VLOOKUP($BU317,'Unit information'!$A$2:$K$29,7,FALSE)*W317,0)*(1+$E$9)</f>
        <v>0</v>
      </c>
      <c r="AZ317" s="107">
        <f>_xlfn.IFNA($M317/VLOOKUP($BU317,'Unit information'!$A$2:$K$29,8,FALSE)*X317,0)*(1+$E$9)</f>
        <v>0</v>
      </c>
      <c r="BA317" s="107">
        <f>_xlfn.IFNA($M317/VLOOKUP($BU317,'Unit information'!$A$2:$K$29,9,FALSE)*Y317,0)*(1+$E$9)</f>
        <v>0</v>
      </c>
      <c r="BB317" s="107">
        <f>_xlfn.IFNA($M317/VLOOKUP($BV317,'Unit information'!$A$2:$K$29,10,FALSE)*Z317,0)*(1+$E$9)</f>
        <v>0</v>
      </c>
      <c r="BC317" s="108">
        <f>_xlfn.IFNA($M317/VLOOKUP($BV317,'Unit information'!$A$2:$K$29,11,FALSE)*AA317,0)*(1+$E$9)</f>
        <v>0</v>
      </c>
      <c r="BD317" s="106">
        <f t="shared" si="634"/>
        <v>0</v>
      </c>
      <c r="BE317" s="107">
        <f t="shared" si="635"/>
        <v>0</v>
      </c>
      <c r="BF317" s="108">
        <f t="shared" si="636"/>
        <v>0</v>
      </c>
      <c r="BG317" s="25" t="e">
        <f t="shared" si="637"/>
        <v>#N/A</v>
      </c>
      <c r="BH317" s="25" t="e">
        <f t="shared" si="638"/>
        <v>#N/A</v>
      </c>
      <c r="BI317" s="25" t="e">
        <f t="shared" si="639"/>
        <v>#N/A</v>
      </c>
      <c r="BJ317" s="27" t="e">
        <f t="shared" si="640"/>
        <v>#N/A</v>
      </c>
      <c r="BK317" s="18" t="e">
        <f t="shared" si="641"/>
        <v>#N/A</v>
      </c>
      <c r="BL317" s="18" t="e">
        <f t="shared" si="642"/>
        <v>#N/A</v>
      </c>
      <c r="BM317" s="28" t="e">
        <f t="shared" si="693"/>
        <v>#N/A</v>
      </c>
      <c r="BN317" s="33">
        <f>HLOOKUP("maximum population",Miscelaneous!$C$1:$C$33,CH317+3,FALSE)</f>
        <v>240</v>
      </c>
      <c r="BO317" s="14">
        <f t="shared" si="655"/>
        <v>32</v>
      </c>
      <c r="BP317" s="14">
        <f t="shared" si="656"/>
        <v>0</v>
      </c>
      <c r="BQ317" s="14">
        <f t="shared" si="657"/>
        <v>208</v>
      </c>
      <c r="BR317" s="34" t="e">
        <f>HLOOKUP(J317,Villagers!$B$1:$V$33,L317+3,FALSE)-HLOOKUP(J317,Villagers!$B$1:$V$33,L317+2,FALSE)</f>
        <v>#N/A</v>
      </c>
      <c r="BS317" s="49">
        <f t="shared" si="658"/>
        <v>1</v>
      </c>
      <c r="BT317" s="50">
        <f t="shared" si="659"/>
        <v>0</v>
      </c>
      <c r="BU317" s="50">
        <f t="shared" si="660"/>
        <v>0</v>
      </c>
      <c r="BV317" s="50">
        <f t="shared" si="661"/>
        <v>0</v>
      </c>
      <c r="BW317" s="50">
        <f t="shared" si="750"/>
        <v>0</v>
      </c>
      <c r="BX317" s="50">
        <f t="shared" si="751"/>
        <v>0</v>
      </c>
      <c r="BY317" s="50">
        <f t="shared" si="751"/>
        <v>0</v>
      </c>
      <c r="BZ317" s="50">
        <f t="shared" si="707"/>
        <v>0</v>
      </c>
      <c r="CA317" s="50">
        <f t="shared" si="708"/>
        <v>0</v>
      </c>
      <c r="CB317" s="50">
        <f t="shared" si="709"/>
        <v>1</v>
      </c>
      <c r="CC317" s="50">
        <f t="shared" si="710"/>
        <v>0</v>
      </c>
      <c r="CD317" s="50">
        <f t="shared" si="711"/>
        <v>0</v>
      </c>
      <c r="CE317" s="50">
        <f t="shared" si="712"/>
        <v>1</v>
      </c>
      <c r="CF317" s="50">
        <f t="shared" si="713"/>
        <v>1</v>
      </c>
      <c r="CG317" s="50">
        <f t="shared" si="714"/>
        <v>1</v>
      </c>
      <c r="CH317" s="50">
        <f t="shared" si="715"/>
        <v>1</v>
      </c>
      <c r="CI317" s="50">
        <f t="shared" si="716"/>
        <v>1</v>
      </c>
      <c r="CJ317" s="50">
        <f t="shared" si="717"/>
        <v>1</v>
      </c>
      <c r="CK317" s="50">
        <f t="shared" si="717"/>
        <v>0</v>
      </c>
      <c r="CL317" s="50">
        <f t="shared" si="717"/>
        <v>0</v>
      </c>
      <c r="CM317" s="51">
        <f t="shared" si="605"/>
        <v>0</v>
      </c>
      <c r="CN317" s="33">
        <f>ROUND(IF(BS317=0,0,HLOOKUP(BS$14,Villagers!$B$1:$V$33,BS317+3,FALSE)),)</f>
        <v>5</v>
      </c>
      <c r="CO317" s="14">
        <f>ROUND(IF(BT317=0,0,HLOOKUP(BT$14,Villagers!$B$1:$V$33,BT317+3,FALSE)),)</f>
        <v>0</v>
      </c>
      <c r="CP317" s="14">
        <f>ROUND(IF(BU317=0,0,HLOOKUP(BU$14,Villagers!$B$1:$V$33,BU317+3,FALSE)),)</f>
        <v>0</v>
      </c>
      <c r="CQ317" s="14">
        <f>ROUND(IF(BV317=0,0,HLOOKUP(BV$14,Villagers!$B$1:$V$33,BV317+3,FALSE)),)</f>
        <v>0</v>
      </c>
      <c r="CR317" s="14">
        <f>ROUND(IF(BW317=0,0,HLOOKUP(BW$14,Villagers!$B$1:$V$33,BW317+3,FALSE)),)</f>
        <v>0</v>
      </c>
      <c r="CS317" s="14">
        <f>ROUND(IF(BX317=0,0,HLOOKUP(BX$14,Villagers!$B$1:$V$33,BX317+3,FALSE)),)</f>
        <v>0</v>
      </c>
      <c r="CT317" s="14">
        <f>ROUND(IF(BY317=0,0,HLOOKUP(BY$14,Villagers!$B$1:$V$33,BY317+3,FALSE)),)</f>
        <v>0</v>
      </c>
      <c r="CU317" s="14">
        <f>ROUND(IF(BZ317=0,0,HLOOKUP(BZ$14,Villagers!$B$1:$V$33,BZ317+3,FALSE)),)</f>
        <v>0</v>
      </c>
      <c r="CV317" s="14">
        <f>ROUND(IF(CA317=0,0,HLOOKUP(CA$14,Villagers!$B$1:$V$33,CA317+3,FALSE)),)</f>
        <v>0</v>
      </c>
      <c r="CW317" s="14">
        <f>ROUND(IF(CB317=0,0,HLOOKUP(CB$14,Villagers!$B$1:$V$33,CB317+3,FALSE)),)</f>
        <v>0</v>
      </c>
      <c r="CX317" s="14">
        <f>ROUND(IF(CC317=0,0,HLOOKUP(CC$14,Villagers!$B$1:$V$33,CC317+3,FALSE)),)</f>
        <v>0</v>
      </c>
      <c r="CY317" s="14">
        <f>ROUND(IF(CD317=0,0,HLOOKUP(CD$14,Villagers!$B$1:$V$33,CD317+3,FALSE)),)</f>
        <v>0</v>
      </c>
      <c r="CZ317" s="14">
        <f>ROUND(IF(CE317=0,0,HLOOKUP(CE$14,Villagers!$B$1:$V$33,CE317+3,FALSE)),)</f>
        <v>5</v>
      </c>
      <c r="DA317" s="14">
        <f>ROUND(IF(CF317=0,0,HLOOKUP(CF$14,Villagers!$B$1:$V$33,CF317+3,FALSE)),)</f>
        <v>10</v>
      </c>
      <c r="DB317" s="14">
        <f>ROUND(IF(CG317=0,0,HLOOKUP(CG$14,Villagers!$B$1:$V$33,CG317+3,FALSE)),)</f>
        <v>10</v>
      </c>
      <c r="DC317" s="14">
        <f>ROUND(IF(CH317=0,0,HLOOKUP(CH$14,Villagers!$B$1:$V$33,CH317+3,FALSE)),)</f>
        <v>0</v>
      </c>
      <c r="DD317" s="14">
        <f>ROUND(IF(CI317=0,0,HLOOKUP(CI$14,Villagers!$B$1:$V$33,CI317+3,FALSE)),)</f>
        <v>0</v>
      </c>
      <c r="DE317" s="14">
        <f>ROUND(IF(CJ317=0,0,HLOOKUP(CJ$14,Villagers!$B$1:$V$33,CJ317+3,FALSE)),)</f>
        <v>2</v>
      </c>
      <c r="DF317" s="370">
        <f>ROUND(IF(CK317=0,0,HLOOKUP(CK$14,Villagers!$B$1:$V$33,CK317+3,FALSE)),)</f>
        <v>0</v>
      </c>
      <c r="DG317" s="370">
        <f>ROUND(IF(CL317=0,0,HLOOKUP(CL$14,Villagers!$B$1:$V$33,CL317+3,FALSE)),)</f>
        <v>0</v>
      </c>
      <c r="DH317" s="34">
        <f>ROUND(IF(CM317=0,0,HLOOKUP(CM$14,Villagers!$B$1:$V$33,CM317+3,FALSE)),)</f>
        <v>0</v>
      </c>
      <c r="DI317" s="109">
        <f t="shared" si="679"/>
        <v>0</v>
      </c>
      <c r="DJ317" s="50">
        <f t="shared" si="680"/>
        <v>0</v>
      </c>
      <c r="DK317" s="50">
        <f t="shared" si="681"/>
        <v>0</v>
      </c>
      <c r="DL317" s="50">
        <f t="shared" si="682"/>
        <v>0</v>
      </c>
      <c r="DM317" s="50">
        <f t="shared" si="683"/>
        <v>0</v>
      </c>
      <c r="DN317" s="50">
        <f t="shared" si="684"/>
        <v>0</v>
      </c>
      <c r="DO317" s="50">
        <f t="shared" si="685"/>
        <v>0</v>
      </c>
      <c r="DP317" s="50">
        <f t="shared" si="686"/>
        <v>0</v>
      </c>
      <c r="DQ317" s="50">
        <f t="shared" si="663"/>
        <v>0</v>
      </c>
      <c r="DR317" s="50">
        <f t="shared" si="664"/>
        <v>0</v>
      </c>
      <c r="DS317" s="96">
        <f>Miscelaneous!$D$4*Miscelaneous!$D$2^($CI317-1)</f>
        <v>1000</v>
      </c>
      <c r="DT317" s="333">
        <f t="shared" si="643"/>
        <v>1</v>
      </c>
      <c r="DU317" s="81">
        <v>1</v>
      </c>
      <c r="DV317" s="79">
        <f t="shared" si="665"/>
        <v>0</v>
      </c>
      <c r="DW317" s="79">
        <f t="shared" si="666"/>
        <v>0</v>
      </c>
      <c r="DX317" s="79">
        <f t="shared" si="667"/>
        <v>0</v>
      </c>
      <c r="DY317" s="79">
        <v>1</v>
      </c>
      <c r="DZ317" s="79">
        <f t="shared" si="668"/>
        <v>0</v>
      </c>
      <c r="EA317" s="79">
        <f t="shared" si="669"/>
        <v>0</v>
      </c>
      <c r="EB317" s="79">
        <f t="shared" si="670"/>
        <v>0</v>
      </c>
      <c r="EC317" s="79">
        <f t="shared" si="671"/>
        <v>0</v>
      </c>
      <c r="ED317" s="79">
        <v>1</v>
      </c>
      <c r="EE317" s="79">
        <v>1</v>
      </c>
      <c r="EF317" s="79">
        <f t="shared" si="672"/>
        <v>0</v>
      </c>
      <c r="EG317" s="79">
        <v>1</v>
      </c>
      <c r="EH317" s="79">
        <v>1</v>
      </c>
      <c r="EI317" s="79">
        <v>1</v>
      </c>
      <c r="EJ317" s="79">
        <v>1</v>
      </c>
      <c r="EK317" s="79">
        <v>1</v>
      </c>
      <c r="EL317" s="79">
        <v>1</v>
      </c>
      <c r="EM317" s="143">
        <f t="shared" si="673"/>
        <v>0</v>
      </c>
      <c r="EN317" s="143">
        <f t="shared" si="674"/>
        <v>0</v>
      </c>
      <c r="EO317" s="82">
        <f t="shared" si="675"/>
        <v>0</v>
      </c>
    </row>
    <row r="318" spans="1:145" x14ac:dyDescent="0.25">
      <c r="A318">
        <v>304</v>
      </c>
      <c r="B318" s="172" t="e">
        <f t="shared" si="644"/>
        <v>#N/A</v>
      </c>
      <c r="C318" s="121" t="e">
        <f t="shared" ref="C318:E318" si="758">AJ318-SUM(AB318:AB322)</f>
        <v>#N/A</v>
      </c>
      <c r="D318" s="122" t="e">
        <f t="shared" si="758"/>
        <v>#N/A</v>
      </c>
      <c r="E318" s="122" t="e">
        <f t="shared" si="758"/>
        <v>#N/A</v>
      </c>
      <c r="F318" s="176" t="e">
        <f t="shared" si="626"/>
        <v>#N/A</v>
      </c>
      <c r="G318" s="121">
        <f t="shared" si="646"/>
        <v>208</v>
      </c>
      <c r="H318" s="176" t="e">
        <f t="shared" si="647"/>
        <v>#N/A</v>
      </c>
      <c r="I318" s="48">
        <v>1</v>
      </c>
      <c r="J318" s="39"/>
      <c r="K318" s="350">
        <v>1</v>
      </c>
      <c r="L318" s="34" t="e">
        <f t="shared" si="627"/>
        <v>#N/A</v>
      </c>
      <c r="M318" s="38" t="e">
        <f>(HLOOKUP(J318,'Construction Times'!$B$3:$W$34,L318+2,FALSE)*HLOOKUP("hq modifier",'Construction Times'!$W$3:$W$34,BS318+2,FALSE))*(1-$H$9)</f>
        <v>#N/A</v>
      </c>
      <c r="N318" s="426" t="e">
        <f t="shared" si="648"/>
        <v>#N/A</v>
      </c>
      <c r="O318" s="427"/>
      <c r="P318" s="430" t="e">
        <f t="shared" si="649"/>
        <v>#N/A</v>
      </c>
      <c r="Q318" s="431"/>
      <c r="R318" s="103">
        <f t="shared" si="677"/>
        <v>0</v>
      </c>
      <c r="S318" s="104">
        <f t="shared" si="677"/>
        <v>0</v>
      </c>
      <c r="T318" s="104">
        <f t="shared" si="678"/>
        <v>0</v>
      </c>
      <c r="U318" s="104">
        <f t="shared" si="678"/>
        <v>0</v>
      </c>
      <c r="V318" s="104">
        <f t="shared" si="678"/>
        <v>9.9999999999999995E-8</v>
      </c>
      <c r="W318" s="104">
        <f t="shared" si="678"/>
        <v>0</v>
      </c>
      <c r="X318" s="104">
        <f t="shared" si="737"/>
        <v>0</v>
      </c>
      <c r="Y318" s="104">
        <f t="shared" si="737"/>
        <v>9.9999999999999995E-8</v>
      </c>
      <c r="Z318" s="104">
        <f t="shared" si="737"/>
        <v>9.9999999999999995E-8</v>
      </c>
      <c r="AA318" s="105">
        <f t="shared" si="737"/>
        <v>9.9999999999999995E-8</v>
      </c>
      <c r="AB318" s="101" t="e">
        <f>$DT318*HLOOKUP($J318,'Construction Costs (timber)'!$B$1:$V$32,'Construction Planner'!$L318+2,FALSE)</f>
        <v>#N/A</v>
      </c>
      <c r="AC318" s="14" t="e">
        <f>$DT318*HLOOKUP($J318,'Construction Costs (clay)'!$B$1:$V$32,'Construction Planner'!$L318+2,FALSE)</f>
        <v>#N/A</v>
      </c>
      <c r="AD318" s="14" t="e">
        <f>$DT318*HLOOKUP($J318,'Construction Costs (iron)'!$B$1:$V$32,'Construction Planner'!$L318+2,FALSE)</f>
        <v>#N/A</v>
      </c>
      <c r="AE318" s="34" t="e">
        <f t="shared" si="690"/>
        <v>#N/A</v>
      </c>
      <c r="AF318" s="33" t="e">
        <f t="shared" si="628"/>
        <v>#N/A</v>
      </c>
      <c r="AG318" s="14" t="e">
        <f t="shared" si="629"/>
        <v>#N/A</v>
      </c>
      <c r="AH318" s="14" t="e">
        <f t="shared" si="630"/>
        <v>#N/A</v>
      </c>
      <c r="AI318" s="34" t="e">
        <f t="shared" si="691"/>
        <v>#N/A</v>
      </c>
      <c r="AJ318" s="49" t="e">
        <f t="shared" si="651"/>
        <v>#N/A</v>
      </c>
      <c r="AK318" s="49" t="e">
        <f t="shared" si="652"/>
        <v>#N/A</v>
      </c>
      <c r="AL318" s="49" t="e">
        <f t="shared" si="653"/>
        <v>#N/A</v>
      </c>
      <c r="AM318" s="25">
        <f t="shared" si="631"/>
        <v>30</v>
      </c>
      <c r="AN318" s="25">
        <f t="shared" si="632"/>
        <v>30</v>
      </c>
      <c r="AO318" s="25">
        <f t="shared" si="633"/>
        <v>30</v>
      </c>
      <c r="AP318" s="52" t="e">
        <f t="shared" si="654"/>
        <v>#N/A</v>
      </c>
      <c r="AQ318" s="53" t="e">
        <f t="shared" si="654"/>
        <v>#N/A</v>
      </c>
      <c r="AR318" s="54" t="e">
        <f t="shared" si="654"/>
        <v>#N/A</v>
      </c>
      <c r="AS318" s="316">
        <f t="shared" si="746"/>
        <v>0</v>
      </c>
      <c r="AT318" s="106">
        <f>_xlfn.IFNA($M318/VLOOKUP($BT318,'Unit information'!$A$2:$K$29,2,FALSE)*R318,0)*(1+$E$9)</f>
        <v>0</v>
      </c>
      <c r="AU318" s="107">
        <f>_xlfn.IFNA($M318/VLOOKUP($BT318,'Unit information'!$A$2:$K$29,3,FALSE)*S318,0)*(1+$E$9)</f>
        <v>0</v>
      </c>
      <c r="AV318" s="107">
        <f>_xlfn.IFNA($M318/VLOOKUP($BT318,'Unit information'!$A$2:$K$29,4,FALSE)*T318,0)*(1+$E$9)</f>
        <v>0</v>
      </c>
      <c r="AW318" s="107">
        <f>_xlfn.IFNA($M318/VLOOKUP($BT318,'Unit information'!$A$2:$K$29,5,FALSE)*U318,0)*(1+$E$9)</f>
        <v>0</v>
      </c>
      <c r="AX318" s="107">
        <f>_xlfn.IFNA($M318/VLOOKUP($BU318,'Unit information'!$A$2:$K$29,6,FALSE)*V318,0)*(1+$E$9)</f>
        <v>0</v>
      </c>
      <c r="AY318" s="107">
        <f>_xlfn.IFNA($M318/VLOOKUP($BU318,'Unit information'!$A$2:$K$29,7,FALSE)*W318,0)*(1+$E$9)</f>
        <v>0</v>
      </c>
      <c r="AZ318" s="107">
        <f>_xlfn.IFNA($M318/VLOOKUP($BU318,'Unit information'!$A$2:$K$29,8,FALSE)*X318,0)*(1+$E$9)</f>
        <v>0</v>
      </c>
      <c r="BA318" s="107">
        <f>_xlfn.IFNA($M318/VLOOKUP($BU318,'Unit information'!$A$2:$K$29,9,FALSE)*Y318,0)*(1+$E$9)</f>
        <v>0</v>
      </c>
      <c r="BB318" s="107">
        <f>_xlfn.IFNA($M318/VLOOKUP($BV318,'Unit information'!$A$2:$K$29,10,FALSE)*Z318,0)*(1+$E$9)</f>
        <v>0</v>
      </c>
      <c r="BC318" s="108">
        <f>_xlfn.IFNA($M318/VLOOKUP($BV318,'Unit information'!$A$2:$K$29,11,FALSE)*AA318,0)*(1+$E$9)</f>
        <v>0</v>
      </c>
      <c r="BD318" s="106">
        <f t="shared" si="634"/>
        <v>0</v>
      </c>
      <c r="BE318" s="107">
        <f t="shared" si="635"/>
        <v>0</v>
      </c>
      <c r="BF318" s="108">
        <f t="shared" si="636"/>
        <v>0</v>
      </c>
      <c r="BG318" s="25" t="e">
        <f t="shared" si="637"/>
        <v>#N/A</v>
      </c>
      <c r="BH318" s="25" t="e">
        <f t="shared" si="638"/>
        <v>#N/A</v>
      </c>
      <c r="BI318" s="25" t="e">
        <f t="shared" si="639"/>
        <v>#N/A</v>
      </c>
      <c r="BJ318" s="27" t="e">
        <f t="shared" si="640"/>
        <v>#N/A</v>
      </c>
      <c r="BK318" s="18" t="e">
        <f t="shared" si="641"/>
        <v>#N/A</v>
      </c>
      <c r="BL318" s="18" t="e">
        <f t="shared" si="642"/>
        <v>#N/A</v>
      </c>
      <c r="BM318" s="28" t="e">
        <f t="shared" si="693"/>
        <v>#N/A</v>
      </c>
      <c r="BN318" s="33">
        <f>HLOOKUP("maximum population",Miscelaneous!$C$1:$C$33,CH318+3,FALSE)</f>
        <v>240</v>
      </c>
      <c r="BO318" s="14">
        <f t="shared" si="655"/>
        <v>32</v>
      </c>
      <c r="BP318" s="14">
        <f t="shared" si="656"/>
        <v>0</v>
      </c>
      <c r="BQ318" s="14">
        <f t="shared" si="657"/>
        <v>208</v>
      </c>
      <c r="BR318" s="34" t="e">
        <f>HLOOKUP(J318,Villagers!$B$1:$V$33,L318+3,FALSE)-HLOOKUP(J318,Villagers!$B$1:$V$33,L318+2,FALSE)</f>
        <v>#N/A</v>
      </c>
      <c r="BS318" s="49">
        <f t="shared" si="658"/>
        <v>1</v>
      </c>
      <c r="BT318" s="50">
        <f t="shared" si="659"/>
        <v>0</v>
      </c>
      <c r="BU318" s="50">
        <f t="shared" si="660"/>
        <v>0</v>
      </c>
      <c r="BV318" s="50">
        <f t="shared" si="661"/>
        <v>0</v>
      </c>
      <c r="BW318" s="50">
        <f t="shared" si="750"/>
        <v>0</v>
      </c>
      <c r="BX318" s="50">
        <f t="shared" si="751"/>
        <v>0</v>
      </c>
      <c r="BY318" s="50">
        <f t="shared" si="751"/>
        <v>0</v>
      </c>
      <c r="BZ318" s="50">
        <f t="shared" si="707"/>
        <v>0</v>
      </c>
      <c r="CA318" s="50">
        <f t="shared" si="708"/>
        <v>0</v>
      </c>
      <c r="CB318" s="50">
        <f t="shared" si="709"/>
        <v>1</v>
      </c>
      <c r="CC318" s="50">
        <f t="shared" si="710"/>
        <v>0</v>
      </c>
      <c r="CD318" s="50">
        <f t="shared" si="711"/>
        <v>0</v>
      </c>
      <c r="CE318" s="50">
        <f t="shared" si="712"/>
        <v>1</v>
      </c>
      <c r="CF318" s="50">
        <f t="shared" si="713"/>
        <v>1</v>
      </c>
      <c r="CG318" s="50">
        <f t="shared" si="714"/>
        <v>1</v>
      </c>
      <c r="CH318" s="50">
        <f t="shared" si="715"/>
        <v>1</v>
      </c>
      <c r="CI318" s="50">
        <f t="shared" si="716"/>
        <v>1</v>
      </c>
      <c r="CJ318" s="50">
        <f t="shared" si="717"/>
        <v>1</v>
      </c>
      <c r="CK318" s="50">
        <f t="shared" si="717"/>
        <v>0</v>
      </c>
      <c r="CL318" s="50">
        <f t="shared" si="717"/>
        <v>0</v>
      </c>
      <c r="CM318" s="51">
        <f t="shared" si="605"/>
        <v>0</v>
      </c>
      <c r="CN318" s="33">
        <f>ROUND(IF(BS318=0,0,HLOOKUP(BS$14,Villagers!$B$1:$V$33,BS318+3,FALSE)),)</f>
        <v>5</v>
      </c>
      <c r="CO318" s="14">
        <f>ROUND(IF(BT318=0,0,HLOOKUP(BT$14,Villagers!$B$1:$V$33,BT318+3,FALSE)),)</f>
        <v>0</v>
      </c>
      <c r="CP318" s="14">
        <f>ROUND(IF(BU318=0,0,HLOOKUP(BU$14,Villagers!$B$1:$V$33,BU318+3,FALSE)),)</f>
        <v>0</v>
      </c>
      <c r="CQ318" s="14">
        <f>ROUND(IF(BV318=0,0,HLOOKUP(BV$14,Villagers!$B$1:$V$33,BV318+3,FALSE)),)</f>
        <v>0</v>
      </c>
      <c r="CR318" s="14">
        <f>ROUND(IF(BW318=0,0,HLOOKUP(BW$14,Villagers!$B$1:$V$33,BW318+3,FALSE)),)</f>
        <v>0</v>
      </c>
      <c r="CS318" s="14">
        <f>ROUND(IF(BX318=0,0,HLOOKUP(BX$14,Villagers!$B$1:$V$33,BX318+3,FALSE)),)</f>
        <v>0</v>
      </c>
      <c r="CT318" s="14">
        <f>ROUND(IF(BY318=0,0,HLOOKUP(BY$14,Villagers!$B$1:$V$33,BY318+3,FALSE)),)</f>
        <v>0</v>
      </c>
      <c r="CU318" s="14">
        <f>ROUND(IF(BZ318=0,0,HLOOKUP(BZ$14,Villagers!$B$1:$V$33,BZ318+3,FALSE)),)</f>
        <v>0</v>
      </c>
      <c r="CV318" s="14">
        <f>ROUND(IF(CA318=0,0,HLOOKUP(CA$14,Villagers!$B$1:$V$33,CA318+3,FALSE)),)</f>
        <v>0</v>
      </c>
      <c r="CW318" s="14">
        <f>ROUND(IF(CB318=0,0,HLOOKUP(CB$14,Villagers!$B$1:$V$33,CB318+3,FALSE)),)</f>
        <v>0</v>
      </c>
      <c r="CX318" s="14">
        <f>ROUND(IF(CC318=0,0,HLOOKUP(CC$14,Villagers!$B$1:$V$33,CC318+3,FALSE)),)</f>
        <v>0</v>
      </c>
      <c r="CY318" s="14">
        <f>ROUND(IF(CD318=0,0,HLOOKUP(CD$14,Villagers!$B$1:$V$33,CD318+3,FALSE)),)</f>
        <v>0</v>
      </c>
      <c r="CZ318" s="14">
        <f>ROUND(IF(CE318=0,0,HLOOKUP(CE$14,Villagers!$B$1:$V$33,CE318+3,FALSE)),)</f>
        <v>5</v>
      </c>
      <c r="DA318" s="14">
        <f>ROUND(IF(CF318=0,0,HLOOKUP(CF$14,Villagers!$B$1:$V$33,CF318+3,FALSE)),)</f>
        <v>10</v>
      </c>
      <c r="DB318" s="14">
        <f>ROUND(IF(CG318=0,0,HLOOKUP(CG$14,Villagers!$B$1:$V$33,CG318+3,FALSE)),)</f>
        <v>10</v>
      </c>
      <c r="DC318" s="14">
        <f>ROUND(IF(CH318=0,0,HLOOKUP(CH$14,Villagers!$B$1:$V$33,CH318+3,FALSE)),)</f>
        <v>0</v>
      </c>
      <c r="DD318" s="14">
        <f>ROUND(IF(CI318=0,0,HLOOKUP(CI$14,Villagers!$B$1:$V$33,CI318+3,FALSE)),)</f>
        <v>0</v>
      </c>
      <c r="DE318" s="14">
        <f>ROUND(IF(CJ318=0,0,HLOOKUP(CJ$14,Villagers!$B$1:$V$33,CJ318+3,FALSE)),)</f>
        <v>2</v>
      </c>
      <c r="DF318" s="370">
        <f>ROUND(IF(CK318=0,0,HLOOKUP(CK$14,Villagers!$B$1:$V$33,CK318+3,FALSE)),)</f>
        <v>0</v>
      </c>
      <c r="DG318" s="370">
        <f>ROUND(IF(CL318=0,0,HLOOKUP(CL$14,Villagers!$B$1:$V$33,CL318+3,FALSE)),)</f>
        <v>0</v>
      </c>
      <c r="DH318" s="34">
        <f>ROUND(IF(CM318=0,0,HLOOKUP(CM$14,Villagers!$B$1:$V$33,CM318+3,FALSE)),)</f>
        <v>0</v>
      </c>
      <c r="DI318" s="109">
        <f t="shared" si="679"/>
        <v>0</v>
      </c>
      <c r="DJ318" s="50">
        <f t="shared" si="680"/>
        <v>0</v>
      </c>
      <c r="DK318" s="50">
        <f t="shared" si="681"/>
        <v>0</v>
      </c>
      <c r="DL318" s="50">
        <f t="shared" si="682"/>
        <v>0</v>
      </c>
      <c r="DM318" s="50">
        <f t="shared" si="683"/>
        <v>0</v>
      </c>
      <c r="DN318" s="50">
        <f t="shared" si="684"/>
        <v>0</v>
      </c>
      <c r="DO318" s="50">
        <f t="shared" si="685"/>
        <v>0</v>
      </c>
      <c r="DP318" s="50">
        <f t="shared" si="686"/>
        <v>0</v>
      </c>
      <c r="DQ318" s="50">
        <f t="shared" si="663"/>
        <v>0</v>
      </c>
      <c r="DR318" s="50">
        <f t="shared" si="664"/>
        <v>0</v>
      </c>
      <c r="DS318" s="96">
        <f>Miscelaneous!$D$4*Miscelaneous!$D$2^($CI318-1)</f>
        <v>1000</v>
      </c>
      <c r="DT318" s="333">
        <f t="shared" si="643"/>
        <v>1</v>
      </c>
      <c r="DU318" s="81">
        <v>1</v>
      </c>
      <c r="DV318" s="79">
        <f t="shared" si="665"/>
        <v>0</v>
      </c>
      <c r="DW318" s="79">
        <f t="shared" si="666"/>
        <v>0</v>
      </c>
      <c r="DX318" s="79">
        <f t="shared" si="667"/>
        <v>0</v>
      </c>
      <c r="DY318" s="79">
        <v>1</v>
      </c>
      <c r="DZ318" s="79">
        <f t="shared" si="668"/>
        <v>0</v>
      </c>
      <c r="EA318" s="79">
        <f t="shared" si="669"/>
        <v>0</v>
      </c>
      <c r="EB318" s="79">
        <f t="shared" si="670"/>
        <v>0</v>
      </c>
      <c r="EC318" s="79">
        <f t="shared" si="671"/>
        <v>0</v>
      </c>
      <c r="ED318" s="79">
        <v>1</v>
      </c>
      <c r="EE318" s="79">
        <v>1</v>
      </c>
      <c r="EF318" s="79">
        <f t="shared" si="672"/>
        <v>0</v>
      </c>
      <c r="EG318" s="79">
        <v>1</v>
      </c>
      <c r="EH318" s="79">
        <v>1</v>
      </c>
      <c r="EI318" s="79">
        <v>1</v>
      </c>
      <c r="EJ318" s="79">
        <v>1</v>
      </c>
      <c r="EK318" s="79">
        <v>1</v>
      </c>
      <c r="EL318" s="79">
        <v>1</v>
      </c>
      <c r="EM318" s="143">
        <f t="shared" si="673"/>
        <v>0</v>
      </c>
      <c r="EN318" s="143">
        <f t="shared" si="674"/>
        <v>0</v>
      </c>
      <c r="EO318" s="82">
        <f t="shared" si="675"/>
        <v>0</v>
      </c>
    </row>
    <row r="319" spans="1:145" x14ac:dyDescent="0.25">
      <c r="A319">
        <v>305</v>
      </c>
      <c r="B319" s="172" t="e">
        <f t="shared" si="644"/>
        <v>#N/A</v>
      </c>
      <c r="C319" s="121" t="e">
        <f t="shared" ref="C319:E319" si="759">AJ319-SUM(AB319:AB323)</f>
        <v>#N/A</v>
      </c>
      <c r="D319" s="122" t="e">
        <f t="shared" si="759"/>
        <v>#N/A</v>
      </c>
      <c r="E319" s="122" t="e">
        <f t="shared" si="759"/>
        <v>#N/A</v>
      </c>
      <c r="F319" s="176" t="e">
        <f t="shared" si="626"/>
        <v>#N/A</v>
      </c>
      <c r="G319" s="121">
        <f t="shared" si="646"/>
        <v>208</v>
      </c>
      <c r="H319" s="176" t="e">
        <f t="shared" si="647"/>
        <v>#N/A</v>
      </c>
      <c r="I319" s="48">
        <v>1</v>
      </c>
      <c r="J319" s="39"/>
      <c r="K319" s="350">
        <v>1</v>
      </c>
      <c r="L319" s="34" t="e">
        <f t="shared" si="627"/>
        <v>#N/A</v>
      </c>
      <c r="M319" s="38" t="e">
        <f>(HLOOKUP(J319,'Construction Times'!$B$3:$W$34,L319+2,FALSE)*HLOOKUP("hq modifier",'Construction Times'!$W$3:$W$34,BS319+2,FALSE))*(1-$H$9)</f>
        <v>#N/A</v>
      </c>
      <c r="N319" s="426" t="e">
        <f t="shared" si="648"/>
        <v>#N/A</v>
      </c>
      <c r="O319" s="427"/>
      <c r="P319" s="430" t="e">
        <f t="shared" si="649"/>
        <v>#N/A</v>
      </c>
      <c r="Q319" s="431"/>
      <c r="R319" s="103">
        <f t="shared" si="677"/>
        <v>0</v>
      </c>
      <c r="S319" s="104">
        <f t="shared" si="677"/>
        <v>0</v>
      </c>
      <c r="T319" s="104">
        <f t="shared" si="678"/>
        <v>0</v>
      </c>
      <c r="U319" s="104">
        <f t="shared" si="678"/>
        <v>0</v>
      </c>
      <c r="V319" s="104">
        <f t="shared" si="678"/>
        <v>9.9999999999999995E-8</v>
      </c>
      <c r="W319" s="104">
        <f t="shared" si="678"/>
        <v>0</v>
      </c>
      <c r="X319" s="104">
        <f t="shared" si="737"/>
        <v>0</v>
      </c>
      <c r="Y319" s="104">
        <f t="shared" si="737"/>
        <v>9.9999999999999995E-8</v>
      </c>
      <c r="Z319" s="104">
        <f t="shared" si="737"/>
        <v>9.9999999999999995E-8</v>
      </c>
      <c r="AA319" s="105">
        <f t="shared" si="737"/>
        <v>9.9999999999999995E-8</v>
      </c>
      <c r="AB319" s="101" t="e">
        <f>$DT319*HLOOKUP($J319,'Construction Costs (timber)'!$B$1:$V$32,'Construction Planner'!$L319+2,FALSE)</f>
        <v>#N/A</v>
      </c>
      <c r="AC319" s="14" t="e">
        <f>$DT319*HLOOKUP($J319,'Construction Costs (clay)'!$B$1:$V$32,'Construction Planner'!$L319+2,FALSE)</f>
        <v>#N/A</v>
      </c>
      <c r="AD319" s="14" t="e">
        <f>$DT319*HLOOKUP($J319,'Construction Costs (iron)'!$B$1:$V$32,'Construction Planner'!$L319+2,FALSE)</f>
        <v>#N/A</v>
      </c>
      <c r="AE319" s="34" t="e">
        <f t="shared" si="690"/>
        <v>#N/A</v>
      </c>
      <c r="AF319" s="33" t="e">
        <f t="shared" si="628"/>
        <v>#N/A</v>
      </c>
      <c r="AG319" s="14" t="e">
        <f t="shared" si="629"/>
        <v>#N/A</v>
      </c>
      <c r="AH319" s="14" t="e">
        <f t="shared" si="630"/>
        <v>#N/A</v>
      </c>
      <c r="AI319" s="34" t="e">
        <f t="shared" si="691"/>
        <v>#N/A</v>
      </c>
      <c r="AJ319" s="49" t="e">
        <f t="shared" si="651"/>
        <v>#N/A</v>
      </c>
      <c r="AK319" s="49" t="e">
        <f t="shared" si="652"/>
        <v>#N/A</v>
      </c>
      <c r="AL319" s="49" t="e">
        <f t="shared" si="653"/>
        <v>#N/A</v>
      </c>
      <c r="AM319" s="25">
        <f t="shared" si="631"/>
        <v>30</v>
      </c>
      <c r="AN319" s="25">
        <f t="shared" si="632"/>
        <v>30</v>
      </c>
      <c r="AO319" s="25">
        <f t="shared" si="633"/>
        <v>30</v>
      </c>
      <c r="AP319" s="52" t="e">
        <f t="shared" si="654"/>
        <v>#N/A</v>
      </c>
      <c r="AQ319" s="53" t="e">
        <f t="shared" si="654"/>
        <v>#N/A</v>
      </c>
      <c r="AR319" s="54" t="e">
        <f t="shared" si="654"/>
        <v>#N/A</v>
      </c>
      <c r="AS319" s="316">
        <f t="shared" si="746"/>
        <v>0</v>
      </c>
      <c r="AT319" s="106">
        <f>_xlfn.IFNA($M319/VLOOKUP($BT319,'Unit information'!$A$2:$K$29,2,FALSE)*R319,0)*(1+$E$9)</f>
        <v>0</v>
      </c>
      <c r="AU319" s="107">
        <f>_xlfn.IFNA($M319/VLOOKUP($BT319,'Unit information'!$A$2:$K$29,3,FALSE)*S319,0)*(1+$E$9)</f>
        <v>0</v>
      </c>
      <c r="AV319" s="107">
        <f>_xlfn.IFNA($M319/VLOOKUP($BT319,'Unit information'!$A$2:$K$29,4,FALSE)*T319,0)*(1+$E$9)</f>
        <v>0</v>
      </c>
      <c r="AW319" s="107">
        <f>_xlfn.IFNA($M319/VLOOKUP($BT319,'Unit information'!$A$2:$K$29,5,FALSE)*U319,0)*(1+$E$9)</f>
        <v>0</v>
      </c>
      <c r="AX319" s="107">
        <f>_xlfn.IFNA($M319/VLOOKUP($BU319,'Unit information'!$A$2:$K$29,6,FALSE)*V319,0)*(1+$E$9)</f>
        <v>0</v>
      </c>
      <c r="AY319" s="107">
        <f>_xlfn.IFNA($M319/VLOOKUP($BU319,'Unit information'!$A$2:$K$29,7,FALSE)*W319,0)*(1+$E$9)</f>
        <v>0</v>
      </c>
      <c r="AZ319" s="107">
        <f>_xlfn.IFNA($M319/VLOOKUP($BU319,'Unit information'!$A$2:$K$29,8,FALSE)*X319,0)*(1+$E$9)</f>
        <v>0</v>
      </c>
      <c r="BA319" s="107">
        <f>_xlfn.IFNA($M319/VLOOKUP($BU319,'Unit information'!$A$2:$K$29,9,FALSE)*Y319,0)*(1+$E$9)</f>
        <v>0</v>
      </c>
      <c r="BB319" s="107">
        <f>_xlfn.IFNA($M319/VLOOKUP($BV319,'Unit information'!$A$2:$K$29,10,FALSE)*Z319,0)*(1+$E$9)</f>
        <v>0</v>
      </c>
      <c r="BC319" s="108">
        <f>_xlfn.IFNA($M319/VLOOKUP($BV319,'Unit information'!$A$2:$K$29,11,FALSE)*AA319,0)*(1+$E$9)</f>
        <v>0</v>
      </c>
      <c r="BD319" s="106">
        <f t="shared" si="634"/>
        <v>0</v>
      </c>
      <c r="BE319" s="107">
        <f t="shared" si="635"/>
        <v>0</v>
      </c>
      <c r="BF319" s="108">
        <f t="shared" si="636"/>
        <v>0</v>
      </c>
      <c r="BG319" s="25" t="e">
        <f t="shared" si="637"/>
        <v>#N/A</v>
      </c>
      <c r="BH319" s="25" t="e">
        <f t="shared" si="638"/>
        <v>#N/A</v>
      </c>
      <c r="BI319" s="25" t="e">
        <f t="shared" si="639"/>
        <v>#N/A</v>
      </c>
      <c r="BJ319" s="27" t="e">
        <f t="shared" si="640"/>
        <v>#N/A</v>
      </c>
      <c r="BK319" s="18" t="e">
        <f t="shared" si="641"/>
        <v>#N/A</v>
      </c>
      <c r="BL319" s="18" t="e">
        <f t="shared" si="642"/>
        <v>#N/A</v>
      </c>
      <c r="BM319" s="28" t="e">
        <f t="shared" si="693"/>
        <v>#N/A</v>
      </c>
      <c r="BN319" s="33">
        <f>HLOOKUP("maximum population",Miscelaneous!$C$1:$C$33,CH319+3,FALSE)</f>
        <v>240</v>
      </c>
      <c r="BO319" s="14">
        <f t="shared" si="655"/>
        <v>32</v>
      </c>
      <c r="BP319" s="14">
        <f t="shared" si="656"/>
        <v>0</v>
      </c>
      <c r="BQ319" s="14">
        <f t="shared" si="657"/>
        <v>208</v>
      </c>
      <c r="BR319" s="34" t="e">
        <f>HLOOKUP(J319,Villagers!$B$1:$V$33,L319+3,FALSE)-HLOOKUP(J319,Villagers!$B$1:$V$33,L319+2,FALSE)</f>
        <v>#N/A</v>
      </c>
      <c r="BS319" s="49">
        <f t="shared" si="658"/>
        <v>1</v>
      </c>
      <c r="BT319" s="50">
        <f t="shared" si="659"/>
        <v>0</v>
      </c>
      <c r="BU319" s="50">
        <f t="shared" si="660"/>
        <v>0</v>
      </c>
      <c r="BV319" s="50">
        <f t="shared" si="661"/>
        <v>0</v>
      </c>
      <c r="BW319" s="50">
        <f t="shared" si="750"/>
        <v>0</v>
      </c>
      <c r="BX319" s="50">
        <f t="shared" si="751"/>
        <v>0</v>
      </c>
      <c r="BY319" s="50">
        <f t="shared" si="751"/>
        <v>0</v>
      </c>
      <c r="BZ319" s="50">
        <f t="shared" si="707"/>
        <v>0</v>
      </c>
      <c r="CA319" s="50">
        <f t="shared" si="708"/>
        <v>0</v>
      </c>
      <c r="CB319" s="50">
        <f t="shared" si="709"/>
        <v>1</v>
      </c>
      <c r="CC319" s="50">
        <f t="shared" si="710"/>
        <v>0</v>
      </c>
      <c r="CD319" s="50">
        <f t="shared" si="711"/>
        <v>0</v>
      </c>
      <c r="CE319" s="50">
        <f t="shared" si="712"/>
        <v>1</v>
      </c>
      <c r="CF319" s="50">
        <f t="shared" si="713"/>
        <v>1</v>
      </c>
      <c r="CG319" s="50">
        <f t="shared" si="714"/>
        <v>1</v>
      </c>
      <c r="CH319" s="50">
        <f t="shared" si="715"/>
        <v>1</v>
      </c>
      <c r="CI319" s="50">
        <f t="shared" si="716"/>
        <v>1</v>
      </c>
      <c r="CJ319" s="50">
        <f t="shared" si="717"/>
        <v>1</v>
      </c>
      <c r="CK319" s="50">
        <f t="shared" si="717"/>
        <v>0</v>
      </c>
      <c r="CL319" s="50">
        <f t="shared" si="717"/>
        <v>0</v>
      </c>
      <c r="CM319" s="51">
        <f t="shared" ref="CM319:CM334" si="760">IF($J318=CM$14,$L318,CM318)</f>
        <v>0</v>
      </c>
      <c r="CN319" s="33">
        <f>ROUND(IF(BS319=0,0,HLOOKUP(BS$14,Villagers!$B$1:$V$33,BS319+3,FALSE)),)</f>
        <v>5</v>
      </c>
      <c r="CO319" s="14">
        <f>ROUND(IF(BT319=0,0,HLOOKUP(BT$14,Villagers!$B$1:$V$33,BT319+3,FALSE)),)</f>
        <v>0</v>
      </c>
      <c r="CP319" s="14">
        <f>ROUND(IF(BU319=0,0,HLOOKUP(BU$14,Villagers!$B$1:$V$33,BU319+3,FALSE)),)</f>
        <v>0</v>
      </c>
      <c r="CQ319" s="14">
        <f>ROUND(IF(BV319=0,0,HLOOKUP(BV$14,Villagers!$B$1:$V$33,BV319+3,FALSE)),)</f>
        <v>0</v>
      </c>
      <c r="CR319" s="14">
        <f>ROUND(IF(BW319=0,0,HLOOKUP(BW$14,Villagers!$B$1:$V$33,BW319+3,FALSE)),)</f>
        <v>0</v>
      </c>
      <c r="CS319" s="14">
        <f>ROUND(IF(BX319=0,0,HLOOKUP(BX$14,Villagers!$B$1:$V$33,BX319+3,FALSE)),)</f>
        <v>0</v>
      </c>
      <c r="CT319" s="14">
        <f>ROUND(IF(BY319=0,0,HLOOKUP(BY$14,Villagers!$B$1:$V$33,BY319+3,FALSE)),)</f>
        <v>0</v>
      </c>
      <c r="CU319" s="14">
        <f>ROUND(IF(BZ319=0,0,HLOOKUP(BZ$14,Villagers!$B$1:$V$33,BZ319+3,FALSE)),)</f>
        <v>0</v>
      </c>
      <c r="CV319" s="14">
        <f>ROUND(IF(CA319=0,0,HLOOKUP(CA$14,Villagers!$B$1:$V$33,CA319+3,FALSE)),)</f>
        <v>0</v>
      </c>
      <c r="CW319" s="14">
        <f>ROUND(IF(CB319=0,0,HLOOKUP(CB$14,Villagers!$B$1:$V$33,CB319+3,FALSE)),)</f>
        <v>0</v>
      </c>
      <c r="CX319" s="14">
        <f>ROUND(IF(CC319=0,0,HLOOKUP(CC$14,Villagers!$B$1:$V$33,CC319+3,FALSE)),)</f>
        <v>0</v>
      </c>
      <c r="CY319" s="14">
        <f>ROUND(IF(CD319=0,0,HLOOKUP(CD$14,Villagers!$B$1:$V$33,CD319+3,FALSE)),)</f>
        <v>0</v>
      </c>
      <c r="CZ319" s="14">
        <f>ROUND(IF(CE319=0,0,HLOOKUP(CE$14,Villagers!$B$1:$V$33,CE319+3,FALSE)),)</f>
        <v>5</v>
      </c>
      <c r="DA319" s="14">
        <f>ROUND(IF(CF319=0,0,HLOOKUP(CF$14,Villagers!$B$1:$V$33,CF319+3,FALSE)),)</f>
        <v>10</v>
      </c>
      <c r="DB319" s="14">
        <f>ROUND(IF(CG319=0,0,HLOOKUP(CG$14,Villagers!$B$1:$V$33,CG319+3,FALSE)),)</f>
        <v>10</v>
      </c>
      <c r="DC319" s="14">
        <f>ROUND(IF(CH319=0,0,HLOOKUP(CH$14,Villagers!$B$1:$V$33,CH319+3,FALSE)),)</f>
        <v>0</v>
      </c>
      <c r="DD319" s="14">
        <f>ROUND(IF(CI319=0,0,HLOOKUP(CI$14,Villagers!$B$1:$V$33,CI319+3,FALSE)),)</f>
        <v>0</v>
      </c>
      <c r="DE319" s="14">
        <f>ROUND(IF(CJ319=0,0,HLOOKUP(CJ$14,Villagers!$B$1:$V$33,CJ319+3,FALSE)),)</f>
        <v>2</v>
      </c>
      <c r="DF319" s="370">
        <f>ROUND(IF(CK319=0,0,HLOOKUP(CK$14,Villagers!$B$1:$V$33,CK319+3,FALSE)),)</f>
        <v>0</v>
      </c>
      <c r="DG319" s="370">
        <f>ROUND(IF(CL319=0,0,HLOOKUP(CL$14,Villagers!$B$1:$V$33,CL319+3,FALSE)),)</f>
        <v>0</v>
      </c>
      <c r="DH319" s="34">
        <f>ROUND(IF(CM319=0,0,HLOOKUP(CM$14,Villagers!$B$1:$V$33,CM319+3,FALSE)),)</f>
        <v>0</v>
      </c>
      <c r="DI319" s="109">
        <f t="shared" si="679"/>
        <v>0</v>
      </c>
      <c r="DJ319" s="50">
        <f t="shared" si="680"/>
        <v>0</v>
      </c>
      <c r="DK319" s="50">
        <f t="shared" si="681"/>
        <v>0</v>
      </c>
      <c r="DL319" s="50">
        <f t="shared" si="682"/>
        <v>0</v>
      </c>
      <c r="DM319" s="50">
        <f t="shared" si="683"/>
        <v>0</v>
      </c>
      <c r="DN319" s="50">
        <f t="shared" si="684"/>
        <v>0</v>
      </c>
      <c r="DO319" s="50">
        <f t="shared" si="685"/>
        <v>0</v>
      </c>
      <c r="DP319" s="50">
        <f t="shared" si="686"/>
        <v>0</v>
      </c>
      <c r="DQ319" s="50">
        <f t="shared" si="663"/>
        <v>0</v>
      </c>
      <c r="DR319" s="50">
        <f t="shared" si="664"/>
        <v>0</v>
      </c>
      <c r="DS319" s="96">
        <f>Miscelaneous!$D$4*Miscelaneous!$D$2^($CI319-1)</f>
        <v>1000</v>
      </c>
      <c r="DT319" s="333">
        <f t="shared" si="643"/>
        <v>1</v>
      </c>
      <c r="DU319" s="81">
        <v>1</v>
      </c>
      <c r="DV319" s="79">
        <f t="shared" si="665"/>
        <v>0</v>
      </c>
      <c r="DW319" s="79">
        <f t="shared" si="666"/>
        <v>0</v>
      </c>
      <c r="DX319" s="79">
        <f t="shared" si="667"/>
        <v>0</v>
      </c>
      <c r="DY319" s="79">
        <v>1</v>
      </c>
      <c r="DZ319" s="79">
        <f t="shared" si="668"/>
        <v>0</v>
      </c>
      <c r="EA319" s="79">
        <f t="shared" si="669"/>
        <v>0</v>
      </c>
      <c r="EB319" s="79">
        <f t="shared" si="670"/>
        <v>0</v>
      </c>
      <c r="EC319" s="79">
        <f t="shared" si="671"/>
        <v>0</v>
      </c>
      <c r="ED319" s="79">
        <v>1</v>
      </c>
      <c r="EE319" s="79">
        <v>1</v>
      </c>
      <c r="EF319" s="79">
        <f t="shared" si="672"/>
        <v>0</v>
      </c>
      <c r="EG319" s="79">
        <v>1</v>
      </c>
      <c r="EH319" s="79">
        <v>1</v>
      </c>
      <c r="EI319" s="79">
        <v>1</v>
      </c>
      <c r="EJ319" s="79">
        <v>1</v>
      </c>
      <c r="EK319" s="79">
        <v>1</v>
      </c>
      <c r="EL319" s="79">
        <v>1</v>
      </c>
      <c r="EM319" s="143">
        <f t="shared" si="673"/>
        <v>0</v>
      </c>
      <c r="EN319" s="143">
        <f t="shared" si="674"/>
        <v>0</v>
      </c>
      <c r="EO319" s="82">
        <f t="shared" si="675"/>
        <v>0</v>
      </c>
    </row>
    <row r="320" spans="1:145" x14ac:dyDescent="0.25">
      <c r="A320">
        <v>306</v>
      </c>
      <c r="B320" s="172" t="e">
        <f t="shared" si="644"/>
        <v>#N/A</v>
      </c>
      <c r="C320" s="121" t="e">
        <f t="shared" ref="C320:E320" si="761">AJ320-SUM(AB320:AB324)</f>
        <v>#N/A</v>
      </c>
      <c r="D320" s="122" t="e">
        <f t="shared" si="761"/>
        <v>#N/A</v>
      </c>
      <c r="E320" s="122" t="e">
        <f t="shared" si="761"/>
        <v>#N/A</v>
      </c>
      <c r="F320" s="176" t="e">
        <f t="shared" si="626"/>
        <v>#N/A</v>
      </c>
      <c r="G320" s="121">
        <f t="shared" si="646"/>
        <v>208</v>
      </c>
      <c r="H320" s="176" t="e">
        <f t="shared" si="647"/>
        <v>#N/A</v>
      </c>
      <c r="I320" s="48">
        <v>1</v>
      </c>
      <c r="J320" s="39"/>
      <c r="K320" s="350">
        <v>1</v>
      </c>
      <c r="L320" s="34" t="e">
        <f t="shared" si="627"/>
        <v>#N/A</v>
      </c>
      <c r="M320" s="38" t="e">
        <f>(HLOOKUP(J320,'Construction Times'!$B$3:$W$34,L320+2,FALSE)*HLOOKUP("hq modifier",'Construction Times'!$W$3:$W$34,BS320+2,FALSE))*(1-$H$9)</f>
        <v>#N/A</v>
      </c>
      <c r="N320" s="426" t="e">
        <f t="shared" si="648"/>
        <v>#N/A</v>
      </c>
      <c r="O320" s="427"/>
      <c r="P320" s="430" t="e">
        <f t="shared" si="649"/>
        <v>#N/A</v>
      </c>
      <c r="Q320" s="431"/>
      <c r="R320" s="103">
        <f t="shared" si="677"/>
        <v>0</v>
      </c>
      <c r="S320" s="104">
        <f t="shared" si="677"/>
        <v>0</v>
      </c>
      <c r="T320" s="104">
        <f t="shared" si="678"/>
        <v>0</v>
      </c>
      <c r="U320" s="104">
        <f t="shared" si="678"/>
        <v>0</v>
      </c>
      <c r="V320" s="104">
        <f t="shared" si="678"/>
        <v>9.9999999999999995E-8</v>
      </c>
      <c r="W320" s="104">
        <f t="shared" si="678"/>
        <v>0</v>
      </c>
      <c r="X320" s="104">
        <f t="shared" si="737"/>
        <v>0</v>
      </c>
      <c r="Y320" s="104">
        <f t="shared" si="737"/>
        <v>9.9999999999999995E-8</v>
      </c>
      <c r="Z320" s="104">
        <f t="shared" si="737"/>
        <v>9.9999999999999995E-8</v>
      </c>
      <c r="AA320" s="105">
        <f t="shared" si="737"/>
        <v>9.9999999999999995E-8</v>
      </c>
      <c r="AB320" s="101" t="e">
        <f>$DT320*HLOOKUP($J320,'Construction Costs (timber)'!$B$1:$V$32,'Construction Planner'!$L320+2,FALSE)</f>
        <v>#N/A</v>
      </c>
      <c r="AC320" s="14" t="e">
        <f>$DT320*HLOOKUP($J320,'Construction Costs (clay)'!$B$1:$V$32,'Construction Planner'!$L320+2,FALSE)</f>
        <v>#N/A</v>
      </c>
      <c r="AD320" s="14" t="e">
        <f>$DT320*HLOOKUP($J320,'Construction Costs (iron)'!$B$1:$V$32,'Construction Planner'!$L320+2,FALSE)</f>
        <v>#N/A</v>
      </c>
      <c r="AE320" s="34" t="e">
        <f t="shared" si="690"/>
        <v>#N/A</v>
      </c>
      <c r="AF320" s="33" t="e">
        <f t="shared" si="628"/>
        <v>#N/A</v>
      </c>
      <c r="AG320" s="14" t="e">
        <f t="shared" si="629"/>
        <v>#N/A</v>
      </c>
      <c r="AH320" s="14" t="e">
        <f t="shared" si="630"/>
        <v>#N/A</v>
      </c>
      <c r="AI320" s="34" t="e">
        <f t="shared" si="691"/>
        <v>#N/A</v>
      </c>
      <c r="AJ320" s="49" t="e">
        <f t="shared" si="651"/>
        <v>#N/A</v>
      </c>
      <c r="AK320" s="49" t="e">
        <f t="shared" si="652"/>
        <v>#N/A</v>
      </c>
      <c r="AL320" s="49" t="e">
        <f t="shared" si="653"/>
        <v>#N/A</v>
      </c>
      <c r="AM320" s="25">
        <f t="shared" si="631"/>
        <v>30</v>
      </c>
      <c r="AN320" s="25">
        <f t="shared" si="632"/>
        <v>30</v>
      </c>
      <c r="AO320" s="25">
        <f t="shared" si="633"/>
        <v>30</v>
      </c>
      <c r="AP320" s="52" t="e">
        <f t="shared" si="654"/>
        <v>#N/A</v>
      </c>
      <c r="AQ320" s="53" t="e">
        <f t="shared" si="654"/>
        <v>#N/A</v>
      </c>
      <c r="AR320" s="54" t="e">
        <f t="shared" si="654"/>
        <v>#N/A</v>
      </c>
      <c r="AS320" s="316">
        <f t="shared" si="746"/>
        <v>0</v>
      </c>
      <c r="AT320" s="106">
        <f>_xlfn.IFNA($M320/VLOOKUP($BT320,'Unit information'!$A$2:$K$29,2,FALSE)*R320,0)*(1+$E$9)</f>
        <v>0</v>
      </c>
      <c r="AU320" s="107">
        <f>_xlfn.IFNA($M320/VLOOKUP($BT320,'Unit information'!$A$2:$K$29,3,FALSE)*S320,0)*(1+$E$9)</f>
        <v>0</v>
      </c>
      <c r="AV320" s="107">
        <f>_xlfn.IFNA($M320/VLOOKUP($BT320,'Unit information'!$A$2:$K$29,4,FALSE)*T320,0)*(1+$E$9)</f>
        <v>0</v>
      </c>
      <c r="AW320" s="107">
        <f>_xlfn.IFNA($M320/VLOOKUP($BT320,'Unit information'!$A$2:$K$29,5,FALSE)*U320,0)*(1+$E$9)</f>
        <v>0</v>
      </c>
      <c r="AX320" s="107">
        <f>_xlfn.IFNA($M320/VLOOKUP($BU320,'Unit information'!$A$2:$K$29,6,FALSE)*V320,0)*(1+$E$9)</f>
        <v>0</v>
      </c>
      <c r="AY320" s="107">
        <f>_xlfn.IFNA($M320/VLOOKUP($BU320,'Unit information'!$A$2:$K$29,7,FALSE)*W320,0)*(1+$E$9)</f>
        <v>0</v>
      </c>
      <c r="AZ320" s="107">
        <f>_xlfn.IFNA($M320/VLOOKUP($BU320,'Unit information'!$A$2:$K$29,8,FALSE)*X320,0)*(1+$E$9)</f>
        <v>0</v>
      </c>
      <c r="BA320" s="107">
        <f>_xlfn.IFNA($M320/VLOOKUP($BU320,'Unit information'!$A$2:$K$29,9,FALSE)*Y320,0)*(1+$E$9)</f>
        <v>0</v>
      </c>
      <c r="BB320" s="107">
        <f>_xlfn.IFNA($M320/VLOOKUP($BV320,'Unit information'!$A$2:$K$29,10,FALSE)*Z320,0)*(1+$E$9)</f>
        <v>0</v>
      </c>
      <c r="BC320" s="108">
        <f>_xlfn.IFNA($M320/VLOOKUP($BV320,'Unit information'!$A$2:$K$29,11,FALSE)*AA320,0)*(1+$E$9)</f>
        <v>0</v>
      </c>
      <c r="BD320" s="106">
        <f t="shared" si="634"/>
        <v>0</v>
      </c>
      <c r="BE320" s="107">
        <f t="shared" si="635"/>
        <v>0</v>
      </c>
      <c r="BF320" s="108">
        <f t="shared" si="636"/>
        <v>0</v>
      </c>
      <c r="BG320" s="25" t="e">
        <f t="shared" si="637"/>
        <v>#N/A</v>
      </c>
      <c r="BH320" s="25" t="e">
        <f t="shared" si="638"/>
        <v>#N/A</v>
      </c>
      <c r="BI320" s="25" t="e">
        <f t="shared" si="639"/>
        <v>#N/A</v>
      </c>
      <c r="BJ320" s="27" t="e">
        <f t="shared" si="640"/>
        <v>#N/A</v>
      </c>
      <c r="BK320" s="18" t="e">
        <f t="shared" si="641"/>
        <v>#N/A</v>
      </c>
      <c r="BL320" s="18" t="e">
        <f t="shared" si="642"/>
        <v>#N/A</v>
      </c>
      <c r="BM320" s="28" t="e">
        <f t="shared" si="693"/>
        <v>#N/A</v>
      </c>
      <c r="BN320" s="33">
        <f>HLOOKUP("maximum population",Miscelaneous!$C$1:$C$33,CH320+3,FALSE)</f>
        <v>240</v>
      </c>
      <c r="BO320" s="14">
        <f t="shared" si="655"/>
        <v>32</v>
      </c>
      <c r="BP320" s="14">
        <f t="shared" si="656"/>
        <v>0</v>
      </c>
      <c r="BQ320" s="14">
        <f t="shared" si="657"/>
        <v>208</v>
      </c>
      <c r="BR320" s="34" t="e">
        <f>HLOOKUP(J320,Villagers!$B$1:$V$33,L320+3,FALSE)-HLOOKUP(J320,Villagers!$B$1:$V$33,L320+2,FALSE)</f>
        <v>#N/A</v>
      </c>
      <c r="BS320" s="49">
        <f t="shared" si="658"/>
        <v>1</v>
      </c>
      <c r="BT320" s="50">
        <f t="shared" si="659"/>
        <v>0</v>
      </c>
      <c r="BU320" s="50">
        <f t="shared" si="660"/>
        <v>0</v>
      </c>
      <c r="BV320" s="50">
        <f t="shared" si="661"/>
        <v>0</v>
      </c>
      <c r="BW320" s="50">
        <f t="shared" si="750"/>
        <v>0</v>
      </c>
      <c r="BX320" s="50">
        <f t="shared" si="751"/>
        <v>0</v>
      </c>
      <c r="BY320" s="50">
        <f t="shared" si="751"/>
        <v>0</v>
      </c>
      <c r="BZ320" s="50">
        <f t="shared" si="707"/>
        <v>0</v>
      </c>
      <c r="CA320" s="50">
        <f t="shared" si="708"/>
        <v>0</v>
      </c>
      <c r="CB320" s="50">
        <f t="shared" si="709"/>
        <v>1</v>
      </c>
      <c r="CC320" s="50">
        <f t="shared" si="710"/>
        <v>0</v>
      </c>
      <c r="CD320" s="50">
        <f t="shared" si="711"/>
        <v>0</v>
      </c>
      <c r="CE320" s="50">
        <f t="shared" si="712"/>
        <v>1</v>
      </c>
      <c r="CF320" s="50">
        <f t="shared" si="713"/>
        <v>1</v>
      </c>
      <c r="CG320" s="50">
        <f t="shared" si="714"/>
        <v>1</v>
      </c>
      <c r="CH320" s="50">
        <f t="shared" si="715"/>
        <v>1</v>
      </c>
      <c r="CI320" s="50">
        <f t="shared" si="716"/>
        <v>1</v>
      </c>
      <c r="CJ320" s="50">
        <f t="shared" si="717"/>
        <v>1</v>
      </c>
      <c r="CK320" s="50">
        <f t="shared" si="717"/>
        <v>0</v>
      </c>
      <c r="CL320" s="50">
        <f t="shared" si="717"/>
        <v>0</v>
      </c>
      <c r="CM320" s="51">
        <f t="shared" si="760"/>
        <v>0</v>
      </c>
      <c r="CN320" s="33">
        <f>ROUND(IF(BS320=0,0,HLOOKUP(BS$14,Villagers!$B$1:$V$33,BS320+3,FALSE)),)</f>
        <v>5</v>
      </c>
      <c r="CO320" s="14">
        <f>ROUND(IF(BT320=0,0,HLOOKUP(BT$14,Villagers!$B$1:$V$33,BT320+3,FALSE)),)</f>
        <v>0</v>
      </c>
      <c r="CP320" s="14">
        <f>ROUND(IF(BU320=0,0,HLOOKUP(BU$14,Villagers!$B$1:$V$33,BU320+3,FALSE)),)</f>
        <v>0</v>
      </c>
      <c r="CQ320" s="14">
        <f>ROUND(IF(BV320=0,0,HLOOKUP(BV$14,Villagers!$B$1:$V$33,BV320+3,FALSE)),)</f>
        <v>0</v>
      </c>
      <c r="CR320" s="14">
        <f>ROUND(IF(BW320=0,0,HLOOKUP(BW$14,Villagers!$B$1:$V$33,BW320+3,FALSE)),)</f>
        <v>0</v>
      </c>
      <c r="CS320" s="14">
        <f>ROUND(IF(BX320=0,0,HLOOKUP(BX$14,Villagers!$B$1:$V$33,BX320+3,FALSE)),)</f>
        <v>0</v>
      </c>
      <c r="CT320" s="14">
        <f>ROUND(IF(BY320=0,0,HLOOKUP(BY$14,Villagers!$B$1:$V$33,BY320+3,FALSE)),)</f>
        <v>0</v>
      </c>
      <c r="CU320" s="14">
        <f>ROUND(IF(BZ320=0,0,HLOOKUP(BZ$14,Villagers!$B$1:$V$33,BZ320+3,FALSE)),)</f>
        <v>0</v>
      </c>
      <c r="CV320" s="14">
        <f>ROUND(IF(CA320=0,0,HLOOKUP(CA$14,Villagers!$B$1:$V$33,CA320+3,FALSE)),)</f>
        <v>0</v>
      </c>
      <c r="CW320" s="14">
        <f>ROUND(IF(CB320=0,0,HLOOKUP(CB$14,Villagers!$B$1:$V$33,CB320+3,FALSE)),)</f>
        <v>0</v>
      </c>
      <c r="CX320" s="14">
        <f>ROUND(IF(CC320=0,0,HLOOKUP(CC$14,Villagers!$B$1:$V$33,CC320+3,FALSE)),)</f>
        <v>0</v>
      </c>
      <c r="CY320" s="14">
        <f>ROUND(IF(CD320=0,0,HLOOKUP(CD$14,Villagers!$B$1:$V$33,CD320+3,FALSE)),)</f>
        <v>0</v>
      </c>
      <c r="CZ320" s="14">
        <f>ROUND(IF(CE320=0,0,HLOOKUP(CE$14,Villagers!$B$1:$V$33,CE320+3,FALSE)),)</f>
        <v>5</v>
      </c>
      <c r="DA320" s="14">
        <f>ROUND(IF(CF320=0,0,HLOOKUP(CF$14,Villagers!$B$1:$V$33,CF320+3,FALSE)),)</f>
        <v>10</v>
      </c>
      <c r="DB320" s="14">
        <f>ROUND(IF(CG320=0,0,HLOOKUP(CG$14,Villagers!$B$1:$V$33,CG320+3,FALSE)),)</f>
        <v>10</v>
      </c>
      <c r="DC320" s="14">
        <f>ROUND(IF(CH320=0,0,HLOOKUP(CH$14,Villagers!$B$1:$V$33,CH320+3,FALSE)),)</f>
        <v>0</v>
      </c>
      <c r="DD320" s="14">
        <f>ROUND(IF(CI320=0,0,HLOOKUP(CI$14,Villagers!$B$1:$V$33,CI320+3,FALSE)),)</f>
        <v>0</v>
      </c>
      <c r="DE320" s="14">
        <f>ROUND(IF(CJ320=0,0,HLOOKUP(CJ$14,Villagers!$B$1:$V$33,CJ320+3,FALSE)),)</f>
        <v>2</v>
      </c>
      <c r="DF320" s="370">
        <f>ROUND(IF(CK320=0,0,HLOOKUP(CK$14,Villagers!$B$1:$V$33,CK320+3,FALSE)),)</f>
        <v>0</v>
      </c>
      <c r="DG320" s="370">
        <f>ROUND(IF(CL320=0,0,HLOOKUP(CL$14,Villagers!$B$1:$V$33,CL320+3,FALSE)),)</f>
        <v>0</v>
      </c>
      <c r="DH320" s="34">
        <f>ROUND(IF(CM320=0,0,HLOOKUP(CM$14,Villagers!$B$1:$V$33,CM320+3,FALSE)),)</f>
        <v>0</v>
      </c>
      <c r="DI320" s="109">
        <f t="shared" si="679"/>
        <v>0</v>
      </c>
      <c r="DJ320" s="50">
        <f t="shared" si="680"/>
        <v>0</v>
      </c>
      <c r="DK320" s="50">
        <f t="shared" si="681"/>
        <v>0</v>
      </c>
      <c r="DL320" s="50">
        <f t="shared" si="682"/>
        <v>0</v>
      </c>
      <c r="DM320" s="50">
        <f t="shared" si="683"/>
        <v>0</v>
      </c>
      <c r="DN320" s="50">
        <f t="shared" si="684"/>
        <v>0</v>
      </c>
      <c r="DO320" s="50">
        <f t="shared" si="685"/>
        <v>0</v>
      </c>
      <c r="DP320" s="50">
        <f t="shared" si="686"/>
        <v>0</v>
      </c>
      <c r="DQ320" s="50">
        <f t="shared" si="663"/>
        <v>0</v>
      </c>
      <c r="DR320" s="50">
        <f t="shared" si="664"/>
        <v>0</v>
      </c>
      <c r="DS320" s="96">
        <f>Miscelaneous!$D$4*Miscelaneous!$D$2^($CI320-1)</f>
        <v>1000</v>
      </c>
      <c r="DT320" s="333">
        <f t="shared" si="643"/>
        <v>1</v>
      </c>
      <c r="DU320" s="81">
        <v>1</v>
      </c>
      <c r="DV320" s="79">
        <f t="shared" si="665"/>
        <v>0</v>
      </c>
      <c r="DW320" s="79">
        <f t="shared" si="666"/>
        <v>0</v>
      </c>
      <c r="DX320" s="79">
        <f t="shared" si="667"/>
        <v>0</v>
      </c>
      <c r="DY320" s="79">
        <v>1</v>
      </c>
      <c r="DZ320" s="79">
        <f t="shared" si="668"/>
        <v>0</v>
      </c>
      <c r="EA320" s="79">
        <f t="shared" si="669"/>
        <v>0</v>
      </c>
      <c r="EB320" s="79">
        <f t="shared" si="670"/>
        <v>0</v>
      </c>
      <c r="EC320" s="79">
        <f t="shared" si="671"/>
        <v>0</v>
      </c>
      <c r="ED320" s="79">
        <v>1</v>
      </c>
      <c r="EE320" s="79">
        <v>1</v>
      </c>
      <c r="EF320" s="79">
        <f t="shared" si="672"/>
        <v>0</v>
      </c>
      <c r="EG320" s="79">
        <v>1</v>
      </c>
      <c r="EH320" s="79">
        <v>1</v>
      </c>
      <c r="EI320" s="79">
        <v>1</v>
      </c>
      <c r="EJ320" s="79">
        <v>1</v>
      </c>
      <c r="EK320" s="79">
        <v>1</v>
      </c>
      <c r="EL320" s="79">
        <v>1</v>
      </c>
      <c r="EM320" s="143">
        <f t="shared" si="673"/>
        <v>0</v>
      </c>
      <c r="EN320" s="143">
        <f t="shared" si="674"/>
        <v>0</v>
      </c>
      <c r="EO320" s="82">
        <f t="shared" si="675"/>
        <v>0</v>
      </c>
    </row>
    <row r="321" spans="1:145" x14ac:dyDescent="0.25">
      <c r="A321">
        <v>307</v>
      </c>
      <c r="B321" s="172" t="e">
        <f t="shared" si="644"/>
        <v>#N/A</v>
      </c>
      <c r="C321" s="121" t="e">
        <f t="shared" ref="C321:E321" si="762">AJ321-SUM(AB321:AB325)</f>
        <v>#N/A</v>
      </c>
      <c r="D321" s="122" t="e">
        <f t="shared" si="762"/>
        <v>#N/A</v>
      </c>
      <c r="E321" s="122" t="e">
        <f t="shared" si="762"/>
        <v>#N/A</v>
      </c>
      <c r="F321" s="176" t="e">
        <f t="shared" si="626"/>
        <v>#N/A</v>
      </c>
      <c r="G321" s="121">
        <f t="shared" si="646"/>
        <v>208</v>
      </c>
      <c r="H321" s="176" t="e">
        <f t="shared" si="647"/>
        <v>#N/A</v>
      </c>
      <c r="I321" s="48">
        <v>1</v>
      </c>
      <c r="J321" s="39"/>
      <c r="K321" s="350">
        <v>1</v>
      </c>
      <c r="L321" s="34" t="e">
        <f t="shared" si="627"/>
        <v>#N/A</v>
      </c>
      <c r="M321" s="38" t="e">
        <f>(HLOOKUP(J321,'Construction Times'!$B$3:$W$34,L321+2,FALSE)*HLOOKUP("hq modifier",'Construction Times'!$W$3:$W$34,BS321+2,FALSE))*(1-$H$9)</f>
        <v>#N/A</v>
      </c>
      <c r="N321" s="426" t="e">
        <f t="shared" si="648"/>
        <v>#N/A</v>
      </c>
      <c r="O321" s="427"/>
      <c r="P321" s="430" t="e">
        <f t="shared" si="649"/>
        <v>#N/A</v>
      </c>
      <c r="Q321" s="431"/>
      <c r="R321" s="103">
        <f t="shared" si="677"/>
        <v>0</v>
      </c>
      <c r="S321" s="104">
        <f t="shared" si="677"/>
        <v>0</v>
      </c>
      <c r="T321" s="104">
        <f t="shared" si="678"/>
        <v>0</v>
      </c>
      <c r="U321" s="104">
        <f t="shared" si="678"/>
        <v>0</v>
      </c>
      <c r="V321" s="104">
        <f t="shared" si="678"/>
        <v>9.9999999999999995E-8</v>
      </c>
      <c r="W321" s="104">
        <f t="shared" si="678"/>
        <v>0</v>
      </c>
      <c r="X321" s="104">
        <f t="shared" si="737"/>
        <v>0</v>
      </c>
      <c r="Y321" s="104">
        <f t="shared" si="737"/>
        <v>9.9999999999999995E-8</v>
      </c>
      <c r="Z321" s="104">
        <f t="shared" si="737"/>
        <v>9.9999999999999995E-8</v>
      </c>
      <c r="AA321" s="105">
        <f t="shared" si="737"/>
        <v>9.9999999999999995E-8</v>
      </c>
      <c r="AB321" s="101" t="e">
        <f>$DT321*HLOOKUP($J321,'Construction Costs (timber)'!$B$1:$V$32,'Construction Planner'!$L321+2,FALSE)</f>
        <v>#N/A</v>
      </c>
      <c r="AC321" s="14" t="e">
        <f>$DT321*HLOOKUP($J321,'Construction Costs (clay)'!$B$1:$V$32,'Construction Planner'!$L321+2,FALSE)</f>
        <v>#N/A</v>
      </c>
      <c r="AD321" s="14" t="e">
        <f>$DT321*HLOOKUP($J321,'Construction Costs (iron)'!$B$1:$V$32,'Construction Planner'!$L321+2,FALSE)</f>
        <v>#N/A</v>
      </c>
      <c r="AE321" s="34" t="e">
        <f t="shared" si="690"/>
        <v>#N/A</v>
      </c>
      <c r="AF321" s="33" t="e">
        <f t="shared" si="628"/>
        <v>#N/A</v>
      </c>
      <c r="AG321" s="14" t="e">
        <f t="shared" si="629"/>
        <v>#N/A</v>
      </c>
      <c r="AH321" s="14" t="e">
        <f t="shared" si="630"/>
        <v>#N/A</v>
      </c>
      <c r="AI321" s="34" t="e">
        <f t="shared" si="691"/>
        <v>#N/A</v>
      </c>
      <c r="AJ321" s="49" t="e">
        <f t="shared" si="651"/>
        <v>#N/A</v>
      </c>
      <c r="AK321" s="49" t="e">
        <f t="shared" si="652"/>
        <v>#N/A</v>
      </c>
      <c r="AL321" s="49" t="e">
        <f t="shared" si="653"/>
        <v>#N/A</v>
      </c>
      <c r="AM321" s="25">
        <f t="shared" si="631"/>
        <v>30</v>
      </c>
      <c r="AN321" s="25">
        <f t="shared" si="632"/>
        <v>30</v>
      </c>
      <c r="AO321" s="25">
        <f t="shared" si="633"/>
        <v>30</v>
      </c>
      <c r="AP321" s="52" t="e">
        <f t="shared" si="654"/>
        <v>#N/A</v>
      </c>
      <c r="AQ321" s="53" t="e">
        <f t="shared" si="654"/>
        <v>#N/A</v>
      </c>
      <c r="AR321" s="54" t="e">
        <f t="shared" si="654"/>
        <v>#N/A</v>
      </c>
      <c r="AS321" s="316">
        <f t="shared" si="746"/>
        <v>0</v>
      </c>
      <c r="AT321" s="106">
        <f>_xlfn.IFNA($M321/VLOOKUP($BT321,'Unit information'!$A$2:$K$29,2,FALSE)*R321,0)*(1+$E$9)</f>
        <v>0</v>
      </c>
      <c r="AU321" s="107">
        <f>_xlfn.IFNA($M321/VLOOKUP($BT321,'Unit information'!$A$2:$K$29,3,FALSE)*S321,0)*(1+$E$9)</f>
        <v>0</v>
      </c>
      <c r="AV321" s="107">
        <f>_xlfn.IFNA($M321/VLOOKUP($BT321,'Unit information'!$A$2:$K$29,4,FALSE)*T321,0)*(1+$E$9)</f>
        <v>0</v>
      </c>
      <c r="AW321" s="107">
        <f>_xlfn.IFNA($M321/VLOOKUP($BT321,'Unit information'!$A$2:$K$29,5,FALSE)*U321,0)*(1+$E$9)</f>
        <v>0</v>
      </c>
      <c r="AX321" s="107">
        <f>_xlfn.IFNA($M321/VLOOKUP($BU321,'Unit information'!$A$2:$K$29,6,FALSE)*V321,0)*(1+$E$9)</f>
        <v>0</v>
      </c>
      <c r="AY321" s="107">
        <f>_xlfn.IFNA($M321/VLOOKUP($BU321,'Unit information'!$A$2:$K$29,7,FALSE)*W321,0)*(1+$E$9)</f>
        <v>0</v>
      </c>
      <c r="AZ321" s="107">
        <f>_xlfn.IFNA($M321/VLOOKUP($BU321,'Unit information'!$A$2:$K$29,8,FALSE)*X321,0)*(1+$E$9)</f>
        <v>0</v>
      </c>
      <c r="BA321" s="107">
        <f>_xlfn.IFNA($M321/VLOOKUP($BU321,'Unit information'!$A$2:$K$29,9,FALSE)*Y321,0)*(1+$E$9)</f>
        <v>0</v>
      </c>
      <c r="BB321" s="107">
        <f>_xlfn.IFNA($M321/VLOOKUP($BV321,'Unit information'!$A$2:$K$29,10,FALSE)*Z321,0)*(1+$E$9)</f>
        <v>0</v>
      </c>
      <c r="BC321" s="108">
        <f>_xlfn.IFNA($M321/VLOOKUP($BV321,'Unit information'!$A$2:$K$29,11,FALSE)*AA321,0)*(1+$E$9)</f>
        <v>0</v>
      </c>
      <c r="BD321" s="106">
        <f t="shared" si="634"/>
        <v>0</v>
      </c>
      <c r="BE321" s="107">
        <f t="shared" si="635"/>
        <v>0</v>
      </c>
      <c r="BF321" s="108">
        <f t="shared" si="636"/>
        <v>0</v>
      </c>
      <c r="BG321" s="25" t="e">
        <f t="shared" si="637"/>
        <v>#N/A</v>
      </c>
      <c r="BH321" s="25" t="e">
        <f t="shared" si="638"/>
        <v>#N/A</v>
      </c>
      <c r="BI321" s="25" t="e">
        <f t="shared" si="639"/>
        <v>#N/A</v>
      </c>
      <c r="BJ321" s="27" t="e">
        <f t="shared" si="640"/>
        <v>#N/A</v>
      </c>
      <c r="BK321" s="18" t="e">
        <f t="shared" si="641"/>
        <v>#N/A</v>
      </c>
      <c r="BL321" s="18" t="e">
        <f t="shared" si="642"/>
        <v>#N/A</v>
      </c>
      <c r="BM321" s="28" t="e">
        <f t="shared" si="693"/>
        <v>#N/A</v>
      </c>
      <c r="BN321" s="33">
        <f>HLOOKUP("maximum population",Miscelaneous!$C$1:$C$33,CH321+3,FALSE)</f>
        <v>240</v>
      </c>
      <c r="BO321" s="14">
        <f t="shared" si="655"/>
        <v>32</v>
      </c>
      <c r="BP321" s="14">
        <f t="shared" si="656"/>
        <v>0</v>
      </c>
      <c r="BQ321" s="14">
        <f t="shared" si="657"/>
        <v>208</v>
      </c>
      <c r="BR321" s="34" t="e">
        <f>HLOOKUP(J321,Villagers!$B$1:$V$33,L321+3,FALSE)-HLOOKUP(J321,Villagers!$B$1:$V$33,L321+2,FALSE)</f>
        <v>#N/A</v>
      </c>
      <c r="BS321" s="49">
        <f t="shared" si="658"/>
        <v>1</v>
      </c>
      <c r="BT321" s="50">
        <f t="shared" si="659"/>
        <v>0</v>
      </c>
      <c r="BU321" s="50">
        <f t="shared" si="660"/>
        <v>0</v>
      </c>
      <c r="BV321" s="50">
        <f t="shared" si="661"/>
        <v>0</v>
      </c>
      <c r="BW321" s="50">
        <f t="shared" si="750"/>
        <v>0</v>
      </c>
      <c r="BX321" s="50">
        <f t="shared" si="751"/>
        <v>0</v>
      </c>
      <c r="BY321" s="50">
        <f t="shared" si="751"/>
        <v>0</v>
      </c>
      <c r="BZ321" s="50">
        <f t="shared" si="707"/>
        <v>0</v>
      </c>
      <c r="CA321" s="50">
        <f t="shared" si="708"/>
        <v>0</v>
      </c>
      <c r="CB321" s="50">
        <f t="shared" si="709"/>
        <v>1</v>
      </c>
      <c r="CC321" s="50">
        <f t="shared" si="710"/>
        <v>0</v>
      </c>
      <c r="CD321" s="50">
        <f t="shared" si="711"/>
        <v>0</v>
      </c>
      <c r="CE321" s="50">
        <f t="shared" si="712"/>
        <v>1</v>
      </c>
      <c r="CF321" s="50">
        <f t="shared" si="713"/>
        <v>1</v>
      </c>
      <c r="CG321" s="50">
        <f t="shared" si="714"/>
        <v>1</v>
      </c>
      <c r="CH321" s="50">
        <f t="shared" si="715"/>
        <v>1</v>
      </c>
      <c r="CI321" s="50">
        <f t="shared" si="716"/>
        <v>1</v>
      </c>
      <c r="CJ321" s="50">
        <f t="shared" si="717"/>
        <v>1</v>
      </c>
      <c r="CK321" s="50">
        <f t="shared" si="717"/>
        <v>0</v>
      </c>
      <c r="CL321" s="50">
        <f t="shared" si="717"/>
        <v>0</v>
      </c>
      <c r="CM321" s="51">
        <f t="shared" si="760"/>
        <v>0</v>
      </c>
      <c r="CN321" s="33">
        <f>ROUND(IF(BS321=0,0,HLOOKUP(BS$14,Villagers!$B$1:$V$33,BS321+3,FALSE)),)</f>
        <v>5</v>
      </c>
      <c r="CO321" s="14">
        <f>ROUND(IF(BT321=0,0,HLOOKUP(BT$14,Villagers!$B$1:$V$33,BT321+3,FALSE)),)</f>
        <v>0</v>
      </c>
      <c r="CP321" s="14">
        <f>ROUND(IF(BU321=0,0,HLOOKUP(BU$14,Villagers!$B$1:$V$33,BU321+3,FALSE)),)</f>
        <v>0</v>
      </c>
      <c r="CQ321" s="14">
        <f>ROUND(IF(BV321=0,0,HLOOKUP(BV$14,Villagers!$B$1:$V$33,BV321+3,FALSE)),)</f>
        <v>0</v>
      </c>
      <c r="CR321" s="14">
        <f>ROUND(IF(BW321=0,0,HLOOKUP(BW$14,Villagers!$B$1:$V$33,BW321+3,FALSE)),)</f>
        <v>0</v>
      </c>
      <c r="CS321" s="14">
        <f>ROUND(IF(BX321=0,0,HLOOKUP(BX$14,Villagers!$B$1:$V$33,BX321+3,FALSE)),)</f>
        <v>0</v>
      </c>
      <c r="CT321" s="14">
        <f>ROUND(IF(BY321=0,0,HLOOKUP(BY$14,Villagers!$B$1:$V$33,BY321+3,FALSE)),)</f>
        <v>0</v>
      </c>
      <c r="CU321" s="14">
        <f>ROUND(IF(BZ321=0,0,HLOOKUP(BZ$14,Villagers!$B$1:$V$33,BZ321+3,FALSE)),)</f>
        <v>0</v>
      </c>
      <c r="CV321" s="14">
        <f>ROUND(IF(CA321=0,0,HLOOKUP(CA$14,Villagers!$B$1:$V$33,CA321+3,FALSE)),)</f>
        <v>0</v>
      </c>
      <c r="CW321" s="14">
        <f>ROUND(IF(CB321=0,0,HLOOKUP(CB$14,Villagers!$B$1:$V$33,CB321+3,FALSE)),)</f>
        <v>0</v>
      </c>
      <c r="CX321" s="14">
        <f>ROUND(IF(CC321=0,0,HLOOKUP(CC$14,Villagers!$B$1:$V$33,CC321+3,FALSE)),)</f>
        <v>0</v>
      </c>
      <c r="CY321" s="14">
        <f>ROUND(IF(CD321=0,0,HLOOKUP(CD$14,Villagers!$B$1:$V$33,CD321+3,FALSE)),)</f>
        <v>0</v>
      </c>
      <c r="CZ321" s="14">
        <f>ROUND(IF(CE321=0,0,HLOOKUP(CE$14,Villagers!$B$1:$V$33,CE321+3,FALSE)),)</f>
        <v>5</v>
      </c>
      <c r="DA321" s="14">
        <f>ROUND(IF(CF321=0,0,HLOOKUP(CF$14,Villagers!$B$1:$V$33,CF321+3,FALSE)),)</f>
        <v>10</v>
      </c>
      <c r="DB321" s="14">
        <f>ROUND(IF(CG321=0,0,HLOOKUP(CG$14,Villagers!$B$1:$V$33,CG321+3,FALSE)),)</f>
        <v>10</v>
      </c>
      <c r="DC321" s="14">
        <f>ROUND(IF(CH321=0,0,HLOOKUP(CH$14,Villagers!$B$1:$V$33,CH321+3,FALSE)),)</f>
        <v>0</v>
      </c>
      <c r="DD321" s="14">
        <f>ROUND(IF(CI321=0,0,HLOOKUP(CI$14,Villagers!$B$1:$V$33,CI321+3,FALSE)),)</f>
        <v>0</v>
      </c>
      <c r="DE321" s="14">
        <f>ROUND(IF(CJ321=0,0,HLOOKUP(CJ$14,Villagers!$B$1:$V$33,CJ321+3,FALSE)),)</f>
        <v>2</v>
      </c>
      <c r="DF321" s="370">
        <f>ROUND(IF(CK321=0,0,HLOOKUP(CK$14,Villagers!$B$1:$V$33,CK321+3,FALSE)),)</f>
        <v>0</v>
      </c>
      <c r="DG321" s="370">
        <f>ROUND(IF(CL321=0,0,HLOOKUP(CL$14,Villagers!$B$1:$V$33,CL321+3,FALSE)),)</f>
        <v>0</v>
      </c>
      <c r="DH321" s="34">
        <f>ROUND(IF(CM321=0,0,HLOOKUP(CM$14,Villagers!$B$1:$V$33,CM321+3,FALSE)),)</f>
        <v>0</v>
      </c>
      <c r="DI321" s="109">
        <f t="shared" si="679"/>
        <v>0</v>
      </c>
      <c r="DJ321" s="50">
        <f t="shared" si="680"/>
        <v>0</v>
      </c>
      <c r="DK321" s="50">
        <f t="shared" si="681"/>
        <v>0</v>
      </c>
      <c r="DL321" s="50">
        <f t="shared" si="682"/>
        <v>0</v>
      </c>
      <c r="DM321" s="50">
        <f t="shared" si="683"/>
        <v>0</v>
      </c>
      <c r="DN321" s="50">
        <f t="shared" si="684"/>
        <v>0</v>
      </c>
      <c r="DO321" s="50">
        <f t="shared" si="685"/>
        <v>0</v>
      </c>
      <c r="DP321" s="50">
        <f t="shared" si="686"/>
        <v>0</v>
      </c>
      <c r="DQ321" s="50">
        <f t="shared" si="663"/>
        <v>0</v>
      </c>
      <c r="DR321" s="50">
        <f t="shared" si="664"/>
        <v>0</v>
      </c>
      <c r="DS321" s="96">
        <f>Miscelaneous!$D$4*Miscelaneous!$D$2^($CI321-1)</f>
        <v>1000</v>
      </c>
      <c r="DT321" s="333">
        <f t="shared" si="643"/>
        <v>1</v>
      </c>
      <c r="DU321" s="81">
        <v>1</v>
      </c>
      <c r="DV321" s="79">
        <f t="shared" si="665"/>
        <v>0</v>
      </c>
      <c r="DW321" s="79">
        <f t="shared" si="666"/>
        <v>0</v>
      </c>
      <c r="DX321" s="79">
        <f t="shared" si="667"/>
        <v>0</v>
      </c>
      <c r="DY321" s="79">
        <v>1</v>
      </c>
      <c r="DZ321" s="79">
        <f t="shared" si="668"/>
        <v>0</v>
      </c>
      <c r="EA321" s="79">
        <f t="shared" si="669"/>
        <v>0</v>
      </c>
      <c r="EB321" s="79">
        <f t="shared" si="670"/>
        <v>0</v>
      </c>
      <c r="EC321" s="79">
        <f t="shared" si="671"/>
        <v>0</v>
      </c>
      <c r="ED321" s="79">
        <v>1</v>
      </c>
      <c r="EE321" s="79">
        <v>1</v>
      </c>
      <c r="EF321" s="79">
        <f t="shared" si="672"/>
        <v>0</v>
      </c>
      <c r="EG321" s="79">
        <v>1</v>
      </c>
      <c r="EH321" s="79">
        <v>1</v>
      </c>
      <c r="EI321" s="79">
        <v>1</v>
      </c>
      <c r="EJ321" s="79">
        <v>1</v>
      </c>
      <c r="EK321" s="79">
        <v>1</v>
      </c>
      <c r="EL321" s="79">
        <v>1</v>
      </c>
      <c r="EM321" s="143">
        <f t="shared" si="673"/>
        <v>0</v>
      </c>
      <c r="EN321" s="143">
        <f t="shared" si="674"/>
        <v>0</v>
      </c>
      <c r="EO321" s="82">
        <f t="shared" si="675"/>
        <v>0</v>
      </c>
    </row>
    <row r="322" spans="1:145" x14ac:dyDescent="0.25">
      <c r="A322">
        <v>308</v>
      </c>
      <c r="B322" s="172" t="e">
        <f t="shared" si="644"/>
        <v>#N/A</v>
      </c>
      <c r="C322" s="121" t="e">
        <f t="shared" ref="C322:E322" si="763">AJ322-SUM(AB322:AB326)</f>
        <v>#N/A</v>
      </c>
      <c r="D322" s="122" t="e">
        <f t="shared" si="763"/>
        <v>#N/A</v>
      </c>
      <c r="E322" s="122" t="e">
        <f t="shared" si="763"/>
        <v>#N/A</v>
      </c>
      <c r="F322" s="176" t="e">
        <f t="shared" si="626"/>
        <v>#N/A</v>
      </c>
      <c r="G322" s="121">
        <f t="shared" si="646"/>
        <v>208</v>
      </c>
      <c r="H322" s="176" t="e">
        <f t="shared" si="647"/>
        <v>#N/A</v>
      </c>
      <c r="I322" s="48">
        <v>1</v>
      </c>
      <c r="J322" s="39"/>
      <c r="K322" s="350">
        <v>1</v>
      </c>
      <c r="L322" s="34" t="e">
        <f t="shared" si="627"/>
        <v>#N/A</v>
      </c>
      <c r="M322" s="38" t="e">
        <f>(HLOOKUP(J322,'Construction Times'!$B$3:$W$34,L322+2,FALSE)*HLOOKUP("hq modifier",'Construction Times'!$W$3:$W$34,BS322+2,FALSE))*(1-$H$9)</f>
        <v>#N/A</v>
      </c>
      <c r="N322" s="426" t="e">
        <f t="shared" si="648"/>
        <v>#N/A</v>
      </c>
      <c r="O322" s="427"/>
      <c r="P322" s="430" t="e">
        <f t="shared" si="649"/>
        <v>#N/A</v>
      </c>
      <c r="Q322" s="431"/>
      <c r="R322" s="103">
        <f t="shared" si="677"/>
        <v>0</v>
      </c>
      <c r="S322" s="104">
        <f t="shared" si="677"/>
        <v>0</v>
      </c>
      <c r="T322" s="104">
        <f t="shared" si="678"/>
        <v>0</v>
      </c>
      <c r="U322" s="104">
        <f t="shared" si="678"/>
        <v>0</v>
      </c>
      <c r="V322" s="104">
        <f t="shared" si="678"/>
        <v>9.9999999999999995E-8</v>
      </c>
      <c r="W322" s="104">
        <f t="shared" si="678"/>
        <v>0</v>
      </c>
      <c r="X322" s="104">
        <f t="shared" si="737"/>
        <v>0</v>
      </c>
      <c r="Y322" s="104">
        <f t="shared" si="737"/>
        <v>9.9999999999999995E-8</v>
      </c>
      <c r="Z322" s="104">
        <f t="shared" si="737"/>
        <v>9.9999999999999995E-8</v>
      </c>
      <c r="AA322" s="105">
        <f t="shared" si="737"/>
        <v>9.9999999999999995E-8</v>
      </c>
      <c r="AB322" s="101" t="e">
        <f>$DT322*HLOOKUP($J322,'Construction Costs (timber)'!$B$1:$V$32,'Construction Planner'!$L322+2,FALSE)</f>
        <v>#N/A</v>
      </c>
      <c r="AC322" s="14" t="e">
        <f>$DT322*HLOOKUP($J322,'Construction Costs (clay)'!$B$1:$V$32,'Construction Planner'!$L322+2,FALSE)</f>
        <v>#N/A</v>
      </c>
      <c r="AD322" s="14" t="e">
        <f>$DT322*HLOOKUP($J322,'Construction Costs (iron)'!$B$1:$V$32,'Construction Planner'!$L322+2,FALSE)</f>
        <v>#N/A</v>
      </c>
      <c r="AE322" s="34" t="e">
        <f t="shared" si="690"/>
        <v>#N/A</v>
      </c>
      <c r="AF322" s="33" t="e">
        <f t="shared" si="628"/>
        <v>#N/A</v>
      </c>
      <c r="AG322" s="14" t="e">
        <f t="shared" si="629"/>
        <v>#N/A</v>
      </c>
      <c r="AH322" s="14" t="e">
        <f t="shared" si="630"/>
        <v>#N/A</v>
      </c>
      <c r="AI322" s="34" t="e">
        <f t="shared" si="691"/>
        <v>#N/A</v>
      </c>
      <c r="AJ322" s="49" t="e">
        <f t="shared" si="651"/>
        <v>#N/A</v>
      </c>
      <c r="AK322" s="49" t="e">
        <f t="shared" si="652"/>
        <v>#N/A</v>
      </c>
      <c r="AL322" s="49" t="e">
        <f t="shared" si="653"/>
        <v>#N/A</v>
      </c>
      <c r="AM322" s="25">
        <f t="shared" si="631"/>
        <v>30</v>
      </c>
      <c r="AN322" s="25">
        <f t="shared" si="632"/>
        <v>30</v>
      </c>
      <c r="AO322" s="25">
        <f t="shared" si="633"/>
        <v>30</v>
      </c>
      <c r="AP322" s="52" t="e">
        <f t="shared" si="654"/>
        <v>#N/A</v>
      </c>
      <c r="AQ322" s="53" t="e">
        <f t="shared" si="654"/>
        <v>#N/A</v>
      </c>
      <c r="AR322" s="54" t="e">
        <f t="shared" si="654"/>
        <v>#N/A</v>
      </c>
      <c r="AS322" s="316">
        <f t="shared" si="746"/>
        <v>0</v>
      </c>
      <c r="AT322" s="106">
        <f>_xlfn.IFNA($M322/VLOOKUP($BT322,'Unit information'!$A$2:$K$29,2,FALSE)*R322,0)*(1+$E$9)</f>
        <v>0</v>
      </c>
      <c r="AU322" s="107">
        <f>_xlfn.IFNA($M322/VLOOKUP($BT322,'Unit information'!$A$2:$K$29,3,FALSE)*S322,0)*(1+$E$9)</f>
        <v>0</v>
      </c>
      <c r="AV322" s="107">
        <f>_xlfn.IFNA($M322/VLOOKUP($BT322,'Unit information'!$A$2:$K$29,4,FALSE)*T322,0)*(1+$E$9)</f>
        <v>0</v>
      </c>
      <c r="AW322" s="107">
        <f>_xlfn.IFNA($M322/VLOOKUP($BT322,'Unit information'!$A$2:$K$29,5,FALSE)*U322,0)*(1+$E$9)</f>
        <v>0</v>
      </c>
      <c r="AX322" s="107">
        <f>_xlfn.IFNA($M322/VLOOKUP($BU322,'Unit information'!$A$2:$K$29,6,FALSE)*V322,0)*(1+$E$9)</f>
        <v>0</v>
      </c>
      <c r="AY322" s="107">
        <f>_xlfn.IFNA($M322/VLOOKUP($BU322,'Unit information'!$A$2:$K$29,7,FALSE)*W322,0)*(1+$E$9)</f>
        <v>0</v>
      </c>
      <c r="AZ322" s="107">
        <f>_xlfn.IFNA($M322/VLOOKUP($BU322,'Unit information'!$A$2:$K$29,8,FALSE)*X322,0)*(1+$E$9)</f>
        <v>0</v>
      </c>
      <c r="BA322" s="107">
        <f>_xlfn.IFNA($M322/VLOOKUP($BU322,'Unit information'!$A$2:$K$29,9,FALSE)*Y322,0)*(1+$E$9)</f>
        <v>0</v>
      </c>
      <c r="BB322" s="107">
        <f>_xlfn.IFNA($M322/VLOOKUP($BV322,'Unit information'!$A$2:$K$29,10,FALSE)*Z322,0)*(1+$E$9)</f>
        <v>0</v>
      </c>
      <c r="BC322" s="108">
        <f>_xlfn.IFNA($M322/VLOOKUP($BV322,'Unit information'!$A$2:$K$29,11,FALSE)*AA322,0)*(1+$E$9)</f>
        <v>0</v>
      </c>
      <c r="BD322" s="106">
        <f t="shared" si="634"/>
        <v>0</v>
      </c>
      <c r="BE322" s="107">
        <f t="shared" si="635"/>
        <v>0</v>
      </c>
      <c r="BF322" s="108">
        <f t="shared" si="636"/>
        <v>0</v>
      </c>
      <c r="BG322" s="25" t="e">
        <f t="shared" si="637"/>
        <v>#N/A</v>
      </c>
      <c r="BH322" s="25" t="e">
        <f t="shared" si="638"/>
        <v>#N/A</v>
      </c>
      <c r="BI322" s="25" t="e">
        <f t="shared" si="639"/>
        <v>#N/A</v>
      </c>
      <c r="BJ322" s="27" t="e">
        <f t="shared" si="640"/>
        <v>#N/A</v>
      </c>
      <c r="BK322" s="18" t="e">
        <f t="shared" si="641"/>
        <v>#N/A</v>
      </c>
      <c r="BL322" s="18" t="e">
        <f t="shared" si="642"/>
        <v>#N/A</v>
      </c>
      <c r="BM322" s="28" t="e">
        <f t="shared" si="693"/>
        <v>#N/A</v>
      </c>
      <c r="BN322" s="33">
        <f>HLOOKUP("maximum population",Miscelaneous!$C$1:$C$33,CH322+3,FALSE)</f>
        <v>240</v>
      </c>
      <c r="BO322" s="14">
        <f t="shared" si="655"/>
        <v>32</v>
      </c>
      <c r="BP322" s="14">
        <f t="shared" si="656"/>
        <v>0</v>
      </c>
      <c r="BQ322" s="14">
        <f t="shared" si="657"/>
        <v>208</v>
      </c>
      <c r="BR322" s="34" t="e">
        <f>HLOOKUP(J322,Villagers!$B$1:$V$33,L322+3,FALSE)-HLOOKUP(J322,Villagers!$B$1:$V$33,L322+2,FALSE)</f>
        <v>#N/A</v>
      </c>
      <c r="BS322" s="49">
        <f t="shared" si="658"/>
        <v>1</v>
      </c>
      <c r="BT322" s="50">
        <f t="shared" si="659"/>
        <v>0</v>
      </c>
      <c r="BU322" s="50">
        <f t="shared" si="660"/>
        <v>0</v>
      </c>
      <c r="BV322" s="50">
        <f t="shared" si="661"/>
        <v>0</v>
      </c>
      <c r="BW322" s="50">
        <f t="shared" si="750"/>
        <v>0</v>
      </c>
      <c r="BX322" s="50">
        <f t="shared" si="751"/>
        <v>0</v>
      </c>
      <c r="BY322" s="50">
        <f t="shared" si="751"/>
        <v>0</v>
      </c>
      <c r="BZ322" s="50">
        <f t="shared" si="707"/>
        <v>0</v>
      </c>
      <c r="CA322" s="50">
        <f t="shared" si="708"/>
        <v>0</v>
      </c>
      <c r="CB322" s="50">
        <f t="shared" si="709"/>
        <v>1</v>
      </c>
      <c r="CC322" s="50">
        <f t="shared" si="710"/>
        <v>0</v>
      </c>
      <c r="CD322" s="50">
        <f t="shared" si="711"/>
        <v>0</v>
      </c>
      <c r="CE322" s="50">
        <f t="shared" si="712"/>
        <v>1</v>
      </c>
      <c r="CF322" s="50">
        <f t="shared" si="713"/>
        <v>1</v>
      </c>
      <c r="CG322" s="50">
        <f t="shared" si="714"/>
        <v>1</v>
      </c>
      <c r="CH322" s="50">
        <f t="shared" si="715"/>
        <v>1</v>
      </c>
      <c r="CI322" s="50">
        <f t="shared" si="716"/>
        <v>1</v>
      </c>
      <c r="CJ322" s="50">
        <f t="shared" si="717"/>
        <v>1</v>
      </c>
      <c r="CK322" s="50">
        <f t="shared" si="717"/>
        <v>0</v>
      </c>
      <c r="CL322" s="50">
        <f t="shared" si="717"/>
        <v>0</v>
      </c>
      <c r="CM322" s="51">
        <f t="shared" si="760"/>
        <v>0</v>
      </c>
      <c r="CN322" s="33">
        <f>ROUND(IF(BS322=0,0,HLOOKUP(BS$14,Villagers!$B$1:$V$33,BS322+3,FALSE)),)</f>
        <v>5</v>
      </c>
      <c r="CO322" s="14">
        <f>ROUND(IF(BT322=0,0,HLOOKUP(BT$14,Villagers!$B$1:$V$33,BT322+3,FALSE)),)</f>
        <v>0</v>
      </c>
      <c r="CP322" s="14">
        <f>ROUND(IF(BU322=0,0,HLOOKUP(BU$14,Villagers!$B$1:$V$33,BU322+3,FALSE)),)</f>
        <v>0</v>
      </c>
      <c r="CQ322" s="14">
        <f>ROUND(IF(BV322=0,0,HLOOKUP(BV$14,Villagers!$B$1:$V$33,BV322+3,FALSE)),)</f>
        <v>0</v>
      </c>
      <c r="CR322" s="14">
        <f>ROUND(IF(BW322=0,0,HLOOKUP(BW$14,Villagers!$B$1:$V$33,BW322+3,FALSE)),)</f>
        <v>0</v>
      </c>
      <c r="CS322" s="14">
        <f>ROUND(IF(BX322=0,0,HLOOKUP(BX$14,Villagers!$B$1:$V$33,BX322+3,FALSE)),)</f>
        <v>0</v>
      </c>
      <c r="CT322" s="14">
        <f>ROUND(IF(BY322=0,0,HLOOKUP(BY$14,Villagers!$B$1:$V$33,BY322+3,FALSE)),)</f>
        <v>0</v>
      </c>
      <c r="CU322" s="14">
        <f>ROUND(IF(BZ322=0,0,HLOOKUP(BZ$14,Villagers!$B$1:$V$33,BZ322+3,FALSE)),)</f>
        <v>0</v>
      </c>
      <c r="CV322" s="14">
        <f>ROUND(IF(CA322=0,0,HLOOKUP(CA$14,Villagers!$B$1:$V$33,CA322+3,FALSE)),)</f>
        <v>0</v>
      </c>
      <c r="CW322" s="14">
        <f>ROUND(IF(CB322=0,0,HLOOKUP(CB$14,Villagers!$B$1:$V$33,CB322+3,FALSE)),)</f>
        <v>0</v>
      </c>
      <c r="CX322" s="14">
        <f>ROUND(IF(CC322=0,0,HLOOKUP(CC$14,Villagers!$B$1:$V$33,CC322+3,FALSE)),)</f>
        <v>0</v>
      </c>
      <c r="CY322" s="14">
        <f>ROUND(IF(CD322=0,0,HLOOKUP(CD$14,Villagers!$B$1:$V$33,CD322+3,FALSE)),)</f>
        <v>0</v>
      </c>
      <c r="CZ322" s="14">
        <f>ROUND(IF(CE322=0,0,HLOOKUP(CE$14,Villagers!$B$1:$V$33,CE322+3,FALSE)),)</f>
        <v>5</v>
      </c>
      <c r="DA322" s="14">
        <f>ROUND(IF(CF322=0,0,HLOOKUP(CF$14,Villagers!$B$1:$V$33,CF322+3,FALSE)),)</f>
        <v>10</v>
      </c>
      <c r="DB322" s="14">
        <f>ROUND(IF(CG322=0,0,HLOOKUP(CG$14,Villagers!$B$1:$V$33,CG322+3,FALSE)),)</f>
        <v>10</v>
      </c>
      <c r="DC322" s="14">
        <f>ROUND(IF(CH322=0,0,HLOOKUP(CH$14,Villagers!$B$1:$V$33,CH322+3,FALSE)),)</f>
        <v>0</v>
      </c>
      <c r="DD322" s="14">
        <f>ROUND(IF(CI322=0,0,HLOOKUP(CI$14,Villagers!$B$1:$V$33,CI322+3,FALSE)),)</f>
        <v>0</v>
      </c>
      <c r="DE322" s="14">
        <f>ROUND(IF(CJ322=0,0,HLOOKUP(CJ$14,Villagers!$B$1:$V$33,CJ322+3,FALSE)),)</f>
        <v>2</v>
      </c>
      <c r="DF322" s="370">
        <f>ROUND(IF(CK322=0,0,HLOOKUP(CK$14,Villagers!$B$1:$V$33,CK322+3,FALSE)),)</f>
        <v>0</v>
      </c>
      <c r="DG322" s="370">
        <f>ROUND(IF(CL322=0,0,HLOOKUP(CL$14,Villagers!$B$1:$V$33,CL322+3,FALSE)),)</f>
        <v>0</v>
      </c>
      <c r="DH322" s="34">
        <f>ROUND(IF(CM322=0,0,HLOOKUP(CM$14,Villagers!$B$1:$V$33,CM322+3,FALSE)),)</f>
        <v>0</v>
      </c>
      <c r="DI322" s="109">
        <f t="shared" si="679"/>
        <v>0</v>
      </c>
      <c r="DJ322" s="50">
        <f t="shared" si="680"/>
        <v>0</v>
      </c>
      <c r="DK322" s="50">
        <f t="shared" si="681"/>
        <v>0</v>
      </c>
      <c r="DL322" s="50">
        <f t="shared" si="682"/>
        <v>0</v>
      </c>
      <c r="DM322" s="50">
        <f t="shared" si="683"/>
        <v>0</v>
      </c>
      <c r="DN322" s="50">
        <f t="shared" si="684"/>
        <v>0</v>
      </c>
      <c r="DO322" s="50">
        <f t="shared" si="685"/>
        <v>0</v>
      </c>
      <c r="DP322" s="50">
        <f t="shared" si="686"/>
        <v>0</v>
      </c>
      <c r="DQ322" s="50">
        <f t="shared" si="663"/>
        <v>0</v>
      </c>
      <c r="DR322" s="50">
        <f t="shared" si="664"/>
        <v>0</v>
      </c>
      <c r="DS322" s="96">
        <f>Miscelaneous!$D$4*Miscelaneous!$D$2^($CI322-1)</f>
        <v>1000</v>
      </c>
      <c r="DT322" s="333">
        <f t="shared" si="643"/>
        <v>1</v>
      </c>
      <c r="DU322" s="81">
        <v>1</v>
      </c>
      <c r="DV322" s="79">
        <f t="shared" si="665"/>
        <v>0</v>
      </c>
      <c r="DW322" s="79">
        <f t="shared" si="666"/>
        <v>0</v>
      </c>
      <c r="DX322" s="79">
        <f t="shared" si="667"/>
        <v>0</v>
      </c>
      <c r="DY322" s="79">
        <v>1</v>
      </c>
      <c r="DZ322" s="79">
        <f t="shared" si="668"/>
        <v>0</v>
      </c>
      <c r="EA322" s="79">
        <f t="shared" si="669"/>
        <v>0</v>
      </c>
      <c r="EB322" s="79">
        <f t="shared" si="670"/>
        <v>0</v>
      </c>
      <c r="EC322" s="79">
        <f t="shared" si="671"/>
        <v>0</v>
      </c>
      <c r="ED322" s="79">
        <v>1</v>
      </c>
      <c r="EE322" s="79">
        <v>1</v>
      </c>
      <c r="EF322" s="79">
        <f t="shared" si="672"/>
        <v>0</v>
      </c>
      <c r="EG322" s="79">
        <v>1</v>
      </c>
      <c r="EH322" s="79">
        <v>1</v>
      </c>
      <c r="EI322" s="79">
        <v>1</v>
      </c>
      <c r="EJ322" s="79">
        <v>1</v>
      </c>
      <c r="EK322" s="79">
        <v>1</v>
      </c>
      <c r="EL322" s="79">
        <v>1</v>
      </c>
      <c r="EM322" s="143">
        <f t="shared" si="673"/>
        <v>0</v>
      </c>
      <c r="EN322" s="143">
        <f t="shared" si="674"/>
        <v>0</v>
      </c>
      <c r="EO322" s="82">
        <f t="shared" si="675"/>
        <v>0</v>
      </c>
    </row>
    <row r="323" spans="1:145" x14ac:dyDescent="0.25">
      <c r="A323">
        <v>309</v>
      </c>
      <c r="B323" s="172" t="e">
        <f t="shared" si="644"/>
        <v>#N/A</v>
      </c>
      <c r="C323" s="121" t="e">
        <f t="shared" ref="C323:E323" si="764">AJ323-SUM(AB323:AB327)</f>
        <v>#N/A</v>
      </c>
      <c r="D323" s="122" t="e">
        <f t="shared" si="764"/>
        <v>#N/A</v>
      </c>
      <c r="E323" s="122" t="e">
        <f t="shared" si="764"/>
        <v>#N/A</v>
      </c>
      <c r="F323" s="176" t="e">
        <f t="shared" si="626"/>
        <v>#N/A</v>
      </c>
      <c r="G323" s="121">
        <f t="shared" si="646"/>
        <v>208</v>
      </c>
      <c r="H323" s="176" t="e">
        <f t="shared" si="647"/>
        <v>#N/A</v>
      </c>
      <c r="I323" s="48">
        <v>1</v>
      </c>
      <c r="J323" s="39"/>
      <c r="K323" s="350">
        <v>1</v>
      </c>
      <c r="L323" s="34" t="e">
        <f t="shared" si="627"/>
        <v>#N/A</v>
      </c>
      <c r="M323" s="38" t="e">
        <f>(HLOOKUP(J323,'Construction Times'!$B$3:$W$34,L323+2,FALSE)*HLOOKUP("hq modifier",'Construction Times'!$W$3:$W$34,BS323+2,FALSE))*(1-$H$9)</f>
        <v>#N/A</v>
      </c>
      <c r="N323" s="426" t="e">
        <f t="shared" si="648"/>
        <v>#N/A</v>
      </c>
      <c r="O323" s="427"/>
      <c r="P323" s="430" t="e">
        <f t="shared" si="649"/>
        <v>#N/A</v>
      </c>
      <c r="Q323" s="431"/>
      <c r="R323" s="103">
        <f t="shared" si="677"/>
        <v>0</v>
      </c>
      <c r="S323" s="104">
        <f t="shared" si="677"/>
        <v>0</v>
      </c>
      <c r="T323" s="104">
        <f t="shared" si="678"/>
        <v>0</v>
      </c>
      <c r="U323" s="104">
        <f t="shared" si="678"/>
        <v>0</v>
      </c>
      <c r="V323" s="104">
        <f t="shared" si="678"/>
        <v>9.9999999999999995E-8</v>
      </c>
      <c r="W323" s="104">
        <f t="shared" si="678"/>
        <v>0</v>
      </c>
      <c r="X323" s="104">
        <f t="shared" si="737"/>
        <v>0</v>
      </c>
      <c r="Y323" s="104">
        <f t="shared" si="737"/>
        <v>9.9999999999999995E-8</v>
      </c>
      <c r="Z323" s="104">
        <f t="shared" si="737"/>
        <v>9.9999999999999995E-8</v>
      </c>
      <c r="AA323" s="105">
        <f t="shared" si="737"/>
        <v>9.9999999999999995E-8</v>
      </c>
      <c r="AB323" s="101" t="e">
        <f>$DT323*HLOOKUP($J323,'Construction Costs (timber)'!$B$1:$V$32,'Construction Planner'!$L323+2,FALSE)</f>
        <v>#N/A</v>
      </c>
      <c r="AC323" s="14" t="e">
        <f>$DT323*HLOOKUP($J323,'Construction Costs (clay)'!$B$1:$V$32,'Construction Planner'!$L323+2,FALSE)</f>
        <v>#N/A</v>
      </c>
      <c r="AD323" s="14" t="e">
        <f>$DT323*HLOOKUP($J323,'Construction Costs (iron)'!$B$1:$V$32,'Construction Planner'!$L323+2,FALSE)</f>
        <v>#N/A</v>
      </c>
      <c r="AE323" s="34" t="e">
        <f t="shared" si="690"/>
        <v>#N/A</v>
      </c>
      <c r="AF323" s="33" t="e">
        <f t="shared" si="628"/>
        <v>#N/A</v>
      </c>
      <c r="AG323" s="14" t="e">
        <f t="shared" si="629"/>
        <v>#N/A</v>
      </c>
      <c r="AH323" s="14" t="e">
        <f t="shared" si="630"/>
        <v>#N/A</v>
      </c>
      <c r="AI323" s="34" t="e">
        <f t="shared" si="691"/>
        <v>#N/A</v>
      </c>
      <c r="AJ323" s="49" t="e">
        <f t="shared" si="651"/>
        <v>#N/A</v>
      </c>
      <c r="AK323" s="49" t="e">
        <f t="shared" si="652"/>
        <v>#N/A</v>
      </c>
      <c r="AL323" s="49" t="e">
        <f t="shared" si="653"/>
        <v>#N/A</v>
      </c>
      <c r="AM323" s="25">
        <f t="shared" si="631"/>
        <v>30</v>
      </c>
      <c r="AN323" s="25">
        <f t="shared" si="632"/>
        <v>30</v>
      </c>
      <c r="AO323" s="25">
        <f t="shared" si="633"/>
        <v>30</v>
      </c>
      <c r="AP323" s="52" t="e">
        <f t="shared" si="654"/>
        <v>#N/A</v>
      </c>
      <c r="AQ323" s="53" t="e">
        <f t="shared" si="654"/>
        <v>#N/A</v>
      </c>
      <c r="AR323" s="54" t="e">
        <f t="shared" si="654"/>
        <v>#N/A</v>
      </c>
      <c r="AS323" s="316">
        <f t="shared" si="746"/>
        <v>0</v>
      </c>
      <c r="AT323" s="106">
        <f>_xlfn.IFNA($M323/VLOOKUP($BT323,'Unit information'!$A$2:$K$29,2,FALSE)*R323,0)*(1+$E$9)</f>
        <v>0</v>
      </c>
      <c r="AU323" s="107">
        <f>_xlfn.IFNA($M323/VLOOKUP($BT323,'Unit information'!$A$2:$K$29,3,FALSE)*S323,0)*(1+$E$9)</f>
        <v>0</v>
      </c>
      <c r="AV323" s="107">
        <f>_xlfn.IFNA($M323/VLOOKUP($BT323,'Unit information'!$A$2:$K$29,4,FALSE)*T323,0)*(1+$E$9)</f>
        <v>0</v>
      </c>
      <c r="AW323" s="107">
        <f>_xlfn.IFNA($M323/VLOOKUP($BT323,'Unit information'!$A$2:$K$29,5,FALSE)*U323,0)*(1+$E$9)</f>
        <v>0</v>
      </c>
      <c r="AX323" s="107">
        <f>_xlfn.IFNA($M323/VLOOKUP($BU323,'Unit information'!$A$2:$K$29,6,FALSE)*V323,0)*(1+$E$9)</f>
        <v>0</v>
      </c>
      <c r="AY323" s="107">
        <f>_xlfn.IFNA($M323/VLOOKUP($BU323,'Unit information'!$A$2:$K$29,7,FALSE)*W323,0)*(1+$E$9)</f>
        <v>0</v>
      </c>
      <c r="AZ323" s="107">
        <f>_xlfn.IFNA($M323/VLOOKUP($BU323,'Unit information'!$A$2:$K$29,8,FALSE)*X323,0)*(1+$E$9)</f>
        <v>0</v>
      </c>
      <c r="BA323" s="107">
        <f>_xlfn.IFNA($M323/VLOOKUP($BU323,'Unit information'!$A$2:$K$29,9,FALSE)*Y323,0)*(1+$E$9)</f>
        <v>0</v>
      </c>
      <c r="BB323" s="107">
        <f>_xlfn.IFNA($M323/VLOOKUP($BV323,'Unit information'!$A$2:$K$29,10,FALSE)*Z323,0)*(1+$E$9)</f>
        <v>0</v>
      </c>
      <c r="BC323" s="108">
        <f>_xlfn.IFNA($M323/VLOOKUP($BV323,'Unit information'!$A$2:$K$29,11,FALSE)*AA323,0)*(1+$E$9)</f>
        <v>0</v>
      </c>
      <c r="BD323" s="106">
        <f t="shared" si="634"/>
        <v>0</v>
      </c>
      <c r="BE323" s="107">
        <f t="shared" si="635"/>
        <v>0</v>
      </c>
      <c r="BF323" s="108">
        <f t="shared" si="636"/>
        <v>0</v>
      </c>
      <c r="BG323" s="25" t="e">
        <f t="shared" si="637"/>
        <v>#N/A</v>
      </c>
      <c r="BH323" s="25" t="e">
        <f t="shared" si="638"/>
        <v>#N/A</v>
      </c>
      <c r="BI323" s="25" t="e">
        <f t="shared" si="639"/>
        <v>#N/A</v>
      </c>
      <c r="BJ323" s="27" t="e">
        <f t="shared" si="640"/>
        <v>#N/A</v>
      </c>
      <c r="BK323" s="18" t="e">
        <f t="shared" si="641"/>
        <v>#N/A</v>
      </c>
      <c r="BL323" s="18" t="e">
        <f t="shared" si="642"/>
        <v>#N/A</v>
      </c>
      <c r="BM323" s="28" t="e">
        <f t="shared" si="693"/>
        <v>#N/A</v>
      </c>
      <c r="BN323" s="33">
        <f>HLOOKUP("maximum population",Miscelaneous!$C$1:$C$33,CH323+3,FALSE)</f>
        <v>240</v>
      </c>
      <c r="BO323" s="14">
        <f t="shared" si="655"/>
        <v>32</v>
      </c>
      <c r="BP323" s="14">
        <f t="shared" si="656"/>
        <v>0</v>
      </c>
      <c r="BQ323" s="14">
        <f t="shared" si="657"/>
        <v>208</v>
      </c>
      <c r="BR323" s="34" t="e">
        <f>HLOOKUP(J323,Villagers!$B$1:$V$33,L323+3,FALSE)-HLOOKUP(J323,Villagers!$B$1:$V$33,L323+2,FALSE)</f>
        <v>#N/A</v>
      </c>
      <c r="BS323" s="49">
        <f t="shared" si="658"/>
        <v>1</v>
      </c>
      <c r="BT323" s="50">
        <f t="shared" si="659"/>
        <v>0</v>
      </c>
      <c r="BU323" s="50">
        <f t="shared" si="660"/>
        <v>0</v>
      </c>
      <c r="BV323" s="50">
        <f t="shared" si="661"/>
        <v>0</v>
      </c>
      <c r="BW323" s="50">
        <f t="shared" si="750"/>
        <v>0</v>
      </c>
      <c r="BX323" s="50">
        <f t="shared" si="751"/>
        <v>0</v>
      </c>
      <c r="BY323" s="50">
        <f t="shared" si="751"/>
        <v>0</v>
      </c>
      <c r="BZ323" s="50">
        <f t="shared" si="707"/>
        <v>0</v>
      </c>
      <c r="CA323" s="50">
        <f t="shared" si="708"/>
        <v>0</v>
      </c>
      <c r="CB323" s="50">
        <f t="shared" si="709"/>
        <v>1</v>
      </c>
      <c r="CC323" s="50">
        <f t="shared" si="710"/>
        <v>0</v>
      </c>
      <c r="CD323" s="50">
        <f t="shared" si="711"/>
        <v>0</v>
      </c>
      <c r="CE323" s="50">
        <f t="shared" si="712"/>
        <v>1</v>
      </c>
      <c r="CF323" s="50">
        <f t="shared" si="713"/>
        <v>1</v>
      </c>
      <c r="CG323" s="50">
        <f t="shared" si="714"/>
        <v>1</v>
      </c>
      <c r="CH323" s="50">
        <f t="shared" si="715"/>
        <v>1</v>
      </c>
      <c r="CI323" s="50">
        <f t="shared" si="716"/>
        <v>1</v>
      </c>
      <c r="CJ323" s="50">
        <f t="shared" si="717"/>
        <v>1</v>
      </c>
      <c r="CK323" s="50">
        <f t="shared" si="717"/>
        <v>0</v>
      </c>
      <c r="CL323" s="50">
        <f t="shared" si="717"/>
        <v>0</v>
      </c>
      <c r="CM323" s="51">
        <f t="shared" si="760"/>
        <v>0</v>
      </c>
      <c r="CN323" s="33">
        <f>ROUND(IF(BS323=0,0,HLOOKUP(BS$14,Villagers!$B$1:$V$33,BS323+3,FALSE)),)</f>
        <v>5</v>
      </c>
      <c r="CO323" s="14">
        <f>ROUND(IF(BT323=0,0,HLOOKUP(BT$14,Villagers!$B$1:$V$33,BT323+3,FALSE)),)</f>
        <v>0</v>
      </c>
      <c r="CP323" s="14">
        <f>ROUND(IF(BU323=0,0,HLOOKUP(BU$14,Villagers!$B$1:$V$33,BU323+3,FALSE)),)</f>
        <v>0</v>
      </c>
      <c r="CQ323" s="14">
        <f>ROUND(IF(BV323=0,0,HLOOKUP(BV$14,Villagers!$B$1:$V$33,BV323+3,FALSE)),)</f>
        <v>0</v>
      </c>
      <c r="CR323" s="14">
        <f>ROUND(IF(BW323=0,0,HLOOKUP(BW$14,Villagers!$B$1:$V$33,BW323+3,FALSE)),)</f>
        <v>0</v>
      </c>
      <c r="CS323" s="14">
        <f>ROUND(IF(BX323=0,0,HLOOKUP(BX$14,Villagers!$B$1:$V$33,BX323+3,FALSE)),)</f>
        <v>0</v>
      </c>
      <c r="CT323" s="14">
        <f>ROUND(IF(BY323=0,0,HLOOKUP(BY$14,Villagers!$B$1:$V$33,BY323+3,FALSE)),)</f>
        <v>0</v>
      </c>
      <c r="CU323" s="14">
        <f>ROUND(IF(BZ323=0,0,HLOOKUP(BZ$14,Villagers!$B$1:$V$33,BZ323+3,FALSE)),)</f>
        <v>0</v>
      </c>
      <c r="CV323" s="14">
        <f>ROUND(IF(CA323=0,0,HLOOKUP(CA$14,Villagers!$B$1:$V$33,CA323+3,FALSE)),)</f>
        <v>0</v>
      </c>
      <c r="CW323" s="14">
        <f>ROUND(IF(CB323=0,0,HLOOKUP(CB$14,Villagers!$B$1:$V$33,CB323+3,FALSE)),)</f>
        <v>0</v>
      </c>
      <c r="CX323" s="14">
        <f>ROUND(IF(CC323=0,0,HLOOKUP(CC$14,Villagers!$B$1:$V$33,CC323+3,FALSE)),)</f>
        <v>0</v>
      </c>
      <c r="CY323" s="14">
        <f>ROUND(IF(CD323=0,0,HLOOKUP(CD$14,Villagers!$B$1:$V$33,CD323+3,FALSE)),)</f>
        <v>0</v>
      </c>
      <c r="CZ323" s="14">
        <f>ROUND(IF(CE323=0,0,HLOOKUP(CE$14,Villagers!$B$1:$V$33,CE323+3,FALSE)),)</f>
        <v>5</v>
      </c>
      <c r="DA323" s="14">
        <f>ROUND(IF(CF323=0,0,HLOOKUP(CF$14,Villagers!$B$1:$V$33,CF323+3,FALSE)),)</f>
        <v>10</v>
      </c>
      <c r="DB323" s="14">
        <f>ROUND(IF(CG323=0,0,HLOOKUP(CG$14,Villagers!$B$1:$V$33,CG323+3,FALSE)),)</f>
        <v>10</v>
      </c>
      <c r="DC323" s="14">
        <f>ROUND(IF(CH323=0,0,HLOOKUP(CH$14,Villagers!$B$1:$V$33,CH323+3,FALSE)),)</f>
        <v>0</v>
      </c>
      <c r="DD323" s="14">
        <f>ROUND(IF(CI323=0,0,HLOOKUP(CI$14,Villagers!$B$1:$V$33,CI323+3,FALSE)),)</f>
        <v>0</v>
      </c>
      <c r="DE323" s="14">
        <f>ROUND(IF(CJ323=0,0,HLOOKUP(CJ$14,Villagers!$B$1:$V$33,CJ323+3,FALSE)),)</f>
        <v>2</v>
      </c>
      <c r="DF323" s="370">
        <f>ROUND(IF(CK323=0,0,HLOOKUP(CK$14,Villagers!$B$1:$V$33,CK323+3,FALSE)),)</f>
        <v>0</v>
      </c>
      <c r="DG323" s="370">
        <f>ROUND(IF(CL323=0,0,HLOOKUP(CL$14,Villagers!$B$1:$V$33,CL323+3,FALSE)),)</f>
        <v>0</v>
      </c>
      <c r="DH323" s="34">
        <f>ROUND(IF(CM323=0,0,HLOOKUP(CM$14,Villagers!$B$1:$V$33,CM323+3,FALSE)),)</f>
        <v>0</v>
      </c>
      <c r="DI323" s="109">
        <f t="shared" si="679"/>
        <v>0</v>
      </c>
      <c r="DJ323" s="50">
        <f t="shared" si="680"/>
        <v>0</v>
      </c>
      <c r="DK323" s="50">
        <f t="shared" si="681"/>
        <v>0</v>
      </c>
      <c r="DL323" s="50">
        <f t="shared" si="682"/>
        <v>0</v>
      </c>
      <c r="DM323" s="50">
        <f t="shared" si="683"/>
        <v>0</v>
      </c>
      <c r="DN323" s="50">
        <f t="shared" si="684"/>
        <v>0</v>
      </c>
      <c r="DO323" s="50">
        <f t="shared" si="685"/>
        <v>0</v>
      </c>
      <c r="DP323" s="50">
        <f t="shared" si="686"/>
        <v>0</v>
      </c>
      <c r="DQ323" s="50">
        <f t="shared" si="663"/>
        <v>0</v>
      </c>
      <c r="DR323" s="50">
        <f t="shared" si="664"/>
        <v>0</v>
      </c>
      <c r="DS323" s="96">
        <f>Miscelaneous!$D$4*Miscelaneous!$D$2^($CI323-1)</f>
        <v>1000</v>
      </c>
      <c r="DT323" s="333">
        <f t="shared" si="643"/>
        <v>1</v>
      </c>
      <c r="DU323" s="81">
        <v>1</v>
      </c>
      <c r="DV323" s="79">
        <f t="shared" si="665"/>
        <v>0</v>
      </c>
      <c r="DW323" s="79">
        <f t="shared" si="666"/>
        <v>0</v>
      </c>
      <c r="DX323" s="79">
        <f t="shared" si="667"/>
        <v>0</v>
      </c>
      <c r="DY323" s="79">
        <v>1</v>
      </c>
      <c r="DZ323" s="79">
        <f t="shared" si="668"/>
        <v>0</v>
      </c>
      <c r="EA323" s="79">
        <f t="shared" si="669"/>
        <v>0</v>
      </c>
      <c r="EB323" s="79">
        <f t="shared" si="670"/>
        <v>0</v>
      </c>
      <c r="EC323" s="79">
        <f t="shared" si="671"/>
        <v>0</v>
      </c>
      <c r="ED323" s="79">
        <v>1</v>
      </c>
      <c r="EE323" s="79">
        <v>1</v>
      </c>
      <c r="EF323" s="79">
        <f t="shared" si="672"/>
        <v>0</v>
      </c>
      <c r="EG323" s="79">
        <v>1</v>
      </c>
      <c r="EH323" s="79">
        <v>1</v>
      </c>
      <c r="EI323" s="79">
        <v>1</v>
      </c>
      <c r="EJ323" s="79">
        <v>1</v>
      </c>
      <c r="EK323" s="79">
        <v>1</v>
      </c>
      <c r="EL323" s="79">
        <v>1</v>
      </c>
      <c r="EM323" s="143">
        <f t="shared" si="673"/>
        <v>0</v>
      </c>
      <c r="EN323" s="143">
        <f t="shared" si="674"/>
        <v>0</v>
      </c>
      <c r="EO323" s="82">
        <f t="shared" si="675"/>
        <v>0</v>
      </c>
    </row>
    <row r="324" spans="1:145" x14ac:dyDescent="0.25">
      <c r="A324">
        <v>310</v>
      </c>
      <c r="B324" s="172" t="e">
        <f t="shared" si="644"/>
        <v>#N/A</v>
      </c>
      <c r="C324" s="121" t="e">
        <f t="shared" ref="C324:E324" si="765">AJ324-SUM(AB324:AB328)</f>
        <v>#N/A</v>
      </c>
      <c r="D324" s="122" t="e">
        <f t="shared" si="765"/>
        <v>#N/A</v>
      </c>
      <c r="E324" s="122" t="e">
        <f t="shared" si="765"/>
        <v>#N/A</v>
      </c>
      <c r="F324" s="176" t="e">
        <f t="shared" si="626"/>
        <v>#N/A</v>
      </c>
      <c r="G324" s="121">
        <f t="shared" si="646"/>
        <v>208</v>
      </c>
      <c r="H324" s="176" t="e">
        <f t="shared" si="647"/>
        <v>#N/A</v>
      </c>
      <c r="I324" s="48">
        <v>1</v>
      </c>
      <c r="J324" s="39"/>
      <c r="K324" s="350">
        <v>1</v>
      </c>
      <c r="L324" s="34" t="e">
        <f t="shared" si="627"/>
        <v>#N/A</v>
      </c>
      <c r="M324" s="38" t="e">
        <f>(HLOOKUP(J324,'Construction Times'!$B$3:$W$34,L324+2,FALSE)*HLOOKUP("hq modifier",'Construction Times'!$W$3:$W$34,BS324+2,FALSE))*(1-$H$9)</f>
        <v>#N/A</v>
      </c>
      <c r="N324" s="426" t="e">
        <f t="shared" si="648"/>
        <v>#N/A</v>
      </c>
      <c r="O324" s="427"/>
      <c r="P324" s="430" t="e">
        <f t="shared" si="649"/>
        <v>#N/A</v>
      </c>
      <c r="Q324" s="431"/>
      <c r="R324" s="103">
        <f t="shared" si="677"/>
        <v>0</v>
      </c>
      <c r="S324" s="104">
        <f t="shared" si="677"/>
        <v>0</v>
      </c>
      <c r="T324" s="104">
        <f t="shared" si="678"/>
        <v>0</v>
      </c>
      <c r="U324" s="104">
        <f t="shared" si="678"/>
        <v>0</v>
      </c>
      <c r="V324" s="104">
        <f t="shared" si="678"/>
        <v>9.9999999999999995E-8</v>
      </c>
      <c r="W324" s="104">
        <f t="shared" si="678"/>
        <v>0</v>
      </c>
      <c r="X324" s="104">
        <f t="shared" si="737"/>
        <v>0</v>
      </c>
      <c r="Y324" s="104">
        <f t="shared" si="737"/>
        <v>9.9999999999999995E-8</v>
      </c>
      <c r="Z324" s="104">
        <f t="shared" si="737"/>
        <v>9.9999999999999995E-8</v>
      </c>
      <c r="AA324" s="105">
        <f t="shared" si="737"/>
        <v>9.9999999999999995E-8</v>
      </c>
      <c r="AB324" s="101" t="e">
        <f>$DT324*HLOOKUP($J324,'Construction Costs (timber)'!$B$1:$V$32,'Construction Planner'!$L324+2,FALSE)</f>
        <v>#N/A</v>
      </c>
      <c r="AC324" s="14" t="e">
        <f>$DT324*HLOOKUP($J324,'Construction Costs (clay)'!$B$1:$V$32,'Construction Planner'!$L324+2,FALSE)</f>
        <v>#N/A</v>
      </c>
      <c r="AD324" s="14" t="e">
        <f>$DT324*HLOOKUP($J324,'Construction Costs (iron)'!$B$1:$V$32,'Construction Planner'!$L324+2,FALSE)</f>
        <v>#N/A</v>
      </c>
      <c r="AE324" s="34" t="e">
        <f t="shared" si="690"/>
        <v>#N/A</v>
      </c>
      <c r="AF324" s="33" t="e">
        <f t="shared" si="628"/>
        <v>#N/A</v>
      </c>
      <c r="AG324" s="14" t="e">
        <f t="shared" si="629"/>
        <v>#N/A</v>
      </c>
      <c r="AH324" s="14" t="e">
        <f t="shared" si="630"/>
        <v>#N/A</v>
      </c>
      <c r="AI324" s="34" t="e">
        <f t="shared" si="691"/>
        <v>#N/A</v>
      </c>
      <c r="AJ324" s="49" t="e">
        <f t="shared" si="651"/>
        <v>#N/A</v>
      </c>
      <c r="AK324" s="49" t="e">
        <f t="shared" si="652"/>
        <v>#N/A</v>
      </c>
      <c r="AL324" s="49" t="e">
        <f t="shared" si="653"/>
        <v>#N/A</v>
      </c>
      <c r="AM324" s="25">
        <f t="shared" si="631"/>
        <v>30</v>
      </c>
      <c r="AN324" s="25">
        <f t="shared" si="632"/>
        <v>30</v>
      </c>
      <c r="AO324" s="25">
        <f t="shared" si="633"/>
        <v>30</v>
      </c>
      <c r="AP324" s="52" t="e">
        <f t="shared" si="654"/>
        <v>#N/A</v>
      </c>
      <c r="AQ324" s="53" t="e">
        <f t="shared" si="654"/>
        <v>#N/A</v>
      </c>
      <c r="AR324" s="54" t="e">
        <f t="shared" si="654"/>
        <v>#N/A</v>
      </c>
      <c r="AS324" s="316">
        <f t="shared" ref="AS324:AS339" si="766">AS323</f>
        <v>0</v>
      </c>
      <c r="AT324" s="106">
        <f>_xlfn.IFNA($M324/VLOOKUP($BT324,'Unit information'!$A$2:$K$29,2,FALSE)*R324,0)*(1+$E$9)</f>
        <v>0</v>
      </c>
      <c r="AU324" s="107">
        <f>_xlfn.IFNA($M324/VLOOKUP($BT324,'Unit information'!$A$2:$K$29,3,FALSE)*S324,0)*(1+$E$9)</f>
        <v>0</v>
      </c>
      <c r="AV324" s="107">
        <f>_xlfn.IFNA($M324/VLOOKUP($BT324,'Unit information'!$A$2:$K$29,4,FALSE)*T324,0)*(1+$E$9)</f>
        <v>0</v>
      </c>
      <c r="AW324" s="107">
        <f>_xlfn.IFNA($M324/VLOOKUP($BT324,'Unit information'!$A$2:$K$29,5,FALSE)*U324,0)*(1+$E$9)</f>
        <v>0</v>
      </c>
      <c r="AX324" s="107">
        <f>_xlfn.IFNA($M324/VLOOKUP($BU324,'Unit information'!$A$2:$K$29,6,FALSE)*V324,0)*(1+$E$9)</f>
        <v>0</v>
      </c>
      <c r="AY324" s="107">
        <f>_xlfn.IFNA($M324/VLOOKUP($BU324,'Unit information'!$A$2:$K$29,7,FALSE)*W324,0)*(1+$E$9)</f>
        <v>0</v>
      </c>
      <c r="AZ324" s="107">
        <f>_xlfn.IFNA($M324/VLOOKUP($BU324,'Unit information'!$A$2:$K$29,8,FALSE)*X324,0)*(1+$E$9)</f>
        <v>0</v>
      </c>
      <c r="BA324" s="107">
        <f>_xlfn.IFNA($M324/VLOOKUP($BU324,'Unit information'!$A$2:$K$29,9,FALSE)*Y324,0)*(1+$E$9)</f>
        <v>0</v>
      </c>
      <c r="BB324" s="107">
        <f>_xlfn.IFNA($M324/VLOOKUP($BV324,'Unit information'!$A$2:$K$29,10,FALSE)*Z324,0)*(1+$E$9)</f>
        <v>0</v>
      </c>
      <c r="BC324" s="108">
        <f>_xlfn.IFNA($M324/VLOOKUP($BV324,'Unit information'!$A$2:$K$29,11,FALSE)*AA324,0)*(1+$E$9)</f>
        <v>0</v>
      </c>
      <c r="BD324" s="106">
        <f t="shared" si="634"/>
        <v>0</v>
      </c>
      <c r="BE324" s="107">
        <f t="shared" si="635"/>
        <v>0</v>
      </c>
      <c r="BF324" s="108">
        <f t="shared" si="636"/>
        <v>0</v>
      </c>
      <c r="BG324" s="25" t="e">
        <f t="shared" si="637"/>
        <v>#N/A</v>
      </c>
      <c r="BH324" s="25" t="e">
        <f t="shared" si="638"/>
        <v>#N/A</v>
      </c>
      <c r="BI324" s="25" t="e">
        <f t="shared" si="639"/>
        <v>#N/A</v>
      </c>
      <c r="BJ324" s="27" t="e">
        <f t="shared" si="640"/>
        <v>#N/A</v>
      </c>
      <c r="BK324" s="18" t="e">
        <f t="shared" si="641"/>
        <v>#N/A</v>
      </c>
      <c r="BL324" s="18" t="e">
        <f t="shared" si="642"/>
        <v>#N/A</v>
      </c>
      <c r="BM324" s="28" t="e">
        <f t="shared" si="693"/>
        <v>#N/A</v>
      </c>
      <c r="BN324" s="33">
        <f>HLOOKUP("maximum population",Miscelaneous!$C$1:$C$33,CH324+3,FALSE)</f>
        <v>240</v>
      </c>
      <c r="BO324" s="14">
        <f t="shared" si="655"/>
        <v>32</v>
      </c>
      <c r="BP324" s="14">
        <f t="shared" si="656"/>
        <v>0</v>
      </c>
      <c r="BQ324" s="14">
        <f t="shared" si="657"/>
        <v>208</v>
      </c>
      <c r="BR324" s="34" t="e">
        <f>HLOOKUP(J324,Villagers!$B$1:$V$33,L324+3,FALSE)-HLOOKUP(J324,Villagers!$B$1:$V$33,L324+2,FALSE)</f>
        <v>#N/A</v>
      </c>
      <c r="BS324" s="49">
        <f t="shared" si="658"/>
        <v>1</v>
      </c>
      <c r="BT324" s="50">
        <f t="shared" si="659"/>
        <v>0</v>
      </c>
      <c r="BU324" s="50">
        <f t="shared" si="660"/>
        <v>0</v>
      </c>
      <c r="BV324" s="50">
        <f t="shared" si="661"/>
        <v>0</v>
      </c>
      <c r="BW324" s="50">
        <f t="shared" si="750"/>
        <v>0</v>
      </c>
      <c r="BX324" s="50">
        <f t="shared" si="751"/>
        <v>0</v>
      </c>
      <c r="BY324" s="50">
        <f t="shared" si="751"/>
        <v>0</v>
      </c>
      <c r="BZ324" s="50">
        <f t="shared" si="707"/>
        <v>0</v>
      </c>
      <c r="CA324" s="50">
        <f t="shared" si="708"/>
        <v>0</v>
      </c>
      <c r="CB324" s="50">
        <f t="shared" si="709"/>
        <v>1</v>
      </c>
      <c r="CC324" s="50">
        <f t="shared" si="710"/>
        <v>0</v>
      </c>
      <c r="CD324" s="50">
        <f t="shared" si="711"/>
        <v>0</v>
      </c>
      <c r="CE324" s="50">
        <f t="shared" si="712"/>
        <v>1</v>
      </c>
      <c r="CF324" s="50">
        <f t="shared" si="713"/>
        <v>1</v>
      </c>
      <c r="CG324" s="50">
        <f t="shared" si="714"/>
        <v>1</v>
      </c>
      <c r="CH324" s="50">
        <f t="shared" si="715"/>
        <v>1</v>
      </c>
      <c r="CI324" s="50">
        <f t="shared" si="716"/>
        <v>1</v>
      </c>
      <c r="CJ324" s="50">
        <f t="shared" si="717"/>
        <v>1</v>
      </c>
      <c r="CK324" s="50">
        <f t="shared" si="717"/>
        <v>0</v>
      </c>
      <c r="CL324" s="50">
        <f t="shared" si="717"/>
        <v>0</v>
      </c>
      <c r="CM324" s="51">
        <f t="shared" si="760"/>
        <v>0</v>
      </c>
      <c r="CN324" s="33">
        <f>ROUND(IF(BS324=0,0,HLOOKUP(BS$14,Villagers!$B$1:$V$33,BS324+3,FALSE)),)</f>
        <v>5</v>
      </c>
      <c r="CO324" s="14">
        <f>ROUND(IF(BT324=0,0,HLOOKUP(BT$14,Villagers!$B$1:$V$33,BT324+3,FALSE)),)</f>
        <v>0</v>
      </c>
      <c r="CP324" s="14">
        <f>ROUND(IF(BU324=0,0,HLOOKUP(BU$14,Villagers!$B$1:$V$33,BU324+3,FALSE)),)</f>
        <v>0</v>
      </c>
      <c r="CQ324" s="14">
        <f>ROUND(IF(BV324=0,0,HLOOKUP(BV$14,Villagers!$B$1:$V$33,BV324+3,FALSE)),)</f>
        <v>0</v>
      </c>
      <c r="CR324" s="14">
        <f>ROUND(IF(BW324=0,0,HLOOKUP(BW$14,Villagers!$B$1:$V$33,BW324+3,FALSE)),)</f>
        <v>0</v>
      </c>
      <c r="CS324" s="14">
        <f>ROUND(IF(BX324=0,0,HLOOKUP(BX$14,Villagers!$B$1:$V$33,BX324+3,FALSE)),)</f>
        <v>0</v>
      </c>
      <c r="CT324" s="14">
        <f>ROUND(IF(BY324=0,0,HLOOKUP(BY$14,Villagers!$B$1:$V$33,BY324+3,FALSE)),)</f>
        <v>0</v>
      </c>
      <c r="CU324" s="14">
        <f>ROUND(IF(BZ324=0,0,HLOOKUP(BZ$14,Villagers!$B$1:$V$33,BZ324+3,FALSE)),)</f>
        <v>0</v>
      </c>
      <c r="CV324" s="14">
        <f>ROUND(IF(CA324=0,0,HLOOKUP(CA$14,Villagers!$B$1:$V$33,CA324+3,FALSE)),)</f>
        <v>0</v>
      </c>
      <c r="CW324" s="14">
        <f>ROUND(IF(CB324=0,0,HLOOKUP(CB$14,Villagers!$B$1:$V$33,CB324+3,FALSE)),)</f>
        <v>0</v>
      </c>
      <c r="CX324" s="14">
        <f>ROUND(IF(CC324=0,0,HLOOKUP(CC$14,Villagers!$B$1:$V$33,CC324+3,FALSE)),)</f>
        <v>0</v>
      </c>
      <c r="CY324" s="14">
        <f>ROUND(IF(CD324=0,0,HLOOKUP(CD$14,Villagers!$B$1:$V$33,CD324+3,FALSE)),)</f>
        <v>0</v>
      </c>
      <c r="CZ324" s="14">
        <f>ROUND(IF(CE324=0,0,HLOOKUP(CE$14,Villagers!$B$1:$V$33,CE324+3,FALSE)),)</f>
        <v>5</v>
      </c>
      <c r="DA324" s="14">
        <f>ROUND(IF(CF324=0,0,HLOOKUP(CF$14,Villagers!$B$1:$V$33,CF324+3,FALSE)),)</f>
        <v>10</v>
      </c>
      <c r="DB324" s="14">
        <f>ROUND(IF(CG324=0,0,HLOOKUP(CG$14,Villagers!$B$1:$V$33,CG324+3,FALSE)),)</f>
        <v>10</v>
      </c>
      <c r="DC324" s="14">
        <f>ROUND(IF(CH324=0,0,HLOOKUP(CH$14,Villagers!$B$1:$V$33,CH324+3,FALSE)),)</f>
        <v>0</v>
      </c>
      <c r="DD324" s="14">
        <f>ROUND(IF(CI324=0,0,HLOOKUP(CI$14,Villagers!$B$1:$V$33,CI324+3,FALSE)),)</f>
        <v>0</v>
      </c>
      <c r="DE324" s="14">
        <f>ROUND(IF(CJ324=0,0,HLOOKUP(CJ$14,Villagers!$B$1:$V$33,CJ324+3,FALSE)),)</f>
        <v>2</v>
      </c>
      <c r="DF324" s="370">
        <f>ROUND(IF(CK324=0,0,HLOOKUP(CK$14,Villagers!$B$1:$V$33,CK324+3,FALSE)),)</f>
        <v>0</v>
      </c>
      <c r="DG324" s="370">
        <f>ROUND(IF(CL324=0,0,HLOOKUP(CL$14,Villagers!$B$1:$V$33,CL324+3,FALSE)),)</f>
        <v>0</v>
      </c>
      <c r="DH324" s="34">
        <f>ROUND(IF(CM324=0,0,HLOOKUP(CM$14,Villagers!$B$1:$V$33,CM324+3,FALSE)),)</f>
        <v>0</v>
      </c>
      <c r="DI324" s="109">
        <f t="shared" si="679"/>
        <v>0</v>
      </c>
      <c r="DJ324" s="50">
        <f t="shared" si="680"/>
        <v>0</v>
      </c>
      <c r="DK324" s="50">
        <f t="shared" si="681"/>
        <v>0</v>
      </c>
      <c r="DL324" s="50">
        <f t="shared" si="682"/>
        <v>0</v>
      </c>
      <c r="DM324" s="50">
        <f t="shared" si="683"/>
        <v>0</v>
      </c>
      <c r="DN324" s="50">
        <f t="shared" si="684"/>
        <v>0</v>
      </c>
      <c r="DO324" s="50">
        <f t="shared" si="685"/>
        <v>0</v>
      </c>
      <c r="DP324" s="50">
        <f t="shared" si="686"/>
        <v>0</v>
      </c>
      <c r="DQ324" s="50">
        <f t="shared" si="663"/>
        <v>0</v>
      </c>
      <c r="DR324" s="50">
        <f t="shared" si="664"/>
        <v>0</v>
      </c>
      <c r="DS324" s="96">
        <f>Miscelaneous!$D$4*Miscelaneous!$D$2^($CI324-1)</f>
        <v>1000</v>
      </c>
      <c r="DT324" s="333">
        <f t="shared" si="643"/>
        <v>1</v>
      </c>
      <c r="DU324" s="81">
        <v>1</v>
      </c>
      <c r="DV324" s="79">
        <f t="shared" si="665"/>
        <v>0</v>
      </c>
      <c r="DW324" s="79">
        <f t="shared" si="666"/>
        <v>0</v>
      </c>
      <c r="DX324" s="79">
        <f t="shared" si="667"/>
        <v>0</v>
      </c>
      <c r="DY324" s="79">
        <v>1</v>
      </c>
      <c r="DZ324" s="79">
        <f t="shared" si="668"/>
        <v>0</v>
      </c>
      <c r="EA324" s="79">
        <f t="shared" si="669"/>
        <v>0</v>
      </c>
      <c r="EB324" s="79">
        <f t="shared" si="670"/>
        <v>0</v>
      </c>
      <c r="EC324" s="79">
        <f t="shared" si="671"/>
        <v>0</v>
      </c>
      <c r="ED324" s="79">
        <v>1</v>
      </c>
      <c r="EE324" s="79">
        <v>1</v>
      </c>
      <c r="EF324" s="79">
        <f t="shared" si="672"/>
        <v>0</v>
      </c>
      <c r="EG324" s="79">
        <v>1</v>
      </c>
      <c r="EH324" s="79">
        <v>1</v>
      </c>
      <c r="EI324" s="79">
        <v>1</v>
      </c>
      <c r="EJ324" s="79">
        <v>1</v>
      </c>
      <c r="EK324" s="79">
        <v>1</v>
      </c>
      <c r="EL324" s="79">
        <v>1</v>
      </c>
      <c r="EM324" s="143">
        <f t="shared" si="673"/>
        <v>0</v>
      </c>
      <c r="EN324" s="143">
        <f t="shared" si="674"/>
        <v>0</v>
      </c>
      <c r="EO324" s="82">
        <f t="shared" si="675"/>
        <v>0</v>
      </c>
    </row>
    <row r="325" spans="1:145" x14ac:dyDescent="0.25">
      <c r="A325">
        <v>311</v>
      </c>
      <c r="B325" s="172" t="e">
        <f t="shared" si="644"/>
        <v>#N/A</v>
      </c>
      <c r="C325" s="121" t="e">
        <f t="shared" ref="C325:E325" si="767">AJ325-SUM(AB325:AB329)</f>
        <v>#N/A</v>
      </c>
      <c r="D325" s="122" t="e">
        <f t="shared" si="767"/>
        <v>#N/A</v>
      </c>
      <c r="E325" s="122" t="e">
        <f t="shared" si="767"/>
        <v>#N/A</v>
      </c>
      <c r="F325" s="176" t="e">
        <f t="shared" si="626"/>
        <v>#N/A</v>
      </c>
      <c r="G325" s="121">
        <f t="shared" si="646"/>
        <v>208</v>
      </c>
      <c r="H325" s="176" t="e">
        <f t="shared" si="647"/>
        <v>#N/A</v>
      </c>
      <c r="I325" s="48">
        <v>1</v>
      </c>
      <c r="J325" s="39"/>
      <c r="K325" s="350">
        <v>1</v>
      </c>
      <c r="L325" s="34" t="e">
        <f t="shared" si="627"/>
        <v>#N/A</v>
      </c>
      <c r="M325" s="38" t="e">
        <f>(HLOOKUP(J325,'Construction Times'!$B$3:$W$34,L325+2,FALSE)*HLOOKUP("hq modifier",'Construction Times'!$W$3:$W$34,BS325+2,FALSE))*(1-$H$9)</f>
        <v>#N/A</v>
      </c>
      <c r="N325" s="426" t="e">
        <f t="shared" si="648"/>
        <v>#N/A</v>
      </c>
      <c r="O325" s="427"/>
      <c r="P325" s="430" t="e">
        <f t="shared" si="649"/>
        <v>#N/A</v>
      </c>
      <c r="Q325" s="431"/>
      <c r="R325" s="103">
        <f t="shared" si="677"/>
        <v>0</v>
      </c>
      <c r="S325" s="104">
        <f t="shared" si="677"/>
        <v>0</v>
      </c>
      <c r="T325" s="104">
        <f t="shared" si="678"/>
        <v>0</v>
      </c>
      <c r="U325" s="104">
        <f t="shared" si="678"/>
        <v>0</v>
      </c>
      <c r="V325" s="104">
        <f t="shared" si="678"/>
        <v>9.9999999999999995E-8</v>
      </c>
      <c r="W325" s="104">
        <f t="shared" si="678"/>
        <v>0</v>
      </c>
      <c r="X325" s="104">
        <f t="shared" si="737"/>
        <v>0</v>
      </c>
      <c r="Y325" s="104">
        <f t="shared" si="737"/>
        <v>9.9999999999999995E-8</v>
      </c>
      <c r="Z325" s="104">
        <f t="shared" si="737"/>
        <v>9.9999999999999995E-8</v>
      </c>
      <c r="AA325" s="105">
        <f t="shared" si="737"/>
        <v>9.9999999999999995E-8</v>
      </c>
      <c r="AB325" s="101" t="e">
        <f>$DT325*HLOOKUP($J325,'Construction Costs (timber)'!$B$1:$V$32,'Construction Planner'!$L325+2,FALSE)</f>
        <v>#N/A</v>
      </c>
      <c r="AC325" s="14" t="e">
        <f>$DT325*HLOOKUP($J325,'Construction Costs (clay)'!$B$1:$V$32,'Construction Planner'!$L325+2,FALSE)</f>
        <v>#N/A</v>
      </c>
      <c r="AD325" s="14" t="e">
        <f>$DT325*HLOOKUP($J325,'Construction Costs (iron)'!$B$1:$V$32,'Construction Planner'!$L325+2,FALSE)</f>
        <v>#N/A</v>
      </c>
      <c r="AE325" s="34" t="e">
        <f t="shared" si="690"/>
        <v>#N/A</v>
      </c>
      <c r="AF325" s="33" t="e">
        <f t="shared" si="628"/>
        <v>#N/A</v>
      </c>
      <c r="AG325" s="14" t="e">
        <f t="shared" si="629"/>
        <v>#N/A</v>
      </c>
      <c r="AH325" s="14" t="e">
        <f t="shared" si="630"/>
        <v>#N/A</v>
      </c>
      <c r="AI325" s="34" t="e">
        <f t="shared" si="691"/>
        <v>#N/A</v>
      </c>
      <c r="AJ325" s="49" t="e">
        <f t="shared" si="651"/>
        <v>#N/A</v>
      </c>
      <c r="AK325" s="49" t="e">
        <f t="shared" si="652"/>
        <v>#N/A</v>
      </c>
      <c r="AL325" s="49" t="e">
        <f t="shared" si="653"/>
        <v>#N/A</v>
      </c>
      <c r="AM325" s="25">
        <f t="shared" si="631"/>
        <v>30</v>
      </c>
      <c r="AN325" s="25">
        <f t="shared" si="632"/>
        <v>30</v>
      </c>
      <c r="AO325" s="25">
        <f t="shared" si="633"/>
        <v>30</v>
      </c>
      <c r="AP325" s="52" t="e">
        <f t="shared" si="654"/>
        <v>#N/A</v>
      </c>
      <c r="AQ325" s="53" t="e">
        <f t="shared" si="654"/>
        <v>#N/A</v>
      </c>
      <c r="AR325" s="54" t="e">
        <f t="shared" si="654"/>
        <v>#N/A</v>
      </c>
      <c r="AS325" s="316">
        <f t="shared" si="766"/>
        <v>0</v>
      </c>
      <c r="AT325" s="106">
        <f>_xlfn.IFNA($M325/VLOOKUP($BT325,'Unit information'!$A$2:$K$29,2,FALSE)*R325,0)*(1+$E$9)</f>
        <v>0</v>
      </c>
      <c r="AU325" s="107">
        <f>_xlfn.IFNA($M325/VLOOKUP($BT325,'Unit information'!$A$2:$K$29,3,FALSE)*S325,0)*(1+$E$9)</f>
        <v>0</v>
      </c>
      <c r="AV325" s="107">
        <f>_xlfn.IFNA($M325/VLOOKUP($BT325,'Unit information'!$A$2:$K$29,4,FALSE)*T325,0)*(1+$E$9)</f>
        <v>0</v>
      </c>
      <c r="AW325" s="107">
        <f>_xlfn.IFNA($M325/VLOOKUP($BT325,'Unit information'!$A$2:$K$29,5,FALSE)*U325,0)*(1+$E$9)</f>
        <v>0</v>
      </c>
      <c r="AX325" s="107">
        <f>_xlfn.IFNA($M325/VLOOKUP($BU325,'Unit information'!$A$2:$K$29,6,FALSE)*V325,0)*(1+$E$9)</f>
        <v>0</v>
      </c>
      <c r="AY325" s="107">
        <f>_xlfn.IFNA($M325/VLOOKUP($BU325,'Unit information'!$A$2:$K$29,7,FALSE)*W325,0)*(1+$E$9)</f>
        <v>0</v>
      </c>
      <c r="AZ325" s="107">
        <f>_xlfn.IFNA($M325/VLOOKUP($BU325,'Unit information'!$A$2:$K$29,8,FALSE)*X325,0)*(1+$E$9)</f>
        <v>0</v>
      </c>
      <c r="BA325" s="107">
        <f>_xlfn.IFNA($M325/VLOOKUP($BU325,'Unit information'!$A$2:$K$29,9,FALSE)*Y325,0)*(1+$E$9)</f>
        <v>0</v>
      </c>
      <c r="BB325" s="107">
        <f>_xlfn.IFNA($M325/VLOOKUP($BV325,'Unit information'!$A$2:$K$29,10,FALSE)*Z325,0)*(1+$E$9)</f>
        <v>0</v>
      </c>
      <c r="BC325" s="108">
        <f>_xlfn.IFNA($M325/VLOOKUP($BV325,'Unit information'!$A$2:$K$29,11,FALSE)*AA325,0)*(1+$E$9)</f>
        <v>0</v>
      </c>
      <c r="BD325" s="106">
        <f t="shared" si="634"/>
        <v>0</v>
      </c>
      <c r="BE325" s="107">
        <f t="shared" si="635"/>
        <v>0</v>
      </c>
      <c r="BF325" s="108">
        <f t="shared" si="636"/>
        <v>0</v>
      </c>
      <c r="BG325" s="25" t="e">
        <f t="shared" si="637"/>
        <v>#N/A</v>
      </c>
      <c r="BH325" s="25" t="e">
        <f t="shared" si="638"/>
        <v>#N/A</v>
      </c>
      <c r="BI325" s="25" t="e">
        <f t="shared" si="639"/>
        <v>#N/A</v>
      </c>
      <c r="BJ325" s="27" t="e">
        <f t="shared" si="640"/>
        <v>#N/A</v>
      </c>
      <c r="BK325" s="18" t="e">
        <f t="shared" si="641"/>
        <v>#N/A</v>
      </c>
      <c r="BL325" s="18" t="e">
        <f t="shared" si="642"/>
        <v>#N/A</v>
      </c>
      <c r="BM325" s="28" t="e">
        <f t="shared" si="693"/>
        <v>#N/A</v>
      </c>
      <c r="BN325" s="33">
        <f>HLOOKUP("maximum population",Miscelaneous!$C$1:$C$33,CH325+3,FALSE)</f>
        <v>240</v>
      </c>
      <c r="BO325" s="14">
        <f t="shared" si="655"/>
        <v>32</v>
      </c>
      <c r="BP325" s="14">
        <f t="shared" si="656"/>
        <v>0</v>
      </c>
      <c r="BQ325" s="14">
        <f t="shared" si="657"/>
        <v>208</v>
      </c>
      <c r="BR325" s="34" t="e">
        <f>HLOOKUP(J325,Villagers!$B$1:$V$33,L325+3,FALSE)-HLOOKUP(J325,Villagers!$B$1:$V$33,L325+2,FALSE)</f>
        <v>#N/A</v>
      </c>
      <c r="BS325" s="49">
        <f t="shared" si="658"/>
        <v>1</v>
      </c>
      <c r="BT325" s="50">
        <f t="shared" si="659"/>
        <v>0</v>
      </c>
      <c r="BU325" s="50">
        <f t="shared" si="660"/>
        <v>0</v>
      </c>
      <c r="BV325" s="50">
        <f t="shared" si="661"/>
        <v>0</v>
      </c>
      <c r="BW325" s="50">
        <f t="shared" si="750"/>
        <v>0</v>
      </c>
      <c r="BX325" s="50">
        <f t="shared" si="751"/>
        <v>0</v>
      </c>
      <c r="BY325" s="50">
        <f t="shared" si="751"/>
        <v>0</v>
      </c>
      <c r="BZ325" s="50">
        <f t="shared" si="707"/>
        <v>0</v>
      </c>
      <c r="CA325" s="50">
        <f t="shared" si="708"/>
        <v>0</v>
      </c>
      <c r="CB325" s="50">
        <f t="shared" si="709"/>
        <v>1</v>
      </c>
      <c r="CC325" s="50">
        <f t="shared" si="710"/>
        <v>0</v>
      </c>
      <c r="CD325" s="50">
        <f t="shared" si="711"/>
        <v>0</v>
      </c>
      <c r="CE325" s="50">
        <f t="shared" si="712"/>
        <v>1</v>
      </c>
      <c r="CF325" s="50">
        <f t="shared" si="713"/>
        <v>1</v>
      </c>
      <c r="CG325" s="50">
        <f t="shared" si="714"/>
        <v>1</v>
      </c>
      <c r="CH325" s="50">
        <f t="shared" si="715"/>
        <v>1</v>
      </c>
      <c r="CI325" s="50">
        <f t="shared" si="716"/>
        <v>1</v>
      </c>
      <c r="CJ325" s="50">
        <f t="shared" si="717"/>
        <v>1</v>
      </c>
      <c r="CK325" s="50">
        <f t="shared" si="717"/>
        <v>0</v>
      </c>
      <c r="CL325" s="50">
        <f t="shared" si="717"/>
        <v>0</v>
      </c>
      <c r="CM325" s="51">
        <f t="shared" si="760"/>
        <v>0</v>
      </c>
      <c r="CN325" s="33">
        <f>ROUND(IF(BS325=0,0,HLOOKUP(BS$14,Villagers!$B$1:$V$33,BS325+3,FALSE)),)</f>
        <v>5</v>
      </c>
      <c r="CO325" s="14">
        <f>ROUND(IF(BT325=0,0,HLOOKUP(BT$14,Villagers!$B$1:$V$33,BT325+3,FALSE)),)</f>
        <v>0</v>
      </c>
      <c r="CP325" s="14">
        <f>ROUND(IF(BU325=0,0,HLOOKUP(BU$14,Villagers!$B$1:$V$33,BU325+3,FALSE)),)</f>
        <v>0</v>
      </c>
      <c r="CQ325" s="14">
        <f>ROUND(IF(BV325=0,0,HLOOKUP(BV$14,Villagers!$B$1:$V$33,BV325+3,FALSE)),)</f>
        <v>0</v>
      </c>
      <c r="CR325" s="14">
        <f>ROUND(IF(BW325=0,0,HLOOKUP(BW$14,Villagers!$B$1:$V$33,BW325+3,FALSE)),)</f>
        <v>0</v>
      </c>
      <c r="CS325" s="14">
        <f>ROUND(IF(BX325=0,0,HLOOKUP(BX$14,Villagers!$B$1:$V$33,BX325+3,FALSE)),)</f>
        <v>0</v>
      </c>
      <c r="CT325" s="14">
        <f>ROUND(IF(BY325=0,0,HLOOKUP(BY$14,Villagers!$B$1:$V$33,BY325+3,FALSE)),)</f>
        <v>0</v>
      </c>
      <c r="CU325" s="14">
        <f>ROUND(IF(BZ325=0,0,HLOOKUP(BZ$14,Villagers!$B$1:$V$33,BZ325+3,FALSE)),)</f>
        <v>0</v>
      </c>
      <c r="CV325" s="14">
        <f>ROUND(IF(CA325=0,0,HLOOKUP(CA$14,Villagers!$B$1:$V$33,CA325+3,FALSE)),)</f>
        <v>0</v>
      </c>
      <c r="CW325" s="14">
        <f>ROUND(IF(CB325=0,0,HLOOKUP(CB$14,Villagers!$B$1:$V$33,CB325+3,FALSE)),)</f>
        <v>0</v>
      </c>
      <c r="CX325" s="14">
        <f>ROUND(IF(CC325=0,0,HLOOKUP(CC$14,Villagers!$B$1:$V$33,CC325+3,FALSE)),)</f>
        <v>0</v>
      </c>
      <c r="CY325" s="14">
        <f>ROUND(IF(CD325=0,0,HLOOKUP(CD$14,Villagers!$B$1:$V$33,CD325+3,FALSE)),)</f>
        <v>0</v>
      </c>
      <c r="CZ325" s="14">
        <f>ROUND(IF(CE325=0,0,HLOOKUP(CE$14,Villagers!$B$1:$V$33,CE325+3,FALSE)),)</f>
        <v>5</v>
      </c>
      <c r="DA325" s="14">
        <f>ROUND(IF(CF325=0,0,HLOOKUP(CF$14,Villagers!$B$1:$V$33,CF325+3,FALSE)),)</f>
        <v>10</v>
      </c>
      <c r="DB325" s="14">
        <f>ROUND(IF(CG325=0,0,HLOOKUP(CG$14,Villagers!$B$1:$V$33,CG325+3,FALSE)),)</f>
        <v>10</v>
      </c>
      <c r="DC325" s="14">
        <f>ROUND(IF(CH325=0,0,HLOOKUP(CH$14,Villagers!$B$1:$V$33,CH325+3,FALSE)),)</f>
        <v>0</v>
      </c>
      <c r="DD325" s="14">
        <f>ROUND(IF(CI325=0,0,HLOOKUP(CI$14,Villagers!$B$1:$V$33,CI325+3,FALSE)),)</f>
        <v>0</v>
      </c>
      <c r="DE325" s="14">
        <f>ROUND(IF(CJ325=0,0,HLOOKUP(CJ$14,Villagers!$B$1:$V$33,CJ325+3,FALSE)),)</f>
        <v>2</v>
      </c>
      <c r="DF325" s="370">
        <f>ROUND(IF(CK325=0,0,HLOOKUP(CK$14,Villagers!$B$1:$V$33,CK325+3,FALSE)),)</f>
        <v>0</v>
      </c>
      <c r="DG325" s="370">
        <f>ROUND(IF(CL325=0,0,HLOOKUP(CL$14,Villagers!$B$1:$V$33,CL325+3,FALSE)),)</f>
        <v>0</v>
      </c>
      <c r="DH325" s="34">
        <f>ROUND(IF(CM325=0,0,HLOOKUP(CM$14,Villagers!$B$1:$V$33,CM325+3,FALSE)),)</f>
        <v>0</v>
      </c>
      <c r="DI325" s="109">
        <f t="shared" si="679"/>
        <v>0</v>
      </c>
      <c r="DJ325" s="50">
        <f t="shared" si="680"/>
        <v>0</v>
      </c>
      <c r="DK325" s="50">
        <f t="shared" si="681"/>
        <v>0</v>
      </c>
      <c r="DL325" s="50">
        <f t="shared" si="682"/>
        <v>0</v>
      </c>
      <c r="DM325" s="50">
        <f t="shared" si="683"/>
        <v>0</v>
      </c>
      <c r="DN325" s="50">
        <f t="shared" si="684"/>
        <v>0</v>
      </c>
      <c r="DO325" s="50">
        <f t="shared" si="685"/>
        <v>0</v>
      </c>
      <c r="DP325" s="50">
        <f t="shared" si="686"/>
        <v>0</v>
      </c>
      <c r="DQ325" s="50">
        <f t="shared" si="663"/>
        <v>0</v>
      </c>
      <c r="DR325" s="50">
        <f t="shared" si="664"/>
        <v>0</v>
      </c>
      <c r="DS325" s="96">
        <f>Miscelaneous!$D$4*Miscelaneous!$D$2^($CI325-1)</f>
        <v>1000</v>
      </c>
      <c r="DT325" s="333">
        <f t="shared" si="643"/>
        <v>1</v>
      </c>
      <c r="DU325" s="81">
        <v>1</v>
      </c>
      <c r="DV325" s="79">
        <f t="shared" si="665"/>
        <v>0</v>
      </c>
      <c r="DW325" s="79">
        <f t="shared" si="666"/>
        <v>0</v>
      </c>
      <c r="DX325" s="79">
        <f t="shared" si="667"/>
        <v>0</v>
      </c>
      <c r="DY325" s="79">
        <v>1</v>
      </c>
      <c r="DZ325" s="79">
        <f t="shared" si="668"/>
        <v>0</v>
      </c>
      <c r="EA325" s="79">
        <f t="shared" si="669"/>
        <v>0</v>
      </c>
      <c r="EB325" s="79">
        <f t="shared" si="670"/>
        <v>0</v>
      </c>
      <c r="EC325" s="79">
        <f t="shared" si="671"/>
        <v>0</v>
      </c>
      <c r="ED325" s="79">
        <v>1</v>
      </c>
      <c r="EE325" s="79">
        <v>1</v>
      </c>
      <c r="EF325" s="79">
        <f t="shared" si="672"/>
        <v>0</v>
      </c>
      <c r="EG325" s="79">
        <v>1</v>
      </c>
      <c r="EH325" s="79">
        <v>1</v>
      </c>
      <c r="EI325" s="79">
        <v>1</v>
      </c>
      <c r="EJ325" s="79">
        <v>1</v>
      </c>
      <c r="EK325" s="79">
        <v>1</v>
      </c>
      <c r="EL325" s="79">
        <v>1</v>
      </c>
      <c r="EM325" s="143">
        <f t="shared" si="673"/>
        <v>0</v>
      </c>
      <c r="EN325" s="143">
        <f t="shared" si="674"/>
        <v>0</v>
      </c>
      <c r="EO325" s="82">
        <f t="shared" si="675"/>
        <v>0</v>
      </c>
    </row>
    <row r="326" spans="1:145" x14ac:dyDescent="0.25">
      <c r="A326">
        <v>312</v>
      </c>
      <c r="B326" s="172" t="e">
        <f t="shared" si="644"/>
        <v>#N/A</v>
      </c>
      <c r="C326" s="121" t="e">
        <f t="shared" ref="C326:E326" si="768">AJ326-SUM(AB326:AB330)</f>
        <v>#N/A</v>
      </c>
      <c r="D326" s="122" t="e">
        <f t="shared" si="768"/>
        <v>#N/A</v>
      </c>
      <c r="E326" s="122" t="e">
        <f t="shared" si="768"/>
        <v>#N/A</v>
      </c>
      <c r="F326" s="176" t="e">
        <f t="shared" si="626"/>
        <v>#N/A</v>
      </c>
      <c r="G326" s="121">
        <f t="shared" si="646"/>
        <v>208</v>
      </c>
      <c r="H326" s="176" t="e">
        <f t="shared" si="647"/>
        <v>#N/A</v>
      </c>
      <c r="I326" s="48">
        <v>1</v>
      </c>
      <c r="J326" s="39"/>
      <c r="K326" s="350">
        <v>1</v>
      </c>
      <c r="L326" s="34" t="e">
        <f t="shared" si="627"/>
        <v>#N/A</v>
      </c>
      <c r="M326" s="38" t="e">
        <f>(HLOOKUP(J326,'Construction Times'!$B$3:$W$34,L326+2,FALSE)*HLOOKUP("hq modifier",'Construction Times'!$W$3:$W$34,BS326+2,FALSE))*(1-$H$9)</f>
        <v>#N/A</v>
      </c>
      <c r="N326" s="426" t="e">
        <f t="shared" si="648"/>
        <v>#N/A</v>
      </c>
      <c r="O326" s="427"/>
      <c r="P326" s="430" t="e">
        <f t="shared" si="649"/>
        <v>#N/A</v>
      </c>
      <c r="Q326" s="431"/>
      <c r="R326" s="103">
        <f t="shared" si="677"/>
        <v>0</v>
      </c>
      <c r="S326" s="104">
        <f t="shared" si="677"/>
        <v>0</v>
      </c>
      <c r="T326" s="104">
        <f t="shared" si="678"/>
        <v>0</v>
      </c>
      <c r="U326" s="104">
        <f t="shared" si="678"/>
        <v>0</v>
      </c>
      <c r="V326" s="104">
        <f t="shared" si="678"/>
        <v>9.9999999999999995E-8</v>
      </c>
      <c r="W326" s="104">
        <f t="shared" si="678"/>
        <v>0</v>
      </c>
      <c r="X326" s="104">
        <f t="shared" si="737"/>
        <v>0</v>
      </c>
      <c r="Y326" s="104">
        <f t="shared" si="737"/>
        <v>9.9999999999999995E-8</v>
      </c>
      <c r="Z326" s="104">
        <f t="shared" si="737"/>
        <v>9.9999999999999995E-8</v>
      </c>
      <c r="AA326" s="105">
        <f t="shared" si="737"/>
        <v>9.9999999999999995E-8</v>
      </c>
      <c r="AB326" s="101" t="e">
        <f>$DT326*HLOOKUP($J326,'Construction Costs (timber)'!$B$1:$V$32,'Construction Planner'!$L326+2,FALSE)</f>
        <v>#N/A</v>
      </c>
      <c r="AC326" s="14" t="e">
        <f>$DT326*HLOOKUP($J326,'Construction Costs (clay)'!$B$1:$V$32,'Construction Planner'!$L326+2,FALSE)</f>
        <v>#N/A</v>
      </c>
      <c r="AD326" s="14" t="e">
        <f>$DT326*HLOOKUP($J326,'Construction Costs (iron)'!$B$1:$V$32,'Construction Planner'!$L326+2,FALSE)</f>
        <v>#N/A</v>
      </c>
      <c r="AE326" s="34" t="e">
        <f t="shared" si="690"/>
        <v>#N/A</v>
      </c>
      <c r="AF326" s="33" t="e">
        <f t="shared" si="628"/>
        <v>#N/A</v>
      </c>
      <c r="AG326" s="14" t="e">
        <f t="shared" si="629"/>
        <v>#N/A</v>
      </c>
      <c r="AH326" s="14" t="e">
        <f t="shared" si="630"/>
        <v>#N/A</v>
      </c>
      <c r="AI326" s="34" t="e">
        <f t="shared" si="691"/>
        <v>#N/A</v>
      </c>
      <c r="AJ326" s="49" t="e">
        <f t="shared" si="651"/>
        <v>#N/A</v>
      </c>
      <c r="AK326" s="49" t="e">
        <f t="shared" si="652"/>
        <v>#N/A</v>
      </c>
      <c r="AL326" s="49" t="e">
        <f t="shared" si="653"/>
        <v>#N/A</v>
      </c>
      <c r="AM326" s="25">
        <f t="shared" si="631"/>
        <v>30</v>
      </c>
      <c r="AN326" s="25">
        <f t="shared" si="632"/>
        <v>30</v>
      </c>
      <c r="AO326" s="25">
        <f t="shared" si="633"/>
        <v>30</v>
      </c>
      <c r="AP326" s="52" t="e">
        <f t="shared" si="654"/>
        <v>#N/A</v>
      </c>
      <c r="AQ326" s="53" t="e">
        <f t="shared" si="654"/>
        <v>#N/A</v>
      </c>
      <c r="AR326" s="54" t="e">
        <f t="shared" si="654"/>
        <v>#N/A</v>
      </c>
      <c r="AS326" s="316">
        <f t="shared" si="766"/>
        <v>0</v>
      </c>
      <c r="AT326" s="106">
        <f>_xlfn.IFNA($M326/VLOOKUP($BT326,'Unit information'!$A$2:$K$29,2,FALSE)*R326,0)*(1+$E$9)</f>
        <v>0</v>
      </c>
      <c r="AU326" s="107">
        <f>_xlfn.IFNA($M326/VLOOKUP($BT326,'Unit information'!$A$2:$K$29,3,FALSE)*S326,0)*(1+$E$9)</f>
        <v>0</v>
      </c>
      <c r="AV326" s="107">
        <f>_xlfn.IFNA($M326/VLOOKUP($BT326,'Unit information'!$A$2:$K$29,4,FALSE)*T326,0)*(1+$E$9)</f>
        <v>0</v>
      </c>
      <c r="AW326" s="107">
        <f>_xlfn.IFNA($M326/VLOOKUP($BT326,'Unit information'!$A$2:$K$29,5,FALSE)*U326,0)*(1+$E$9)</f>
        <v>0</v>
      </c>
      <c r="AX326" s="107">
        <f>_xlfn.IFNA($M326/VLOOKUP($BU326,'Unit information'!$A$2:$K$29,6,FALSE)*V326,0)*(1+$E$9)</f>
        <v>0</v>
      </c>
      <c r="AY326" s="107">
        <f>_xlfn.IFNA($M326/VLOOKUP($BU326,'Unit information'!$A$2:$K$29,7,FALSE)*W326,0)*(1+$E$9)</f>
        <v>0</v>
      </c>
      <c r="AZ326" s="107">
        <f>_xlfn.IFNA($M326/VLOOKUP($BU326,'Unit information'!$A$2:$K$29,8,FALSE)*X326,0)*(1+$E$9)</f>
        <v>0</v>
      </c>
      <c r="BA326" s="107">
        <f>_xlfn.IFNA($M326/VLOOKUP($BU326,'Unit information'!$A$2:$K$29,9,FALSE)*Y326,0)*(1+$E$9)</f>
        <v>0</v>
      </c>
      <c r="BB326" s="107">
        <f>_xlfn.IFNA($M326/VLOOKUP($BV326,'Unit information'!$A$2:$K$29,10,FALSE)*Z326,0)*(1+$E$9)</f>
        <v>0</v>
      </c>
      <c r="BC326" s="108">
        <f>_xlfn.IFNA($M326/VLOOKUP($BV326,'Unit information'!$A$2:$K$29,11,FALSE)*AA326,0)*(1+$E$9)</f>
        <v>0</v>
      </c>
      <c r="BD326" s="106">
        <f t="shared" si="634"/>
        <v>0</v>
      </c>
      <c r="BE326" s="107">
        <f t="shared" si="635"/>
        <v>0</v>
      </c>
      <c r="BF326" s="108">
        <f t="shared" si="636"/>
        <v>0</v>
      </c>
      <c r="BG326" s="25" t="e">
        <f t="shared" si="637"/>
        <v>#N/A</v>
      </c>
      <c r="BH326" s="25" t="e">
        <f t="shared" si="638"/>
        <v>#N/A</v>
      </c>
      <c r="BI326" s="25" t="e">
        <f t="shared" si="639"/>
        <v>#N/A</v>
      </c>
      <c r="BJ326" s="27" t="e">
        <f t="shared" si="640"/>
        <v>#N/A</v>
      </c>
      <c r="BK326" s="18" t="e">
        <f t="shared" si="641"/>
        <v>#N/A</v>
      </c>
      <c r="BL326" s="18" t="e">
        <f t="shared" si="642"/>
        <v>#N/A</v>
      </c>
      <c r="BM326" s="28" t="e">
        <f t="shared" si="693"/>
        <v>#N/A</v>
      </c>
      <c r="BN326" s="33">
        <f>HLOOKUP("maximum population",Miscelaneous!$C$1:$C$33,CH326+3,FALSE)</f>
        <v>240</v>
      </c>
      <c r="BO326" s="14">
        <f t="shared" si="655"/>
        <v>32</v>
      </c>
      <c r="BP326" s="14">
        <f t="shared" si="656"/>
        <v>0</v>
      </c>
      <c r="BQ326" s="14">
        <f t="shared" si="657"/>
        <v>208</v>
      </c>
      <c r="BR326" s="34" t="e">
        <f>HLOOKUP(J326,Villagers!$B$1:$V$33,L326+3,FALSE)-HLOOKUP(J326,Villagers!$B$1:$V$33,L326+2,FALSE)</f>
        <v>#N/A</v>
      </c>
      <c r="BS326" s="49">
        <f t="shared" si="658"/>
        <v>1</v>
      </c>
      <c r="BT326" s="50">
        <f t="shared" si="659"/>
        <v>0</v>
      </c>
      <c r="BU326" s="50">
        <f t="shared" si="660"/>
        <v>0</v>
      </c>
      <c r="BV326" s="50">
        <f t="shared" si="661"/>
        <v>0</v>
      </c>
      <c r="BW326" s="50">
        <f t="shared" si="750"/>
        <v>0</v>
      </c>
      <c r="BX326" s="50">
        <f t="shared" si="751"/>
        <v>0</v>
      </c>
      <c r="BY326" s="50">
        <f t="shared" si="751"/>
        <v>0</v>
      </c>
      <c r="BZ326" s="50">
        <f t="shared" si="707"/>
        <v>0</v>
      </c>
      <c r="CA326" s="50">
        <f t="shared" si="708"/>
        <v>0</v>
      </c>
      <c r="CB326" s="50">
        <f t="shared" si="709"/>
        <v>1</v>
      </c>
      <c r="CC326" s="50">
        <f t="shared" si="710"/>
        <v>0</v>
      </c>
      <c r="CD326" s="50">
        <f t="shared" si="711"/>
        <v>0</v>
      </c>
      <c r="CE326" s="50">
        <f t="shared" si="712"/>
        <v>1</v>
      </c>
      <c r="CF326" s="50">
        <f t="shared" si="713"/>
        <v>1</v>
      </c>
      <c r="CG326" s="50">
        <f t="shared" si="714"/>
        <v>1</v>
      </c>
      <c r="CH326" s="50">
        <f t="shared" si="715"/>
        <v>1</v>
      </c>
      <c r="CI326" s="50">
        <f t="shared" si="716"/>
        <v>1</v>
      </c>
      <c r="CJ326" s="50">
        <f t="shared" si="717"/>
        <v>1</v>
      </c>
      <c r="CK326" s="50">
        <f t="shared" si="717"/>
        <v>0</v>
      </c>
      <c r="CL326" s="50">
        <f t="shared" si="717"/>
        <v>0</v>
      </c>
      <c r="CM326" s="51">
        <f t="shared" si="760"/>
        <v>0</v>
      </c>
      <c r="CN326" s="33">
        <f>ROUND(IF(BS326=0,0,HLOOKUP(BS$14,Villagers!$B$1:$V$33,BS326+3,FALSE)),)</f>
        <v>5</v>
      </c>
      <c r="CO326" s="14">
        <f>ROUND(IF(BT326=0,0,HLOOKUP(BT$14,Villagers!$B$1:$V$33,BT326+3,FALSE)),)</f>
        <v>0</v>
      </c>
      <c r="CP326" s="14">
        <f>ROUND(IF(BU326=0,0,HLOOKUP(BU$14,Villagers!$B$1:$V$33,BU326+3,FALSE)),)</f>
        <v>0</v>
      </c>
      <c r="CQ326" s="14">
        <f>ROUND(IF(BV326=0,0,HLOOKUP(BV$14,Villagers!$B$1:$V$33,BV326+3,FALSE)),)</f>
        <v>0</v>
      </c>
      <c r="CR326" s="14">
        <f>ROUND(IF(BW326=0,0,HLOOKUP(BW$14,Villagers!$B$1:$V$33,BW326+3,FALSE)),)</f>
        <v>0</v>
      </c>
      <c r="CS326" s="14">
        <f>ROUND(IF(BX326=0,0,HLOOKUP(BX$14,Villagers!$B$1:$V$33,BX326+3,FALSE)),)</f>
        <v>0</v>
      </c>
      <c r="CT326" s="14">
        <f>ROUND(IF(BY326=0,0,HLOOKUP(BY$14,Villagers!$B$1:$V$33,BY326+3,FALSE)),)</f>
        <v>0</v>
      </c>
      <c r="CU326" s="14">
        <f>ROUND(IF(BZ326=0,0,HLOOKUP(BZ$14,Villagers!$B$1:$V$33,BZ326+3,FALSE)),)</f>
        <v>0</v>
      </c>
      <c r="CV326" s="14">
        <f>ROUND(IF(CA326=0,0,HLOOKUP(CA$14,Villagers!$B$1:$V$33,CA326+3,FALSE)),)</f>
        <v>0</v>
      </c>
      <c r="CW326" s="14">
        <f>ROUND(IF(CB326=0,0,HLOOKUP(CB$14,Villagers!$B$1:$V$33,CB326+3,FALSE)),)</f>
        <v>0</v>
      </c>
      <c r="CX326" s="14">
        <f>ROUND(IF(CC326=0,0,HLOOKUP(CC$14,Villagers!$B$1:$V$33,CC326+3,FALSE)),)</f>
        <v>0</v>
      </c>
      <c r="CY326" s="14">
        <f>ROUND(IF(CD326=0,0,HLOOKUP(CD$14,Villagers!$B$1:$V$33,CD326+3,FALSE)),)</f>
        <v>0</v>
      </c>
      <c r="CZ326" s="14">
        <f>ROUND(IF(CE326=0,0,HLOOKUP(CE$14,Villagers!$B$1:$V$33,CE326+3,FALSE)),)</f>
        <v>5</v>
      </c>
      <c r="DA326" s="14">
        <f>ROUND(IF(CF326=0,0,HLOOKUP(CF$14,Villagers!$B$1:$V$33,CF326+3,FALSE)),)</f>
        <v>10</v>
      </c>
      <c r="DB326" s="14">
        <f>ROUND(IF(CG326=0,0,HLOOKUP(CG$14,Villagers!$B$1:$V$33,CG326+3,FALSE)),)</f>
        <v>10</v>
      </c>
      <c r="DC326" s="14">
        <f>ROUND(IF(CH326=0,0,HLOOKUP(CH$14,Villagers!$B$1:$V$33,CH326+3,FALSE)),)</f>
        <v>0</v>
      </c>
      <c r="DD326" s="14">
        <f>ROUND(IF(CI326=0,0,HLOOKUP(CI$14,Villagers!$B$1:$V$33,CI326+3,FALSE)),)</f>
        <v>0</v>
      </c>
      <c r="DE326" s="14">
        <f>ROUND(IF(CJ326=0,0,HLOOKUP(CJ$14,Villagers!$B$1:$V$33,CJ326+3,FALSE)),)</f>
        <v>2</v>
      </c>
      <c r="DF326" s="370">
        <f>ROUND(IF(CK326=0,0,HLOOKUP(CK$14,Villagers!$B$1:$V$33,CK326+3,FALSE)),)</f>
        <v>0</v>
      </c>
      <c r="DG326" s="370">
        <f>ROUND(IF(CL326=0,0,HLOOKUP(CL$14,Villagers!$B$1:$V$33,CL326+3,FALSE)),)</f>
        <v>0</v>
      </c>
      <c r="DH326" s="34">
        <f>ROUND(IF(CM326=0,0,HLOOKUP(CM$14,Villagers!$B$1:$V$33,CM326+3,FALSE)),)</f>
        <v>0</v>
      </c>
      <c r="DI326" s="109">
        <f t="shared" si="679"/>
        <v>0</v>
      </c>
      <c r="DJ326" s="50">
        <f t="shared" si="680"/>
        <v>0</v>
      </c>
      <c r="DK326" s="50">
        <f t="shared" si="681"/>
        <v>0</v>
      </c>
      <c r="DL326" s="50">
        <f t="shared" si="682"/>
        <v>0</v>
      </c>
      <c r="DM326" s="50">
        <f t="shared" si="683"/>
        <v>0</v>
      </c>
      <c r="DN326" s="50">
        <f t="shared" si="684"/>
        <v>0</v>
      </c>
      <c r="DO326" s="50">
        <f t="shared" si="685"/>
        <v>0</v>
      </c>
      <c r="DP326" s="50">
        <f t="shared" si="686"/>
        <v>0</v>
      </c>
      <c r="DQ326" s="50">
        <f t="shared" si="663"/>
        <v>0</v>
      </c>
      <c r="DR326" s="50">
        <f t="shared" si="664"/>
        <v>0</v>
      </c>
      <c r="DS326" s="96">
        <f>Miscelaneous!$D$4*Miscelaneous!$D$2^($CI326-1)</f>
        <v>1000</v>
      </c>
      <c r="DT326" s="333">
        <f t="shared" si="643"/>
        <v>1</v>
      </c>
      <c r="DU326" s="81">
        <v>1</v>
      </c>
      <c r="DV326" s="79">
        <f t="shared" si="665"/>
        <v>0</v>
      </c>
      <c r="DW326" s="79">
        <f t="shared" si="666"/>
        <v>0</v>
      </c>
      <c r="DX326" s="79">
        <f t="shared" si="667"/>
        <v>0</v>
      </c>
      <c r="DY326" s="79">
        <v>1</v>
      </c>
      <c r="DZ326" s="79">
        <f t="shared" si="668"/>
        <v>0</v>
      </c>
      <c r="EA326" s="79">
        <f t="shared" si="669"/>
        <v>0</v>
      </c>
      <c r="EB326" s="79">
        <f t="shared" si="670"/>
        <v>0</v>
      </c>
      <c r="EC326" s="79">
        <f t="shared" si="671"/>
        <v>0</v>
      </c>
      <c r="ED326" s="79">
        <v>1</v>
      </c>
      <c r="EE326" s="79">
        <v>1</v>
      </c>
      <c r="EF326" s="79">
        <f t="shared" si="672"/>
        <v>0</v>
      </c>
      <c r="EG326" s="79">
        <v>1</v>
      </c>
      <c r="EH326" s="79">
        <v>1</v>
      </c>
      <c r="EI326" s="79">
        <v>1</v>
      </c>
      <c r="EJ326" s="79">
        <v>1</v>
      </c>
      <c r="EK326" s="79">
        <v>1</v>
      </c>
      <c r="EL326" s="79">
        <v>1</v>
      </c>
      <c r="EM326" s="143">
        <f t="shared" si="673"/>
        <v>0</v>
      </c>
      <c r="EN326" s="143">
        <f t="shared" si="674"/>
        <v>0</v>
      </c>
      <c r="EO326" s="82">
        <f t="shared" si="675"/>
        <v>0</v>
      </c>
    </row>
    <row r="327" spans="1:145" x14ac:dyDescent="0.25">
      <c r="A327">
        <v>313</v>
      </c>
      <c r="B327" s="172" t="e">
        <f t="shared" si="644"/>
        <v>#N/A</v>
      </c>
      <c r="C327" s="121" t="e">
        <f t="shared" ref="C327:E327" si="769">AJ327-SUM(AB327:AB331)</f>
        <v>#N/A</v>
      </c>
      <c r="D327" s="122" t="e">
        <f t="shared" si="769"/>
        <v>#N/A</v>
      </c>
      <c r="E327" s="122" t="e">
        <f t="shared" si="769"/>
        <v>#N/A</v>
      </c>
      <c r="F327" s="176" t="e">
        <f t="shared" si="626"/>
        <v>#N/A</v>
      </c>
      <c r="G327" s="121">
        <f t="shared" si="646"/>
        <v>208</v>
      </c>
      <c r="H327" s="176" t="e">
        <f t="shared" si="647"/>
        <v>#N/A</v>
      </c>
      <c r="I327" s="48">
        <v>1</v>
      </c>
      <c r="J327" s="39"/>
      <c r="K327" s="350">
        <v>1</v>
      </c>
      <c r="L327" s="34" t="e">
        <f t="shared" si="627"/>
        <v>#N/A</v>
      </c>
      <c r="M327" s="38" t="e">
        <f>(HLOOKUP(J327,'Construction Times'!$B$3:$W$34,L327+2,FALSE)*HLOOKUP("hq modifier",'Construction Times'!$W$3:$W$34,BS327+2,FALSE))*(1-$H$9)</f>
        <v>#N/A</v>
      </c>
      <c r="N327" s="426" t="e">
        <f t="shared" si="648"/>
        <v>#N/A</v>
      </c>
      <c r="O327" s="427"/>
      <c r="P327" s="430" t="e">
        <f t="shared" si="649"/>
        <v>#N/A</v>
      </c>
      <c r="Q327" s="431"/>
      <c r="R327" s="103">
        <f t="shared" si="677"/>
        <v>0</v>
      </c>
      <c r="S327" s="104">
        <f t="shared" si="677"/>
        <v>0</v>
      </c>
      <c r="T327" s="104">
        <f t="shared" si="678"/>
        <v>0</v>
      </c>
      <c r="U327" s="104">
        <f t="shared" si="678"/>
        <v>0</v>
      </c>
      <c r="V327" s="104">
        <f t="shared" si="678"/>
        <v>9.9999999999999995E-8</v>
      </c>
      <c r="W327" s="104">
        <f t="shared" si="678"/>
        <v>0</v>
      </c>
      <c r="X327" s="104">
        <f t="shared" si="737"/>
        <v>0</v>
      </c>
      <c r="Y327" s="104">
        <f t="shared" si="737"/>
        <v>9.9999999999999995E-8</v>
      </c>
      <c r="Z327" s="104">
        <f t="shared" si="737"/>
        <v>9.9999999999999995E-8</v>
      </c>
      <c r="AA327" s="105">
        <f t="shared" si="737"/>
        <v>9.9999999999999995E-8</v>
      </c>
      <c r="AB327" s="101" t="e">
        <f>$DT327*HLOOKUP($J327,'Construction Costs (timber)'!$B$1:$V$32,'Construction Planner'!$L327+2,FALSE)</f>
        <v>#N/A</v>
      </c>
      <c r="AC327" s="14" t="e">
        <f>$DT327*HLOOKUP($J327,'Construction Costs (clay)'!$B$1:$V$32,'Construction Planner'!$L327+2,FALSE)</f>
        <v>#N/A</v>
      </c>
      <c r="AD327" s="14" t="e">
        <f>$DT327*HLOOKUP($J327,'Construction Costs (iron)'!$B$1:$V$32,'Construction Planner'!$L327+2,FALSE)</f>
        <v>#N/A</v>
      </c>
      <c r="AE327" s="34" t="e">
        <f t="shared" si="690"/>
        <v>#N/A</v>
      </c>
      <c r="AF327" s="33" t="e">
        <f t="shared" si="628"/>
        <v>#N/A</v>
      </c>
      <c r="AG327" s="14" t="e">
        <f t="shared" si="629"/>
        <v>#N/A</v>
      </c>
      <c r="AH327" s="14" t="e">
        <f t="shared" si="630"/>
        <v>#N/A</v>
      </c>
      <c r="AI327" s="34" t="e">
        <f t="shared" si="691"/>
        <v>#N/A</v>
      </c>
      <c r="AJ327" s="49" t="e">
        <f t="shared" si="651"/>
        <v>#N/A</v>
      </c>
      <c r="AK327" s="49" t="e">
        <f t="shared" si="652"/>
        <v>#N/A</v>
      </c>
      <c r="AL327" s="49" t="e">
        <f t="shared" si="653"/>
        <v>#N/A</v>
      </c>
      <c r="AM327" s="25">
        <f t="shared" si="631"/>
        <v>30</v>
      </c>
      <c r="AN327" s="25">
        <f t="shared" si="632"/>
        <v>30</v>
      </c>
      <c r="AO327" s="25">
        <f t="shared" si="633"/>
        <v>30</v>
      </c>
      <c r="AP327" s="52" t="e">
        <f t="shared" si="654"/>
        <v>#N/A</v>
      </c>
      <c r="AQ327" s="53" t="e">
        <f t="shared" si="654"/>
        <v>#N/A</v>
      </c>
      <c r="AR327" s="54" t="e">
        <f t="shared" si="654"/>
        <v>#N/A</v>
      </c>
      <c r="AS327" s="316">
        <f t="shared" si="766"/>
        <v>0</v>
      </c>
      <c r="AT327" s="106">
        <f>_xlfn.IFNA($M327/VLOOKUP($BT327,'Unit information'!$A$2:$K$29,2,FALSE)*R327,0)*(1+$E$9)</f>
        <v>0</v>
      </c>
      <c r="AU327" s="107">
        <f>_xlfn.IFNA($M327/VLOOKUP($BT327,'Unit information'!$A$2:$K$29,3,FALSE)*S327,0)*(1+$E$9)</f>
        <v>0</v>
      </c>
      <c r="AV327" s="107">
        <f>_xlfn.IFNA($M327/VLOOKUP($BT327,'Unit information'!$A$2:$K$29,4,FALSE)*T327,0)*(1+$E$9)</f>
        <v>0</v>
      </c>
      <c r="AW327" s="107">
        <f>_xlfn.IFNA($M327/VLOOKUP($BT327,'Unit information'!$A$2:$K$29,5,FALSE)*U327,0)*(1+$E$9)</f>
        <v>0</v>
      </c>
      <c r="AX327" s="107">
        <f>_xlfn.IFNA($M327/VLOOKUP($BU327,'Unit information'!$A$2:$K$29,6,FALSE)*V327,0)*(1+$E$9)</f>
        <v>0</v>
      </c>
      <c r="AY327" s="107">
        <f>_xlfn.IFNA($M327/VLOOKUP($BU327,'Unit information'!$A$2:$K$29,7,FALSE)*W327,0)*(1+$E$9)</f>
        <v>0</v>
      </c>
      <c r="AZ327" s="107">
        <f>_xlfn.IFNA($M327/VLOOKUP($BU327,'Unit information'!$A$2:$K$29,8,FALSE)*X327,0)*(1+$E$9)</f>
        <v>0</v>
      </c>
      <c r="BA327" s="107">
        <f>_xlfn.IFNA($M327/VLOOKUP($BU327,'Unit information'!$A$2:$K$29,9,FALSE)*Y327,0)*(1+$E$9)</f>
        <v>0</v>
      </c>
      <c r="BB327" s="107">
        <f>_xlfn.IFNA($M327/VLOOKUP($BV327,'Unit information'!$A$2:$K$29,10,FALSE)*Z327,0)*(1+$E$9)</f>
        <v>0</v>
      </c>
      <c r="BC327" s="108">
        <f>_xlfn.IFNA($M327/VLOOKUP($BV327,'Unit information'!$A$2:$K$29,11,FALSE)*AA327,0)*(1+$E$9)</f>
        <v>0</v>
      </c>
      <c r="BD327" s="106">
        <f t="shared" si="634"/>
        <v>0</v>
      </c>
      <c r="BE327" s="107">
        <f t="shared" si="635"/>
        <v>0</v>
      </c>
      <c r="BF327" s="108">
        <f t="shared" si="636"/>
        <v>0</v>
      </c>
      <c r="BG327" s="25" t="e">
        <f t="shared" si="637"/>
        <v>#N/A</v>
      </c>
      <c r="BH327" s="25" t="e">
        <f t="shared" si="638"/>
        <v>#N/A</v>
      </c>
      <c r="BI327" s="25" t="e">
        <f t="shared" si="639"/>
        <v>#N/A</v>
      </c>
      <c r="BJ327" s="27" t="e">
        <f t="shared" si="640"/>
        <v>#N/A</v>
      </c>
      <c r="BK327" s="18" t="e">
        <f t="shared" si="641"/>
        <v>#N/A</v>
      </c>
      <c r="BL327" s="18" t="e">
        <f t="shared" si="642"/>
        <v>#N/A</v>
      </c>
      <c r="BM327" s="28" t="e">
        <f t="shared" si="693"/>
        <v>#N/A</v>
      </c>
      <c r="BN327" s="33">
        <f>HLOOKUP("maximum population",Miscelaneous!$C$1:$C$33,CH327+3,FALSE)</f>
        <v>240</v>
      </c>
      <c r="BO327" s="14">
        <f t="shared" si="655"/>
        <v>32</v>
      </c>
      <c r="BP327" s="14">
        <f t="shared" si="656"/>
        <v>0</v>
      </c>
      <c r="BQ327" s="14">
        <f t="shared" si="657"/>
        <v>208</v>
      </c>
      <c r="BR327" s="34" t="e">
        <f>HLOOKUP(J327,Villagers!$B$1:$V$33,L327+3,FALSE)-HLOOKUP(J327,Villagers!$B$1:$V$33,L327+2,FALSE)</f>
        <v>#N/A</v>
      </c>
      <c r="BS327" s="49">
        <f t="shared" si="658"/>
        <v>1</v>
      </c>
      <c r="BT327" s="50">
        <f t="shared" si="659"/>
        <v>0</v>
      </c>
      <c r="BU327" s="50">
        <f t="shared" si="660"/>
        <v>0</v>
      </c>
      <c r="BV327" s="50">
        <f t="shared" si="661"/>
        <v>0</v>
      </c>
      <c r="BW327" s="50">
        <f t="shared" si="750"/>
        <v>0</v>
      </c>
      <c r="BX327" s="50">
        <f t="shared" si="751"/>
        <v>0</v>
      </c>
      <c r="BY327" s="50">
        <f t="shared" si="751"/>
        <v>0</v>
      </c>
      <c r="BZ327" s="50">
        <f t="shared" si="707"/>
        <v>0</v>
      </c>
      <c r="CA327" s="50">
        <f t="shared" si="708"/>
        <v>0</v>
      </c>
      <c r="CB327" s="50">
        <f t="shared" si="709"/>
        <v>1</v>
      </c>
      <c r="CC327" s="50">
        <f t="shared" si="710"/>
        <v>0</v>
      </c>
      <c r="CD327" s="50">
        <f t="shared" si="711"/>
        <v>0</v>
      </c>
      <c r="CE327" s="50">
        <f t="shared" si="712"/>
        <v>1</v>
      </c>
      <c r="CF327" s="50">
        <f t="shared" si="713"/>
        <v>1</v>
      </c>
      <c r="CG327" s="50">
        <f t="shared" si="714"/>
        <v>1</v>
      </c>
      <c r="CH327" s="50">
        <f t="shared" si="715"/>
        <v>1</v>
      </c>
      <c r="CI327" s="50">
        <f t="shared" si="716"/>
        <v>1</v>
      </c>
      <c r="CJ327" s="50">
        <f t="shared" si="717"/>
        <v>1</v>
      </c>
      <c r="CK327" s="50">
        <f t="shared" si="717"/>
        <v>0</v>
      </c>
      <c r="CL327" s="50">
        <f t="shared" si="717"/>
        <v>0</v>
      </c>
      <c r="CM327" s="51">
        <f t="shared" si="760"/>
        <v>0</v>
      </c>
      <c r="CN327" s="33">
        <f>ROUND(IF(BS327=0,0,HLOOKUP(BS$14,Villagers!$B$1:$V$33,BS327+3,FALSE)),)</f>
        <v>5</v>
      </c>
      <c r="CO327" s="14">
        <f>ROUND(IF(BT327=0,0,HLOOKUP(BT$14,Villagers!$B$1:$V$33,BT327+3,FALSE)),)</f>
        <v>0</v>
      </c>
      <c r="CP327" s="14">
        <f>ROUND(IF(BU327=0,0,HLOOKUP(BU$14,Villagers!$B$1:$V$33,BU327+3,FALSE)),)</f>
        <v>0</v>
      </c>
      <c r="CQ327" s="14">
        <f>ROUND(IF(BV327=0,0,HLOOKUP(BV$14,Villagers!$B$1:$V$33,BV327+3,FALSE)),)</f>
        <v>0</v>
      </c>
      <c r="CR327" s="14">
        <f>ROUND(IF(BW327=0,0,HLOOKUP(BW$14,Villagers!$B$1:$V$33,BW327+3,FALSE)),)</f>
        <v>0</v>
      </c>
      <c r="CS327" s="14">
        <f>ROUND(IF(BX327=0,0,HLOOKUP(BX$14,Villagers!$B$1:$V$33,BX327+3,FALSE)),)</f>
        <v>0</v>
      </c>
      <c r="CT327" s="14">
        <f>ROUND(IF(BY327=0,0,HLOOKUP(BY$14,Villagers!$B$1:$V$33,BY327+3,FALSE)),)</f>
        <v>0</v>
      </c>
      <c r="CU327" s="14">
        <f>ROUND(IF(BZ327=0,0,HLOOKUP(BZ$14,Villagers!$B$1:$V$33,BZ327+3,FALSE)),)</f>
        <v>0</v>
      </c>
      <c r="CV327" s="14">
        <f>ROUND(IF(CA327=0,0,HLOOKUP(CA$14,Villagers!$B$1:$V$33,CA327+3,FALSE)),)</f>
        <v>0</v>
      </c>
      <c r="CW327" s="14">
        <f>ROUND(IF(CB327=0,0,HLOOKUP(CB$14,Villagers!$B$1:$V$33,CB327+3,FALSE)),)</f>
        <v>0</v>
      </c>
      <c r="CX327" s="14">
        <f>ROUND(IF(CC327=0,0,HLOOKUP(CC$14,Villagers!$B$1:$V$33,CC327+3,FALSE)),)</f>
        <v>0</v>
      </c>
      <c r="CY327" s="14">
        <f>ROUND(IF(CD327=0,0,HLOOKUP(CD$14,Villagers!$B$1:$V$33,CD327+3,FALSE)),)</f>
        <v>0</v>
      </c>
      <c r="CZ327" s="14">
        <f>ROUND(IF(CE327=0,0,HLOOKUP(CE$14,Villagers!$B$1:$V$33,CE327+3,FALSE)),)</f>
        <v>5</v>
      </c>
      <c r="DA327" s="14">
        <f>ROUND(IF(CF327=0,0,HLOOKUP(CF$14,Villagers!$B$1:$V$33,CF327+3,FALSE)),)</f>
        <v>10</v>
      </c>
      <c r="DB327" s="14">
        <f>ROUND(IF(CG327=0,0,HLOOKUP(CG$14,Villagers!$B$1:$V$33,CG327+3,FALSE)),)</f>
        <v>10</v>
      </c>
      <c r="DC327" s="14">
        <f>ROUND(IF(CH327=0,0,HLOOKUP(CH$14,Villagers!$B$1:$V$33,CH327+3,FALSE)),)</f>
        <v>0</v>
      </c>
      <c r="DD327" s="14">
        <f>ROUND(IF(CI327=0,0,HLOOKUP(CI$14,Villagers!$B$1:$V$33,CI327+3,FALSE)),)</f>
        <v>0</v>
      </c>
      <c r="DE327" s="14">
        <f>ROUND(IF(CJ327=0,0,HLOOKUP(CJ$14,Villagers!$B$1:$V$33,CJ327+3,FALSE)),)</f>
        <v>2</v>
      </c>
      <c r="DF327" s="370">
        <f>ROUND(IF(CK327=0,0,HLOOKUP(CK$14,Villagers!$B$1:$V$33,CK327+3,FALSE)),)</f>
        <v>0</v>
      </c>
      <c r="DG327" s="370">
        <f>ROUND(IF(CL327=0,0,HLOOKUP(CL$14,Villagers!$B$1:$V$33,CL327+3,FALSE)),)</f>
        <v>0</v>
      </c>
      <c r="DH327" s="34">
        <f>ROUND(IF(CM327=0,0,HLOOKUP(CM$14,Villagers!$B$1:$V$33,CM327+3,FALSE)),)</f>
        <v>0</v>
      </c>
      <c r="DI327" s="109">
        <f t="shared" si="679"/>
        <v>0</v>
      </c>
      <c r="DJ327" s="50">
        <f t="shared" si="680"/>
        <v>0</v>
      </c>
      <c r="DK327" s="50">
        <f t="shared" si="681"/>
        <v>0</v>
      </c>
      <c r="DL327" s="50">
        <f t="shared" si="682"/>
        <v>0</v>
      </c>
      <c r="DM327" s="50">
        <f t="shared" si="683"/>
        <v>0</v>
      </c>
      <c r="DN327" s="50">
        <f t="shared" si="684"/>
        <v>0</v>
      </c>
      <c r="DO327" s="50">
        <f t="shared" si="685"/>
        <v>0</v>
      </c>
      <c r="DP327" s="50">
        <f t="shared" si="686"/>
        <v>0</v>
      </c>
      <c r="DQ327" s="50">
        <f t="shared" si="663"/>
        <v>0</v>
      </c>
      <c r="DR327" s="50">
        <f t="shared" si="664"/>
        <v>0</v>
      </c>
      <c r="DS327" s="96">
        <f>Miscelaneous!$D$4*Miscelaneous!$D$2^($CI327-1)</f>
        <v>1000</v>
      </c>
      <c r="DT327" s="333">
        <f t="shared" si="643"/>
        <v>1</v>
      </c>
      <c r="DU327" s="81">
        <v>1</v>
      </c>
      <c r="DV327" s="79">
        <f t="shared" si="665"/>
        <v>0</v>
      </c>
      <c r="DW327" s="79">
        <f t="shared" si="666"/>
        <v>0</v>
      </c>
      <c r="DX327" s="79">
        <f t="shared" si="667"/>
        <v>0</v>
      </c>
      <c r="DY327" s="79">
        <v>1</v>
      </c>
      <c r="DZ327" s="79">
        <f t="shared" si="668"/>
        <v>0</v>
      </c>
      <c r="EA327" s="79">
        <f t="shared" si="669"/>
        <v>0</v>
      </c>
      <c r="EB327" s="79">
        <f t="shared" si="670"/>
        <v>0</v>
      </c>
      <c r="EC327" s="79">
        <f t="shared" si="671"/>
        <v>0</v>
      </c>
      <c r="ED327" s="79">
        <v>1</v>
      </c>
      <c r="EE327" s="79">
        <v>1</v>
      </c>
      <c r="EF327" s="79">
        <f t="shared" si="672"/>
        <v>0</v>
      </c>
      <c r="EG327" s="79">
        <v>1</v>
      </c>
      <c r="EH327" s="79">
        <v>1</v>
      </c>
      <c r="EI327" s="79">
        <v>1</v>
      </c>
      <c r="EJ327" s="79">
        <v>1</v>
      </c>
      <c r="EK327" s="79">
        <v>1</v>
      </c>
      <c r="EL327" s="79">
        <v>1</v>
      </c>
      <c r="EM327" s="143">
        <f t="shared" si="673"/>
        <v>0</v>
      </c>
      <c r="EN327" s="143">
        <f t="shared" si="674"/>
        <v>0</v>
      </c>
      <c r="EO327" s="82">
        <f t="shared" si="675"/>
        <v>0</v>
      </c>
    </row>
    <row r="328" spans="1:145" x14ac:dyDescent="0.25">
      <c r="A328">
        <v>314</v>
      </c>
      <c r="B328" s="172" t="e">
        <f t="shared" si="644"/>
        <v>#N/A</v>
      </c>
      <c r="C328" s="121" t="e">
        <f t="shared" ref="C328:E328" si="770">AJ328-SUM(AB328:AB332)</f>
        <v>#N/A</v>
      </c>
      <c r="D328" s="122" t="e">
        <f t="shared" si="770"/>
        <v>#N/A</v>
      </c>
      <c r="E328" s="122" t="e">
        <f t="shared" si="770"/>
        <v>#N/A</v>
      </c>
      <c r="F328" s="176" t="e">
        <f t="shared" si="626"/>
        <v>#N/A</v>
      </c>
      <c r="G328" s="121">
        <f t="shared" si="646"/>
        <v>208</v>
      </c>
      <c r="H328" s="176" t="e">
        <f t="shared" si="647"/>
        <v>#N/A</v>
      </c>
      <c r="I328" s="48">
        <v>1</v>
      </c>
      <c r="J328" s="39"/>
      <c r="K328" s="350">
        <v>1</v>
      </c>
      <c r="L328" s="34" t="e">
        <f t="shared" si="627"/>
        <v>#N/A</v>
      </c>
      <c r="M328" s="38" t="e">
        <f>(HLOOKUP(J328,'Construction Times'!$B$3:$W$34,L328+2,FALSE)*HLOOKUP("hq modifier",'Construction Times'!$W$3:$W$34,BS328+2,FALSE))*(1-$H$9)</f>
        <v>#N/A</v>
      </c>
      <c r="N328" s="426" t="e">
        <f t="shared" si="648"/>
        <v>#N/A</v>
      </c>
      <c r="O328" s="427"/>
      <c r="P328" s="430" t="e">
        <f t="shared" si="649"/>
        <v>#N/A</v>
      </c>
      <c r="Q328" s="431"/>
      <c r="R328" s="103">
        <f t="shared" si="677"/>
        <v>0</v>
      </c>
      <c r="S328" s="104">
        <f t="shared" si="677"/>
        <v>0</v>
      </c>
      <c r="T328" s="104">
        <f t="shared" si="678"/>
        <v>0</v>
      </c>
      <c r="U328" s="104">
        <f t="shared" si="678"/>
        <v>0</v>
      </c>
      <c r="V328" s="104">
        <f t="shared" si="678"/>
        <v>9.9999999999999995E-8</v>
      </c>
      <c r="W328" s="104">
        <f t="shared" si="678"/>
        <v>0</v>
      </c>
      <c r="X328" s="104">
        <f t="shared" si="737"/>
        <v>0</v>
      </c>
      <c r="Y328" s="104">
        <f t="shared" si="737"/>
        <v>9.9999999999999995E-8</v>
      </c>
      <c r="Z328" s="104">
        <f t="shared" si="737"/>
        <v>9.9999999999999995E-8</v>
      </c>
      <c r="AA328" s="105">
        <f t="shared" si="737"/>
        <v>9.9999999999999995E-8</v>
      </c>
      <c r="AB328" s="101" t="e">
        <f>$DT328*HLOOKUP($J328,'Construction Costs (timber)'!$B$1:$V$32,'Construction Planner'!$L328+2,FALSE)</f>
        <v>#N/A</v>
      </c>
      <c r="AC328" s="14" t="e">
        <f>$DT328*HLOOKUP($J328,'Construction Costs (clay)'!$B$1:$V$32,'Construction Planner'!$L328+2,FALSE)</f>
        <v>#N/A</v>
      </c>
      <c r="AD328" s="14" t="e">
        <f>$DT328*HLOOKUP($J328,'Construction Costs (iron)'!$B$1:$V$32,'Construction Planner'!$L328+2,FALSE)</f>
        <v>#N/A</v>
      </c>
      <c r="AE328" s="34" t="e">
        <f t="shared" si="690"/>
        <v>#N/A</v>
      </c>
      <c r="AF328" s="33" t="e">
        <f t="shared" si="628"/>
        <v>#N/A</v>
      </c>
      <c r="AG328" s="14" t="e">
        <f t="shared" si="629"/>
        <v>#N/A</v>
      </c>
      <c r="AH328" s="14" t="e">
        <f t="shared" si="630"/>
        <v>#N/A</v>
      </c>
      <c r="AI328" s="34" t="e">
        <f t="shared" si="691"/>
        <v>#N/A</v>
      </c>
      <c r="AJ328" s="49" t="e">
        <f t="shared" si="651"/>
        <v>#N/A</v>
      </c>
      <c r="AK328" s="49" t="e">
        <f t="shared" si="652"/>
        <v>#N/A</v>
      </c>
      <c r="AL328" s="49" t="e">
        <f t="shared" si="653"/>
        <v>#N/A</v>
      </c>
      <c r="AM328" s="25">
        <f t="shared" si="631"/>
        <v>30</v>
      </c>
      <c r="AN328" s="25">
        <f t="shared" si="632"/>
        <v>30</v>
      </c>
      <c r="AO328" s="25">
        <f t="shared" si="633"/>
        <v>30</v>
      </c>
      <c r="AP328" s="52" t="e">
        <f t="shared" si="654"/>
        <v>#N/A</v>
      </c>
      <c r="AQ328" s="53" t="e">
        <f t="shared" si="654"/>
        <v>#N/A</v>
      </c>
      <c r="AR328" s="54" t="e">
        <f t="shared" si="654"/>
        <v>#N/A</v>
      </c>
      <c r="AS328" s="316">
        <f t="shared" si="766"/>
        <v>0</v>
      </c>
      <c r="AT328" s="106">
        <f>_xlfn.IFNA($M328/VLOOKUP($BT328,'Unit information'!$A$2:$K$29,2,FALSE)*R328,0)*(1+$E$9)</f>
        <v>0</v>
      </c>
      <c r="AU328" s="107">
        <f>_xlfn.IFNA($M328/VLOOKUP($BT328,'Unit information'!$A$2:$K$29,3,FALSE)*S328,0)*(1+$E$9)</f>
        <v>0</v>
      </c>
      <c r="AV328" s="107">
        <f>_xlfn.IFNA($M328/VLOOKUP($BT328,'Unit information'!$A$2:$K$29,4,FALSE)*T328,0)*(1+$E$9)</f>
        <v>0</v>
      </c>
      <c r="AW328" s="107">
        <f>_xlfn.IFNA($M328/VLOOKUP($BT328,'Unit information'!$A$2:$K$29,5,FALSE)*U328,0)*(1+$E$9)</f>
        <v>0</v>
      </c>
      <c r="AX328" s="107">
        <f>_xlfn.IFNA($M328/VLOOKUP($BU328,'Unit information'!$A$2:$K$29,6,FALSE)*V328,0)*(1+$E$9)</f>
        <v>0</v>
      </c>
      <c r="AY328" s="107">
        <f>_xlfn.IFNA($M328/VLOOKUP($BU328,'Unit information'!$A$2:$K$29,7,FALSE)*W328,0)*(1+$E$9)</f>
        <v>0</v>
      </c>
      <c r="AZ328" s="107">
        <f>_xlfn.IFNA($M328/VLOOKUP($BU328,'Unit information'!$A$2:$K$29,8,FALSE)*X328,0)*(1+$E$9)</f>
        <v>0</v>
      </c>
      <c r="BA328" s="107">
        <f>_xlfn.IFNA($M328/VLOOKUP($BU328,'Unit information'!$A$2:$K$29,9,FALSE)*Y328,0)*(1+$E$9)</f>
        <v>0</v>
      </c>
      <c r="BB328" s="107">
        <f>_xlfn.IFNA($M328/VLOOKUP($BV328,'Unit information'!$A$2:$K$29,10,FALSE)*Z328,0)*(1+$E$9)</f>
        <v>0</v>
      </c>
      <c r="BC328" s="108">
        <f>_xlfn.IFNA($M328/VLOOKUP($BV328,'Unit information'!$A$2:$K$29,11,FALSE)*AA328,0)*(1+$E$9)</f>
        <v>0</v>
      </c>
      <c r="BD328" s="106">
        <f t="shared" si="634"/>
        <v>0</v>
      </c>
      <c r="BE328" s="107">
        <f t="shared" si="635"/>
        <v>0</v>
      </c>
      <c r="BF328" s="108">
        <f t="shared" si="636"/>
        <v>0</v>
      </c>
      <c r="BG328" s="25" t="e">
        <f t="shared" si="637"/>
        <v>#N/A</v>
      </c>
      <c r="BH328" s="25" t="e">
        <f t="shared" si="638"/>
        <v>#N/A</v>
      </c>
      <c r="BI328" s="25" t="e">
        <f t="shared" si="639"/>
        <v>#N/A</v>
      </c>
      <c r="BJ328" s="27" t="e">
        <f t="shared" si="640"/>
        <v>#N/A</v>
      </c>
      <c r="BK328" s="18" t="e">
        <f t="shared" si="641"/>
        <v>#N/A</v>
      </c>
      <c r="BL328" s="18" t="e">
        <f t="shared" si="642"/>
        <v>#N/A</v>
      </c>
      <c r="BM328" s="28" t="e">
        <f t="shared" si="693"/>
        <v>#N/A</v>
      </c>
      <c r="BN328" s="33">
        <f>HLOOKUP("maximum population",Miscelaneous!$C$1:$C$33,CH328+3,FALSE)</f>
        <v>240</v>
      </c>
      <c r="BO328" s="14">
        <f t="shared" si="655"/>
        <v>32</v>
      </c>
      <c r="BP328" s="14">
        <f t="shared" si="656"/>
        <v>0</v>
      </c>
      <c r="BQ328" s="14">
        <f t="shared" si="657"/>
        <v>208</v>
      </c>
      <c r="BR328" s="34" t="e">
        <f>HLOOKUP(J328,Villagers!$B$1:$V$33,L328+3,FALSE)-HLOOKUP(J328,Villagers!$B$1:$V$33,L328+2,FALSE)</f>
        <v>#N/A</v>
      </c>
      <c r="BS328" s="49">
        <f t="shared" si="658"/>
        <v>1</v>
      </c>
      <c r="BT328" s="50">
        <f t="shared" si="659"/>
        <v>0</v>
      </c>
      <c r="BU328" s="50">
        <f t="shared" si="660"/>
        <v>0</v>
      </c>
      <c r="BV328" s="50">
        <f t="shared" si="661"/>
        <v>0</v>
      </c>
      <c r="BW328" s="50">
        <f t="shared" si="750"/>
        <v>0</v>
      </c>
      <c r="BX328" s="50">
        <f t="shared" si="751"/>
        <v>0</v>
      </c>
      <c r="BY328" s="50">
        <f t="shared" si="751"/>
        <v>0</v>
      </c>
      <c r="BZ328" s="50">
        <f t="shared" si="707"/>
        <v>0</v>
      </c>
      <c r="CA328" s="50">
        <f t="shared" si="708"/>
        <v>0</v>
      </c>
      <c r="CB328" s="50">
        <f t="shared" si="709"/>
        <v>1</v>
      </c>
      <c r="CC328" s="50">
        <f t="shared" si="710"/>
        <v>0</v>
      </c>
      <c r="CD328" s="50">
        <f t="shared" si="711"/>
        <v>0</v>
      </c>
      <c r="CE328" s="50">
        <f t="shared" si="712"/>
        <v>1</v>
      </c>
      <c r="CF328" s="50">
        <f t="shared" si="713"/>
        <v>1</v>
      </c>
      <c r="CG328" s="50">
        <f t="shared" si="714"/>
        <v>1</v>
      </c>
      <c r="CH328" s="50">
        <f t="shared" si="715"/>
        <v>1</v>
      </c>
      <c r="CI328" s="50">
        <f t="shared" si="716"/>
        <v>1</v>
      </c>
      <c r="CJ328" s="50">
        <f t="shared" si="717"/>
        <v>1</v>
      </c>
      <c r="CK328" s="50">
        <f t="shared" si="717"/>
        <v>0</v>
      </c>
      <c r="CL328" s="50">
        <f t="shared" si="717"/>
        <v>0</v>
      </c>
      <c r="CM328" s="51">
        <f t="shared" si="760"/>
        <v>0</v>
      </c>
      <c r="CN328" s="33">
        <f>ROUND(IF(BS328=0,0,HLOOKUP(BS$14,Villagers!$B$1:$V$33,BS328+3,FALSE)),)</f>
        <v>5</v>
      </c>
      <c r="CO328" s="14">
        <f>ROUND(IF(BT328=0,0,HLOOKUP(BT$14,Villagers!$B$1:$V$33,BT328+3,FALSE)),)</f>
        <v>0</v>
      </c>
      <c r="CP328" s="14">
        <f>ROUND(IF(BU328=0,0,HLOOKUP(BU$14,Villagers!$B$1:$V$33,BU328+3,FALSE)),)</f>
        <v>0</v>
      </c>
      <c r="CQ328" s="14">
        <f>ROUND(IF(BV328=0,0,HLOOKUP(BV$14,Villagers!$B$1:$V$33,BV328+3,FALSE)),)</f>
        <v>0</v>
      </c>
      <c r="CR328" s="14">
        <f>ROUND(IF(BW328=0,0,HLOOKUP(BW$14,Villagers!$B$1:$V$33,BW328+3,FALSE)),)</f>
        <v>0</v>
      </c>
      <c r="CS328" s="14">
        <f>ROUND(IF(BX328=0,0,HLOOKUP(BX$14,Villagers!$B$1:$V$33,BX328+3,FALSE)),)</f>
        <v>0</v>
      </c>
      <c r="CT328" s="14">
        <f>ROUND(IF(BY328=0,0,HLOOKUP(BY$14,Villagers!$B$1:$V$33,BY328+3,FALSE)),)</f>
        <v>0</v>
      </c>
      <c r="CU328" s="14">
        <f>ROUND(IF(BZ328=0,0,HLOOKUP(BZ$14,Villagers!$B$1:$V$33,BZ328+3,FALSE)),)</f>
        <v>0</v>
      </c>
      <c r="CV328" s="14">
        <f>ROUND(IF(CA328=0,0,HLOOKUP(CA$14,Villagers!$B$1:$V$33,CA328+3,FALSE)),)</f>
        <v>0</v>
      </c>
      <c r="CW328" s="14">
        <f>ROUND(IF(CB328=0,0,HLOOKUP(CB$14,Villagers!$B$1:$V$33,CB328+3,FALSE)),)</f>
        <v>0</v>
      </c>
      <c r="CX328" s="14">
        <f>ROUND(IF(CC328=0,0,HLOOKUP(CC$14,Villagers!$B$1:$V$33,CC328+3,FALSE)),)</f>
        <v>0</v>
      </c>
      <c r="CY328" s="14">
        <f>ROUND(IF(CD328=0,0,HLOOKUP(CD$14,Villagers!$B$1:$V$33,CD328+3,FALSE)),)</f>
        <v>0</v>
      </c>
      <c r="CZ328" s="14">
        <f>ROUND(IF(CE328=0,0,HLOOKUP(CE$14,Villagers!$B$1:$V$33,CE328+3,FALSE)),)</f>
        <v>5</v>
      </c>
      <c r="DA328" s="14">
        <f>ROUND(IF(CF328=0,0,HLOOKUP(CF$14,Villagers!$B$1:$V$33,CF328+3,FALSE)),)</f>
        <v>10</v>
      </c>
      <c r="DB328" s="14">
        <f>ROUND(IF(CG328=0,0,HLOOKUP(CG$14,Villagers!$B$1:$V$33,CG328+3,FALSE)),)</f>
        <v>10</v>
      </c>
      <c r="DC328" s="14">
        <f>ROUND(IF(CH328=0,0,HLOOKUP(CH$14,Villagers!$B$1:$V$33,CH328+3,FALSE)),)</f>
        <v>0</v>
      </c>
      <c r="DD328" s="14">
        <f>ROUND(IF(CI328=0,0,HLOOKUP(CI$14,Villagers!$B$1:$V$33,CI328+3,FALSE)),)</f>
        <v>0</v>
      </c>
      <c r="DE328" s="14">
        <f>ROUND(IF(CJ328=0,0,HLOOKUP(CJ$14,Villagers!$B$1:$V$33,CJ328+3,FALSE)),)</f>
        <v>2</v>
      </c>
      <c r="DF328" s="370">
        <f>ROUND(IF(CK328=0,0,HLOOKUP(CK$14,Villagers!$B$1:$V$33,CK328+3,FALSE)),)</f>
        <v>0</v>
      </c>
      <c r="DG328" s="370">
        <f>ROUND(IF(CL328=0,0,HLOOKUP(CL$14,Villagers!$B$1:$V$33,CL328+3,FALSE)),)</f>
        <v>0</v>
      </c>
      <c r="DH328" s="34">
        <f>ROUND(IF(CM328=0,0,HLOOKUP(CM$14,Villagers!$B$1:$V$33,CM328+3,FALSE)),)</f>
        <v>0</v>
      </c>
      <c r="DI328" s="109">
        <f t="shared" si="679"/>
        <v>0</v>
      </c>
      <c r="DJ328" s="50">
        <f t="shared" si="680"/>
        <v>0</v>
      </c>
      <c r="DK328" s="50">
        <f t="shared" si="681"/>
        <v>0</v>
      </c>
      <c r="DL328" s="50">
        <f t="shared" si="682"/>
        <v>0</v>
      </c>
      <c r="DM328" s="50">
        <f t="shared" si="683"/>
        <v>0</v>
      </c>
      <c r="DN328" s="50">
        <f t="shared" si="684"/>
        <v>0</v>
      </c>
      <c r="DO328" s="50">
        <f t="shared" si="685"/>
        <v>0</v>
      </c>
      <c r="DP328" s="50">
        <f t="shared" si="686"/>
        <v>0</v>
      </c>
      <c r="DQ328" s="50">
        <f t="shared" si="663"/>
        <v>0</v>
      </c>
      <c r="DR328" s="50">
        <f t="shared" si="664"/>
        <v>0</v>
      </c>
      <c r="DS328" s="96">
        <f>Miscelaneous!$D$4*Miscelaneous!$D$2^($CI328-1)</f>
        <v>1000</v>
      </c>
      <c r="DT328" s="333">
        <f t="shared" si="643"/>
        <v>1</v>
      </c>
      <c r="DU328" s="81">
        <v>1</v>
      </c>
      <c r="DV328" s="79">
        <f t="shared" si="665"/>
        <v>0</v>
      </c>
      <c r="DW328" s="79">
        <f t="shared" si="666"/>
        <v>0</v>
      </c>
      <c r="DX328" s="79">
        <f t="shared" si="667"/>
        <v>0</v>
      </c>
      <c r="DY328" s="79">
        <v>1</v>
      </c>
      <c r="DZ328" s="79">
        <f t="shared" si="668"/>
        <v>0</v>
      </c>
      <c r="EA328" s="79">
        <f t="shared" si="669"/>
        <v>0</v>
      </c>
      <c r="EB328" s="79">
        <f t="shared" si="670"/>
        <v>0</v>
      </c>
      <c r="EC328" s="79">
        <f t="shared" si="671"/>
        <v>0</v>
      </c>
      <c r="ED328" s="79">
        <v>1</v>
      </c>
      <c r="EE328" s="79">
        <v>1</v>
      </c>
      <c r="EF328" s="79">
        <f t="shared" si="672"/>
        <v>0</v>
      </c>
      <c r="EG328" s="79">
        <v>1</v>
      </c>
      <c r="EH328" s="79">
        <v>1</v>
      </c>
      <c r="EI328" s="79">
        <v>1</v>
      </c>
      <c r="EJ328" s="79">
        <v>1</v>
      </c>
      <c r="EK328" s="79">
        <v>1</v>
      </c>
      <c r="EL328" s="79">
        <v>1</v>
      </c>
      <c r="EM328" s="143">
        <f t="shared" si="673"/>
        <v>0</v>
      </c>
      <c r="EN328" s="143">
        <f t="shared" si="674"/>
        <v>0</v>
      </c>
      <c r="EO328" s="82">
        <f t="shared" si="675"/>
        <v>0</v>
      </c>
    </row>
    <row r="329" spans="1:145" x14ac:dyDescent="0.25">
      <c r="A329">
        <v>315</v>
      </c>
      <c r="B329" s="172" t="e">
        <f t="shared" si="644"/>
        <v>#N/A</v>
      </c>
      <c r="C329" s="121" t="e">
        <f t="shared" ref="C329:E329" si="771">AJ329-SUM(AB329:AB333)</f>
        <v>#N/A</v>
      </c>
      <c r="D329" s="122" t="e">
        <f t="shared" si="771"/>
        <v>#N/A</v>
      </c>
      <c r="E329" s="122" t="e">
        <f t="shared" si="771"/>
        <v>#N/A</v>
      </c>
      <c r="F329" s="176" t="e">
        <f t="shared" si="626"/>
        <v>#N/A</v>
      </c>
      <c r="G329" s="121">
        <f t="shared" si="646"/>
        <v>208</v>
      </c>
      <c r="H329" s="176" t="e">
        <f t="shared" si="647"/>
        <v>#N/A</v>
      </c>
      <c r="I329" s="48">
        <v>1</v>
      </c>
      <c r="J329" s="39"/>
      <c r="K329" s="350">
        <v>1</v>
      </c>
      <c r="L329" s="34" t="e">
        <f t="shared" si="627"/>
        <v>#N/A</v>
      </c>
      <c r="M329" s="38" t="e">
        <f>(HLOOKUP(J329,'Construction Times'!$B$3:$W$34,L329+2,FALSE)*HLOOKUP("hq modifier",'Construction Times'!$W$3:$W$34,BS329+2,FALSE))*(1-$H$9)</f>
        <v>#N/A</v>
      </c>
      <c r="N329" s="426" t="e">
        <f t="shared" si="648"/>
        <v>#N/A</v>
      </c>
      <c r="O329" s="427"/>
      <c r="P329" s="430" t="e">
        <f t="shared" si="649"/>
        <v>#N/A</v>
      </c>
      <c r="Q329" s="431"/>
      <c r="R329" s="103">
        <f t="shared" si="677"/>
        <v>0</v>
      </c>
      <c r="S329" s="104">
        <f t="shared" si="677"/>
        <v>0</v>
      </c>
      <c r="T329" s="104">
        <f t="shared" si="678"/>
        <v>0</v>
      </c>
      <c r="U329" s="104">
        <f t="shared" si="678"/>
        <v>0</v>
      </c>
      <c r="V329" s="104">
        <f t="shared" si="678"/>
        <v>9.9999999999999995E-8</v>
      </c>
      <c r="W329" s="104">
        <f t="shared" si="678"/>
        <v>0</v>
      </c>
      <c r="X329" s="104">
        <f t="shared" si="737"/>
        <v>0</v>
      </c>
      <c r="Y329" s="104">
        <f t="shared" si="737"/>
        <v>9.9999999999999995E-8</v>
      </c>
      <c r="Z329" s="104">
        <f t="shared" si="737"/>
        <v>9.9999999999999995E-8</v>
      </c>
      <c r="AA329" s="105">
        <f t="shared" si="737"/>
        <v>9.9999999999999995E-8</v>
      </c>
      <c r="AB329" s="101" t="e">
        <f>$DT329*HLOOKUP($J329,'Construction Costs (timber)'!$B$1:$V$32,'Construction Planner'!$L329+2,FALSE)</f>
        <v>#N/A</v>
      </c>
      <c r="AC329" s="14" t="e">
        <f>$DT329*HLOOKUP($J329,'Construction Costs (clay)'!$B$1:$V$32,'Construction Planner'!$L329+2,FALSE)</f>
        <v>#N/A</v>
      </c>
      <c r="AD329" s="14" t="e">
        <f>$DT329*HLOOKUP($J329,'Construction Costs (iron)'!$B$1:$V$32,'Construction Planner'!$L329+2,FALSE)</f>
        <v>#N/A</v>
      </c>
      <c r="AE329" s="34" t="e">
        <f t="shared" si="690"/>
        <v>#N/A</v>
      </c>
      <c r="AF329" s="33" t="e">
        <f t="shared" si="628"/>
        <v>#N/A</v>
      </c>
      <c r="AG329" s="14" t="e">
        <f t="shared" si="629"/>
        <v>#N/A</v>
      </c>
      <c r="AH329" s="14" t="e">
        <f t="shared" si="630"/>
        <v>#N/A</v>
      </c>
      <c r="AI329" s="34" t="e">
        <f t="shared" si="691"/>
        <v>#N/A</v>
      </c>
      <c r="AJ329" s="49" t="e">
        <f t="shared" si="651"/>
        <v>#N/A</v>
      </c>
      <c r="AK329" s="49" t="e">
        <f t="shared" si="652"/>
        <v>#N/A</v>
      </c>
      <c r="AL329" s="49" t="e">
        <f t="shared" si="653"/>
        <v>#N/A</v>
      </c>
      <c r="AM329" s="25">
        <f t="shared" si="631"/>
        <v>30</v>
      </c>
      <c r="AN329" s="25">
        <f t="shared" si="632"/>
        <v>30</v>
      </c>
      <c r="AO329" s="25">
        <f t="shared" si="633"/>
        <v>30</v>
      </c>
      <c r="AP329" s="52" t="e">
        <f t="shared" si="654"/>
        <v>#N/A</v>
      </c>
      <c r="AQ329" s="53" t="e">
        <f t="shared" si="654"/>
        <v>#N/A</v>
      </c>
      <c r="AR329" s="54" t="e">
        <f t="shared" si="654"/>
        <v>#N/A</v>
      </c>
      <c r="AS329" s="316">
        <f t="shared" si="766"/>
        <v>0</v>
      </c>
      <c r="AT329" s="106">
        <f>_xlfn.IFNA($M329/VLOOKUP($BT329,'Unit information'!$A$2:$K$29,2,FALSE)*R329,0)*(1+$E$9)</f>
        <v>0</v>
      </c>
      <c r="AU329" s="107">
        <f>_xlfn.IFNA($M329/VLOOKUP($BT329,'Unit information'!$A$2:$K$29,3,FALSE)*S329,0)*(1+$E$9)</f>
        <v>0</v>
      </c>
      <c r="AV329" s="107">
        <f>_xlfn.IFNA($M329/VLOOKUP($BT329,'Unit information'!$A$2:$K$29,4,FALSE)*T329,0)*(1+$E$9)</f>
        <v>0</v>
      </c>
      <c r="AW329" s="107">
        <f>_xlfn.IFNA($M329/VLOOKUP($BT329,'Unit information'!$A$2:$K$29,5,FALSE)*U329,0)*(1+$E$9)</f>
        <v>0</v>
      </c>
      <c r="AX329" s="107">
        <f>_xlfn.IFNA($M329/VLOOKUP($BU329,'Unit information'!$A$2:$K$29,6,FALSE)*V329,0)*(1+$E$9)</f>
        <v>0</v>
      </c>
      <c r="AY329" s="107">
        <f>_xlfn.IFNA($M329/VLOOKUP($BU329,'Unit information'!$A$2:$K$29,7,FALSE)*W329,0)*(1+$E$9)</f>
        <v>0</v>
      </c>
      <c r="AZ329" s="107">
        <f>_xlfn.IFNA($M329/VLOOKUP($BU329,'Unit information'!$A$2:$K$29,8,FALSE)*X329,0)*(1+$E$9)</f>
        <v>0</v>
      </c>
      <c r="BA329" s="107">
        <f>_xlfn.IFNA($M329/VLOOKUP($BU329,'Unit information'!$A$2:$K$29,9,FALSE)*Y329,0)*(1+$E$9)</f>
        <v>0</v>
      </c>
      <c r="BB329" s="107">
        <f>_xlfn.IFNA($M329/VLOOKUP($BV329,'Unit information'!$A$2:$K$29,10,FALSE)*Z329,0)*(1+$E$9)</f>
        <v>0</v>
      </c>
      <c r="BC329" s="108">
        <f>_xlfn.IFNA($M329/VLOOKUP($BV329,'Unit information'!$A$2:$K$29,11,FALSE)*AA329,0)*(1+$E$9)</f>
        <v>0</v>
      </c>
      <c r="BD329" s="106">
        <f t="shared" si="634"/>
        <v>0</v>
      </c>
      <c r="BE329" s="107">
        <f t="shared" si="635"/>
        <v>0</v>
      </c>
      <c r="BF329" s="108">
        <f t="shared" si="636"/>
        <v>0</v>
      </c>
      <c r="BG329" s="25" t="e">
        <f t="shared" si="637"/>
        <v>#N/A</v>
      </c>
      <c r="BH329" s="25" t="e">
        <f t="shared" si="638"/>
        <v>#N/A</v>
      </c>
      <c r="BI329" s="25" t="e">
        <f t="shared" si="639"/>
        <v>#N/A</v>
      </c>
      <c r="BJ329" s="27" t="e">
        <f t="shared" si="640"/>
        <v>#N/A</v>
      </c>
      <c r="BK329" s="18" t="e">
        <f t="shared" si="641"/>
        <v>#N/A</v>
      </c>
      <c r="BL329" s="18" t="e">
        <f t="shared" si="642"/>
        <v>#N/A</v>
      </c>
      <c r="BM329" s="28" t="e">
        <f t="shared" si="693"/>
        <v>#N/A</v>
      </c>
      <c r="BN329" s="33">
        <f>HLOOKUP("maximum population",Miscelaneous!$C$1:$C$33,CH329+3,FALSE)</f>
        <v>240</v>
      </c>
      <c r="BO329" s="14">
        <f t="shared" si="655"/>
        <v>32</v>
      </c>
      <c r="BP329" s="14">
        <f t="shared" si="656"/>
        <v>0</v>
      </c>
      <c r="BQ329" s="14">
        <f t="shared" si="657"/>
        <v>208</v>
      </c>
      <c r="BR329" s="34" t="e">
        <f>HLOOKUP(J329,Villagers!$B$1:$V$33,L329+3,FALSE)-HLOOKUP(J329,Villagers!$B$1:$V$33,L329+2,FALSE)</f>
        <v>#N/A</v>
      </c>
      <c r="BS329" s="49">
        <f t="shared" si="658"/>
        <v>1</v>
      </c>
      <c r="BT329" s="50">
        <f t="shared" si="659"/>
        <v>0</v>
      </c>
      <c r="BU329" s="50">
        <f t="shared" si="660"/>
        <v>0</v>
      </c>
      <c r="BV329" s="50">
        <f t="shared" si="661"/>
        <v>0</v>
      </c>
      <c r="BW329" s="50">
        <f t="shared" si="750"/>
        <v>0</v>
      </c>
      <c r="BX329" s="50">
        <f t="shared" si="751"/>
        <v>0</v>
      </c>
      <c r="BY329" s="50">
        <f t="shared" si="751"/>
        <v>0</v>
      </c>
      <c r="BZ329" s="50">
        <f t="shared" si="707"/>
        <v>0</v>
      </c>
      <c r="CA329" s="50">
        <f t="shared" si="708"/>
        <v>0</v>
      </c>
      <c r="CB329" s="50">
        <f t="shared" si="709"/>
        <v>1</v>
      </c>
      <c r="CC329" s="50">
        <f t="shared" si="710"/>
        <v>0</v>
      </c>
      <c r="CD329" s="50">
        <f t="shared" si="711"/>
        <v>0</v>
      </c>
      <c r="CE329" s="50">
        <f t="shared" si="712"/>
        <v>1</v>
      </c>
      <c r="CF329" s="50">
        <f t="shared" si="713"/>
        <v>1</v>
      </c>
      <c r="CG329" s="50">
        <f t="shared" si="714"/>
        <v>1</v>
      </c>
      <c r="CH329" s="50">
        <f t="shared" si="715"/>
        <v>1</v>
      </c>
      <c r="CI329" s="50">
        <f t="shared" si="716"/>
        <v>1</v>
      </c>
      <c r="CJ329" s="50">
        <f t="shared" si="717"/>
        <v>1</v>
      </c>
      <c r="CK329" s="50">
        <f t="shared" si="717"/>
        <v>0</v>
      </c>
      <c r="CL329" s="50">
        <f t="shared" si="717"/>
        <v>0</v>
      </c>
      <c r="CM329" s="51">
        <f t="shared" si="760"/>
        <v>0</v>
      </c>
      <c r="CN329" s="33">
        <f>ROUND(IF(BS329=0,0,HLOOKUP(BS$14,Villagers!$B$1:$V$33,BS329+3,FALSE)),)</f>
        <v>5</v>
      </c>
      <c r="CO329" s="14">
        <f>ROUND(IF(BT329=0,0,HLOOKUP(BT$14,Villagers!$B$1:$V$33,BT329+3,FALSE)),)</f>
        <v>0</v>
      </c>
      <c r="CP329" s="14">
        <f>ROUND(IF(BU329=0,0,HLOOKUP(BU$14,Villagers!$B$1:$V$33,BU329+3,FALSE)),)</f>
        <v>0</v>
      </c>
      <c r="CQ329" s="14">
        <f>ROUND(IF(BV329=0,0,HLOOKUP(BV$14,Villagers!$B$1:$V$33,BV329+3,FALSE)),)</f>
        <v>0</v>
      </c>
      <c r="CR329" s="14">
        <f>ROUND(IF(BW329=0,0,HLOOKUP(BW$14,Villagers!$B$1:$V$33,BW329+3,FALSE)),)</f>
        <v>0</v>
      </c>
      <c r="CS329" s="14">
        <f>ROUND(IF(BX329=0,0,HLOOKUP(BX$14,Villagers!$B$1:$V$33,BX329+3,FALSE)),)</f>
        <v>0</v>
      </c>
      <c r="CT329" s="14">
        <f>ROUND(IF(BY329=0,0,HLOOKUP(BY$14,Villagers!$B$1:$V$33,BY329+3,FALSE)),)</f>
        <v>0</v>
      </c>
      <c r="CU329" s="14">
        <f>ROUND(IF(BZ329=0,0,HLOOKUP(BZ$14,Villagers!$B$1:$V$33,BZ329+3,FALSE)),)</f>
        <v>0</v>
      </c>
      <c r="CV329" s="14">
        <f>ROUND(IF(CA329=0,0,HLOOKUP(CA$14,Villagers!$B$1:$V$33,CA329+3,FALSE)),)</f>
        <v>0</v>
      </c>
      <c r="CW329" s="14">
        <f>ROUND(IF(CB329=0,0,HLOOKUP(CB$14,Villagers!$B$1:$V$33,CB329+3,FALSE)),)</f>
        <v>0</v>
      </c>
      <c r="CX329" s="14">
        <f>ROUND(IF(CC329=0,0,HLOOKUP(CC$14,Villagers!$B$1:$V$33,CC329+3,FALSE)),)</f>
        <v>0</v>
      </c>
      <c r="CY329" s="14">
        <f>ROUND(IF(CD329=0,0,HLOOKUP(CD$14,Villagers!$B$1:$V$33,CD329+3,FALSE)),)</f>
        <v>0</v>
      </c>
      <c r="CZ329" s="14">
        <f>ROUND(IF(CE329=0,0,HLOOKUP(CE$14,Villagers!$B$1:$V$33,CE329+3,FALSE)),)</f>
        <v>5</v>
      </c>
      <c r="DA329" s="14">
        <f>ROUND(IF(CF329=0,0,HLOOKUP(CF$14,Villagers!$B$1:$V$33,CF329+3,FALSE)),)</f>
        <v>10</v>
      </c>
      <c r="DB329" s="14">
        <f>ROUND(IF(CG329=0,0,HLOOKUP(CG$14,Villagers!$B$1:$V$33,CG329+3,FALSE)),)</f>
        <v>10</v>
      </c>
      <c r="DC329" s="14">
        <f>ROUND(IF(CH329=0,0,HLOOKUP(CH$14,Villagers!$B$1:$V$33,CH329+3,FALSE)),)</f>
        <v>0</v>
      </c>
      <c r="DD329" s="14">
        <f>ROUND(IF(CI329=0,0,HLOOKUP(CI$14,Villagers!$B$1:$V$33,CI329+3,FALSE)),)</f>
        <v>0</v>
      </c>
      <c r="DE329" s="14">
        <f>ROUND(IF(CJ329=0,0,HLOOKUP(CJ$14,Villagers!$B$1:$V$33,CJ329+3,FALSE)),)</f>
        <v>2</v>
      </c>
      <c r="DF329" s="370">
        <f>ROUND(IF(CK329=0,0,HLOOKUP(CK$14,Villagers!$B$1:$V$33,CK329+3,FALSE)),)</f>
        <v>0</v>
      </c>
      <c r="DG329" s="370">
        <f>ROUND(IF(CL329=0,0,HLOOKUP(CL$14,Villagers!$B$1:$V$33,CL329+3,FALSE)),)</f>
        <v>0</v>
      </c>
      <c r="DH329" s="34">
        <f>ROUND(IF(CM329=0,0,HLOOKUP(CM$14,Villagers!$B$1:$V$33,CM329+3,FALSE)),)</f>
        <v>0</v>
      </c>
      <c r="DI329" s="109">
        <f t="shared" si="679"/>
        <v>0</v>
      </c>
      <c r="DJ329" s="50">
        <f t="shared" si="680"/>
        <v>0</v>
      </c>
      <c r="DK329" s="50">
        <f t="shared" si="681"/>
        <v>0</v>
      </c>
      <c r="DL329" s="50">
        <f t="shared" si="682"/>
        <v>0</v>
      </c>
      <c r="DM329" s="50">
        <f t="shared" si="683"/>
        <v>0</v>
      </c>
      <c r="DN329" s="50">
        <f t="shared" si="684"/>
        <v>0</v>
      </c>
      <c r="DO329" s="50">
        <f t="shared" si="685"/>
        <v>0</v>
      </c>
      <c r="DP329" s="50">
        <f t="shared" si="686"/>
        <v>0</v>
      </c>
      <c r="DQ329" s="50">
        <f t="shared" si="663"/>
        <v>0</v>
      </c>
      <c r="DR329" s="50">
        <f t="shared" si="664"/>
        <v>0</v>
      </c>
      <c r="DS329" s="96">
        <f>Miscelaneous!$D$4*Miscelaneous!$D$2^($CI329-1)</f>
        <v>1000</v>
      </c>
      <c r="DT329" s="333">
        <f t="shared" si="643"/>
        <v>1</v>
      </c>
      <c r="DU329" s="81">
        <v>1</v>
      </c>
      <c r="DV329" s="79">
        <f t="shared" si="665"/>
        <v>0</v>
      </c>
      <c r="DW329" s="79">
        <f t="shared" si="666"/>
        <v>0</v>
      </c>
      <c r="DX329" s="79">
        <f t="shared" si="667"/>
        <v>0</v>
      </c>
      <c r="DY329" s="79">
        <v>1</v>
      </c>
      <c r="DZ329" s="79">
        <f t="shared" si="668"/>
        <v>0</v>
      </c>
      <c r="EA329" s="79">
        <f t="shared" si="669"/>
        <v>0</v>
      </c>
      <c r="EB329" s="79">
        <f t="shared" si="670"/>
        <v>0</v>
      </c>
      <c r="EC329" s="79">
        <f t="shared" si="671"/>
        <v>0</v>
      </c>
      <c r="ED329" s="79">
        <v>1</v>
      </c>
      <c r="EE329" s="79">
        <v>1</v>
      </c>
      <c r="EF329" s="79">
        <f t="shared" si="672"/>
        <v>0</v>
      </c>
      <c r="EG329" s="79">
        <v>1</v>
      </c>
      <c r="EH329" s="79">
        <v>1</v>
      </c>
      <c r="EI329" s="79">
        <v>1</v>
      </c>
      <c r="EJ329" s="79">
        <v>1</v>
      </c>
      <c r="EK329" s="79">
        <v>1</v>
      </c>
      <c r="EL329" s="79">
        <v>1</v>
      </c>
      <c r="EM329" s="143">
        <f t="shared" si="673"/>
        <v>0</v>
      </c>
      <c r="EN329" s="143">
        <f t="shared" si="674"/>
        <v>0</v>
      </c>
      <c r="EO329" s="82">
        <f t="shared" si="675"/>
        <v>0</v>
      </c>
    </row>
    <row r="330" spans="1:145" x14ac:dyDescent="0.25">
      <c r="A330">
        <v>316</v>
      </c>
      <c r="B330" s="172" t="e">
        <f t="shared" si="644"/>
        <v>#N/A</v>
      </c>
      <c r="C330" s="121" t="e">
        <f t="shared" ref="C330:E330" si="772">AJ330-SUM(AB330:AB334)</f>
        <v>#N/A</v>
      </c>
      <c r="D330" s="122" t="e">
        <f t="shared" si="772"/>
        <v>#N/A</v>
      </c>
      <c r="E330" s="122" t="e">
        <f t="shared" si="772"/>
        <v>#N/A</v>
      </c>
      <c r="F330" s="176" t="e">
        <f t="shared" si="626"/>
        <v>#N/A</v>
      </c>
      <c r="G330" s="121">
        <f t="shared" si="646"/>
        <v>208</v>
      </c>
      <c r="H330" s="176" t="e">
        <f t="shared" si="647"/>
        <v>#N/A</v>
      </c>
      <c r="I330" s="48">
        <v>1</v>
      </c>
      <c r="J330" s="39"/>
      <c r="K330" s="350">
        <v>1</v>
      </c>
      <c r="L330" s="34" t="e">
        <f t="shared" si="627"/>
        <v>#N/A</v>
      </c>
      <c r="M330" s="38" t="e">
        <f>(HLOOKUP(J330,'Construction Times'!$B$3:$W$34,L330+2,FALSE)*HLOOKUP("hq modifier",'Construction Times'!$W$3:$W$34,BS330+2,FALSE))*(1-$H$9)</f>
        <v>#N/A</v>
      </c>
      <c r="N330" s="426" t="e">
        <f t="shared" si="648"/>
        <v>#N/A</v>
      </c>
      <c r="O330" s="427"/>
      <c r="P330" s="430" t="e">
        <f t="shared" si="649"/>
        <v>#N/A</v>
      </c>
      <c r="Q330" s="431"/>
      <c r="R330" s="103">
        <f t="shared" si="677"/>
        <v>0</v>
      </c>
      <c r="S330" s="104">
        <f t="shared" si="677"/>
        <v>0</v>
      </c>
      <c r="T330" s="104">
        <f t="shared" si="678"/>
        <v>0</v>
      </c>
      <c r="U330" s="104">
        <f t="shared" si="678"/>
        <v>0</v>
      </c>
      <c r="V330" s="104">
        <f t="shared" si="678"/>
        <v>9.9999999999999995E-8</v>
      </c>
      <c r="W330" s="104">
        <f t="shared" si="678"/>
        <v>0</v>
      </c>
      <c r="X330" s="104">
        <f t="shared" si="737"/>
        <v>0</v>
      </c>
      <c r="Y330" s="104">
        <f t="shared" si="737"/>
        <v>9.9999999999999995E-8</v>
      </c>
      <c r="Z330" s="104">
        <f t="shared" si="737"/>
        <v>9.9999999999999995E-8</v>
      </c>
      <c r="AA330" s="105">
        <f t="shared" si="737"/>
        <v>9.9999999999999995E-8</v>
      </c>
      <c r="AB330" s="101" t="e">
        <f>$DT330*HLOOKUP($J330,'Construction Costs (timber)'!$B$1:$V$32,'Construction Planner'!$L330+2,FALSE)</f>
        <v>#N/A</v>
      </c>
      <c r="AC330" s="14" t="e">
        <f>$DT330*HLOOKUP($J330,'Construction Costs (clay)'!$B$1:$V$32,'Construction Planner'!$L330+2,FALSE)</f>
        <v>#N/A</v>
      </c>
      <c r="AD330" s="14" t="e">
        <f>$DT330*HLOOKUP($J330,'Construction Costs (iron)'!$B$1:$V$32,'Construction Planner'!$L330+2,FALSE)</f>
        <v>#N/A</v>
      </c>
      <c r="AE330" s="34" t="e">
        <f t="shared" si="690"/>
        <v>#N/A</v>
      </c>
      <c r="AF330" s="33" t="e">
        <f t="shared" si="628"/>
        <v>#N/A</v>
      </c>
      <c r="AG330" s="14" t="e">
        <f t="shared" si="629"/>
        <v>#N/A</v>
      </c>
      <c r="AH330" s="14" t="e">
        <f t="shared" si="630"/>
        <v>#N/A</v>
      </c>
      <c r="AI330" s="34" t="e">
        <f t="shared" si="691"/>
        <v>#N/A</v>
      </c>
      <c r="AJ330" s="49" t="e">
        <f t="shared" si="651"/>
        <v>#N/A</v>
      </c>
      <c r="AK330" s="49" t="e">
        <f t="shared" si="652"/>
        <v>#N/A</v>
      </c>
      <c r="AL330" s="49" t="e">
        <f t="shared" si="653"/>
        <v>#N/A</v>
      </c>
      <c r="AM330" s="25">
        <f t="shared" si="631"/>
        <v>30</v>
      </c>
      <c r="AN330" s="25">
        <f t="shared" si="632"/>
        <v>30</v>
      </c>
      <c r="AO330" s="25">
        <f t="shared" si="633"/>
        <v>30</v>
      </c>
      <c r="AP330" s="52" t="e">
        <f t="shared" si="654"/>
        <v>#N/A</v>
      </c>
      <c r="AQ330" s="53" t="e">
        <f t="shared" si="654"/>
        <v>#N/A</v>
      </c>
      <c r="AR330" s="54" t="e">
        <f t="shared" si="654"/>
        <v>#N/A</v>
      </c>
      <c r="AS330" s="316">
        <f t="shared" si="766"/>
        <v>0</v>
      </c>
      <c r="AT330" s="106">
        <f>_xlfn.IFNA($M330/VLOOKUP($BT330,'Unit information'!$A$2:$K$29,2,FALSE)*R330,0)*(1+$E$9)</f>
        <v>0</v>
      </c>
      <c r="AU330" s="107">
        <f>_xlfn.IFNA($M330/VLOOKUP($BT330,'Unit information'!$A$2:$K$29,3,FALSE)*S330,0)*(1+$E$9)</f>
        <v>0</v>
      </c>
      <c r="AV330" s="107">
        <f>_xlfn.IFNA($M330/VLOOKUP($BT330,'Unit information'!$A$2:$K$29,4,FALSE)*T330,0)*(1+$E$9)</f>
        <v>0</v>
      </c>
      <c r="AW330" s="107">
        <f>_xlfn.IFNA($M330/VLOOKUP($BT330,'Unit information'!$A$2:$K$29,5,FALSE)*U330,0)*(1+$E$9)</f>
        <v>0</v>
      </c>
      <c r="AX330" s="107">
        <f>_xlfn.IFNA($M330/VLOOKUP($BU330,'Unit information'!$A$2:$K$29,6,FALSE)*V330,0)*(1+$E$9)</f>
        <v>0</v>
      </c>
      <c r="AY330" s="107">
        <f>_xlfn.IFNA($M330/VLOOKUP($BU330,'Unit information'!$A$2:$K$29,7,FALSE)*W330,0)*(1+$E$9)</f>
        <v>0</v>
      </c>
      <c r="AZ330" s="107">
        <f>_xlfn.IFNA($M330/VLOOKUP($BU330,'Unit information'!$A$2:$K$29,8,FALSE)*X330,0)*(1+$E$9)</f>
        <v>0</v>
      </c>
      <c r="BA330" s="107">
        <f>_xlfn.IFNA($M330/VLOOKUP($BU330,'Unit information'!$A$2:$K$29,9,FALSE)*Y330,0)*(1+$E$9)</f>
        <v>0</v>
      </c>
      <c r="BB330" s="107">
        <f>_xlfn.IFNA($M330/VLOOKUP($BV330,'Unit information'!$A$2:$K$29,10,FALSE)*Z330,0)*(1+$E$9)</f>
        <v>0</v>
      </c>
      <c r="BC330" s="108">
        <f>_xlfn.IFNA($M330/VLOOKUP($BV330,'Unit information'!$A$2:$K$29,11,FALSE)*AA330,0)*(1+$E$9)</f>
        <v>0</v>
      </c>
      <c r="BD330" s="106">
        <f t="shared" si="634"/>
        <v>0</v>
      </c>
      <c r="BE330" s="107">
        <f t="shared" si="635"/>
        <v>0</v>
      </c>
      <c r="BF330" s="108">
        <f t="shared" si="636"/>
        <v>0</v>
      </c>
      <c r="BG330" s="25" t="e">
        <f t="shared" si="637"/>
        <v>#N/A</v>
      </c>
      <c r="BH330" s="25" t="e">
        <f t="shared" si="638"/>
        <v>#N/A</v>
      </c>
      <c r="BI330" s="25" t="e">
        <f t="shared" si="639"/>
        <v>#N/A</v>
      </c>
      <c r="BJ330" s="27" t="e">
        <f t="shared" si="640"/>
        <v>#N/A</v>
      </c>
      <c r="BK330" s="18" t="e">
        <f t="shared" si="641"/>
        <v>#N/A</v>
      </c>
      <c r="BL330" s="18" t="e">
        <f t="shared" si="642"/>
        <v>#N/A</v>
      </c>
      <c r="BM330" s="28" t="e">
        <f t="shared" si="693"/>
        <v>#N/A</v>
      </c>
      <c r="BN330" s="33">
        <f>HLOOKUP("maximum population",Miscelaneous!$C$1:$C$33,CH330+3,FALSE)</f>
        <v>240</v>
      </c>
      <c r="BO330" s="14">
        <f t="shared" si="655"/>
        <v>32</v>
      </c>
      <c r="BP330" s="14">
        <f t="shared" si="656"/>
        <v>0</v>
      </c>
      <c r="BQ330" s="14">
        <f t="shared" si="657"/>
        <v>208</v>
      </c>
      <c r="BR330" s="34" t="e">
        <f>HLOOKUP(J330,Villagers!$B$1:$V$33,L330+3,FALSE)-HLOOKUP(J330,Villagers!$B$1:$V$33,L330+2,FALSE)</f>
        <v>#N/A</v>
      </c>
      <c r="BS330" s="49">
        <f t="shared" si="658"/>
        <v>1</v>
      </c>
      <c r="BT330" s="50">
        <f t="shared" si="659"/>
        <v>0</v>
      </c>
      <c r="BU330" s="50">
        <f t="shared" si="660"/>
        <v>0</v>
      </c>
      <c r="BV330" s="50">
        <f t="shared" si="661"/>
        <v>0</v>
      </c>
      <c r="BW330" s="50">
        <f t="shared" si="750"/>
        <v>0</v>
      </c>
      <c r="BX330" s="50">
        <f t="shared" si="751"/>
        <v>0</v>
      </c>
      <c r="BY330" s="50">
        <f t="shared" si="751"/>
        <v>0</v>
      </c>
      <c r="BZ330" s="50">
        <f t="shared" si="707"/>
        <v>0</v>
      </c>
      <c r="CA330" s="50">
        <f t="shared" si="708"/>
        <v>0</v>
      </c>
      <c r="CB330" s="50">
        <f t="shared" si="709"/>
        <v>1</v>
      </c>
      <c r="CC330" s="50">
        <f t="shared" si="710"/>
        <v>0</v>
      </c>
      <c r="CD330" s="50">
        <f t="shared" si="711"/>
        <v>0</v>
      </c>
      <c r="CE330" s="50">
        <f t="shared" si="712"/>
        <v>1</v>
      </c>
      <c r="CF330" s="50">
        <f t="shared" si="713"/>
        <v>1</v>
      </c>
      <c r="CG330" s="50">
        <f t="shared" si="714"/>
        <v>1</v>
      </c>
      <c r="CH330" s="50">
        <f t="shared" si="715"/>
        <v>1</v>
      </c>
      <c r="CI330" s="50">
        <f t="shared" si="716"/>
        <v>1</v>
      </c>
      <c r="CJ330" s="50">
        <f t="shared" si="717"/>
        <v>1</v>
      </c>
      <c r="CK330" s="50">
        <f t="shared" si="717"/>
        <v>0</v>
      </c>
      <c r="CL330" s="50">
        <f t="shared" si="717"/>
        <v>0</v>
      </c>
      <c r="CM330" s="51">
        <f t="shared" si="760"/>
        <v>0</v>
      </c>
      <c r="CN330" s="33">
        <f>ROUND(IF(BS330=0,0,HLOOKUP(BS$14,Villagers!$B$1:$V$33,BS330+3,FALSE)),)</f>
        <v>5</v>
      </c>
      <c r="CO330" s="14">
        <f>ROUND(IF(BT330=0,0,HLOOKUP(BT$14,Villagers!$B$1:$V$33,BT330+3,FALSE)),)</f>
        <v>0</v>
      </c>
      <c r="CP330" s="14">
        <f>ROUND(IF(BU330=0,0,HLOOKUP(BU$14,Villagers!$B$1:$V$33,BU330+3,FALSE)),)</f>
        <v>0</v>
      </c>
      <c r="CQ330" s="14">
        <f>ROUND(IF(BV330=0,0,HLOOKUP(BV$14,Villagers!$B$1:$V$33,BV330+3,FALSE)),)</f>
        <v>0</v>
      </c>
      <c r="CR330" s="14">
        <f>ROUND(IF(BW330=0,0,HLOOKUP(BW$14,Villagers!$B$1:$V$33,BW330+3,FALSE)),)</f>
        <v>0</v>
      </c>
      <c r="CS330" s="14">
        <f>ROUND(IF(BX330=0,0,HLOOKUP(BX$14,Villagers!$B$1:$V$33,BX330+3,FALSE)),)</f>
        <v>0</v>
      </c>
      <c r="CT330" s="14">
        <f>ROUND(IF(BY330=0,0,HLOOKUP(BY$14,Villagers!$B$1:$V$33,BY330+3,FALSE)),)</f>
        <v>0</v>
      </c>
      <c r="CU330" s="14">
        <f>ROUND(IF(BZ330=0,0,HLOOKUP(BZ$14,Villagers!$B$1:$V$33,BZ330+3,FALSE)),)</f>
        <v>0</v>
      </c>
      <c r="CV330" s="14">
        <f>ROUND(IF(CA330=0,0,HLOOKUP(CA$14,Villagers!$B$1:$V$33,CA330+3,FALSE)),)</f>
        <v>0</v>
      </c>
      <c r="CW330" s="14">
        <f>ROUND(IF(CB330=0,0,HLOOKUP(CB$14,Villagers!$B$1:$V$33,CB330+3,FALSE)),)</f>
        <v>0</v>
      </c>
      <c r="CX330" s="14">
        <f>ROUND(IF(CC330=0,0,HLOOKUP(CC$14,Villagers!$B$1:$V$33,CC330+3,FALSE)),)</f>
        <v>0</v>
      </c>
      <c r="CY330" s="14">
        <f>ROUND(IF(CD330=0,0,HLOOKUP(CD$14,Villagers!$B$1:$V$33,CD330+3,FALSE)),)</f>
        <v>0</v>
      </c>
      <c r="CZ330" s="14">
        <f>ROUND(IF(CE330=0,0,HLOOKUP(CE$14,Villagers!$B$1:$V$33,CE330+3,FALSE)),)</f>
        <v>5</v>
      </c>
      <c r="DA330" s="14">
        <f>ROUND(IF(CF330=0,0,HLOOKUP(CF$14,Villagers!$B$1:$V$33,CF330+3,FALSE)),)</f>
        <v>10</v>
      </c>
      <c r="DB330" s="14">
        <f>ROUND(IF(CG330=0,0,HLOOKUP(CG$14,Villagers!$B$1:$V$33,CG330+3,FALSE)),)</f>
        <v>10</v>
      </c>
      <c r="DC330" s="14">
        <f>ROUND(IF(CH330=0,0,HLOOKUP(CH$14,Villagers!$B$1:$V$33,CH330+3,FALSE)),)</f>
        <v>0</v>
      </c>
      <c r="DD330" s="14">
        <f>ROUND(IF(CI330=0,0,HLOOKUP(CI$14,Villagers!$B$1:$V$33,CI330+3,FALSE)),)</f>
        <v>0</v>
      </c>
      <c r="DE330" s="14">
        <f>ROUND(IF(CJ330=0,0,HLOOKUP(CJ$14,Villagers!$B$1:$V$33,CJ330+3,FALSE)),)</f>
        <v>2</v>
      </c>
      <c r="DF330" s="370">
        <f>ROUND(IF(CK330=0,0,HLOOKUP(CK$14,Villagers!$B$1:$V$33,CK330+3,FALSE)),)</f>
        <v>0</v>
      </c>
      <c r="DG330" s="370">
        <f>ROUND(IF(CL330=0,0,HLOOKUP(CL$14,Villagers!$B$1:$V$33,CL330+3,FALSE)),)</f>
        <v>0</v>
      </c>
      <c r="DH330" s="34">
        <f>ROUND(IF(CM330=0,0,HLOOKUP(CM$14,Villagers!$B$1:$V$33,CM330+3,FALSE)),)</f>
        <v>0</v>
      </c>
      <c r="DI330" s="109">
        <f t="shared" si="679"/>
        <v>0</v>
      </c>
      <c r="DJ330" s="50">
        <f t="shared" si="680"/>
        <v>0</v>
      </c>
      <c r="DK330" s="50">
        <f t="shared" si="681"/>
        <v>0</v>
      </c>
      <c r="DL330" s="50">
        <f t="shared" si="682"/>
        <v>0</v>
      </c>
      <c r="DM330" s="50">
        <f t="shared" si="683"/>
        <v>0</v>
      </c>
      <c r="DN330" s="50">
        <f t="shared" si="684"/>
        <v>0</v>
      </c>
      <c r="DO330" s="50">
        <f t="shared" si="685"/>
        <v>0</v>
      </c>
      <c r="DP330" s="50">
        <f t="shared" si="686"/>
        <v>0</v>
      </c>
      <c r="DQ330" s="50">
        <f t="shared" si="663"/>
        <v>0</v>
      </c>
      <c r="DR330" s="50">
        <f t="shared" si="664"/>
        <v>0</v>
      </c>
      <c r="DS330" s="96">
        <f>Miscelaneous!$D$4*Miscelaneous!$D$2^($CI330-1)</f>
        <v>1000</v>
      </c>
      <c r="DT330" s="333">
        <f t="shared" si="643"/>
        <v>1</v>
      </c>
      <c r="DU330" s="81">
        <v>1</v>
      </c>
      <c r="DV330" s="79">
        <f t="shared" si="665"/>
        <v>0</v>
      </c>
      <c r="DW330" s="79">
        <f t="shared" si="666"/>
        <v>0</v>
      </c>
      <c r="DX330" s="79">
        <f t="shared" si="667"/>
        <v>0</v>
      </c>
      <c r="DY330" s="79">
        <v>1</v>
      </c>
      <c r="DZ330" s="79">
        <f t="shared" si="668"/>
        <v>0</v>
      </c>
      <c r="EA330" s="79">
        <f t="shared" si="669"/>
        <v>0</v>
      </c>
      <c r="EB330" s="79">
        <f t="shared" si="670"/>
        <v>0</v>
      </c>
      <c r="EC330" s="79">
        <f t="shared" si="671"/>
        <v>0</v>
      </c>
      <c r="ED330" s="79">
        <v>1</v>
      </c>
      <c r="EE330" s="79">
        <v>1</v>
      </c>
      <c r="EF330" s="79">
        <f t="shared" si="672"/>
        <v>0</v>
      </c>
      <c r="EG330" s="79">
        <v>1</v>
      </c>
      <c r="EH330" s="79">
        <v>1</v>
      </c>
      <c r="EI330" s="79">
        <v>1</v>
      </c>
      <c r="EJ330" s="79">
        <v>1</v>
      </c>
      <c r="EK330" s="79">
        <v>1</v>
      </c>
      <c r="EL330" s="79">
        <v>1</v>
      </c>
      <c r="EM330" s="143">
        <f t="shared" si="673"/>
        <v>0</v>
      </c>
      <c r="EN330" s="143">
        <f t="shared" si="674"/>
        <v>0</v>
      </c>
      <c r="EO330" s="82">
        <f t="shared" si="675"/>
        <v>0</v>
      </c>
    </row>
    <row r="331" spans="1:145" x14ac:dyDescent="0.25">
      <c r="A331">
        <v>317</v>
      </c>
      <c r="B331" s="172" t="e">
        <f t="shared" si="644"/>
        <v>#N/A</v>
      </c>
      <c r="C331" s="121" t="e">
        <f t="shared" ref="C331:E331" si="773">AJ331-SUM(AB331:AB335)</f>
        <v>#N/A</v>
      </c>
      <c r="D331" s="122" t="e">
        <f t="shared" si="773"/>
        <v>#N/A</v>
      </c>
      <c r="E331" s="122" t="e">
        <f t="shared" si="773"/>
        <v>#N/A</v>
      </c>
      <c r="F331" s="176" t="e">
        <f t="shared" si="626"/>
        <v>#N/A</v>
      </c>
      <c r="G331" s="121">
        <f t="shared" si="646"/>
        <v>208</v>
      </c>
      <c r="H331" s="176" t="e">
        <f t="shared" si="647"/>
        <v>#N/A</v>
      </c>
      <c r="I331" s="48">
        <v>1</v>
      </c>
      <c r="J331" s="39"/>
      <c r="K331" s="350">
        <v>1</v>
      </c>
      <c r="L331" s="34" t="e">
        <f t="shared" si="627"/>
        <v>#N/A</v>
      </c>
      <c r="M331" s="38" t="e">
        <f>(HLOOKUP(J331,'Construction Times'!$B$3:$W$34,L331+2,FALSE)*HLOOKUP("hq modifier",'Construction Times'!$W$3:$W$34,BS331+2,FALSE))*(1-$H$9)</f>
        <v>#N/A</v>
      </c>
      <c r="N331" s="426" t="e">
        <f t="shared" si="648"/>
        <v>#N/A</v>
      </c>
      <c r="O331" s="427"/>
      <c r="P331" s="430" t="e">
        <f t="shared" si="649"/>
        <v>#N/A</v>
      </c>
      <c r="Q331" s="431"/>
      <c r="R331" s="103">
        <f t="shared" si="677"/>
        <v>0</v>
      </c>
      <c r="S331" s="104">
        <f t="shared" si="677"/>
        <v>0</v>
      </c>
      <c r="T331" s="104">
        <f t="shared" si="678"/>
        <v>0</v>
      </c>
      <c r="U331" s="104">
        <f t="shared" si="678"/>
        <v>0</v>
      </c>
      <c r="V331" s="104">
        <f t="shared" si="678"/>
        <v>9.9999999999999995E-8</v>
      </c>
      <c r="W331" s="104">
        <f t="shared" si="678"/>
        <v>0</v>
      </c>
      <c r="X331" s="104">
        <f t="shared" si="737"/>
        <v>0</v>
      </c>
      <c r="Y331" s="104">
        <f t="shared" si="737"/>
        <v>9.9999999999999995E-8</v>
      </c>
      <c r="Z331" s="104">
        <f t="shared" si="737"/>
        <v>9.9999999999999995E-8</v>
      </c>
      <c r="AA331" s="105">
        <f t="shared" si="737"/>
        <v>9.9999999999999995E-8</v>
      </c>
      <c r="AB331" s="101" t="e">
        <f>$DT331*HLOOKUP($J331,'Construction Costs (timber)'!$B$1:$V$32,'Construction Planner'!$L331+2,FALSE)</f>
        <v>#N/A</v>
      </c>
      <c r="AC331" s="14" t="e">
        <f>$DT331*HLOOKUP($J331,'Construction Costs (clay)'!$B$1:$V$32,'Construction Planner'!$L331+2,FALSE)</f>
        <v>#N/A</v>
      </c>
      <c r="AD331" s="14" t="e">
        <f>$DT331*HLOOKUP($J331,'Construction Costs (iron)'!$B$1:$V$32,'Construction Planner'!$L331+2,FALSE)</f>
        <v>#N/A</v>
      </c>
      <c r="AE331" s="34" t="e">
        <f t="shared" si="690"/>
        <v>#N/A</v>
      </c>
      <c r="AF331" s="33" t="e">
        <f t="shared" si="628"/>
        <v>#N/A</v>
      </c>
      <c r="AG331" s="14" t="e">
        <f t="shared" si="629"/>
        <v>#N/A</v>
      </c>
      <c r="AH331" s="14" t="e">
        <f t="shared" si="630"/>
        <v>#N/A</v>
      </c>
      <c r="AI331" s="34" t="e">
        <f t="shared" si="691"/>
        <v>#N/A</v>
      </c>
      <c r="AJ331" s="49" t="e">
        <f t="shared" si="651"/>
        <v>#N/A</v>
      </c>
      <c r="AK331" s="49" t="e">
        <f t="shared" si="652"/>
        <v>#N/A</v>
      </c>
      <c r="AL331" s="49" t="e">
        <f t="shared" si="653"/>
        <v>#N/A</v>
      </c>
      <c r="AM331" s="25">
        <f t="shared" si="631"/>
        <v>30</v>
      </c>
      <c r="AN331" s="25">
        <f t="shared" si="632"/>
        <v>30</v>
      </c>
      <c r="AO331" s="25">
        <f t="shared" si="633"/>
        <v>30</v>
      </c>
      <c r="AP331" s="52" t="e">
        <f t="shared" si="654"/>
        <v>#N/A</v>
      </c>
      <c r="AQ331" s="53" t="e">
        <f t="shared" si="654"/>
        <v>#N/A</v>
      </c>
      <c r="AR331" s="54" t="e">
        <f t="shared" si="654"/>
        <v>#N/A</v>
      </c>
      <c r="AS331" s="316">
        <f t="shared" si="766"/>
        <v>0</v>
      </c>
      <c r="AT331" s="106">
        <f>_xlfn.IFNA($M331/VLOOKUP($BT331,'Unit information'!$A$2:$K$29,2,FALSE)*R331,0)*(1+$E$9)</f>
        <v>0</v>
      </c>
      <c r="AU331" s="107">
        <f>_xlfn.IFNA($M331/VLOOKUP($BT331,'Unit information'!$A$2:$K$29,3,FALSE)*S331,0)*(1+$E$9)</f>
        <v>0</v>
      </c>
      <c r="AV331" s="107">
        <f>_xlfn.IFNA($M331/VLOOKUP($BT331,'Unit information'!$A$2:$K$29,4,FALSE)*T331,0)*(1+$E$9)</f>
        <v>0</v>
      </c>
      <c r="AW331" s="107">
        <f>_xlfn.IFNA($M331/VLOOKUP($BT331,'Unit information'!$A$2:$K$29,5,FALSE)*U331,0)*(1+$E$9)</f>
        <v>0</v>
      </c>
      <c r="AX331" s="107">
        <f>_xlfn.IFNA($M331/VLOOKUP($BU331,'Unit information'!$A$2:$K$29,6,FALSE)*V331,0)*(1+$E$9)</f>
        <v>0</v>
      </c>
      <c r="AY331" s="107">
        <f>_xlfn.IFNA($M331/VLOOKUP($BU331,'Unit information'!$A$2:$K$29,7,FALSE)*W331,0)*(1+$E$9)</f>
        <v>0</v>
      </c>
      <c r="AZ331" s="107">
        <f>_xlfn.IFNA($M331/VLOOKUP($BU331,'Unit information'!$A$2:$K$29,8,FALSE)*X331,0)*(1+$E$9)</f>
        <v>0</v>
      </c>
      <c r="BA331" s="107">
        <f>_xlfn.IFNA($M331/VLOOKUP($BU331,'Unit information'!$A$2:$K$29,9,FALSE)*Y331,0)*(1+$E$9)</f>
        <v>0</v>
      </c>
      <c r="BB331" s="107">
        <f>_xlfn.IFNA($M331/VLOOKUP($BV331,'Unit information'!$A$2:$K$29,10,FALSE)*Z331,0)*(1+$E$9)</f>
        <v>0</v>
      </c>
      <c r="BC331" s="108">
        <f>_xlfn.IFNA($M331/VLOOKUP($BV331,'Unit information'!$A$2:$K$29,11,FALSE)*AA331,0)*(1+$E$9)</f>
        <v>0</v>
      </c>
      <c r="BD331" s="106">
        <f t="shared" si="634"/>
        <v>0</v>
      </c>
      <c r="BE331" s="107">
        <f t="shared" si="635"/>
        <v>0</v>
      </c>
      <c r="BF331" s="108">
        <f t="shared" si="636"/>
        <v>0</v>
      </c>
      <c r="BG331" s="25" t="e">
        <f t="shared" si="637"/>
        <v>#N/A</v>
      </c>
      <c r="BH331" s="25" t="e">
        <f t="shared" si="638"/>
        <v>#N/A</v>
      </c>
      <c r="BI331" s="25" t="e">
        <f t="shared" si="639"/>
        <v>#N/A</v>
      </c>
      <c r="BJ331" s="27" t="e">
        <f t="shared" si="640"/>
        <v>#N/A</v>
      </c>
      <c r="BK331" s="18" t="e">
        <f t="shared" si="641"/>
        <v>#N/A</v>
      </c>
      <c r="BL331" s="18" t="e">
        <f t="shared" si="642"/>
        <v>#N/A</v>
      </c>
      <c r="BM331" s="28" t="e">
        <f t="shared" si="693"/>
        <v>#N/A</v>
      </c>
      <c r="BN331" s="33">
        <f>HLOOKUP("maximum population",Miscelaneous!$C$1:$C$33,CH331+3,FALSE)</f>
        <v>240</v>
      </c>
      <c r="BO331" s="14">
        <f t="shared" si="655"/>
        <v>32</v>
      </c>
      <c r="BP331" s="14">
        <f t="shared" si="656"/>
        <v>0</v>
      </c>
      <c r="BQ331" s="14">
        <f t="shared" si="657"/>
        <v>208</v>
      </c>
      <c r="BR331" s="34" t="e">
        <f>HLOOKUP(J331,Villagers!$B$1:$V$33,L331+3,FALSE)-HLOOKUP(J331,Villagers!$B$1:$V$33,L331+2,FALSE)</f>
        <v>#N/A</v>
      </c>
      <c r="BS331" s="49">
        <f t="shared" si="658"/>
        <v>1</v>
      </c>
      <c r="BT331" s="50">
        <f t="shared" si="659"/>
        <v>0</v>
      </c>
      <c r="BU331" s="50">
        <f t="shared" si="660"/>
        <v>0</v>
      </c>
      <c r="BV331" s="50">
        <f t="shared" si="661"/>
        <v>0</v>
      </c>
      <c r="BW331" s="50">
        <f t="shared" si="750"/>
        <v>0</v>
      </c>
      <c r="BX331" s="50">
        <f t="shared" si="751"/>
        <v>0</v>
      </c>
      <c r="BY331" s="50">
        <f t="shared" si="751"/>
        <v>0</v>
      </c>
      <c r="BZ331" s="50">
        <f t="shared" si="707"/>
        <v>0</v>
      </c>
      <c r="CA331" s="50">
        <f t="shared" si="708"/>
        <v>0</v>
      </c>
      <c r="CB331" s="50">
        <f t="shared" si="709"/>
        <v>1</v>
      </c>
      <c r="CC331" s="50">
        <f t="shared" si="710"/>
        <v>0</v>
      </c>
      <c r="CD331" s="50">
        <f t="shared" si="711"/>
        <v>0</v>
      </c>
      <c r="CE331" s="50">
        <f t="shared" si="712"/>
        <v>1</v>
      </c>
      <c r="CF331" s="50">
        <f t="shared" si="713"/>
        <v>1</v>
      </c>
      <c r="CG331" s="50">
        <f t="shared" si="714"/>
        <v>1</v>
      </c>
      <c r="CH331" s="50">
        <f t="shared" si="715"/>
        <v>1</v>
      </c>
      <c r="CI331" s="50">
        <f t="shared" si="716"/>
        <v>1</v>
      </c>
      <c r="CJ331" s="50">
        <f t="shared" si="717"/>
        <v>1</v>
      </c>
      <c r="CK331" s="50">
        <f t="shared" si="717"/>
        <v>0</v>
      </c>
      <c r="CL331" s="50">
        <f t="shared" si="717"/>
        <v>0</v>
      </c>
      <c r="CM331" s="51">
        <f t="shared" si="760"/>
        <v>0</v>
      </c>
      <c r="CN331" s="33">
        <f>ROUND(IF(BS331=0,0,HLOOKUP(BS$14,Villagers!$B$1:$V$33,BS331+3,FALSE)),)</f>
        <v>5</v>
      </c>
      <c r="CO331" s="14">
        <f>ROUND(IF(BT331=0,0,HLOOKUP(BT$14,Villagers!$B$1:$V$33,BT331+3,FALSE)),)</f>
        <v>0</v>
      </c>
      <c r="CP331" s="14">
        <f>ROUND(IF(BU331=0,0,HLOOKUP(BU$14,Villagers!$B$1:$V$33,BU331+3,FALSE)),)</f>
        <v>0</v>
      </c>
      <c r="CQ331" s="14">
        <f>ROUND(IF(BV331=0,0,HLOOKUP(BV$14,Villagers!$B$1:$V$33,BV331+3,FALSE)),)</f>
        <v>0</v>
      </c>
      <c r="CR331" s="14">
        <f>ROUND(IF(BW331=0,0,HLOOKUP(BW$14,Villagers!$B$1:$V$33,BW331+3,FALSE)),)</f>
        <v>0</v>
      </c>
      <c r="CS331" s="14">
        <f>ROUND(IF(BX331=0,0,HLOOKUP(BX$14,Villagers!$B$1:$V$33,BX331+3,FALSE)),)</f>
        <v>0</v>
      </c>
      <c r="CT331" s="14">
        <f>ROUND(IF(BY331=0,0,HLOOKUP(BY$14,Villagers!$B$1:$V$33,BY331+3,FALSE)),)</f>
        <v>0</v>
      </c>
      <c r="CU331" s="14">
        <f>ROUND(IF(BZ331=0,0,HLOOKUP(BZ$14,Villagers!$B$1:$V$33,BZ331+3,FALSE)),)</f>
        <v>0</v>
      </c>
      <c r="CV331" s="14">
        <f>ROUND(IF(CA331=0,0,HLOOKUP(CA$14,Villagers!$B$1:$V$33,CA331+3,FALSE)),)</f>
        <v>0</v>
      </c>
      <c r="CW331" s="14">
        <f>ROUND(IF(CB331=0,0,HLOOKUP(CB$14,Villagers!$B$1:$V$33,CB331+3,FALSE)),)</f>
        <v>0</v>
      </c>
      <c r="CX331" s="14">
        <f>ROUND(IF(CC331=0,0,HLOOKUP(CC$14,Villagers!$B$1:$V$33,CC331+3,FALSE)),)</f>
        <v>0</v>
      </c>
      <c r="CY331" s="14">
        <f>ROUND(IF(CD331=0,0,HLOOKUP(CD$14,Villagers!$B$1:$V$33,CD331+3,FALSE)),)</f>
        <v>0</v>
      </c>
      <c r="CZ331" s="14">
        <f>ROUND(IF(CE331=0,0,HLOOKUP(CE$14,Villagers!$B$1:$V$33,CE331+3,FALSE)),)</f>
        <v>5</v>
      </c>
      <c r="DA331" s="14">
        <f>ROUND(IF(CF331=0,0,HLOOKUP(CF$14,Villagers!$B$1:$V$33,CF331+3,FALSE)),)</f>
        <v>10</v>
      </c>
      <c r="DB331" s="14">
        <f>ROUND(IF(CG331=0,0,HLOOKUP(CG$14,Villagers!$B$1:$V$33,CG331+3,FALSE)),)</f>
        <v>10</v>
      </c>
      <c r="DC331" s="14">
        <f>ROUND(IF(CH331=0,0,HLOOKUP(CH$14,Villagers!$B$1:$V$33,CH331+3,FALSE)),)</f>
        <v>0</v>
      </c>
      <c r="DD331" s="14">
        <f>ROUND(IF(CI331=0,0,HLOOKUP(CI$14,Villagers!$B$1:$V$33,CI331+3,FALSE)),)</f>
        <v>0</v>
      </c>
      <c r="DE331" s="14">
        <f>ROUND(IF(CJ331=0,0,HLOOKUP(CJ$14,Villagers!$B$1:$V$33,CJ331+3,FALSE)),)</f>
        <v>2</v>
      </c>
      <c r="DF331" s="370">
        <f>ROUND(IF(CK331=0,0,HLOOKUP(CK$14,Villagers!$B$1:$V$33,CK331+3,FALSE)),)</f>
        <v>0</v>
      </c>
      <c r="DG331" s="370">
        <f>ROUND(IF(CL331=0,0,HLOOKUP(CL$14,Villagers!$B$1:$V$33,CL331+3,FALSE)),)</f>
        <v>0</v>
      </c>
      <c r="DH331" s="34">
        <f>ROUND(IF(CM331=0,0,HLOOKUP(CM$14,Villagers!$B$1:$V$33,CM331+3,FALSE)),)</f>
        <v>0</v>
      </c>
      <c r="DI331" s="109">
        <f t="shared" si="679"/>
        <v>0</v>
      </c>
      <c r="DJ331" s="50">
        <f t="shared" si="680"/>
        <v>0</v>
      </c>
      <c r="DK331" s="50">
        <f t="shared" si="681"/>
        <v>0</v>
      </c>
      <c r="DL331" s="50">
        <f t="shared" si="682"/>
        <v>0</v>
      </c>
      <c r="DM331" s="50">
        <f t="shared" si="683"/>
        <v>0</v>
      </c>
      <c r="DN331" s="50">
        <f t="shared" si="684"/>
        <v>0</v>
      </c>
      <c r="DO331" s="50">
        <f t="shared" si="685"/>
        <v>0</v>
      </c>
      <c r="DP331" s="50">
        <f t="shared" si="686"/>
        <v>0</v>
      </c>
      <c r="DQ331" s="50">
        <f t="shared" si="663"/>
        <v>0</v>
      </c>
      <c r="DR331" s="50">
        <f t="shared" si="664"/>
        <v>0</v>
      </c>
      <c r="DS331" s="96">
        <f>Miscelaneous!$D$4*Miscelaneous!$D$2^($CI331-1)</f>
        <v>1000</v>
      </c>
      <c r="DT331" s="333">
        <f t="shared" si="643"/>
        <v>1</v>
      </c>
      <c r="DU331" s="81">
        <v>1</v>
      </c>
      <c r="DV331" s="79">
        <f t="shared" si="665"/>
        <v>0</v>
      </c>
      <c r="DW331" s="79">
        <f t="shared" si="666"/>
        <v>0</v>
      </c>
      <c r="DX331" s="79">
        <f t="shared" si="667"/>
        <v>0</v>
      </c>
      <c r="DY331" s="79">
        <v>1</v>
      </c>
      <c r="DZ331" s="79">
        <f t="shared" si="668"/>
        <v>0</v>
      </c>
      <c r="EA331" s="79">
        <f t="shared" si="669"/>
        <v>0</v>
      </c>
      <c r="EB331" s="79">
        <f t="shared" si="670"/>
        <v>0</v>
      </c>
      <c r="EC331" s="79">
        <f t="shared" si="671"/>
        <v>0</v>
      </c>
      <c r="ED331" s="79">
        <v>1</v>
      </c>
      <c r="EE331" s="79">
        <v>1</v>
      </c>
      <c r="EF331" s="79">
        <f t="shared" si="672"/>
        <v>0</v>
      </c>
      <c r="EG331" s="79">
        <v>1</v>
      </c>
      <c r="EH331" s="79">
        <v>1</v>
      </c>
      <c r="EI331" s="79">
        <v>1</v>
      </c>
      <c r="EJ331" s="79">
        <v>1</v>
      </c>
      <c r="EK331" s="79">
        <v>1</v>
      </c>
      <c r="EL331" s="79">
        <v>1</v>
      </c>
      <c r="EM331" s="143">
        <f t="shared" si="673"/>
        <v>0</v>
      </c>
      <c r="EN331" s="143">
        <f t="shared" si="674"/>
        <v>0</v>
      </c>
      <c r="EO331" s="82">
        <f t="shared" si="675"/>
        <v>0</v>
      </c>
    </row>
    <row r="332" spans="1:145" x14ac:dyDescent="0.25">
      <c r="A332">
        <v>318</v>
      </c>
      <c r="B332" s="172" t="e">
        <f t="shared" si="644"/>
        <v>#N/A</v>
      </c>
      <c r="C332" s="121" t="e">
        <f t="shared" ref="C332:E332" si="774">AJ332-SUM(AB332:AB336)</f>
        <v>#N/A</v>
      </c>
      <c r="D332" s="122" t="e">
        <f t="shared" si="774"/>
        <v>#N/A</v>
      </c>
      <c r="E332" s="122" t="e">
        <f t="shared" si="774"/>
        <v>#N/A</v>
      </c>
      <c r="F332" s="176" t="e">
        <f t="shared" si="626"/>
        <v>#N/A</v>
      </c>
      <c r="G332" s="121">
        <f t="shared" si="646"/>
        <v>208</v>
      </c>
      <c r="H332" s="176" t="e">
        <f t="shared" si="647"/>
        <v>#N/A</v>
      </c>
      <c r="I332" s="48">
        <v>1</v>
      </c>
      <c r="J332" s="39"/>
      <c r="K332" s="350">
        <v>1</v>
      </c>
      <c r="L332" s="34" t="e">
        <f t="shared" si="627"/>
        <v>#N/A</v>
      </c>
      <c r="M332" s="38" t="e">
        <f>(HLOOKUP(J332,'Construction Times'!$B$3:$W$34,L332+2,FALSE)*HLOOKUP("hq modifier",'Construction Times'!$W$3:$W$34,BS332+2,FALSE))*(1-$H$9)</f>
        <v>#N/A</v>
      </c>
      <c r="N332" s="426" t="e">
        <f t="shared" si="648"/>
        <v>#N/A</v>
      </c>
      <c r="O332" s="427"/>
      <c r="P332" s="430" t="e">
        <f t="shared" si="649"/>
        <v>#N/A</v>
      </c>
      <c r="Q332" s="431"/>
      <c r="R332" s="103">
        <f t="shared" si="677"/>
        <v>0</v>
      </c>
      <c r="S332" s="104">
        <f t="shared" si="677"/>
        <v>0</v>
      </c>
      <c r="T332" s="104">
        <f t="shared" si="678"/>
        <v>0</v>
      </c>
      <c r="U332" s="104">
        <f t="shared" si="678"/>
        <v>0</v>
      </c>
      <c r="V332" s="104">
        <f t="shared" si="678"/>
        <v>9.9999999999999995E-8</v>
      </c>
      <c r="W332" s="104">
        <f t="shared" si="678"/>
        <v>0</v>
      </c>
      <c r="X332" s="104">
        <f t="shared" si="737"/>
        <v>0</v>
      </c>
      <c r="Y332" s="104">
        <f t="shared" si="737"/>
        <v>9.9999999999999995E-8</v>
      </c>
      <c r="Z332" s="104">
        <f t="shared" si="737"/>
        <v>9.9999999999999995E-8</v>
      </c>
      <c r="AA332" s="105">
        <f t="shared" si="737"/>
        <v>9.9999999999999995E-8</v>
      </c>
      <c r="AB332" s="101" t="e">
        <f>$DT332*HLOOKUP($J332,'Construction Costs (timber)'!$B$1:$V$32,'Construction Planner'!$L332+2,FALSE)</f>
        <v>#N/A</v>
      </c>
      <c r="AC332" s="14" t="e">
        <f>$DT332*HLOOKUP($J332,'Construction Costs (clay)'!$B$1:$V$32,'Construction Planner'!$L332+2,FALSE)</f>
        <v>#N/A</v>
      </c>
      <c r="AD332" s="14" t="e">
        <f>$DT332*HLOOKUP($J332,'Construction Costs (iron)'!$B$1:$V$32,'Construction Planner'!$L332+2,FALSE)</f>
        <v>#N/A</v>
      </c>
      <c r="AE332" s="34" t="e">
        <f t="shared" si="690"/>
        <v>#N/A</v>
      </c>
      <c r="AF332" s="33" t="e">
        <f t="shared" si="628"/>
        <v>#N/A</v>
      </c>
      <c r="AG332" s="14" t="e">
        <f t="shared" si="629"/>
        <v>#N/A</v>
      </c>
      <c r="AH332" s="14" t="e">
        <f t="shared" si="630"/>
        <v>#N/A</v>
      </c>
      <c r="AI332" s="34" t="e">
        <f t="shared" si="691"/>
        <v>#N/A</v>
      </c>
      <c r="AJ332" s="49" t="e">
        <f t="shared" si="651"/>
        <v>#N/A</v>
      </c>
      <c r="AK332" s="49" t="e">
        <f t="shared" si="652"/>
        <v>#N/A</v>
      </c>
      <c r="AL332" s="49" t="e">
        <f t="shared" si="653"/>
        <v>#N/A</v>
      </c>
      <c r="AM332" s="25">
        <f t="shared" si="631"/>
        <v>30</v>
      </c>
      <c r="AN332" s="25">
        <f t="shared" si="632"/>
        <v>30</v>
      </c>
      <c r="AO332" s="25">
        <f t="shared" si="633"/>
        <v>30</v>
      </c>
      <c r="AP332" s="52" t="e">
        <f t="shared" si="654"/>
        <v>#N/A</v>
      </c>
      <c r="AQ332" s="53" t="e">
        <f t="shared" si="654"/>
        <v>#N/A</v>
      </c>
      <c r="AR332" s="54" t="e">
        <f t="shared" si="654"/>
        <v>#N/A</v>
      </c>
      <c r="AS332" s="316">
        <f t="shared" si="766"/>
        <v>0</v>
      </c>
      <c r="AT332" s="106">
        <f>_xlfn.IFNA($M332/VLOOKUP($BT332,'Unit information'!$A$2:$K$29,2,FALSE)*R332,0)*(1+$E$9)</f>
        <v>0</v>
      </c>
      <c r="AU332" s="107">
        <f>_xlfn.IFNA($M332/VLOOKUP($BT332,'Unit information'!$A$2:$K$29,3,FALSE)*S332,0)*(1+$E$9)</f>
        <v>0</v>
      </c>
      <c r="AV332" s="107">
        <f>_xlfn.IFNA($M332/VLOOKUP($BT332,'Unit information'!$A$2:$K$29,4,FALSE)*T332,0)*(1+$E$9)</f>
        <v>0</v>
      </c>
      <c r="AW332" s="107">
        <f>_xlfn.IFNA($M332/VLOOKUP($BT332,'Unit information'!$A$2:$K$29,5,FALSE)*U332,0)*(1+$E$9)</f>
        <v>0</v>
      </c>
      <c r="AX332" s="107">
        <f>_xlfn.IFNA($M332/VLOOKUP($BU332,'Unit information'!$A$2:$K$29,6,FALSE)*V332,0)*(1+$E$9)</f>
        <v>0</v>
      </c>
      <c r="AY332" s="107">
        <f>_xlfn.IFNA($M332/VLOOKUP($BU332,'Unit information'!$A$2:$K$29,7,FALSE)*W332,0)*(1+$E$9)</f>
        <v>0</v>
      </c>
      <c r="AZ332" s="107">
        <f>_xlfn.IFNA($M332/VLOOKUP($BU332,'Unit information'!$A$2:$K$29,8,FALSE)*X332,0)*(1+$E$9)</f>
        <v>0</v>
      </c>
      <c r="BA332" s="107">
        <f>_xlfn.IFNA($M332/VLOOKUP($BU332,'Unit information'!$A$2:$K$29,9,FALSE)*Y332,0)*(1+$E$9)</f>
        <v>0</v>
      </c>
      <c r="BB332" s="107">
        <f>_xlfn.IFNA($M332/VLOOKUP($BV332,'Unit information'!$A$2:$K$29,10,FALSE)*Z332,0)*(1+$E$9)</f>
        <v>0</v>
      </c>
      <c r="BC332" s="108">
        <f>_xlfn.IFNA($M332/VLOOKUP($BV332,'Unit information'!$A$2:$K$29,11,FALSE)*AA332,0)*(1+$E$9)</f>
        <v>0</v>
      </c>
      <c r="BD332" s="106">
        <f t="shared" si="634"/>
        <v>0</v>
      </c>
      <c r="BE332" s="107">
        <f t="shared" si="635"/>
        <v>0</v>
      </c>
      <c r="BF332" s="108">
        <f t="shared" si="636"/>
        <v>0</v>
      </c>
      <c r="BG332" s="25" t="e">
        <f t="shared" si="637"/>
        <v>#N/A</v>
      </c>
      <c r="BH332" s="25" t="e">
        <f t="shared" si="638"/>
        <v>#N/A</v>
      </c>
      <c r="BI332" s="25" t="e">
        <f t="shared" si="639"/>
        <v>#N/A</v>
      </c>
      <c r="BJ332" s="27" t="e">
        <f t="shared" si="640"/>
        <v>#N/A</v>
      </c>
      <c r="BK332" s="18" t="e">
        <f t="shared" si="641"/>
        <v>#N/A</v>
      </c>
      <c r="BL332" s="18" t="e">
        <f t="shared" si="642"/>
        <v>#N/A</v>
      </c>
      <c r="BM332" s="28" t="e">
        <f t="shared" si="693"/>
        <v>#N/A</v>
      </c>
      <c r="BN332" s="33">
        <f>HLOOKUP("maximum population",Miscelaneous!$C$1:$C$33,CH332+3,FALSE)</f>
        <v>240</v>
      </c>
      <c r="BO332" s="14">
        <f t="shared" si="655"/>
        <v>32</v>
      </c>
      <c r="BP332" s="14">
        <f t="shared" si="656"/>
        <v>0</v>
      </c>
      <c r="BQ332" s="14">
        <f t="shared" si="657"/>
        <v>208</v>
      </c>
      <c r="BR332" s="34" t="e">
        <f>HLOOKUP(J332,Villagers!$B$1:$V$33,L332+3,FALSE)-HLOOKUP(J332,Villagers!$B$1:$V$33,L332+2,FALSE)</f>
        <v>#N/A</v>
      </c>
      <c r="BS332" s="49">
        <f t="shared" si="658"/>
        <v>1</v>
      </c>
      <c r="BT332" s="50">
        <f t="shared" si="659"/>
        <v>0</v>
      </c>
      <c r="BU332" s="50">
        <f t="shared" si="660"/>
        <v>0</v>
      </c>
      <c r="BV332" s="50">
        <f t="shared" si="661"/>
        <v>0</v>
      </c>
      <c r="BW332" s="50">
        <f t="shared" si="750"/>
        <v>0</v>
      </c>
      <c r="BX332" s="50">
        <f t="shared" si="751"/>
        <v>0</v>
      </c>
      <c r="BY332" s="50">
        <f t="shared" si="751"/>
        <v>0</v>
      </c>
      <c r="BZ332" s="50">
        <f t="shared" si="707"/>
        <v>0</v>
      </c>
      <c r="CA332" s="50">
        <f t="shared" si="708"/>
        <v>0</v>
      </c>
      <c r="CB332" s="50">
        <f t="shared" si="709"/>
        <v>1</v>
      </c>
      <c r="CC332" s="50">
        <f t="shared" si="710"/>
        <v>0</v>
      </c>
      <c r="CD332" s="50">
        <f t="shared" si="711"/>
        <v>0</v>
      </c>
      <c r="CE332" s="50">
        <f t="shared" si="712"/>
        <v>1</v>
      </c>
      <c r="CF332" s="50">
        <f t="shared" si="713"/>
        <v>1</v>
      </c>
      <c r="CG332" s="50">
        <f t="shared" si="714"/>
        <v>1</v>
      </c>
      <c r="CH332" s="50">
        <f t="shared" si="715"/>
        <v>1</v>
      </c>
      <c r="CI332" s="50">
        <f t="shared" si="716"/>
        <v>1</v>
      </c>
      <c r="CJ332" s="50">
        <f t="shared" si="717"/>
        <v>1</v>
      </c>
      <c r="CK332" s="50">
        <f t="shared" si="717"/>
        <v>0</v>
      </c>
      <c r="CL332" s="50">
        <f t="shared" si="717"/>
        <v>0</v>
      </c>
      <c r="CM332" s="51">
        <f t="shared" si="760"/>
        <v>0</v>
      </c>
      <c r="CN332" s="33">
        <f>ROUND(IF(BS332=0,0,HLOOKUP(BS$14,Villagers!$B$1:$V$33,BS332+3,FALSE)),)</f>
        <v>5</v>
      </c>
      <c r="CO332" s="14">
        <f>ROUND(IF(BT332=0,0,HLOOKUP(BT$14,Villagers!$B$1:$V$33,BT332+3,FALSE)),)</f>
        <v>0</v>
      </c>
      <c r="CP332" s="14">
        <f>ROUND(IF(BU332=0,0,HLOOKUP(BU$14,Villagers!$B$1:$V$33,BU332+3,FALSE)),)</f>
        <v>0</v>
      </c>
      <c r="CQ332" s="14">
        <f>ROUND(IF(BV332=0,0,HLOOKUP(BV$14,Villagers!$B$1:$V$33,BV332+3,FALSE)),)</f>
        <v>0</v>
      </c>
      <c r="CR332" s="14">
        <f>ROUND(IF(BW332=0,0,HLOOKUP(BW$14,Villagers!$B$1:$V$33,BW332+3,FALSE)),)</f>
        <v>0</v>
      </c>
      <c r="CS332" s="14">
        <f>ROUND(IF(BX332=0,0,HLOOKUP(BX$14,Villagers!$B$1:$V$33,BX332+3,FALSE)),)</f>
        <v>0</v>
      </c>
      <c r="CT332" s="14">
        <f>ROUND(IF(BY332=0,0,HLOOKUP(BY$14,Villagers!$B$1:$V$33,BY332+3,FALSE)),)</f>
        <v>0</v>
      </c>
      <c r="CU332" s="14">
        <f>ROUND(IF(BZ332=0,0,HLOOKUP(BZ$14,Villagers!$B$1:$V$33,BZ332+3,FALSE)),)</f>
        <v>0</v>
      </c>
      <c r="CV332" s="14">
        <f>ROUND(IF(CA332=0,0,HLOOKUP(CA$14,Villagers!$B$1:$V$33,CA332+3,FALSE)),)</f>
        <v>0</v>
      </c>
      <c r="CW332" s="14">
        <f>ROUND(IF(CB332=0,0,HLOOKUP(CB$14,Villagers!$B$1:$V$33,CB332+3,FALSE)),)</f>
        <v>0</v>
      </c>
      <c r="CX332" s="14">
        <f>ROUND(IF(CC332=0,0,HLOOKUP(CC$14,Villagers!$B$1:$V$33,CC332+3,FALSE)),)</f>
        <v>0</v>
      </c>
      <c r="CY332" s="14">
        <f>ROUND(IF(CD332=0,0,HLOOKUP(CD$14,Villagers!$B$1:$V$33,CD332+3,FALSE)),)</f>
        <v>0</v>
      </c>
      <c r="CZ332" s="14">
        <f>ROUND(IF(CE332=0,0,HLOOKUP(CE$14,Villagers!$B$1:$V$33,CE332+3,FALSE)),)</f>
        <v>5</v>
      </c>
      <c r="DA332" s="14">
        <f>ROUND(IF(CF332=0,0,HLOOKUP(CF$14,Villagers!$B$1:$V$33,CF332+3,FALSE)),)</f>
        <v>10</v>
      </c>
      <c r="DB332" s="14">
        <f>ROUND(IF(CG332=0,0,HLOOKUP(CG$14,Villagers!$B$1:$V$33,CG332+3,FALSE)),)</f>
        <v>10</v>
      </c>
      <c r="DC332" s="14">
        <f>ROUND(IF(CH332=0,0,HLOOKUP(CH$14,Villagers!$B$1:$V$33,CH332+3,FALSE)),)</f>
        <v>0</v>
      </c>
      <c r="DD332" s="14">
        <f>ROUND(IF(CI332=0,0,HLOOKUP(CI$14,Villagers!$B$1:$V$33,CI332+3,FALSE)),)</f>
        <v>0</v>
      </c>
      <c r="DE332" s="14">
        <f>ROUND(IF(CJ332=0,0,HLOOKUP(CJ$14,Villagers!$B$1:$V$33,CJ332+3,FALSE)),)</f>
        <v>2</v>
      </c>
      <c r="DF332" s="370">
        <f>ROUND(IF(CK332=0,0,HLOOKUP(CK$14,Villagers!$B$1:$V$33,CK332+3,FALSE)),)</f>
        <v>0</v>
      </c>
      <c r="DG332" s="370">
        <f>ROUND(IF(CL332=0,0,HLOOKUP(CL$14,Villagers!$B$1:$V$33,CL332+3,FALSE)),)</f>
        <v>0</v>
      </c>
      <c r="DH332" s="34">
        <f>ROUND(IF(CM332=0,0,HLOOKUP(CM$14,Villagers!$B$1:$V$33,CM332+3,FALSE)),)</f>
        <v>0</v>
      </c>
      <c r="DI332" s="109">
        <f t="shared" si="679"/>
        <v>0</v>
      </c>
      <c r="DJ332" s="50">
        <f t="shared" si="680"/>
        <v>0</v>
      </c>
      <c r="DK332" s="50">
        <f t="shared" si="681"/>
        <v>0</v>
      </c>
      <c r="DL332" s="50">
        <f t="shared" si="682"/>
        <v>0</v>
      </c>
      <c r="DM332" s="50">
        <f t="shared" si="683"/>
        <v>0</v>
      </c>
      <c r="DN332" s="50">
        <f t="shared" si="684"/>
        <v>0</v>
      </c>
      <c r="DO332" s="50">
        <f t="shared" si="685"/>
        <v>0</v>
      </c>
      <c r="DP332" s="50">
        <f t="shared" si="686"/>
        <v>0</v>
      </c>
      <c r="DQ332" s="50">
        <f t="shared" si="663"/>
        <v>0</v>
      </c>
      <c r="DR332" s="50">
        <f t="shared" si="664"/>
        <v>0</v>
      </c>
      <c r="DS332" s="96">
        <f>Miscelaneous!$D$4*Miscelaneous!$D$2^($CI332-1)</f>
        <v>1000</v>
      </c>
      <c r="DT332" s="333">
        <f t="shared" si="643"/>
        <v>1</v>
      </c>
      <c r="DU332" s="81">
        <v>1</v>
      </c>
      <c r="DV332" s="79">
        <f t="shared" si="665"/>
        <v>0</v>
      </c>
      <c r="DW332" s="79">
        <f t="shared" si="666"/>
        <v>0</v>
      </c>
      <c r="DX332" s="79">
        <f t="shared" si="667"/>
        <v>0</v>
      </c>
      <c r="DY332" s="79">
        <v>1</v>
      </c>
      <c r="DZ332" s="79">
        <f t="shared" si="668"/>
        <v>0</v>
      </c>
      <c r="EA332" s="79">
        <f t="shared" si="669"/>
        <v>0</v>
      </c>
      <c r="EB332" s="79">
        <f t="shared" si="670"/>
        <v>0</v>
      </c>
      <c r="EC332" s="79">
        <f t="shared" si="671"/>
        <v>0</v>
      </c>
      <c r="ED332" s="79">
        <v>1</v>
      </c>
      <c r="EE332" s="79">
        <v>1</v>
      </c>
      <c r="EF332" s="79">
        <f t="shared" si="672"/>
        <v>0</v>
      </c>
      <c r="EG332" s="79">
        <v>1</v>
      </c>
      <c r="EH332" s="79">
        <v>1</v>
      </c>
      <c r="EI332" s="79">
        <v>1</v>
      </c>
      <c r="EJ332" s="79">
        <v>1</v>
      </c>
      <c r="EK332" s="79">
        <v>1</v>
      </c>
      <c r="EL332" s="79">
        <v>1</v>
      </c>
      <c r="EM332" s="143">
        <f t="shared" si="673"/>
        <v>0</v>
      </c>
      <c r="EN332" s="143">
        <f t="shared" si="674"/>
        <v>0</v>
      </c>
      <c r="EO332" s="82">
        <f t="shared" si="675"/>
        <v>0</v>
      </c>
    </row>
    <row r="333" spans="1:145" x14ac:dyDescent="0.25">
      <c r="A333">
        <v>319</v>
      </c>
      <c r="B333" s="172" t="e">
        <f t="shared" si="644"/>
        <v>#N/A</v>
      </c>
      <c r="C333" s="121" t="e">
        <f t="shared" ref="C333:E333" si="775">AJ333-SUM(AB333:AB337)</f>
        <v>#N/A</v>
      </c>
      <c r="D333" s="122" t="e">
        <f t="shared" si="775"/>
        <v>#N/A</v>
      </c>
      <c r="E333" s="122" t="e">
        <f t="shared" si="775"/>
        <v>#N/A</v>
      </c>
      <c r="F333" s="176" t="e">
        <f t="shared" si="626"/>
        <v>#N/A</v>
      </c>
      <c r="G333" s="121">
        <f t="shared" si="646"/>
        <v>208</v>
      </c>
      <c r="H333" s="176" t="e">
        <f t="shared" si="647"/>
        <v>#N/A</v>
      </c>
      <c r="I333" s="48">
        <v>1</v>
      </c>
      <c r="J333" s="39"/>
      <c r="K333" s="350">
        <v>1</v>
      </c>
      <c r="L333" s="34" t="e">
        <f t="shared" si="627"/>
        <v>#N/A</v>
      </c>
      <c r="M333" s="38" t="e">
        <f>(HLOOKUP(J333,'Construction Times'!$B$3:$W$34,L333+2,FALSE)*HLOOKUP("hq modifier",'Construction Times'!$W$3:$W$34,BS333+2,FALSE))*(1-$H$9)</f>
        <v>#N/A</v>
      </c>
      <c r="N333" s="426" t="e">
        <f t="shared" si="648"/>
        <v>#N/A</v>
      </c>
      <c r="O333" s="427"/>
      <c r="P333" s="430" t="e">
        <f t="shared" si="649"/>
        <v>#N/A</v>
      </c>
      <c r="Q333" s="431"/>
      <c r="R333" s="103">
        <f t="shared" si="677"/>
        <v>0</v>
      </c>
      <c r="S333" s="104">
        <f t="shared" si="677"/>
        <v>0</v>
      </c>
      <c r="T333" s="104">
        <f t="shared" si="678"/>
        <v>0</v>
      </c>
      <c r="U333" s="104">
        <f t="shared" si="678"/>
        <v>0</v>
      </c>
      <c r="V333" s="104">
        <f t="shared" si="678"/>
        <v>9.9999999999999995E-8</v>
      </c>
      <c r="W333" s="104">
        <f t="shared" si="678"/>
        <v>0</v>
      </c>
      <c r="X333" s="104">
        <f t="shared" si="737"/>
        <v>0</v>
      </c>
      <c r="Y333" s="104">
        <f t="shared" si="737"/>
        <v>9.9999999999999995E-8</v>
      </c>
      <c r="Z333" s="104">
        <f t="shared" si="737"/>
        <v>9.9999999999999995E-8</v>
      </c>
      <c r="AA333" s="105">
        <f t="shared" si="737"/>
        <v>9.9999999999999995E-8</v>
      </c>
      <c r="AB333" s="101" t="e">
        <f>$DT333*HLOOKUP($J333,'Construction Costs (timber)'!$B$1:$V$32,'Construction Planner'!$L333+2,FALSE)</f>
        <v>#N/A</v>
      </c>
      <c r="AC333" s="14" t="e">
        <f>$DT333*HLOOKUP($J333,'Construction Costs (clay)'!$B$1:$V$32,'Construction Planner'!$L333+2,FALSE)</f>
        <v>#N/A</v>
      </c>
      <c r="AD333" s="14" t="e">
        <f>$DT333*HLOOKUP($J333,'Construction Costs (iron)'!$B$1:$V$32,'Construction Planner'!$L333+2,FALSE)</f>
        <v>#N/A</v>
      </c>
      <c r="AE333" s="34" t="e">
        <f t="shared" si="690"/>
        <v>#N/A</v>
      </c>
      <c r="AF333" s="33" t="e">
        <f t="shared" si="628"/>
        <v>#N/A</v>
      </c>
      <c r="AG333" s="14" t="e">
        <f t="shared" si="629"/>
        <v>#N/A</v>
      </c>
      <c r="AH333" s="14" t="e">
        <f t="shared" si="630"/>
        <v>#N/A</v>
      </c>
      <c r="AI333" s="34" t="e">
        <f t="shared" si="691"/>
        <v>#N/A</v>
      </c>
      <c r="AJ333" s="49" t="e">
        <f t="shared" si="651"/>
        <v>#N/A</v>
      </c>
      <c r="AK333" s="49" t="e">
        <f t="shared" si="652"/>
        <v>#N/A</v>
      </c>
      <c r="AL333" s="49" t="e">
        <f t="shared" si="653"/>
        <v>#N/A</v>
      </c>
      <c r="AM333" s="25">
        <f t="shared" si="631"/>
        <v>30</v>
      </c>
      <c r="AN333" s="25">
        <f t="shared" si="632"/>
        <v>30</v>
      </c>
      <c r="AO333" s="25">
        <f t="shared" si="633"/>
        <v>30</v>
      </c>
      <c r="AP333" s="52" t="e">
        <f t="shared" si="654"/>
        <v>#N/A</v>
      </c>
      <c r="AQ333" s="53" t="e">
        <f t="shared" si="654"/>
        <v>#N/A</v>
      </c>
      <c r="AR333" s="54" t="e">
        <f t="shared" si="654"/>
        <v>#N/A</v>
      </c>
      <c r="AS333" s="316">
        <f t="shared" si="766"/>
        <v>0</v>
      </c>
      <c r="AT333" s="106">
        <f>_xlfn.IFNA($M333/VLOOKUP($BT333,'Unit information'!$A$2:$K$29,2,FALSE)*R333,0)*(1+$E$9)</f>
        <v>0</v>
      </c>
      <c r="AU333" s="107">
        <f>_xlfn.IFNA($M333/VLOOKUP($BT333,'Unit information'!$A$2:$K$29,3,FALSE)*S333,0)*(1+$E$9)</f>
        <v>0</v>
      </c>
      <c r="AV333" s="107">
        <f>_xlfn.IFNA($M333/VLOOKUP($BT333,'Unit information'!$A$2:$K$29,4,FALSE)*T333,0)*(1+$E$9)</f>
        <v>0</v>
      </c>
      <c r="AW333" s="107">
        <f>_xlfn.IFNA($M333/VLOOKUP($BT333,'Unit information'!$A$2:$K$29,5,FALSE)*U333,0)*(1+$E$9)</f>
        <v>0</v>
      </c>
      <c r="AX333" s="107">
        <f>_xlfn.IFNA($M333/VLOOKUP($BU333,'Unit information'!$A$2:$K$29,6,FALSE)*V333,0)*(1+$E$9)</f>
        <v>0</v>
      </c>
      <c r="AY333" s="107">
        <f>_xlfn.IFNA($M333/VLOOKUP($BU333,'Unit information'!$A$2:$K$29,7,FALSE)*W333,0)*(1+$E$9)</f>
        <v>0</v>
      </c>
      <c r="AZ333" s="107">
        <f>_xlfn.IFNA($M333/VLOOKUP($BU333,'Unit information'!$A$2:$K$29,8,FALSE)*X333,0)*(1+$E$9)</f>
        <v>0</v>
      </c>
      <c r="BA333" s="107">
        <f>_xlfn.IFNA($M333/VLOOKUP($BU333,'Unit information'!$A$2:$K$29,9,FALSE)*Y333,0)*(1+$E$9)</f>
        <v>0</v>
      </c>
      <c r="BB333" s="107">
        <f>_xlfn.IFNA($M333/VLOOKUP($BV333,'Unit information'!$A$2:$K$29,10,FALSE)*Z333,0)*(1+$E$9)</f>
        <v>0</v>
      </c>
      <c r="BC333" s="108">
        <f>_xlfn.IFNA($M333/VLOOKUP($BV333,'Unit information'!$A$2:$K$29,11,FALSE)*AA333,0)*(1+$E$9)</f>
        <v>0</v>
      </c>
      <c r="BD333" s="106">
        <f t="shared" si="634"/>
        <v>0</v>
      </c>
      <c r="BE333" s="107">
        <f t="shared" si="635"/>
        <v>0</v>
      </c>
      <c r="BF333" s="108">
        <f t="shared" si="636"/>
        <v>0</v>
      </c>
      <c r="BG333" s="25" t="e">
        <f t="shared" si="637"/>
        <v>#N/A</v>
      </c>
      <c r="BH333" s="25" t="e">
        <f t="shared" si="638"/>
        <v>#N/A</v>
      </c>
      <c r="BI333" s="25" t="e">
        <f t="shared" si="639"/>
        <v>#N/A</v>
      </c>
      <c r="BJ333" s="27" t="e">
        <f t="shared" si="640"/>
        <v>#N/A</v>
      </c>
      <c r="BK333" s="18" t="e">
        <f t="shared" si="641"/>
        <v>#N/A</v>
      </c>
      <c r="BL333" s="18" t="e">
        <f t="shared" si="642"/>
        <v>#N/A</v>
      </c>
      <c r="BM333" s="28" t="e">
        <f t="shared" si="693"/>
        <v>#N/A</v>
      </c>
      <c r="BN333" s="33">
        <f>HLOOKUP("maximum population",Miscelaneous!$C$1:$C$33,CH333+3,FALSE)</f>
        <v>240</v>
      </c>
      <c r="BO333" s="14">
        <f t="shared" si="655"/>
        <v>32</v>
      </c>
      <c r="BP333" s="14">
        <f t="shared" si="656"/>
        <v>0</v>
      </c>
      <c r="BQ333" s="14">
        <f t="shared" si="657"/>
        <v>208</v>
      </c>
      <c r="BR333" s="34" t="e">
        <f>HLOOKUP(J333,Villagers!$B$1:$V$33,L333+3,FALSE)-HLOOKUP(J333,Villagers!$B$1:$V$33,L333+2,FALSE)</f>
        <v>#N/A</v>
      </c>
      <c r="BS333" s="49">
        <f t="shared" si="658"/>
        <v>1</v>
      </c>
      <c r="BT333" s="50">
        <f t="shared" si="659"/>
        <v>0</v>
      </c>
      <c r="BU333" s="50">
        <f t="shared" si="660"/>
        <v>0</v>
      </c>
      <c r="BV333" s="50">
        <f t="shared" si="661"/>
        <v>0</v>
      </c>
      <c r="BW333" s="50">
        <f t="shared" si="750"/>
        <v>0</v>
      </c>
      <c r="BX333" s="50">
        <f t="shared" si="751"/>
        <v>0</v>
      </c>
      <c r="BY333" s="50">
        <f t="shared" si="751"/>
        <v>0</v>
      </c>
      <c r="BZ333" s="50">
        <f t="shared" si="707"/>
        <v>0</v>
      </c>
      <c r="CA333" s="50">
        <f t="shared" si="708"/>
        <v>0</v>
      </c>
      <c r="CB333" s="50">
        <f t="shared" si="709"/>
        <v>1</v>
      </c>
      <c r="CC333" s="50">
        <f t="shared" si="710"/>
        <v>0</v>
      </c>
      <c r="CD333" s="50">
        <f t="shared" si="711"/>
        <v>0</v>
      </c>
      <c r="CE333" s="50">
        <f t="shared" si="712"/>
        <v>1</v>
      </c>
      <c r="CF333" s="50">
        <f t="shared" si="713"/>
        <v>1</v>
      </c>
      <c r="CG333" s="50">
        <f t="shared" si="714"/>
        <v>1</v>
      </c>
      <c r="CH333" s="50">
        <f t="shared" si="715"/>
        <v>1</v>
      </c>
      <c r="CI333" s="50">
        <f t="shared" si="716"/>
        <v>1</v>
      </c>
      <c r="CJ333" s="50">
        <f t="shared" si="717"/>
        <v>1</v>
      </c>
      <c r="CK333" s="50">
        <f t="shared" si="717"/>
        <v>0</v>
      </c>
      <c r="CL333" s="50">
        <f t="shared" si="717"/>
        <v>0</v>
      </c>
      <c r="CM333" s="51">
        <f t="shared" si="760"/>
        <v>0</v>
      </c>
      <c r="CN333" s="33">
        <f>ROUND(IF(BS333=0,0,HLOOKUP(BS$14,Villagers!$B$1:$V$33,BS333+3,FALSE)),)</f>
        <v>5</v>
      </c>
      <c r="CO333" s="14">
        <f>ROUND(IF(BT333=0,0,HLOOKUP(BT$14,Villagers!$B$1:$V$33,BT333+3,FALSE)),)</f>
        <v>0</v>
      </c>
      <c r="CP333" s="14">
        <f>ROUND(IF(BU333=0,0,HLOOKUP(BU$14,Villagers!$B$1:$V$33,BU333+3,FALSE)),)</f>
        <v>0</v>
      </c>
      <c r="CQ333" s="14">
        <f>ROUND(IF(BV333=0,0,HLOOKUP(BV$14,Villagers!$B$1:$V$33,BV333+3,FALSE)),)</f>
        <v>0</v>
      </c>
      <c r="CR333" s="14">
        <f>ROUND(IF(BW333=0,0,HLOOKUP(BW$14,Villagers!$B$1:$V$33,BW333+3,FALSE)),)</f>
        <v>0</v>
      </c>
      <c r="CS333" s="14">
        <f>ROUND(IF(BX333=0,0,HLOOKUP(BX$14,Villagers!$B$1:$V$33,BX333+3,FALSE)),)</f>
        <v>0</v>
      </c>
      <c r="CT333" s="14">
        <f>ROUND(IF(BY333=0,0,HLOOKUP(BY$14,Villagers!$B$1:$V$33,BY333+3,FALSE)),)</f>
        <v>0</v>
      </c>
      <c r="CU333" s="14">
        <f>ROUND(IF(BZ333=0,0,HLOOKUP(BZ$14,Villagers!$B$1:$V$33,BZ333+3,FALSE)),)</f>
        <v>0</v>
      </c>
      <c r="CV333" s="14">
        <f>ROUND(IF(CA333=0,0,HLOOKUP(CA$14,Villagers!$B$1:$V$33,CA333+3,FALSE)),)</f>
        <v>0</v>
      </c>
      <c r="CW333" s="14">
        <f>ROUND(IF(CB333=0,0,HLOOKUP(CB$14,Villagers!$B$1:$V$33,CB333+3,FALSE)),)</f>
        <v>0</v>
      </c>
      <c r="CX333" s="14">
        <f>ROUND(IF(CC333=0,0,HLOOKUP(CC$14,Villagers!$B$1:$V$33,CC333+3,FALSE)),)</f>
        <v>0</v>
      </c>
      <c r="CY333" s="14">
        <f>ROUND(IF(CD333=0,0,HLOOKUP(CD$14,Villagers!$B$1:$V$33,CD333+3,FALSE)),)</f>
        <v>0</v>
      </c>
      <c r="CZ333" s="14">
        <f>ROUND(IF(CE333=0,0,HLOOKUP(CE$14,Villagers!$B$1:$V$33,CE333+3,FALSE)),)</f>
        <v>5</v>
      </c>
      <c r="DA333" s="14">
        <f>ROUND(IF(CF333=0,0,HLOOKUP(CF$14,Villagers!$B$1:$V$33,CF333+3,FALSE)),)</f>
        <v>10</v>
      </c>
      <c r="DB333" s="14">
        <f>ROUND(IF(CG333=0,0,HLOOKUP(CG$14,Villagers!$B$1:$V$33,CG333+3,FALSE)),)</f>
        <v>10</v>
      </c>
      <c r="DC333" s="14">
        <f>ROUND(IF(CH333=0,0,HLOOKUP(CH$14,Villagers!$B$1:$V$33,CH333+3,FALSE)),)</f>
        <v>0</v>
      </c>
      <c r="DD333" s="14">
        <f>ROUND(IF(CI333=0,0,HLOOKUP(CI$14,Villagers!$B$1:$V$33,CI333+3,FALSE)),)</f>
        <v>0</v>
      </c>
      <c r="DE333" s="14">
        <f>ROUND(IF(CJ333=0,0,HLOOKUP(CJ$14,Villagers!$B$1:$V$33,CJ333+3,FALSE)),)</f>
        <v>2</v>
      </c>
      <c r="DF333" s="370">
        <f>ROUND(IF(CK333=0,0,HLOOKUP(CK$14,Villagers!$B$1:$V$33,CK333+3,FALSE)),)</f>
        <v>0</v>
      </c>
      <c r="DG333" s="370">
        <f>ROUND(IF(CL333=0,0,HLOOKUP(CL$14,Villagers!$B$1:$V$33,CL333+3,FALSE)),)</f>
        <v>0</v>
      </c>
      <c r="DH333" s="34">
        <f>ROUND(IF(CM333=0,0,HLOOKUP(CM$14,Villagers!$B$1:$V$33,CM333+3,FALSE)),)</f>
        <v>0</v>
      </c>
      <c r="DI333" s="109">
        <f t="shared" si="679"/>
        <v>0</v>
      </c>
      <c r="DJ333" s="50">
        <f t="shared" si="680"/>
        <v>0</v>
      </c>
      <c r="DK333" s="50">
        <f t="shared" si="681"/>
        <v>0</v>
      </c>
      <c r="DL333" s="50">
        <f t="shared" si="682"/>
        <v>0</v>
      </c>
      <c r="DM333" s="50">
        <f t="shared" si="683"/>
        <v>0</v>
      </c>
      <c r="DN333" s="50">
        <f t="shared" si="684"/>
        <v>0</v>
      </c>
      <c r="DO333" s="50">
        <f t="shared" si="685"/>
        <v>0</v>
      </c>
      <c r="DP333" s="50">
        <f t="shared" si="686"/>
        <v>0</v>
      </c>
      <c r="DQ333" s="50">
        <f t="shared" si="663"/>
        <v>0</v>
      </c>
      <c r="DR333" s="50">
        <f t="shared" si="664"/>
        <v>0</v>
      </c>
      <c r="DS333" s="96">
        <f>Miscelaneous!$D$4*Miscelaneous!$D$2^($CI333-1)</f>
        <v>1000</v>
      </c>
      <c r="DT333" s="333">
        <f t="shared" si="643"/>
        <v>1</v>
      </c>
      <c r="DU333" s="81">
        <v>1</v>
      </c>
      <c r="DV333" s="79">
        <f t="shared" si="665"/>
        <v>0</v>
      </c>
      <c r="DW333" s="79">
        <f t="shared" si="666"/>
        <v>0</v>
      </c>
      <c r="DX333" s="79">
        <f t="shared" si="667"/>
        <v>0</v>
      </c>
      <c r="DY333" s="79">
        <v>1</v>
      </c>
      <c r="DZ333" s="79">
        <f t="shared" si="668"/>
        <v>0</v>
      </c>
      <c r="EA333" s="79">
        <f t="shared" si="669"/>
        <v>0</v>
      </c>
      <c r="EB333" s="79">
        <f t="shared" si="670"/>
        <v>0</v>
      </c>
      <c r="EC333" s="79">
        <f t="shared" si="671"/>
        <v>0</v>
      </c>
      <c r="ED333" s="79">
        <v>1</v>
      </c>
      <c r="EE333" s="79">
        <v>1</v>
      </c>
      <c r="EF333" s="79">
        <f t="shared" si="672"/>
        <v>0</v>
      </c>
      <c r="EG333" s="79">
        <v>1</v>
      </c>
      <c r="EH333" s="79">
        <v>1</v>
      </c>
      <c r="EI333" s="79">
        <v>1</v>
      </c>
      <c r="EJ333" s="79">
        <v>1</v>
      </c>
      <c r="EK333" s="79">
        <v>1</v>
      </c>
      <c r="EL333" s="79">
        <v>1</v>
      </c>
      <c r="EM333" s="143">
        <f t="shared" si="673"/>
        <v>0</v>
      </c>
      <c r="EN333" s="143">
        <f t="shared" si="674"/>
        <v>0</v>
      </c>
      <c r="EO333" s="82">
        <f t="shared" si="675"/>
        <v>0</v>
      </c>
    </row>
    <row r="334" spans="1:145" x14ac:dyDescent="0.25">
      <c r="A334">
        <v>320</v>
      </c>
      <c r="B334" s="172" t="e">
        <f t="shared" si="644"/>
        <v>#N/A</v>
      </c>
      <c r="C334" s="121" t="e">
        <f t="shared" ref="C334:E334" si="776">AJ334-SUM(AB334:AB338)</f>
        <v>#N/A</v>
      </c>
      <c r="D334" s="122" t="e">
        <f t="shared" si="776"/>
        <v>#N/A</v>
      </c>
      <c r="E334" s="122" t="e">
        <f t="shared" si="776"/>
        <v>#N/A</v>
      </c>
      <c r="F334" s="176" t="e">
        <f t="shared" si="626"/>
        <v>#N/A</v>
      </c>
      <c r="G334" s="121">
        <f t="shared" si="646"/>
        <v>208</v>
      </c>
      <c r="H334" s="176" t="e">
        <f t="shared" si="647"/>
        <v>#N/A</v>
      </c>
      <c r="I334" s="48">
        <v>1</v>
      </c>
      <c r="J334" s="39"/>
      <c r="K334" s="350">
        <v>1</v>
      </c>
      <c r="L334" s="34" t="e">
        <f t="shared" si="627"/>
        <v>#N/A</v>
      </c>
      <c r="M334" s="38" t="e">
        <f>(HLOOKUP(J334,'Construction Times'!$B$3:$W$34,L334+2,FALSE)*HLOOKUP("hq modifier",'Construction Times'!$W$3:$W$34,BS334+2,FALSE))*(1-$H$9)</f>
        <v>#N/A</v>
      </c>
      <c r="N334" s="426" t="e">
        <f t="shared" si="648"/>
        <v>#N/A</v>
      </c>
      <c r="O334" s="427"/>
      <c r="P334" s="430" t="e">
        <f t="shared" si="649"/>
        <v>#N/A</v>
      </c>
      <c r="Q334" s="431"/>
      <c r="R334" s="103">
        <f t="shared" si="677"/>
        <v>0</v>
      </c>
      <c r="S334" s="104">
        <f t="shared" si="677"/>
        <v>0</v>
      </c>
      <c r="T334" s="104">
        <f t="shared" si="678"/>
        <v>0</v>
      </c>
      <c r="U334" s="104">
        <f t="shared" si="678"/>
        <v>0</v>
      </c>
      <c r="V334" s="104">
        <f t="shared" si="678"/>
        <v>9.9999999999999995E-8</v>
      </c>
      <c r="W334" s="104">
        <f t="shared" si="678"/>
        <v>0</v>
      </c>
      <c r="X334" s="104">
        <f t="shared" si="737"/>
        <v>0</v>
      </c>
      <c r="Y334" s="104">
        <f t="shared" si="737"/>
        <v>9.9999999999999995E-8</v>
      </c>
      <c r="Z334" s="104">
        <f t="shared" si="737"/>
        <v>9.9999999999999995E-8</v>
      </c>
      <c r="AA334" s="105">
        <f t="shared" si="737"/>
        <v>9.9999999999999995E-8</v>
      </c>
      <c r="AB334" s="101" t="e">
        <f>$DT334*HLOOKUP($J334,'Construction Costs (timber)'!$B$1:$V$32,'Construction Planner'!$L334+2,FALSE)</f>
        <v>#N/A</v>
      </c>
      <c r="AC334" s="14" t="e">
        <f>$DT334*HLOOKUP($J334,'Construction Costs (clay)'!$B$1:$V$32,'Construction Planner'!$L334+2,FALSE)</f>
        <v>#N/A</v>
      </c>
      <c r="AD334" s="14" t="e">
        <f>$DT334*HLOOKUP($J334,'Construction Costs (iron)'!$B$1:$V$32,'Construction Planner'!$L334+2,FALSE)</f>
        <v>#N/A</v>
      </c>
      <c r="AE334" s="34" t="e">
        <f t="shared" si="690"/>
        <v>#N/A</v>
      </c>
      <c r="AF334" s="33" t="e">
        <f t="shared" si="628"/>
        <v>#N/A</v>
      </c>
      <c r="AG334" s="14" t="e">
        <f t="shared" si="629"/>
        <v>#N/A</v>
      </c>
      <c r="AH334" s="14" t="e">
        <f t="shared" si="630"/>
        <v>#N/A</v>
      </c>
      <c r="AI334" s="34" t="e">
        <f t="shared" si="691"/>
        <v>#N/A</v>
      </c>
      <c r="AJ334" s="49" t="e">
        <f t="shared" si="651"/>
        <v>#N/A</v>
      </c>
      <c r="AK334" s="49" t="e">
        <f t="shared" si="652"/>
        <v>#N/A</v>
      </c>
      <c r="AL334" s="49" t="e">
        <f t="shared" si="653"/>
        <v>#N/A</v>
      </c>
      <c r="AM334" s="25">
        <f t="shared" si="631"/>
        <v>30</v>
      </c>
      <c r="AN334" s="25">
        <f t="shared" si="632"/>
        <v>30</v>
      </c>
      <c r="AO334" s="25">
        <f t="shared" si="633"/>
        <v>30</v>
      </c>
      <c r="AP334" s="52" t="e">
        <f t="shared" si="654"/>
        <v>#N/A</v>
      </c>
      <c r="AQ334" s="53" t="e">
        <f t="shared" si="654"/>
        <v>#N/A</v>
      </c>
      <c r="AR334" s="54" t="e">
        <f t="shared" si="654"/>
        <v>#N/A</v>
      </c>
      <c r="AS334" s="316">
        <f t="shared" si="766"/>
        <v>0</v>
      </c>
      <c r="AT334" s="106">
        <f>_xlfn.IFNA($M334/VLOOKUP($BT334,'Unit information'!$A$2:$K$29,2,FALSE)*R334,0)*(1+$E$9)</f>
        <v>0</v>
      </c>
      <c r="AU334" s="107">
        <f>_xlfn.IFNA($M334/VLOOKUP($BT334,'Unit information'!$A$2:$K$29,3,FALSE)*S334,0)*(1+$E$9)</f>
        <v>0</v>
      </c>
      <c r="AV334" s="107">
        <f>_xlfn.IFNA($M334/VLOOKUP($BT334,'Unit information'!$A$2:$K$29,4,FALSE)*T334,0)*(1+$E$9)</f>
        <v>0</v>
      </c>
      <c r="AW334" s="107">
        <f>_xlfn.IFNA($M334/VLOOKUP($BT334,'Unit information'!$A$2:$K$29,5,FALSE)*U334,0)*(1+$E$9)</f>
        <v>0</v>
      </c>
      <c r="AX334" s="107">
        <f>_xlfn.IFNA($M334/VLOOKUP($BU334,'Unit information'!$A$2:$K$29,6,FALSE)*V334,0)*(1+$E$9)</f>
        <v>0</v>
      </c>
      <c r="AY334" s="107">
        <f>_xlfn.IFNA($M334/VLOOKUP($BU334,'Unit information'!$A$2:$K$29,7,FALSE)*W334,0)*(1+$E$9)</f>
        <v>0</v>
      </c>
      <c r="AZ334" s="107">
        <f>_xlfn.IFNA($M334/VLOOKUP($BU334,'Unit information'!$A$2:$K$29,8,FALSE)*X334,0)*(1+$E$9)</f>
        <v>0</v>
      </c>
      <c r="BA334" s="107">
        <f>_xlfn.IFNA($M334/VLOOKUP($BU334,'Unit information'!$A$2:$K$29,9,FALSE)*Y334,0)*(1+$E$9)</f>
        <v>0</v>
      </c>
      <c r="BB334" s="107">
        <f>_xlfn.IFNA($M334/VLOOKUP($BV334,'Unit information'!$A$2:$K$29,10,FALSE)*Z334,0)*(1+$E$9)</f>
        <v>0</v>
      </c>
      <c r="BC334" s="108">
        <f>_xlfn.IFNA($M334/VLOOKUP($BV334,'Unit information'!$A$2:$K$29,11,FALSE)*AA334,0)*(1+$E$9)</f>
        <v>0</v>
      </c>
      <c r="BD334" s="106">
        <f t="shared" si="634"/>
        <v>0</v>
      </c>
      <c r="BE334" s="107">
        <f t="shared" si="635"/>
        <v>0</v>
      </c>
      <c r="BF334" s="108">
        <f t="shared" si="636"/>
        <v>0</v>
      </c>
      <c r="BG334" s="25" t="e">
        <f t="shared" si="637"/>
        <v>#N/A</v>
      </c>
      <c r="BH334" s="25" t="e">
        <f t="shared" si="638"/>
        <v>#N/A</v>
      </c>
      <c r="BI334" s="25" t="e">
        <f t="shared" si="639"/>
        <v>#N/A</v>
      </c>
      <c r="BJ334" s="27" t="e">
        <f t="shared" si="640"/>
        <v>#N/A</v>
      </c>
      <c r="BK334" s="18" t="e">
        <f t="shared" si="641"/>
        <v>#N/A</v>
      </c>
      <c r="BL334" s="18" t="e">
        <f t="shared" si="642"/>
        <v>#N/A</v>
      </c>
      <c r="BM334" s="28" t="e">
        <f t="shared" si="693"/>
        <v>#N/A</v>
      </c>
      <c r="BN334" s="33">
        <f>HLOOKUP("maximum population",Miscelaneous!$C$1:$C$33,CH334+3,FALSE)</f>
        <v>240</v>
      </c>
      <c r="BO334" s="14">
        <f t="shared" si="655"/>
        <v>32</v>
      </c>
      <c r="BP334" s="14">
        <f t="shared" si="656"/>
        <v>0</v>
      </c>
      <c r="BQ334" s="14">
        <f t="shared" si="657"/>
        <v>208</v>
      </c>
      <c r="BR334" s="34" t="e">
        <f>HLOOKUP(J334,Villagers!$B$1:$V$33,L334+3,FALSE)-HLOOKUP(J334,Villagers!$B$1:$V$33,L334+2,FALSE)</f>
        <v>#N/A</v>
      </c>
      <c r="BS334" s="49">
        <f t="shared" si="658"/>
        <v>1</v>
      </c>
      <c r="BT334" s="50">
        <f t="shared" si="659"/>
        <v>0</v>
      </c>
      <c r="BU334" s="50">
        <f t="shared" si="660"/>
        <v>0</v>
      </c>
      <c r="BV334" s="50">
        <f t="shared" si="661"/>
        <v>0</v>
      </c>
      <c r="BW334" s="50">
        <f t="shared" si="750"/>
        <v>0</v>
      </c>
      <c r="BX334" s="50">
        <f t="shared" si="751"/>
        <v>0</v>
      </c>
      <c r="BY334" s="50">
        <f t="shared" si="751"/>
        <v>0</v>
      </c>
      <c r="BZ334" s="50">
        <f t="shared" si="707"/>
        <v>0</v>
      </c>
      <c r="CA334" s="50">
        <f t="shared" si="708"/>
        <v>0</v>
      </c>
      <c r="CB334" s="50">
        <f t="shared" si="709"/>
        <v>1</v>
      </c>
      <c r="CC334" s="50">
        <f t="shared" si="710"/>
        <v>0</v>
      </c>
      <c r="CD334" s="50">
        <f t="shared" si="711"/>
        <v>0</v>
      </c>
      <c r="CE334" s="50">
        <f t="shared" si="712"/>
        <v>1</v>
      </c>
      <c r="CF334" s="50">
        <f t="shared" si="713"/>
        <v>1</v>
      </c>
      <c r="CG334" s="50">
        <f t="shared" si="714"/>
        <v>1</v>
      </c>
      <c r="CH334" s="50">
        <f t="shared" si="715"/>
        <v>1</v>
      </c>
      <c r="CI334" s="50">
        <f t="shared" si="716"/>
        <v>1</v>
      </c>
      <c r="CJ334" s="50">
        <f t="shared" si="717"/>
        <v>1</v>
      </c>
      <c r="CK334" s="50">
        <f t="shared" si="717"/>
        <v>0</v>
      </c>
      <c r="CL334" s="50">
        <f t="shared" si="717"/>
        <v>0</v>
      </c>
      <c r="CM334" s="51">
        <f t="shared" si="760"/>
        <v>0</v>
      </c>
      <c r="CN334" s="33">
        <f>ROUND(IF(BS334=0,0,HLOOKUP(BS$14,Villagers!$B$1:$V$33,BS334+3,FALSE)),)</f>
        <v>5</v>
      </c>
      <c r="CO334" s="14">
        <f>ROUND(IF(BT334=0,0,HLOOKUP(BT$14,Villagers!$B$1:$V$33,BT334+3,FALSE)),)</f>
        <v>0</v>
      </c>
      <c r="CP334" s="14">
        <f>ROUND(IF(BU334=0,0,HLOOKUP(BU$14,Villagers!$B$1:$V$33,BU334+3,FALSE)),)</f>
        <v>0</v>
      </c>
      <c r="CQ334" s="14">
        <f>ROUND(IF(BV334=0,0,HLOOKUP(BV$14,Villagers!$B$1:$V$33,BV334+3,FALSE)),)</f>
        <v>0</v>
      </c>
      <c r="CR334" s="14">
        <f>ROUND(IF(BW334=0,0,HLOOKUP(BW$14,Villagers!$B$1:$V$33,BW334+3,FALSE)),)</f>
        <v>0</v>
      </c>
      <c r="CS334" s="14">
        <f>ROUND(IF(BX334=0,0,HLOOKUP(BX$14,Villagers!$B$1:$V$33,BX334+3,FALSE)),)</f>
        <v>0</v>
      </c>
      <c r="CT334" s="14">
        <f>ROUND(IF(BY334=0,0,HLOOKUP(BY$14,Villagers!$B$1:$V$33,BY334+3,FALSE)),)</f>
        <v>0</v>
      </c>
      <c r="CU334" s="14">
        <f>ROUND(IF(BZ334=0,0,HLOOKUP(BZ$14,Villagers!$B$1:$V$33,BZ334+3,FALSE)),)</f>
        <v>0</v>
      </c>
      <c r="CV334" s="14">
        <f>ROUND(IF(CA334=0,0,HLOOKUP(CA$14,Villagers!$B$1:$V$33,CA334+3,FALSE)),)</f>
        <v>0</v>
      </c>
      <c r="CW334" s="14">
        <f>ROUND(IF(CB334=0,0,HLOOKUP(CB$14,Villagers!$B$1:$V$33,CB334+3,FALSE)),)</f>
        <v>0</v>
      </c>
      <c r="CX334" s="14">
        <f>ROUND(IF(CC334=0,0,HLOOKUP(CC$14,Villagers!$B$1:$V$33,CC334+3,FALSE)),)</f>
        <v>0</v>
      </c>
      <c r="CY334" s="14">
        <f>ROUND(IF(CD334=0,0,HLOOKUP(CD$14,Villagers!$B$1:$V$33,CD334+3,FALSE)),)</f>
        <v>0</v>
      </c>
      <c r="CZ334" s="14">
        <f>ROUND(IF(CE334=0,0,HLOOKUP(CE$14,Villagers!$B$1:$V$33,CE334+3,FALSE)),)</f>
        <v>5</v>
      </c>
      <c r="DA334" s="14">
        <f>ROUND(IF(CF334=0,0,HLOOKUP(CF$14,Villagers!$B$1:$V$33,CF334+3,FALSE)),)</f>
        <v>10</v>
      </c>
      <c r="DB334" s="14">
        <f>ROUND(IF(CG334=0,0,HLOOKUP(CG$14,Villagers!$B$1:$V$33,CG334+3,FALSE)),)</f>
        <v>10</v>
      </c>
      <c r="DC334" s="14">
        <f>ROUND(IF(CH334=0,0,HLOOKUP(CH$14,Villagers!$B$1:$V$33,CH334+3,FALSE)),)</f>
        <v>0</v>
      </c>
      <c r="DD334" s="14">
        <f>ROUND(IF(CI334=0,0,HLOOKUP(CI$14,Villagers!$B$1:$V$33,CI334+3,FALSE)),)</f>
        <v>0</v>
      </c>
      <c r="DE334" s="14">
        <f>ROUND(IF(CJ334=0,0,HLOOKUP(CJ$14,Villagers!$B$1:$V$33,CJ334+3,FALSE)),)</f>
        <v>2</v>
      </c>
      <c r="DF334" s="370">
        <f>ROUND(IF(CK334=0,0,HLOOKUP(CK$14,Villagers!$B$1:$V$33,CK334+3,FALSE)),)</f>
        <v>0</v>
      </c>
      <c r="DG334" s="370">
        <f>ROUND(IF(CL334=0,0,HLOOKUP(CL$14,Villagers!$B$1:$V$33,CL334+3,FALSE)),)</f>
        <v>0</v>
      </c>
      <c r="DH334" s="34">
        <f>ROUND(IF(CM334=0,0,HLOOKUP(CM$14,Villagers!$B$1:$V$33,CM334+3,FALSE)),)</f>
        <v>0</v>
      </c>
      <c r="DI334" s="109">
        <f t="shared" si="679"/>
        <v>0</v>
      </c>
      <c r="DJ334" s="50">
        <f t="shared" si="680"/>
        <v>0</v>
      </c>
      <c r="DK334" s="50">
        <f t="shared" si="681"/>
        <v>0</v>
      </c>
      <c r="DL334" s="50">
        <f t="shared" si="682"/>
        <v>0</v>
      </c>
      <c r="DM334" s="50">
        <f t="shared" si="683"/>
        <v>0</v>
      </c>
      <c r="DN334" s="50">
        <f t="shared" si="684"/>
        <v>0</v>
      </c>
      <c r="DO334" s="50">
        <f t="shared" si="685"/>
        <v>0</v>
      </c>
      <c r="DP334" s="50">
        <f t="shared" si="686"/>
        <v>0</v>
      </c>
      <c r="DQ334" s="50">
        <f t="shared" si="663"/>
        <v>0</v>
      </c>
      <c r="DR334" s="50">
        <f t="shared" si="664"/>
        <v>0</v>
      </c>
      <c r="DS334" s="96">
        <f>Miscelaneous!$D$4*Miscelaneous!$D$2^($CI334-1)</f>
        <v>1000</v>
      </c>
      <c r="DT334" s="333">
        <f t="shared" si="643"/>
        <v>1</v>
      </c>
      <c r="DU334" s="81">
        <v>1</v>
      </c>
      <c r="DV334" s="79">
        <f t="shared" si="665"/>
        <v>0</v>
      </c>
      <c r="DW334" s="79">
        <f t="shared" si="666"/>
        <v>0</v>
      </c>
      <c r="DX334" s="79">
        <f t="shared" si="667"/>
        <v>0</v>
      </c>
      <c r="DY334" s="79">
        <v>1</v>
      </c>
      <c r="DZ334" s="79">
        <f t="shared" si="668"/>
        <v>0</v>
      </c>
      <c r="EA334" s="79">
        <f t="shared" si="669"/>
        <v>0</v>
      </c>
      <c r="EB334" s="79">
        <f t="shared" si="670"/>
        <v>0</v>
      </c>
      <c r="EC334" s="79">
        <f t="shared" si="671"/>
        <v>0</v>
      </c>
      <c r="ED334" s="79">
        <v>1</v>
      </c>
      <c r="EE334" s="79">
        <v>1</v>
      </c>
      <c r="EF334" s="79">
        <f t="shared" si="672"/>
        <v>0</v>
      </c>
      <c r="EG334" s="79">
        <v>1</v>
      </c>
      <c r="EH334" s="79">
        <v>1</v>
      </c>
      <c r="EI334" s="79">
        <v>1</v>
      </c>
      <c r="EJ334" s="79">
        <v>1</v>
      </c>
      <c r="EK334" s="79">
        <v>1</v>
      </c>
      <c r="EL334" s="79">
        <v>1</v>
      </c>
      <c r="EM334" s="143">
        <f t="shared" si="673"/>
        <v>0</v>
      </c>
      <c r="EN334" s="143">
        <f t="shared" si="674"/>
        <v>0</v>
      </c>
      <c r="EO334" s="82">
        <f t="shared" si="675"/>
        <v>0</v>
      </c>
    </row>
    <row r="335" spans="1:145" x14ac:dyDescent="0.25">
      <c r="A335">
        <v>321</v>
      </c>
      <c r="B335" s="172" t="e">
        <f t="shared" si="644"/>
        <v>#N/A</v>
      </c>
      <c r="C335" s="121" t="e">
        <f t="shared" ref="C335:E335" si="777">AJ335-SUM(AB335:AB339)</f>
        <v>#N/A</v>
      </c>
      <c r="D335" s="122" t="e">
        <f t="shared" si="777"/>
        <v>#N/A</v>
      </c>
      <c r="E335" s="122" t="e">
        <f t="shared" si="777"/>
        <v>#N/A</v>
      </c>
      <c r="F335" s="176" t="e">
        <f t="shared" ref="F335:F398" si="778">IF(AND(MAX(C335:E335)&gt;0,DS335-MAX(C335:E335)&lt;DS335),DS335-MAX(C335:E335),DS335)</f>
        <v>#N/A</v>
      </c>
      <c r="G335" s="121">
        <f t="shared" si="646"/>
        <v>208</v>
      </c>
      <c r="H335" s="176" t="e">
        <f t="shared" si="647"/>
        <v>#N/A</v>
      </c>
      <c r="I335" s="48">
        <v>1</v>
      </c>
      <c r="J335" s="39"/>
      <c r="K335" s="350">
        <v>1</v>
      </c>
      <c r="L335" s="34" t="e">
        <f t="shared" ref="L335:L398" si="779">HLOOKUP(J335,$BS$14:$CM$508,A336,FALSE)+K335</f>
        <v>#N/A</v>
      </c>
      <c r="M335" s="38" t="e">
        <f>(HLOOKUP(J335,'Construction Times'!$B$3:$W$34,L335+2,FALSE)*HLOOKUP("hq modifier",'Construction Times'!$W$3:$W$34,BS335+2,FALSE))*(1-$H$9)</f>
        <v>#N/A</v>
      </c>
      <c r="N335" s="426" t="e">
        <f t="shared" si="648"/>
        <v>#N/A</v>
      </c>
      <c r="O335" s="427"/>
      <c r="P335" s="430" t="e">
        <f t="shared" si="649"/>
        <v>#N/A</v>
      </c>
      <c r="Q335" s="431"/>
      <c r="R335" s="103">
        <f t="shared" si="677"/>
        <v>0</v>
      </c>
      <c r="S335" s="104">
        <f t="shared" si="677"/>
        <v>0</v>
      </c>
      <c r="T335" s="104">
        <f t="shared" si="678"/>
        <v>0</v>
      </c>
      <c r="U335" s="104">
        <f t="shared" si="678"/>
        <v>0</v>
      </c>
      <c r="V335" s="104">
        <f t="shared" si="678"/>
        <v>9.9999999999999995E-8</v>
      </c>
      <c r="W335" s="104">
        <f t="shared" si="678"/>
        <v>0</v>
      </c>
      <c r="X335" s="104">
        <f t="shared" si="737"/>
        <v>0</v>
      </c>
      <c r="Y335" s="104">
        <f t="shared" si="737"/>
        <v>9.9999999999999995E-8</v>
      </c>
      <c r="Z335" s="104">
        <f t="shared" si="737"/>
        <v>9.9999999999999995E-8</v>
      </c>
      <c r="AA335" s="105">
        <f t="shared" si="737"/>
        <v>9.9999999999999995E-8</v>
      </c>
      <c r="AB335" s="101" t="e">
        <f>$DT335*HLOOKUP($J335,'Construction Costs (timber)'!$B$1:$V$32,'Construction Planner'!$L335+2,FALSE)</f>
        <v>#N/A</v>
      </c>
      <c r="AC335" s="14" t="e">
        <f>$DT335*HLOOKUP($J335,'Construction Costs (clay)'!$B$1:$V$32,'Construction Planner'!$L335+2,FALSE)</f>
        <v>#N/A</v>
      </c>
      <c r="AD335" s="14" t="e">
        <f>$DT335*HLOOKUP($J335,'Construction Costs (iron)'!$B$1:$V$32,'Construction Planner'!$L335+2,FALSE)</f>
        <v>#N/A</v>
      </c>
      <c r="AE335" s="34" t="e">
        <f t="shared" si="690"/>
        <v>#N/A</v>
      </c>
      <c r="AF335" s="33" t="e">
        <f t="shared" ref="AF335:AF398" si="780">AB335*($AH$3/$M335)</f>
        <v>#N/A</v>
      </c>
      <c r="AG335" s="14" t="e">
        <f t="shared" ref="AG335:AG398" si="781">AC335*($AH$3/$M335)</f>
        <v>#N/A</v>
      </c>
      <c r="AH335" s="14" t="e">
        <f t="shared" ref="AH335:AH398" si="782">AD335*($AH$3/$M335)</f>
        <v>#N/A</v>
      </c>
      <c r="AI335" s="34" t="e">
        <f t="shared" si="691"/>
        <v>#N/A</v>
      </c>
      <c r="AJ335" s="49" t="e">
        <f t="shared" si="651"/>
        <v>#N/A</v>
      </c>
      <c r="AK335" s="49" t="e">
        <f t="shared" si="652"/>
        <v>#N/A</v>
      </c>
      <c r="AL335" s="49" t="e">
        <f t="shared" si="653"/>
        <v>#N/A</v>
      </c>
      <c r="AM335" s="25">
        <f t="shared" ref="AM335:AM398" si="783">IF(CE335 = 0,$E$3*5,$E$3*30*1.163118^(CE335-1))*(1+$B$10)</f>
        <v>30</v>
      </c>
      <c r="AN335" s="25">
        <f t="shared" ref="AN335:AN398" si="784">IF(CF335 = 0,$E$3*5,$E$3*30*1.163118^(CF335-1))*(1+$B$10)</f>
        <v>30</v>
      </c>
      <c r="AO335" s="25">
        <f t="shared" ref="AO335:AO398" si="785">IF(CG335 = 0,$E$3*5,$E$3*30*1.163118^(CG335-1))*(1+$B$10)</f>
        <v>30</v>
      </c>
      <c r="AP335" s="52" t="e">
        <f t="shared" si="654"/>
        <v>#N/A</v>
      </c>
      <c r="AQ335" s="53" t="e">
        <f t="shared" si="654"/>
        <v>#N/A</v>
      </c>
      <c r="AR335" s="54" t="e">
        <f t="shared" si="654"/>
        <v>#N/A</v>
      </c>
      <c r="AS335" s="316">
        <f t="shared" si="766"/>
        <v>0</v>
      </c>
      <c r="AT335" s="106">
        <f>_xlfn.IFNA($M335/VLOOKUP($BT335,'Unit information'!$A$2:$K$29,2,FALSE)*R335,0)*(1+$E$9)</f>
        <v>0</v>
      </c>
      <c r="AU335" s="107">
        <f>_xlfn.IFNA($M335/VLOOKUP($BT335,'Unit information'!$A$2:$K$29,3,FALSE)*S335,0)*(1+$E$9)</f>
        <v>0</v>
      </c>
      <c r="AV335" s="107">
        <f>_xlfn.IFNA($M335/VLOOKUP($BT335,'Unit information'!$A$2:$K$29,4,FALSE)*T335,0)*(1+$E$9)</f>
        <v>0</v>
      </c>
      <c r="AW335" s="107">
        <f>_xlfn.IFNA($M335/VLOOKUP($BT335,'Unit information'!$A$2:$K$29,5,FALSE)*U335,0)*(1+$E$9)</f>
        <v>0</v>
      </c>
      <c r="AX335" s="107">
        <f>_xlfn.IFNA($M335/VLOOKUP($BU335,'Unit information'!$A$2:$K$29,6,FALSE)*V335,0)*(1+$E$9)</f>
        <v>0</v>
      </c>
      <c r="AY335" s="107">
        <f>_xlfn.IFNA($M335/VLOOKUP($BU335,'Unit information'!$A$2:$K$29,7,FALSE)*W335,0)*(1+$E$9)</f>
        <v>0</v>
      </c>
      <c r="AZ335" s="107">
        <f>_xlfn.IFNA($M335/VLOOKUP($BU335,'Unit information'!$A$2:$K$29,8,FALSE)*X335,0)*(1+$E$9)</f>
        <v>0</v>
      </c>
      <c r="BA335" s="107">
        <f>_xlfn.IFNA($M335/VLOOKUP($BU335,'Unit information'!$A$2:$K$29,9,FALSE)*Y335,0)*(1+$E$9)</f>
        <v>0</v>
      </c>
      <c r="BB335" s="107">
        <f>_xlfn.IFNA($M335/VLOOKUP($BV335,'Unit information'!$A$2:$K$29,10,FALSE)*Z335,0)*(1+$E$9)</f>
        <v>0</v>
      </c>
      <c r="BC335" s="108">
        <f>_xlfn.IFNA($M335/VLOOKUP($BV335,'Unit information'!$A$2:$K$29,11,FALSE)*AA335,0)*(1+$E$9)</f>
        <v>0</v>
      </c>
      <c r="BD335" s="106">
        <f t="shared" ref="BD335:BD398" si="786">$AT335*50+$AU335*30+$AV335*60+$AX335*50+$AY335*125+$BA335*200+$BB335*300+$BC335*320</f>
        <v>0</v>
      </c>
      <c r="BE335" s="107">
        <f t="shared" ref="BE335:BE398" si="787">$AT335*30+$AU335*30+$AV335*30+$AX335*50+$AY335*100+$BA335*150+$BB335*200+$BC335*400</f>
        <v>0</v>
      </c>
      <c r="BF335" s="108">
        <f t="shared" ref="BF335:BF398" si="788">$AT335*10+$AU335*70+$AV335*40+$AX335*20+$AY335*250+$BA335*600+$BB335*200+$BC335*100</f>
        <v>0</v>
      </c>
      <c r="BG335" s="25" t="e">
        <f t="shared" ref="BG335:BG398" si="789">AM335+AP335</f>
        <v>#N/A</v>
      </c>
      <c r="BH335" s="25" t="e">
        <f t="shared" ref="BH335:BH398" si="790">AN335+AQ335</f>
        <v>#N/A</v>
      </c>
      <c r="BI335" s="25" t="e">
        <f t="shared" ref="BI335:BI398" si="791">AO335+AR335</f>
        <v>#N/A</v>
      </c>
      <c r="BJ335" s="27" t="e">
        <f t="shared" ref="BJ335:BJ398" si="792">IF(AJ335&gt;AB335,0,(AB335-AJ335)/BG335*$AK$3)</f>
        <v>#N/A</v>
      </c>
      <c r="BK335" s="18" t="e">
        <f t="shared" ref="BK335:BK398" si="793">IF(AK335&gt;AC335,0,(AC335-AK335)/BH335*$AK$3)</f>
        <v>#N/A</v>
      </c>
      <c r="BL335" s="18" t="e">
        <f t="shared" ref="BL335:BL398" si="794">IF(AL335&gt;AD335,0,(AD335-AL335)/BI335*$AK$3)</f>
        <v>#N/A</v>
      </c>
      <c r="BM335" s="28" t="e">
        <f t="shared" si="693"/>
        <v>#N/A</v>
      </c>
      <c r="BN335" s="33">
        <f>HLOOKUP("maximum population",Miscelaneous!$C$1:$C$33,CH335+3,FALSE)</f>
        <v>240</v>
      </c>
      <c r="BO335" s="14">
        <f t="shared" si="655"/>
        <v>32</v>
      </c>
      <c r="BP335" s="14">
        <f t="shared" si="656"/>
        <v>0</v>
      </c>
      <c r="BQ335" s="14">
        <f t="shared" si="657"/>
        <v>208</v>
      </c>
      <c r="BR335" s="34" t="e">
        <f>HLOOKUP(J335,Villagers!$B$1:$V$33,L335+3,FALSE)-HLOOKUP(J335,Villagers!$B$1:$V$33,L335+2,FALSE)</f>
        <v>#N/A</v>
      </c>
      <c r="BS335" s="49">
        <f t="shared" si="658"/>
        <v>1</v>
      </c>
      <c r="BT335" s="50">
        <f t="shared" si="659"/>
        <v>0</v>
      </c>
      <c r="BU335" s="50">
        <f t="shared" si="660"/>
        <v>0</v>
      </c>
      <c r="BV335" s="50">
        <f t="shared" si="661"/>
        <v>0</v>
      </c>
      <c r="BW335" s="50">
        <f t="shared" si="750"/>
        <v>0</v>
      </c>
      <c r="BX335" s="50">
        <f t="shared" si="751"/>
        <v>0</v>
      </c>
      <c r="BY335" s="50">
        <f t="shared" si="751"/>
        <v>0</v>
      </c>
      <c r="BZ335" s="50">
        <f t="shared" si="707"/>
        <v>0</v>
      </c>
      <c r="CA335" s="50">
        <f t="shared" si="708"/>
        <v>0</v>
      </c>
      <c r="CB335" s="50">
        <f t="shared" si="709"/>
        <v>1</v>
      </c>
      <c r="CC335" s="50">
        <f t="shared" si="710"/>
        <v>0</v>
      </c>
      <c r="CD335" s="50">
        <f t="shared" si="711"/>
        <v>0</v>
      </c>
      <c r="CE335" s="50">
        <f t="shared" si="712"/>
        <v>1</v>
      </c>
      <c r="CF335" s="50">
        <f t="shared" si="713"/>
        <v>1</v>
      </c>
      <c r="CG335" s="50">
        <f t="shared" si="714"/>
        <v>1</v>
      </c>
      <c r="CH335" s="50">
        <f t="shared" si="715"/>
        <v>1</v>
      </c>
      <c r="CI335" s="50">
        <f t="shared" si="716"/>
        <v>1</v>
      </c>
      <c r="CJ335" s="50">
        <f t="shared" si="717"/>
        <v>1</v>
      </c>
      <c r="CK335" s="50">
        <f t="shared" si="717"/>
        <v>0</v>
      </c>
      <c r="CL335" s="50">
        <f t="shared" si="717"/>
        <v>0</v>
      </c>
      <c r="CM335" s="51">
        <f t="shared" ref="CM335:CM398" si="795">IF($J334=CM$14,$L334,CM334)</f>
        <v>0</v>
      </c>
      <c r="CN335" s="33">
        <f>ROUND(IF(BS335=0,0,HLOOKUP(BS$14,Villagers!$B$1:$V$33,BS335+3,FALSE)),)</f>
        <v>5</v>
      </c>
      <c r="CO335" s="14">
        <f>ROUND(IF(BT335=0,0,HLOOKUP(BT$14,Villagers!$B$1:$V$33,BT335+3,FALSE)),)</f>
        <v>0</v>
      </c>
      <c r="CP335" s="14">
        <f>ROUND(IF(BU335=0,0,HLOOKUP(BU$14,Villagers!$B$1:$V$33,BU335+3,FALSE)),)</f>
        <v>0</v>
      </c>
      <c r="CQ335" s="14">
        <f>ROUND(IF(BV335=0,0,HLOOKUP(BV$14,Villagers!$B$1:$V$33,BV335+3,FALSE)),)</f>
        <v>0</v>
      </c>
      <c r="CR335" s="14">
        <f>ROUND(IF(BW335=0,0,HLOOKUP(BW$14,Villagers!$B$1:$V$33,BW335+3,FALSE)),)</f>
        <v>0</v>
      </c>
      <c r="CS335" s="14">
        <f>ROUND(IF(BX335=0,0,HLOOKUP(BX$14,Villagers!$B$1:$V$33,BX335+3,FALSE)),)</f>
        <v>0</v>
      </c>
      <c r="CT335" s="14">
        <f>ROUND(IF(BY335=0,0,HLOOKUP(BY$14,Villagers!$B$1:$V$33,BY335+3,FALSE)),)</f>
        <v>0</v>
      </c>
      <c r="CU335" s="14">
        <f>ROUND(IF(BZ335=0,0,HLOOKUP(BZ$14,Villagers!$B$1:$V$33,BZ335+3,FALSE)),)</f>
        <v>0</v>
      </c>
      <c r="CV335" s="14">
        <f>ROUND(IF(CA335=0,0,HLOOKUP(CA$14,Villagers!$B$1:$V$33,CA335+3,FALSE)),)</f>
        <v>0</v>
      </c>
      <c r="CW335" s="14">
        <f>ROUND(IF(CB335=0,0,HLOOKUP(CB$14,Villagers!$B$1:$V$33,CB335+3,FALSE)),)</f>
        <v>0</v>
      </c>
      <c r="CX335" s="14">
        <f>ROUND(IF(CC335=0,0,HLOOKUP(CC$14,Villagers!$B$1:$V$33,CC335+3,FALSE)),)</f>
        <v>0</v>
      </c>
      <c r="CY335" s="14">
        <f>ROUND(IF(CD335=0,0,HLOOKUP(CD$14,Villagers!$B$1:$V$33,CD335+3,FALSE)),)</f>
        <v>0</v>
      </c>
      <c r="CZ335" s="14">
        <f>ROUND(IF(CE335=0,0,HLOOKUP(CE$14,Villagers!$B$1:$V$33,CE335+3,FALSE)),)</f>
        <v>5</v>
      </c>
      <c r="DA335" s="14">
        <f>ROUND(IF(CF335=0,0,HLOOKUP(CF$14,Villagers!$B$1:$V$33,CF335+3,FALSE)),)</f>
        <v>10</v>
      </c>
      <c r="DB335" s="14">
        <f>ROUND(IF(CG335=0,0,HLOOKUP(CG$14,Villagers!$B$1:$V$33,CG335+3,FALSE)),)</f>
        <v>10</v>
      </c>
      <c r="DC335" s="14">
        <f>ROUND(IF(CH335=0,0,HLOOKUP(CH$14,Villagers!$B$1:$V$33,CH335+3,FALSE)),)</f>
        <v>0</v>
      </c>
      <c r="DD335" s="14">
        <f>ROUND(IF(CI335=0,0,HLOOKUP(CI$14,Villagers!$B$1:$V$33,CI335+3,FALSE)),)</f>
        <v>0</v>
      </c>
      <c r="DE335" s="14">
        <f>ROUND(IF(CJ335=0,0,HLOOKUP(CJ$14,Villagers!$B$1:$V$33,CJ335+3,FALSE)),)</f>
        <v>2</v>
      </c>
      <c r="DF335" s="370">
        <f>ROUND(IF(CK335=0,0,HLOOKUP(CK$14,Villagers!$B$1:$V$33,CK335+3,FALSE)),)</f>
        <v>0</v>
      </c>
      <c r="DG335" s="370">
        <f>ROUND(IF(CL335=0,0,HLOOKUP(CL$14,Villagers!$B$1:$V$33,CL335+3,FALSE)),)</f>
        <v>0</v>
      </c>
      <c r="DH335" s="34">
        <f>ROUND(IF(CM335=0,0,HLOOKUP(CM$14,Villagers!$B$1:$V$33,CM335+3,FALSE)),)</f>
        <v>0</v>
      </c>
      <c r="DI335" s="109">
        <f t="shared" si="679"/>
        <v>0</v>
      </c>
      <c r="DJ335" s="50">
        <f t="shared" si="680"/>
        <v>0</v>
      </c>
      <c r="DK335" s="50">
        <f t="shared" si="681"/>
        <v>0</v>
      </c>
      <c r="DL335" s="50">
        <f t="shared" si="682"/>
        <v>0</v>
      </c>
      <c r="DM335" s="50">
        <f t="shared" si="683"/>
        <v>0</v>
      </c>
      <c r="DN335" s="50">
        <f t="shared" si="684"/>
        <v>0</v>
      </c>
      <c r="DO335" s="50">
        <f t="shared" si="685"/>
        <v>0</v>
      </c>
      <c r="DP335" s="50">
        <f t="shared" si="686"/>
        <v>0</v>
      </c>
      <c r="DQ335" s="50">
        <f t="shared" si="663"/>
        <v>0</v>
      </c>
      <c r="DR335" s="50">
        <f t="shared" si="664"/>
        <v>0</v>
      </c>
      <c r="DS335" s="96">
        <f>Miscelaneous!$D$4*Miscelaneous!$D$2^($CI335-1)</f>
        <v>1000</v>
      </c>
      <c r="DT335" s="333">
        <f t="shared" ref="DT335:DT398" si="796">IF(I335&lt;3,1,1.125^(I335-3))</f>
        <v>1</v>
      </c>
      <c r="DU335" s="81">
        <v>1</v>
      </c>
      <c r="DV335" s="79">
        <f t="shared" si="665"/>
        <v>0</v>
      </c>
      <c r="DW335" s="79">
        <f t="shared" si="666"/>
        <v>0</v>
      </c>
      <c r="DX335" s="79">
        <f t="shared" si="667"/>
        <v>0</v>
      </c>
      <c r="DY335" s="79">
        <v>1</v>
      </c>
      <c r="DZ335" s="79">
        <f t="shared" si="668"/>
        <v>0</v>
      </c>
      <c r="EA335" s="79">
        <f t="shared" si="669"/>
        <v>0</v>
      </c>
      <c r="EB335" s="79">
        <f t="shared" si="670"/>
        <v>0</v>
      </c>
      <c r="EC335" s="79">
        <f t="shared" si="671"/>
        <v>0</v>
      </c>
      <c r="ED335" s="79">
        <v>1</v>
      </c>
      <c r="EE335" s="79">
        <v>1</v>
      </c>
      <c r="EF335" s="79">
        <f t="shared" si="672"/>
        <v>0</v>
      </c>
      <c r="EG335" s="79">
        <v>1</v>
      </c>
      <c r="EH335" s="79">
        <v>1</v>
      </c>
      <c r="EI335" s="79">
        <v>1</v>
      </c>
      <c r="EJ335" s="79">
        <v>1</v>
      </c>
      <c r="EK335" s="79">
        <v>1</v>
      </c>
      <c r="EL335" s="79">
        <v>1</v>
      </c>
      <c r="EM335" s="143">
        <f t="shared" si="673"/>
        <v>0</v>
      </c>
      <c r="EN335" s="143">
        <f t="shared" si="674"/>
        <v>0</v>
      </c>
      <c r="EO335" s="82">
        <f t="shared" si="675"/>
        <v>0</v>
      </c>
    </row>
    <row r="336" spans="1:145" x14ac:dyDescent="0.25">
      <c r="A336">
        <v>322</v>
      </c>
      <c r="B336" s="172" t="e">
        <f t="shared" ref="B336:B399" si="797">BM336</f>
        <v>#N/A</v>
      </c>
      <c r="C336" s="121" t="e">
        <f t="shared" ref="C336:E336" si="798">AJ336-SUM(AB336:AB340)</f>
        <v>#N/A</v>
      </c>
      <c r="D336" s="122" t="e">
        <f t="shared" si="798"/>
        <v>#N/A</v>
      </c>
      <c r="E336" s="122" t="e">
        <f t="shared" si="798"/>
        <v>#N/A</v>
      </c>
      <c r="F336" s="176" t="e">
        <f t="shared" si="778"/>
        <v>#N/A</v>
      </c>
      <c r="G336" s="121">
        <f t="shared" ref="G336:G399" si="799">BQ336</f>
        <v>208</v>
      </c>
      <c r="H336" s="176" t="e">
        <f t="shared" ref="H336:H399" si="800">BQ336-SUM(BR336:BR340)</f>
        <v>#N/A</v>
      </c>
      <c r="I336" s="48">
        <v>1</v>
      </c>
      <c r="J336" s="39"/>
      <c r="K336" s="350">
        <v>1</v>
      </c>
      <c r="L336" s="34" t="e">
        <f t="shared" si="779"/>
        <v>#N/A</v>
      </c>
      <c r="M336" s="38" t="e">
        <f>(HLOOKUP(J336,'Construction Times'!$B$3:$W$34,L336+2,FALSE)*HLOOKUP("hq modifier",'Construction Times'!$W$3:$W$34,BS336+2,FALSE))*(1-$H$9)</f>
        <v>#N/A</v>
      </c>
      <c r="N336" s="426" t="e">
        <f t="shared" ref="N336:N399" si="801">P335+M335</f>
        <v>#N/A</v>
      </c>
      <c r="O336" s="427"/>
      <c r="P336" s="430" t="e">
        <f t="shared" ref="P336:P399" si="802">IF(MAX(AB336:AD336)&gt;DS336,"Speicher zu klein",IF(HLOOKUP(J336,$DU$14:$EO$509,A336+2,FALSE)=0,"Gebäude Vor. nicht erfüllt",N336+BM336))</f>
        <v>#N/A</v>
      </c>
      <c r="Q336" s="431"/>
      <c r="R336" s="103">
        <f t="shared" si="677"/>
        <v>0</v>
      </c>
      <c r="S336" s="104">
        <f t="shared" si="677"/>
        <v>0</v>
      </c>
      <c r="T336" s="104">
        <f t="shared" si="678"/>
        <v>0</v>
      </c>
      <c r="U336" s="104">
        <f t="shared" si="678"/>
        <v>0</v>
      </c>
      <c r="V336" s="104">
        <f t="shared" si="678"/>
        <v>9.9999999999999995E-8</v>
      </c>
      <c r="W336" s="104">
        <f t="shared" ref="W336" si="803">W335</f>
        <v>0</v>
      </c>
      <c r="X336" s="104">
        <f t="shared" si="737"/>
        <v>0</v>
      </c>
      <c r="Y336" s="104">
        <f t="shared" si="737"/>
        <v>9.9999999999999995E-8</v>
      </c>
      <c r="Z336" s="104">
        <f t="shared" si="737"/>
        <v>9.9999999999999995E-8</v>
      </c>
      <c r="AA336" s="105">
        <f t="shared" si="737"/>
        <v>9.9999999999999995E-8</v>
      </c>
      <c r="AB336" s="101" t="e">
        <f>$DT336*HLOOKUP($J336,'Construction Costs (timber)'!$B$1:$V$32,'Construction Planner'!$L336+2,FALSE)</f>
        <v>#N/A</v>
      </c>
      <c r="AC336" s="14" t="e">
        <f>$DT336*HLOOKUP($J336,'Construction Costs (clay)'!$B$1:$V$32,'Construction Planner'!$L336+2,FALSE)</f>
        <v>#N/A</v>
      </c>
      <c r="AD336" s="14" t="e">
        <f>$DT336*HLOOKUP($J336,'Construction Costs (iron)'!$B$1:$V$32,'Construction Planner'!$L336+2,FALSE)</f>
        <v>#N/A</v>
      </c>
      <c r="AE336" s="34" t="e">
        <f t="shared" si="690"/>
        <v>#N/A</v>
      </c>
      <c r="AF336" s="33" t="e">
        <f t="shared" si="780"/>
        <v>#N/A</v>
      </c>
      <c r="AG336" s="14" t="e">
        <f t="shared" si="781"/>
        <v>#N/A</v>
      </c>
      <c r="AH336" s="14" t="e">
        <f t="shared" si="782"/>
        <v>#N/A</v>
      </c>
      <c r="AI336" s="34" t="e">
        <f t="shared" si="691"/>
        <v>#N/A</v>
      </c>
      <c r="AJ336" s="49" t="e">
        <f t="shared" ref="AJ336:AJ399" si="804">(($N336-$N335)/$AK$3)*BG335+AJ335-AB335-BD335</f>
        <v>#N/A</v>
      </c>
      <c r="AK336" s="49" t="e">
        <f t="shared" ref="AK336:AK399" si="805">(($N336-$N335)/$AK$3)*BH335+AK335-AC335-BE335</f>
        <v>#N/A</v>
      </c>
      <c r="AL336" s="49" t="e">
        <f t="shared" ref="AL336:AL399" si="806">(($N336-$N335)/$AK$3)*BI335+AL335-AD335-BF335</f>
        <v>#N/A</v>
      </c>
      <c r="AM336" s="25">
        <f t="shared" si="783"/>
        <v>30</v>
      </c>
      <c r="AN336" s="25">
        <f t="shared" si="784"/>
        <v>30</v>
      </c>
      <c r="AO336" s="25">
        <f t="shared" si="785"/>
        <v>30</v>
      </c>
      <c r="AP336" s="52" t="e">
        <f t="shared" ref="AP336:AR367" si="807">($N336-$AK$6+$AK$9+1)*$AK$5/24/3*$AS336</f>
        <v>#N/A</v>
      </c>
      <c r="AQ336" s="53" t="e">
        <f t="shared" si="807"/>
        <v>#N/A</v>
      </c>
      <c r="AR336" s="54" t="e">
        <f t="shared" si="807"/>
        <v>#N/A</v>
      </c>
      <c r="AS336" s="316">
        <f t="shared" si="766"/>
        <v>0</v>
      </c>
      <c r="AT336" s="106">
        <f>_xlfn.IFNA($M336/VLOOKUP($BT336,'Unit information'!$A$2:$K$29,2,FALSE)*R336,0)*(1+$E$9)</f>
        <v>0</v>
      </c>
      <c r="AU336" s="107">
        <f>_xlfn.IFNA($M336/VLOOKUP($BT336,'Unit information'!$A$2:$K$29,3,FALSE)*S336,0)*(1+$E$9)</f>
        <v>0</v>
      </c>
      <c r="AV336" s="107">
        <f>_xlfn.IFNA($M336/VLOOKUP($BT336,'Unit information'!$A$2:$K$29,4,FALSE)*T336,0)*(1+$E$9)</f>
        <v>0</v>
      </c>
      <c r="AW336" s="107">
        <f>_xlfn.IFNA($M336/VLOOKUP($BT336,'Unit information'!$A$2:$K$29,5,FALSE)*U336,0)*(1+$E$9)</f>
        <v>0</v>
      </c>
      <c r="AX336" s="107">
        <f>_xlfn.IFNA($M336/VLOOKUP($BU336,'Unit information'!$A$2:$K$29,6,FALSE)*V336,0)*(1+$E$9)</f>
        <v>0</v>
      </c>
      <c r="AY336" s="107">
        <f>_xlfn.IFNA($M336/VLOOKUP($BU336,'Unit information'!$A$2:$K$29,7,FALSE)*W336,0)*(1+$E$9)</f>
        <v>0</v>
      </c>
      <c r="AZ336" s="107">
        <f>_xlfn.IFNA($M336/VLOOKUP($BU336,'Unit information'!$A$2:$K$29,8,FALSE)*X336,0)*(1+$E$9)</f>
        <v>0</v>
      </c>
      <c r="BA336" s="107">
        <f>_xlfn.IFNA($M336/VLOOKUP($BU336,'Unit information'!$A$2:$K$29,9,FALSE)*Y336,0)*(1+$E$9)</f>
        <v>0</v>
      </c>
      <c r="BB336" s="107">
        <f>_xlfn.IFNA($M336/VLOOKUP($BV336,'Unit information'!$A$2:$K$29,10,FALSE)*Z336,0)*(1+$E$9)</f>
        <v>0</v>
      </c>
      <c r="BC336" s="108">
        <f>_xlfn.IFNA($M336/VLOOKUP($BV336,'Unit information'!$A$2:$K$29,11,FALSE)*AA336,0)*(1+$E$9)</f>
        <v>0</v>
      </c>
      <c r="BD336" s="106">
        <f t="shared" si="786"/>
        <v>0</v>
      </c>
      <c r="BE336" s="107">
        <f t="shared" si="787"/>
        <v>0</v>
      </c>
      <c r="BF336" s="108">
        <f t="shared" si="788"/>
        <v>0</v>
      </c>
      <c r="BG336" s="25" t="e">
        <f t="shared" si="789"/>
        <v>#N/A</v>
      </c>
      <c r="BH336" s="25" t="e">
        <f t="shared" si="790"/>
        <v>#N/A</v>
      </c>
      <c r="BI336" s="25" t="e">
        <f t="shared" si="791"/>
        <v>#N/A</v>
      </c>
      <c r="BJ336" s="27" t="e">
        <f t="shared" si="792"/>
        <v>#N/A</v>
      </c>
      <c r="BK336" s="18" t="e">
        <f t="shared" si="793"/>
        <v>#N/A</v>
      </c>
      <c r="BL336" s="18" t="e">
        <f t="shared" si="794"/>
        <v>#N/A</v>
      </c>
      <c r="BM336" s="28" t="e">
        <f t="shared" si="693"/>
        <v>#N/A</v>
      </c>
      <c r="BN336" s="33">
        <f>HLOOKUP("maximum population",Miscelaneous!$C$1:$C$33,CH336+3,FALSE)</f>
        <v>240</v>
      </c>
      <c r="BO336" s="14">
        <f t="shared" ref="BO336:BO399" si="808">SUM(CN337:DH337)</f>
        <v>32</v>
      </c>
      <c r="BP336" s="14">
        <f t="shared" ref="BP336:BP399" si="809">SUM(DI336:DL336)+DM336*2+DN336*4+DO336*5+DP336*6+DQ336*5+DR336*8</f>
        <v>0</v>
      </c>
      <c r="BQ336" s="14">
        <f t="shared" ref="BQ336:BQ399" si="810">BN336-BO336-BP336</f>
        <v>208</v>
      </c>
      <c r="BR336" s="34" t="e">
        <f>HLOOKUP(J336,Villagers!$B$1:$V$33,L336+3,FALSE)-HLOOKUP(J336,Villagers!$B$1:$V$33,L336+2,FALSE)</f>
        <v>#N/A</v>
      </c>
      <c r="BS336" s="49">
        <f t="shared" ref="BS336:BS399" si="811">IF($J335=BS$14,$L335,BS335)</f>
        <v>1</v>
      </c>
      <c r="BT336" s="50">
        <f t="shared" ref="BT336:BT399" si="812">IF($J335=BT$14,$L335,BT335)</f>
        <v>0</v>
      </c>
      <c r="BU336" s="50">
        <f t="shared" ref="BU336:BU399" si="813">IF($J335=BU$14,$L335,BU335)</f>
        <v>0</v>
      </c>
      <c r="BV336" s="50">
        <f t="shared" ref="BV336:BV399" si="814">IF($J335=BV$14,$L335,BV335)</f>
        <v>0</v>
      </c>
      <c r="BW336" s="50">
        <f t="shared" ref="BW336:BY342" si="815">IF($J335=BW$14,$L335,BW335)</f>
        <v>0</v>
      </c>
      <c r="BX336" s="50">
        <f t="shared" si="815"/>
        <v>0</v>
      </c>
      <c r="BY336" s="50">
        <f t="shared" si="815"/>
        <v>0</v>
      </c>
      <c r="BZ336" s="50">
        <f t="shared" si="707"/>
        <v>0</v>
      </c>
      <c r="CA336" s="50">
        <f t="shared" si="708"/>
        <v>0</v>
      </c>
      <c r="CB336" s="50">
        <f t="shared" si="709"/>
        <v>1</v>
      </c>
      <c r="CC336" s="50">
        <f t="shared" si="710"/>
        <v>0</v>
      </c>
      <c r="CD336" s="50">
        <f t="shared" si="711"/>
        <v>0</v>
      </c>
      <c r="CE336" s="50">
        <f t="shared" si="712"/>
        <v>1</v>
      </c>
      <c r="CF336" s="50">
        <f t="shared" si="713"/>
        <v>1</v>
      </c>
      <c r="CG336" s="50">
        <f t="shared" si="714"/>
        <v>1</v>
      </c>
      <c r="CH336" s="50">
        <f t="shared" si="715"/>
        <v>1</v>
      </c>
      <c r="CI336" s="50">
        <f t="shared" si="716"/>
        <v>1</v>
      </c>
      <c r="CJ336" s="50">
        <f t="shared" si="717"/>
        <v>1</v>
      </c>
      <c r="CK336" s="50">
        <f t="shared" si="717"/>
        <v>0</v>
      </c>
      <c r="CL336" s="50">
        <f t="shared" si="717"/>
        <v>0</v>
      </c>
      <c r="CM336" s="51">
        <f t="shared" si="795"/>
        <v>0</v>
      </c>
      <c r="CN336" s="33">
        <f>ROUND(IF(BS336=0,0,HLOOKUP(BS$14,Villagers!$B$1:$V$33,BS336+3,FALSE)),)</f>
        <v>5</v>
      </c>
      <c r="CO336" s="14">
        <f>ROUND(IF(BT336=0,0,HLOOKUP(BT$14,Villagers!$B$1:$V$33,BT336+3,FALSE)),)</f>
        <v>0</v>
      </c>
      <c r="CP336" s="14">
        <f>ROUND(IF(BU336=0,0,HLOOKUP(BU$14,Villagers!$B$1:$V$33,BU336+3,FALSE)),)</f>
        <v>0</v>
      </c>
      <c r="CQ336" s="14">
        <f>ROUND(IF(BV336=0,0,HLOOKUP(BV$14,Villagers!$B$1:$V$33,BV336+3,FALSE)),)</f>
        <v>0</v>
      </c>
      <c r="CR336" s="14">
        <f>ROUND(IF(BW336=0,0,HLOOKUP(BW$14,Villagers!$B$1:$V$33,BW336+3,FALSE)),)</f>
        <v>0</v>
      </c>
      <c r="CS336" s="14">
        <f>ROUND(IF(BX336=0,0,HLOOKUP(BX$14,Villagers!$B$1:$V$33,BX336+3,FALSE)),)</f>
        <v>0</v>
      </c>
      <c r="CT336" s="14">
        <f>ROUND(IF(BY336=0,0,HLOOKUP(BY$14,Villagers!$B$1:$V$33,BY336+3,FALSE)),)</f>
        <v>0</v>
      </c>
      <c r="CU336" s="14">
        <f>ROUND(IF(BZ336=0,0,HLOOKUP(BZ$14,Villagers!$B$1:$V$33,BZ336+3,FALSE)),)</f>
        <v>0</v>
      </c>
      <c r="CV336" s="14">
        <f>ROUND(IF(CA336=0,0,HLOOKUP(CA$14,Villagers!$B$1:$V$33,CA336+3,FALSE)),)</f>
        <v>0</v>
      </c>
      <c r="CW336" s="14">
        <f>ROUND(IF(CB336=0,0,HLOOKUP(CB$14,Villagers!$B$1:$V$33,CB336+3,FALSE)),)</f>
        <v>0</v>
      </c>
      <c r="CX336" s="14">
        <f>ROUND(IF(CC336=0,0,HLOOKUP(CC$14,Villagers!$B$1:$V$33,CC336+3,FALSE)),)</f>
        <v>0</v>
      </c>
      <c r="CY336" s="14">
        <f>ROUND(IF(CD336=0,0,HLOOKUP(CD$14,Villagers!$B$1:$V$33,CD336+3,FALSE)),)</f>
        <v>0</v>
      </c>
      <c r="CZ336" s="14">
        <f>ROUND(IF(CE336=0,0,HLOOKUP(CE$14,Villagers!$B$1:$V$33,CE336+3,FALSE)),)</f>
        <v>5</v>
      </c>
      <c r="DA336" s="14">
        <f>ROUND(IF(CF336=0,0,HLOOKUP(CF$14,Villagers!$B$1:$V$33,CF336+3,FALSE)),)</f>
        <v>10</v>
      </c>
      <c r="DB336" s="14">
        <f>ROUND(IF(CG336=0,0,HLOOKUP(CG$14,Villagers!$B$1:$V$33,CG336+3,FALSE)),)</f>
        <v>10</v>
      </c>
      <c r="DC336" s="14">
        <f>ROUND(IF(CH336=0,0,HLOOKUP(CH$14,Villagers!$B$1:$V$33,CH336+3,FALSE)),)</f>
        <v>0</v>
      </c>
      <c r="DD336" s="14">
        <f>ROUND(IF(CI336=0,0,HLOOKUP(CI$14,Villagers!$B$1:$V$33,CI336+3,FALSE)),)</f>
        <v>0</v>
      </c>
      <c r="DE336" s="14">
        <f>ROUND(IF(CJ336=0,0,HLOOKUP(CJ$14,Villagers!$B$1:$V$33,CJ336+3,FALSE)),)</f>
        <v>2</v>
      </c>
      <c r="DF336" s="370">
        <f>ROUND(IF(CK336=0,0,HLOOKUP(CK$14,Villagers!$B$1:$V$33,CK336+3,FALSE)),)</f>
        <v>0</v>
      </c>
      <c r="DG336" s="370">
        <f>ROUND(IF(CL336=0,0,HLOOKUP(CL$14,Villagers!$B$1:$V$33,CL336+3,FALSE)),)</f>
        <v>0</v>
      </c>
      <c r="DH336" s="34">
        <f>ROUND(IF(CM336=0,0,HLOOKUP(CM$14,Villagers!$B$1:$V$33,CM336+3,FALSE)),)</f>
        <v>0</v>
      </c>
      <c r="DI336" s="109">
        <f t="shared" si="679"/>
        <v>0</v>
      </c>
      <c r="DJ336" s="50">
        <f t="shared" si="680"/>
        <v>0</v>
      </c>
      <c r="DK336" s="50">
        <f t="shared" si="681"/>
        <v>0</v>
      </c>
      <c r="DL336" s="50">
        <f t="shared" si="682"/>
        <v>0</v>
      </c>
      <c r="DM336" s="50">
        <f t="shared" si="683"/>
        <v>0</v>
      </c>
      <c r="DN336" s="50">
        <f t="shared" si="684"/>
        <v>0</v>
      </c>
      <c r="DO336" s="50">
        <f t="shared" si="685"/>
        <v>0</v>
      </c>
      <c r="DP336" s="50">
        <f t="shared" si="686"/>
        <v>0</v>
      </c>
      <c r="DQ336" s="50">
        <f t="shared" ref="DQ336:DQ399" si="816">ROUND(_xlfn.IFNA(DQ335+BB336,DQ335),0)</f>
        <v>0</v>
      </c>
      <c r="DR336" s="50">
        <f t="shared" ref="DR336:DR399" si="817">ROUND(_xlfn.IFNA(DR335+BC336,DR335),0)</f>
        <v>0</v>
      </c>
      <c r="DS336" s="96">
        <f>Miscelaneous!$D$4*Miscelaneous!$D$2^($CI336-1)</f>
        <v>1000</v>
      </c>
      <c r="DT336" s="333">
        <f t="shared" si="796"/>
        <v>1</v>
      </c>
      <c r="DU336" s="81">
        <v>1</v>
      </c>
      <c r="DV336" s="79">
        <f t="shared" ref="DV336:DV399" si="818">IF(BS336&gt;2,1,0)</f>
        <v>0</v>
      </c>
      <c r="DW336" s="79">
        <f t="shared" ref="DW336:DW399" si="819">IF(AND(BS336&gt;9,CA336&gt;4,BT336&gt;4)=TRUE,1,0)</f>
        <v>0</v>
      </c>
      <c r="DX336" s="79">
        <f t="shared" ref="DX336:DX399" si="820">IF(AND(BS336&gt;9,CA336&gt;9)=TRUE,1,0)</f>
        <v>0</v>
      </c>
      <c r="DY336" s="79">
        <v>1</v>
      </c>
      <c r="DZ336" s="79">
        <f t="shared" ref="DZ336:DZ399" si="821">IF(AND(BS336&gt;4,CH336&gt;4),1,0)</f>
        <v>0</v>
      </c>
      <c r="EA336" s="79">
        <f t="shared" ref="EA336:EA399" si="822">IF(AND(BS336&gt;4,CH336&gt;4),1,0)</f>
        <v>0</v>
      </c>
      <c r="EB336" s="79">
        <f t="shared" ref="EB336:EB399" si="823">IF(AND(BS336&gt;19,CA336&gt;19,CD336&gt;9)=TRUE,1,0)</f>
        <v>0</v>
      </c>
      <c r="EC336" s="79">
        <f t="shared" ref="EC336:EC399" si="824">IF(AND(BS336&gt;4,BT336&gt;0)=TRUE,1,0)</f>
        <v>0</v>
      </c>
      <c r="ED336" s="79">
        <v>1</v>
      </c>
      <c r="EE336" s="79">
        <v>1</v>
      </c>
      <c r="EF336" s="79">
        <f t="shared" ref="EF336:EF399" si="825">IF(AND(BS336&gt;2,CI336&gt;1),1,0)</f>
        <v>0</v>
      </c>
      <c r="EG336" s="79">
        <v>1</v>
      </c>
      <c r="EH336" s="79">
        <v>1</v>
      </c>
      <c r="EI336" s="79">
        <v>1</v>
      </c>
      <c r="EJ336" s="79">
        <v>1</v>
      </c>
      <c r="EK336" s="79">
        <v>1</v>
      </c>
      <c r="EL336" s="79">
        <v>1</v>
      </c>
      <c r="EM336" s="143">
        <f t="shared" ref="EM336:EM399" si="826">IF(CL336&gt;0,1,0)</f>
        <v>0</v>
      </c>
      <c r="EN336" s="143">
        <f t="shared" ref="EN336:EN399" si="827">IF(BZ336&gt;0,1,0)</f>
        <v>0</v>
      </c>
      <c r="EO336" s="82">
        <f t="shared" ref="EO336:EO399" si="828">IF(BT336&gt;0,1,0)</f>
        <v>0</v>
      </c>
    </row>
    <row r="337" spans="1:145" x14ac:dyDescent="0.25">
      <c r="A337">
        <v>323</v>
      </c>
      <c r="B337" s="172" t="e">
        <f t="shared" si="797"/>
        <v>#N/A</v>
      </c>
      <c r="C337" s="121" t="e">
        <f t="shared" ref="C337:E337" si="829">AJ337-SUM(AB337:AB341)</f>
        <v>#N/A</v>
      </c>
      <c r="D337" s="122" t="e">
        <f t="shared" si="829"/>
        <v>#N/A</v>
      </c>
      <c r="E337" s="122" t="e">
        <f t="shared" si="829"/>
        <v>#N/A</v>
      </c>
      <c r="F337" s="176" t="e">
        <f t="shared" si="778"/>
        <v>#N/A</v>
      </c>
      <c r="G337" s="121">
        <f t="shared" si="799"/>
        <v>208</v>
      </c>
      <c r="H337" s="176" t="e">
        <f t="shared" si="800"/>
        <v>#N/A</v>
      </c>
      <c r="I337" s="48">
        <v>1</v>
      </c>
      <c r="J337" s="39"/>
      <c r="K337" s="350">
        <v>1</v>
      </c>
      <c r="L337" s="34" t="e">
        <f t="shared" si="779"/>
        <v>#N/A</v>
      </c>
      <c r="M337" s="38" t="e">
        <f>(HLOOKUP(J337,'Construction Times'!$B$3:$W$34,L337+2,FALSE)*HLOOKUP("hq modifier",'Construction Times'!$W$3:$W$34,BS337+2,FALSE))*(1-$H$9)</f>
        <v>#N/A</v>
      </c>
      <c r="N337" s="426" t="e">
        <f t="shared" si="801"/>
        <v>#N/A</v>
      </c>
      <c r="O337" s="427"/>
      <c r="P337" s="430" t="e">
        <f t="shared" si="802"/>
        <v>#N/A</v>
      </c>
      <c r="Q337" s="431"/>
      <c r="R337" s="103">
        <f t="shared" ref="R337:S368" si="830">R336</f>
        <v>0</v>
      </c>
      <c r="S337" s="104">
        <f t="shared" si="830"/>
        <v>0</v>
      </c>
      <c r="T337" s="104">
        <f t="shared" ref="T337:W368" si="831">T336</f>
        <v>0</v>
      </c>
      <c r="U337" s="104">
        <f t="shared" si="831"/>
        <v>0</v>
      </c>
      <c r="V337" s="104">
        <f t="shared" si="831"/>
        <v>9.9999999999999995E-8</v>
      </c>
      <c r="W337" s="104">
        <f t="shared" si="831"/>
        <v>0</v>
      </c>
      <c r="X337" s="104">
        <f t="shared" si="737"/>
        <v>0</v>
      </c>
      <c r="Y337" s="104">
        <f t="shared" si="737"/>
        <v>9.9999999999999995E-8</v>
      </c>
      <c r="Z337" s="104">
        <f t="shared" si="737"/>
        <v>9.9999999999999995E-8</v>
      </c>
      <c r="AA337" s="105">
        <f t="shared" si="737"/>
        <v>9.9999999999999995E-8</v>
      </c>
      <c r="AB337" s="101" t="e">
        <f>$DT337*HLOOKUP($J337,'Construction Costs (timber)'!$B$1:$V$32,'Construction Planner'!$L337+2,FALSE)</f>
        <v>#N/A</v>
      </c>
      <c r="AC337" s="14" t="e">
        <f>$DT337*HLOOKUP($J337,'Construction Costs (clay)'!$B$1:$V$32,'Construction Planner'!$L337+2,FALSE)</f>
        <v>#N/A</v>
      </c>
      <c r="AD337" s="14" t="e">
        <f>$DT337*HLOOKUP($J337,'Construction Costs (iron)'!$B$1:$V$32,'Construction Planner'!$L337+2,FALSE)</f>
        <v>#N/A</v>
      </c>
      <c r="AE337" s="34" t="e">
        <f t="shared" si="690"/>
        <v>#N/A</v>
      </c>
      <c r="AF337" s="33" t="e">
        <f t="shared" si="780"/>
        <v>#N/A</v>
      </c>
      <c r="AG337" s="14" t="e">
        <f t="shared" si="781"/>
        <v>#N/A</v>
      </c>
      <c r="AH337" s="14" t="e">
        <f t="shared" si="782"/>
        <v>#N/A</v>
      </c>
      <c r="AI337" s="34" t="e">
        <f t="shared" si="691"/>
        <v>#N/A</v>
      </c>
      <c r="AJ337" s="49" t="e">
        <f t="shared" si="804"/>
        <v>#N/A</v>
      </c>
      <c r="AK337" s="49" t="e">
        <f t="shared" si="805"/>
        <v>#N/A</v>
      </c>
      <c r="AL337" s="49" t="e">
        <f t="shared" si="806"/>
        <v>#N/A</v>
      </c>
      <c r="AM337" s="25">
        <f t="shared" si="783"/>
        <v>30</v>
      </c>
      <c r="AN337" s="25">
        <f t="shared" si="784"/>
        <v>30</v>
      </c>
      <c r="AO337" s="25">
        <f t="shared" si="785"/>
        <v>30</v>
      </c>
      <c r="AP337" s="52" t="e">
        <f t="shared" si="807"/>
        <v>#N/A</v>
      </c>
      <c r="AQ337" s="53" t="e">
        <f t="shared" si="807"/>
        <v>#N/A</v>
      </c>
      <c r="AR337" s="54" t="e">
        <f t="shared" si="807"/>
        <v>#N/A</v>
      </c>
      <c r="AS337" s="316">
        <f t="shared" si="766"/>
        <v>0</v>
      </c>
      <c r="AT337" s="106">
        <f>_xlfn.IFNA($M337/VLOOKUP($BT337,'Unit information'!$A$2:$K$29,2,FALSE)*R337,0)*(1+$E$9)</f>
        <v>0</v>
      </c>
      <c r="AU337" s="107">
        <f>_xlfn.IFNA($M337/VLOOKUP($BT337,'Unit information'!$A$2:$K$29,3,FALSE)*S337,0)*(1+$E$9)</f>
        <v>0</v>
      </c>
      <c r="AV337" s="107">
        <f>_xlfn.IFNA($M337/VLOOKUP($BT337,'Unit information'!$A$2:$K$29,4,FALSE)*T337,0)*(1+$E$9)</f>
        <v>0</v>
      </c>
      <c r="AW337" s="107">
        <f>_xlfn.IFNA($M337/VLOOKUP($BT337,'Unit information'!$A$2:$K$29,5,FALSE)*U337,0)*(1+$E$9)</f>
        <v>0</v>
      </c>
      <c r="AX337" s="107">
        <f>_xlfn.IFNA($M337/VLOOKUP($BU337,'Unit information'!$A$2:$K$29,6,FALSE)*V337,0)*(1+$E$9)</f>
        <v>0</v>
      </c>
      <c r="AY337" s="107">
        <f>_xlfn.IFNA($M337/VLOOKUP($BU337,'Unit information'!$A$2:$K$29,7,FALSE)*W337,0)*(1+$E$9)</f>
        <v>0</v>
      </c>
      <c r="AZ337" s="107">
        <f>_xlfn.IFNA($M337/VLOOKUP($BU337,'Unit information'!$A$2:$K$29,8,FALSE)*X337,0)*(1+$E$9)</f>
        <v>0</v>
      </c>
      <c r="BA337" s="107">
        <f>_xlfn.IFNA($M337/VLOOKUP($BU337,'Unit information'!$A$2:$K$29,9,FALSE)*Y337,0)*(1+$E$9)</f>
        <v>0</v>
      </c>
      <c r="BB337" s="107">
        <f>_xlfn.IFNA($M337/VLOOKUP($BV337,'Unit information'!$A$2:$K$29,10,FALSE)*Z337,0)*(1+$E$9)</f>
        <v>0</v>
      </c>
      <c r="BC337" s="108">
        <f>_xlfn.IFNA($M337/VLOOKUP($BV337,'Unit information'!$A$2:$K$29,11,FALSE)*AA337,0)*(1+$E$9)</f>
        <v>0</v>
      </c>
      <c r="BD337" s="106">
        <f t="shared" si="786"/>
        <v>0</v>
      </c>
      <c r="BE337" s="107">
        <f t="shared" si="787"/>
        <v>0</v>
      </c>
      <c r="BF337" s="108">
        <f t="shared" si="788"/>
        <v>0</v>
      </c>
      <c r="BG337" s="25" t="e">
        <f t="shared" si="789"/>
        <v>#N/A</v>
      </c>
      <c r="BH337" s="25" t="e">
        <f t="shared" si="790"/>
        <v>#N/A</v>
      </c>
      <c r="BI337" s="25" t="e">
        <f t="shared" si="791"/>
        <v>#N/A</v>
      </c>
      <c r="BJ337" s="27" t="e">
        <f t="shared" si="792"/>
        <v>#N/A</v>
      </c>
      <c r="BK337" s="18" t="e">
        <f t="shared" si="793"/>
        <v>#N/A</v>
      </c>
      <c r="BL337" s="18" t="e">
        <f t="shared" si="794"/>
        <v>#N/A</v>
      </c>
      <c r="BM337" s="28" t="e">
        <f t="shared" si="693"/>
        <v>#N/A</v>
      </c>
      <c r="BN337" s="33">
        <f>HLOOKUP("maximum population",Miscelaneous!$C$1:$C$33,CH337+3,FALSE)</f>
        <v>240</v>
      </c>
      <c r="BO337" s="14">
        <f t="shared" si="808"/>
        <v>32</v>
      </c>
      <c r="BP337" s="14">
        <f t="shared" si="809"/>
        <v>0</v>
      </c>
      <c r="BQ337" s="14">
        <f t="shared" si="810"/>
        <v>208</v>
      </c>
      <c r="BR337" s="34" t="e">
        <f>HLOOKUP(J337,Villagers!$B$1:$V$33,L337+3,FALSE)-HLOOKUP(J337,Villagers!$B$1:$V$33,L337+2,FALSE)</f>
        <v>#N/A</v>
      </c>
      <c r="BS337" s="49">
        <f t="shared" si="811"/>
        <v>1</v>
      </c>
      <c r="BT337" s="50">
        <f t="shared" si="812"/>
        <v>0</v>
      </c>
      <c r="BU337" s="50">
        <f t="shared" si="813"/>
        <v>0</v>
      </c>
      <c r="BV337" s="50">
        <f t="shared" si="814"/>
        <v>0</v>
      </c>
      <c r="BW337" s="50">
        <f t="shared" si="815"/>
        <v>0</v>
      </c>
      <c r="BX337" s="50">
        <f t="shared" si="815"/>
        <v>0</v>
      </c>
      <c r="BY337" s="50">
        <f t="shared" si="815"/>
        <v>0</v>
      </c>
      <c r="BZ337" s="50">
        <f t="shared" si="707"/>
        <v>0</v>
      </c>
      <c r="CA337" s="50">
        <f t="shared" si="708"/>
        <v>0</v>
      </c>
      <c r="CB337" s="50">
        <f t="shared" si="709"/>
        <v>1</v>
      </c>
      <c r="CC337" s="50">
        <f t="shared" si="710"/>
        <v>0</v>
      </c>
      <c r="CD337" s="50">
        <f t="shared" si="711"/>
        <v>0</v>
      </c>
      <c r="CE337" s="50">
        <f t="shared" si="712"/>
        <v>1</v>
      </c>
      <c r="CF337" s="50">
        <f t="shared" si="713"/>
        <v>1</v>
      </c>
      <c r="CG337" s="50">
        <f t="shared" si="714"/>
        <v>1</v>
      </c>
      <c r="CH337" s="50">
        <f t="shared" si="715"/>
        <v>1</v>
      </c>
      <c r="CI337" s="50">
        <f t="shared" si="716"/>
        <v>1</v>
      </c>
      <c r="CJ337" s="50">
        <f t="shared" si="717"/>
        <v>1</v>
      </c>
      <c r="CK337" s="50">
        <f t="shared" si="717"/>
        <v>0</v>
      </c>
      <c r="CL337" s="50">
        <f t="shared" si="717"/>
        <v>0</v>
      </c>
      <c r="CM337" s="51">
        <f t="shared" si="795"/>
        <v>0</v>
      </c>
      <c r="CN337" s="33">
        <f>ROUND(IF(BS337=0,0,HLOOKUP(BS$14,Villagers!$B$1:$V$33,BS337+3,FALSE)),)</f>
        <v>5</v>
      </c>
      <c r="CO337" s="14">
        <f>ROUND(IF(BT337=0,0,HLOOKUP(BT$14,Villagers!$B$1:$V$33,BT337+3,FALSE)),)</f>
        <v>0</v>
      </c>
      <c r="CP337" s="14">
        <f>ROUND(IF(BU337=0,0,HLOOKUP(BU$14,Villagers!$B$1:$V$33,BU337+3,FALSE)),)</f>
        <v>0</v>
      </c>
      <c r="CQ337" s="14">
        <f>ROUND(IF(BV337=0,0,HLOOKUP(BV$14,Villagers!$B$1:$V$33,BV337+3,FALSE)),)</f>
        <v>0</v>
      </c>
      <c r="CR337" s="14">
        <f>ROUND(IF(BW337=0,0,HLOOKUP(BW$14,Villagers!$B$1:$V$33,BW337+3,FALSE)),)</f>
        <v>0</v>
      </c>
      <c r="CS337" s="14">
        <f>ROUND(IF(BX337=0,0,HLOOKUP(BX$14,Villagers!$B$1:$V$33,BX337+3,FALSE)),)</f>
        <v>0</v>
      </c>
      <c r="CT337" s="14">
        <f>ROUND(IF(BY337=0,0,HLOOKUP(BY$14,Villagers!$B$1:$V$33,BY337+3,FALSE)),)</f>
        <v>0</v>
      </c>
      <c r="CU337" s="14">
        <f>ROUND(IF(BZ337=0,0,HLOOKUP(BZ$14,Villagers!$B$1:$V$33,BZ337+3,FALSE)),)</f>
        <v>0</v>
      </c>
      <c r="CV337" s="14">
        <f>ROUND(IF(CA337=0,0,HLOOKUP(CA$14,Villagers!$B$1:$V$33,CA337+3,FALSE)),)</f>
        <v>0</v>
      </c>
      <c r="CW337" s="14">
        <f>ROUND(IF(CB337=0,0,HLOOKUP(CB$14,Villagers!$B$1:$V$33,CB337+3,FALSE)),)</f>
        <v>0</v>
      </c>
      <c r="CX337" s="14">
        <f>ROUND(IF(CC337=0,0,HLOOKUP(CC$14,Villagers!$B$1:$V$33,CC337+3,FALSE)),)</f>
        <v>0</v>
      </c>
      <c r="CY337" s="14">
        <f>ROUND(IF(CD337=0,0,HLOOKUP(CD$14,Villagers!$B$1:$V$33,CD337+3,FALSE)),)</f>
        <v>0</v>
      </c>
      <c r="CZ337" s="14">
        <f>ROUND(IF(CE337=0,0,HLOOKUP(CE$14,Villagers!$B$1:$V$33,CE337+3,FALSE)),)</f>
        <v>5</v>
      </c>
      <c r="DA337" s="14">
        <f>ROUND(IF(CF337=0,0,HLOOKUP(CF$14,Villagers!$B$1:$V$33,CF337+3,FALSE)),)</f>
        <v>10</v>
      </c>
      <c r="DB337" s="14">
        <f>ROUND(IF(CG337=0,0,HLOOKUP(CG$14,Villagers!$B$1:$V$33,CG337+3,FALSE)),)</f>
        <v>10</v>
      </c>
      <c r="DC337" s="14">
        <f>ROUND(IF(CH337=0,0,HLOOKUP(CH$14,Villagers!$B$1:$V$33,CH337+3,FALSE)),)</f>
        <v>0</v>
      </c>
      <c r="DD337" s="14">
        <f>ROUND(IF(CI337=0,0,HLOOKUP(CI$14,Villagers!$B$1:$V$33,CI337+3,FALSE)),)</f>
        <v>0</v>
      </c>
      <c r="DE337" s="14">
        <f>ROUND(IF(CJ337=0,0,HLOOKUP(CJ$14,Villagers!$B$1:$V$33,CJ337+3,FALSE)),)</f>
        <v>2</v>
      </c>
      <c r="DF337" s="370">
        <f>ROUND(IF(CK337=0,0,HLOOKUP(CK$14,Villagers!$B$1:$V$33,CK337+3,FALSE)),)</f>
        <v>0</v>
      </c>
      <c r="DG337" s="370">
        <f>ROUND(IF(CL337=0,0,HLOOKUP(CL$14,Villagers!$B$1:$V$33,CL337+3,FALSE)),)</f>
        <v>0</v>
      </c>
      <c r="DH337" s="34">
        <f>ROUND(IF(CM337=0,0,HLOOKUP(CM$14,Villagers!$B$1:$V$33,CM337+3,FALSE)),)</f>
        <v>0</v>
      </c>
      <c r="DI337" s="109">
        <f t="shared" ref="DI337:DI400" si="832">ROUND(_xlfn.IFNA(DI336+AT337,DI336),0)</f>
        <v>0</v>
      </c>
      <c r="DJ337" s="50">
        <f t="shared" ref="DJ337:DJ400" si="833">ROUND(_xlfn.IFNA(DJ336+AU337,DJ336),0)</f>
        <v>0</v>
      </c>
      <c r="DK337" s="50">
        <f t="shared" ref="DK337:DK400" si="834">ROUND(_xlfn.IFNA(DK336+AV337,DK336),0)</f>
        <v>0</v>
      </c>
      <c r="DL337" s="50">
        <f t="shared" ref="DL337:DL400" si="835">ROUND(_xlfn.IFNA(DL336+AW337,DL336),0)</f>
        <v>0</v>
      </c>
      <c r="DM337" s="50">
        <f t="shared" ref="DM337:DM400" si="836">ROUND(_xlfn.IFNA(DM336+AX337,DM336),0)</f>
        <v>0</v>
      </c>
      <c r="DN337" s="50">
        <f t="shared" ref="DN337:DN400" si="837">ROUND(_xlfn.IFNA(DN336+AY337,DN336),0)</f>
        <v>0</v>
      </c>
      <c r="DO337" s="50">
        <f t="shared" ref="DO337:DO400" si="838">ROUND(_xlfn.IFNA(DO336+AZ337,DO336),0)</f>
        <v>0</v>
      </c>
      <c r="DP337" s="50">
        <f t="shared" ref="DP337:DP400" si="839">ROUND(_xlfn.IFNA(DP336+BA337,DP336),0)</f>
        <v>0</v>
      </c>
      <c r="DQ337" s="50">
        <f t="shared" si="816"/>
        <v>0</v>
      </c>
      <c r="DR337" s="50">
        <f t="shared" si="817"/>
        <v>0</v>
      </c>
      <c r="DS337" s="96">
        <f>Miscelaneous!$D$4*Miscelaneous!$D$2^($CI337-1)</f>
        <v>1000</v>
      </c>
      <c r="DT337" s="333">
        <f t="shared" si="796"/>
        <v>1</v>
      </c>
      <c r="DU337" s="81">
        <v>1</v>
      </c>
      <c r="DV337" s="79">
        <f t="shared" si="818"/>
        <v>0</v>
      </c>
      <c r="DW337" s="79">
        <f t="shared" si="819"/>
        <v>0</v>
      </c>
      <c r="DX337" s="79">
        <f t="shared" si="820"/>
        <v>0</v>
      </c>
      <c r="DY337" s="79">
        <v>1</v>
      </c>
      <c r="DZ337" s="79">
        <f t="shared" si="821"/>
        <v>0</v>
      </c>
      <c r="EA337" s="79">
        <f t="shared" si="822"/>
        <v>0</v>
      </c>
      <c r="EB337" s="79">
        <f t="shared" si="823"/>
        <v>0</v>
      </c>
      <c r="EC337" s="79">
        <f t="shared" si="824"/>
        <v>0</v>
      </c>
      <c r="ED337" s="79">
        <v>1</v>
      </c>
      <c r="EE337" s="79">
        <v>1</v>
      </c>
      <c r="EF337" s="79">
        <f t="shared" si="825"/>
        <v>0</v>
      </c>
      <c r="EG337" s="79">
        <v>1</v>
      </c>
      <c r="EH337" s="79">
        <v>1</v>
      </c>
      <c r="EI337" s="79">
        <v>1</v>
      </c>
      <c r="EJ337" s="79">
        <v>1</v>
      </c>
      <c r="EK337" s="79">
        <v>1</v>
      </c>
      <c r="EL337" s="79">
        <v>1</v>
      </c>
      <c r="EM337" s="143">
        <f t="shared" si="826"/>
        <v>0</v>
      </c>
      <c r="EN337" s="143">
        <f t="shared" si="827"/>
        <v>0</v>
      </c>
      <c r="EO337" s="82">
        <f t="shared" si="828"/>
        <v>0</v>
      </c>
    </row>
    <row r="338" spans="1:145" x14ac:dyDescent="0.25">
      <c r="A338">
        <v>324</v>
      </c>
      <c r="B338" s="172" t="e">
        <f t="shared" si="797"/>
        <v>#N/A</v>
      </c>
      <c r="C338" s="121" t="e">
        <f t="shared" ref="C338:E338" si="840">AJ338-SUM(AB338:AB342)</f>
        <v>#N/A</v>
      </c>
      <c r="D338" s="122" t="e">
        <f t="shared" si="840"/>
        <v>#N/A</v>
      </c>
      <c r="E338" s="122" t="e">
        <f t="shared" si="840"/>
        <v>#N/A</v>
      </c>
      <c r="F338" s="176" t="e">
        <f t="shared" si="778"/>
        <v>#N/A</v>
      </c>
      <c r="G338" s="121">
        <f t="shared" si="799"/>
        <v>208</v>
      </c>
      <c r="H338" s="176" t="e">
        <f t="shared" si="800"/>
        <v>#N/A</v>
      </c>
      <c r="I338" s="48">
        <v>1</v>
      </c>
      <c r="J338" s="39"/>
      <c r="K338" s="350">
        <v>1</v>
      </c>
      <c r="L338" s="34" t="e">
        <f t="shared" si="779"/>
        <v>#N/A</v>
      </c>
      <c r="M338" s="38" t="e">
        <f>(HLOOKUP(J338,'Construction Times'!$B$3:$W$34,L338+2,FALSE)*HLOOKUP("hq modifier",'Construction Times'!$W$3:$W$34,BS338+2,FALSE))*(1-$H$9)</f>
        <v>#N/A</v>
      </c>
      <c r="N338" s="426" t="e">
        <f t="shared" si="801"/>
        <v>#N/A</v>
      </c>
      <c r="O338" s="427"/>
      <c r="P338" s="430" t="e">
        <f t="shared" si="802"/>
        <v>#N/A</v>
      </c>
      <c r="Q338" s="431"/>
      <c r="R338" s="103">
        <f t="shared" si="830"/>
        <v>0</v>
      </c>
      <c r="S338" s="104">
        <f t="shared" si="830"/>
        <v>0</v>
      </c>
      <c r="T338" s="104">
        <f t="shared" si="831"/>
        <v>0</v>
      </c>
      <c r="U338" s="104">
        <f t="shared" si="831"/>
        <v>0</v>
      </c>
      <c r="V338" s="104">
        <f t="shared" si="831"/>
        <v>9.9999999999999995E-8</v>
      </c>
      <c r="W338" s="104">
        <f t="shared" si="831"/>
        <v>0</v>
      </c>
      <c r="X338" s="104">
        <f t="shared" si="737"/>
        <v>0</v>
      </c>
      <c r="Y338" s="104">
        <f t="shared" si="737"/>
        <v>9.9999999999999995E-8</v>
      </c>
      <c r="Z338" s="104">
        <f t="shared" si="737"/>
        <v>9.9999999999999995E-8</v>
      </c>
      <c r="AA338" s="105">
        <f t="shared" si="737"/>
        <v>9.9999999999999995E-8</v>
      </c>
      <c r="AB338" s="101" t="e">
        <f>$DT338*HLOOKUP($J338,'Construction Costs (timber)'!$B$1:$V$32,'Construction Planner'!$L338+2,FALSE)</f>
        <v>#N/A</v>
      </c>
      <c r="AC338" s="14" t="e">
        <f>$DT338*HLOOKUP($J338,'Construction Costs (clay)'!$B$1:$V$32,'Construction Planner'!$L338+2,FALSE)</f>
        <v>#N/A</v>
      </c>
      <c r="AD338" s="14" t="e">
        <f>$DT338*HLOOKUP($J338,'Construction Costs (iron)'!$B$1:$V$32,'Construction Planner'!$L338+2,FALSE)</f>
        <v>#N/A</v>
      </c>
      <c r="AE338" s="34" t="e">
        <f t="shared" si="690"/>
        <v>#N/A</v>
      </c>
      <c r="AF338" s="33" t="e">
        <f t="shared" si="780"/>
        <v>#N/A</v>
      </c>
      <c r="AG338" s="14" t="e">
        <f t="shared" si="781"/>
        <v>#N/A</v>
      </c>
      <c r="AH338" s="14" t="e">
        <f t="shared" si="782"/>
        <v>#N/A</v>
      </c>
      <c r="AI338" s="34" t="e">
        <f t="shared" si="691"/>
        <v>#N/A</v>
      </c>
      <c r="AJ338" s="49" t="e">
        <f t="shared" si="804"/>
        <v>#N/A</v>
      </c>
      <c r="AK338" s="49" t="e">
        <f t="shared" si="805"/>
        <v>#N/A</v>
      </c>
      <c r="AL338" s="49" t="e">
        <f t="shared" si="806"/>
        <v>#N/A</v>
      </c>
      <c r="AM338" s="25">
        <f t="shared" si="783"/>
        <v>30</v>
      </c>
      <c r="AN338" s="25">
        <f t="shared" si="784"/>
        <v>30</v>
      </c>
      <c r="AO338" s="25">
        <f t="shared" si="785"/>
        <v>30</v>
      </c>
      <c r="AP338" s="52" t="e">
        <f t="shared" si="807"/>
        <v>#N/A</v>
      </c>
      <c r="AQ338" s="53" t="e">
        <f t="shared" si="807"/>
        <v>#N/A</v>
      </c>
      <c r="AR338" s="54" t="e">
        <f t="shared" si="807"/>
        <v>#N/A</v>
      </c>
      <c r="AS338" s="316">
        <f t="shared" si="766"/>
        <v>0</v>
      </c>
      <c r="AT338" s="106">
        <f>_xlfn.IFNA($M338/VLOOKUP($BT338,'Unit information'!$A$2:$K$29,2,FALSE)*R338,0)*(1+$E$9)</f>
        <v>0</v>
      </c>
      <c r="AU338" s="107">
        <f>_xlfn.IFNA($M338/VLOOKUP($BT338,'Unit information'!$A$2:$K$29,3,FALSE)*S338,0)*(1+$E$9)</f>
        <v>0</v>
      </c>
      <c r="AV338" s="107">
        <f>_xlfn.IFNA($M338/VLOOKUP($BT338,'Unit information'!$A$2:$K$29,4,FALSE)*T338,0)*(1+$E$9)</f>
        <v>0</v>
      </c>
      <c r="AW338" s="107">
        <f>_xlfn.IFNA($M338/VLOOKUP($BT338,'Unit information'!$A$2:$K$29,5,FALSE)*U338,0)*(1+$E$9)</f>
        <v>0</v>
      </c>
      <c r="AX338" s="107">
        <f>_xlfn.IFNA($M338/VLOOKUP($BU338,'Unit information'!$A$2:$K$29,6,FALSE)*V338,0)*(1+$E$9)</f>
        <v>0</v>
      </c>
      <c r="AY338" s="107">
        <f>_xlfn.IFNA($M338/VLOOKUP($BU338,'Unit information'!$A$2:$K$29,7,FALSE)*W338,0)*(1+$E$9)</f>
        <v>0</v>
      </c>
      <c r="AZ338" s="107">
        <f>_xlfn.IFNA($M338/VLOOKUP($BU338,'Unit information'!$A$2:$K$29,8,FALSE)*X338,0)*(1+$E$9)</f>
        <v>0</v>
      </c>
      <c r="BA338" s="107">
        <f>_xlfn.IFNA($M338/VLOOKUP($BU338,'Unit information'!$A$2:$K$29,9,FALSE)*Y338,0)*(1+$E$9)</f>
        <v>0</v>
      </c>
      <c r="BB338" s="107">
        <f>_xlfn.IFNA($M338/VLOOKUP($BV338,'Unit information'!$A$2:$K$29,10,FALSE)*Z338,0)*(1+$E$9)</f>
        <v>0</v>
      </c>
      <c r="BC338" s="108">
        <f>_xlfn.IFNA($M338/VLOOKUP($BV338,'Unit information'!$A$2:$K$29,11,FALSE)*AA338,0)*(1+$E$9)</f>
        <v>0</v>
      </c>
      <c r="BD338" s="106">
        <f t="shared" si="786"/>
        <v>0</v>
      </c>
      <c r="BE338" s="107">
        <f t="shared" si="787"/>
        <v>0</v>
      </c>
      <c r="BF338" s="108">
        <f t="shared" si="788"/>
        <v>0</v>
      </c>
      <c r="BG338" s="25" t="e">
        <f t="shared" si="789"/>
        <v>#N/A</v>
      </c>
      <c r="BH338" s="25" t="e">
        <f t="shared" si="790"/>
        <v>#N/A</v>
      </c>
      <c r="BI338" s="25" t="e">
        <f t="shared" si="791"/>
        <v>#N/A</v>
      </c>
      <c r="BJ338" s="27" t="e">
        <f t="shared" si="792"/>
        <v>#N/A</v>
      </c>
      <c r="BK338" s="18" t="e">
        <f t="shared" si="793"/>
        <v>#N/A</v>
      </c>
      <c r="BL338" s="18" t="e">
        <f t="shared" si="794"/>
        <v>#N/A</v>
      </c>
      <c r="BM338" s="28" t="e">
        <f t="shared" si="693"/>
        <v>#N/A</v>
      </c>
      <c r="BN338" s="33">
        <f>HLOOKUP("maximum population",Miscelaneous!$C$1:$C$33,CH338+3,FALSE)</f>
        <v>240</v>
      </c>
      <c r="BO338" s="14">
        <f t="shared" si="808"/>
        <v>32</v>
      </c>
      <c r="BP338" s="14">
        <f t="shared" si="809"/>
        <v>0</v>
      </c>
      <c r="BQ338" s="14">
        <f t="shared" si="810"/>
        <v>208</v>
      </c>
      <c r="BR338" s="34" t="e">
        <f>HLOOKUP(J338,Villagers!$B$1:$V$33,L338+3,FALSE)-HLOOKUP(J338,Villagers!$B$1:$V$33,L338+2,FALSE)</f>
        <v>#N/A</v>
      </c>
      <c r="BS338" s="49">
        <f t="shared" si="811"/>
        <v>1</v>
      </c>
      <c r="BT338" s="50">
        <f t="shared" si="812"/>
        <v>0</v>
      </c>
      <c r="BU338" s="50">
        <f t="shared" si="813"/>
        <v>0</v>
      </c>
      <c r="BV338" s="50">
        <f t="shared" si="814"/>
        <v>0</v>
      </c>
      <c r="BW338" s="50">
        <f t="shared" si="815"/>
        <v>0</v>
      </c>
      <c r="BX338" s="50">
        <f t="shared" si="815"/>
        <v>0</v>
      </c>
      <c r="BY338" s="50">
        <f t="shared" si="815"/>
        <v>0</v>
      </c>
      <c r="BZ338" s="50">
        <f t="shared" si="707"/>
        <v>0</v>
      </c>
      <c r="CA338" s="50">
        <f t="shared" si="708"/>
        <v>0</v>
      </c>
      <c r="CB338" s="50">
        <f t="shared" si="709"/>
        <v>1</v>
      </c>
      <c r="CC338" s="50">
        <f t="shared" si="710"/>
        <v>0</v>
      </c>
      <c r="CD338" s="50">
        <f t="shared" si="711"/>
        <v>0</v>
      </c>
      <c r="CE338" s="50">
        <f t="shared" si="712"/>
        <v>1</v>
      </c>
      <c r="CF338" s="50">
        <f t="shared" si="713"/>
        <v>1</v>
      </c>
      <c r="CG338" s="50">
        <f t="shared" si="714"/>
        <v>1</v>
      </c>
      <c r="CH338" s="50">
        <f t="shared" si="715"/>
        <v>1</v>
      </c>
      <c r="CI338" s="50">
        <f t="shared" si="716"/>
        <v>1</v>
      </c>
      <c r="CJ338" s="50">
        <f t="shared" si="717"/>
        <v>1</v>
      </c>
      <c r="CK338" s="50">
        <f t="shared" si="717"/>
        <v>0</v>
      </c>
      <c r="CL338" s="50">
        <f t="shared" si="717"/>
        <v>0</v>
      </c>
      <c r="CM338" s="51">
        <f t="shared" si="795"/>
        <v>0</v>
      </c>
      <c r="CN338" s="33">
        <f>ROUND(IF(BS338=0,0,HLOOKUP(BS$14,Villagers!$B$1:$V$33,BS338+3,FALSE)),)</f>
        <v>5</v>
      </c>
      <c r="CO338" s="14">
        <f>ROUND(IF(BT338=0,0,HLOOKUP(BT$14,Villagers!$B$1:$V$33,BT338+3,FALSE)),)</f>
        <v>0</v>
      </c>
      <c r="CP338" s="14">
        <f>ROUND(IF(BU338=0,0,HLOOKUP(BU$14,Villagers!$B$1:$V$33,BU338+3,FALSE)),)</f>
        <v>0</v>
      </c>
      <c r="CQ338" s="14">
        <f>ROUND(IF(BV338=0,0,HLOOKUP(BV$14,Villagers!$B$1:$V$33,BV338+3,FALSE)),)</f>
        <v>0</v>
      </c>
      <c r="CR338" s="14">
        <f>ROUND(IF(BW338=0,0,HLOOKUP(BW$14,Villagers!$B$1:$V$33,BW338+3,FALSE)),)</f>
        <v>0</v>
      </c>
      <c r="CS338" s="14">
        <f>ROUND(IF(BX338=0,0,HLOOKUP(BX$14,Villagers!$B$1:$V$33,BX338+3,FALSE)),)</f>
        <v>0</v>
      </c>
      <c r="CT338" s="14">
        <f>ROUND(IF(BY338=0,0,HLOOKUP(BY$14,Villagers!$B$1:$V$33,BY338+3,FALSE)),)</f>
        <v>0</v>
      </c>
      <c r="CU338" s="14">
        <f>ROUND(IF(BZ338=0,0,HLOOKUP(BZ$14,Villagers!$B$1:$V$33,BZ338+3,FALSE)),)</f>
        <v>0</v>
      </c>
      <c r="CV338" s="14">
        <f>ROUND(IF(CA338=0,0,HLOOKUP(CA$14,Villagers!$B$1:$V$33,CA338+3,FALSE)),)</f>
        <v>0</v>
      </c>
      <c r="CW338" s="14">
        <f>ROUND(IF(CB338=0,0,HLOOKUP(CB$14,Villagers!$B$1:$V$33,CB338+3,FALSE)),)</f>
        <v>0</v>
      </c>
      <c r="CX338" s="14">
        <f>ROUND(IF(CC338=0,0,HLOOKUP(CC$14,Villagers!$B$1:$V$33,CC338+3,FALSE)),)</f>
        <v>0</v>
      </c>
      <c r="CY338" s="14">
        <f>ROUND(IF(CD338=0,0,HLOOKUP(CD$14,Villagers!$B$1:$V$33,CD338+3,FALSE)),)</f>
        <v>0</v>
      </c>
      <c r="CZ338" s="14">
        <f>ROUND(IF(CE338=0,0,HLOOKUP(CE$14,Villagers!$B$1:$V$33,CE338+3,FALSE)),)</f>
        <v>5</v>
      </c>
      <c r="DA338" s="14">
        <f>ROUND(IF(CF338=0,0,HLOOKUP(CF$14,Villagers!$B$1:$V$33,CF338+3,FALSE)),)</f>
        <v>10</v>
      </c>
      <c r="DB338" s="14">
        <f>ROUND(IF(CG338=0,0,HLOOKUP(CG$14,Villagers!$B$1:$V$33,CG338+3,FALSE)),)</f>
        <v>10</v>
      </c>
      <c r="DC338" s="14">
        <f>ROUND(IF(CH338=0,0,HLOOKUP(CH$14,Villagers!$B$1:$V$33,CH338+3,FALSE)),)</f>
        <v>0</v>
      </c>
      <c r="DD338" s="14">
        <f>ROUND(IF(CI338=0,0,HLOOKUP(CI$14,Villagers!$B$1:$V$33,CI338+3,FALSE)),)</f>
        <v>0</v>
      </c>
      <c r="DE338" s="14">
        <f>ROUND(IF(CJ338=0,0,HLOOKUP(CJ$14,Villagers!$B$1:$V$33,CJ338+3,FALSE)),)</f>
        <v>2</v>
      </c>
      <c r="DF338" s="370">
        <f>ROUND(IF(CK338=0,0,HLOOKUP(CK$14,Villagers!$B$1:$V$33,CK338+3,FALSE)),)</f>
        <v>0</v>
      </c>
      <c r="DG338" s="370">
        <f>ROUND(IF(CL338=0,0,HLOOKUP(CL$14,Villagers!$B$1:$V$33,CL338+3,FALSE)),)</f>
        <v>0</v>
      </c>
      <c r="DH338" s="34">
        <f>ROUND(IF(CM338=0,0,HLOOKUP(CM$14,Villagers!$B$1:$V$33,CM338+3,FALSE)),)</f>
        <v>0</v>
      </c>
      <c r="DI338" s="109">
        <f t="shared" si="832"/>
        <v>0</v>
      </c>
      <c r="DJ338" s="50">
        <f t="shared" si="833"/>
        <v>0</v>
      </c>
      <c r="DK338" s="50">
        <f t="shared" si="834"/>
        <v>0</v>
      </c>
      <c r="DL338" s="50">
        <f t="shared" si="835"/>
        <v>0</v>
      </c>
      <c r="DM338" s="50">
        <f t="shared" si="836"/>
        <v>0</v>
      </c>
      <c r="DN338" s="50">
        <f t="shared" si="837"/>
        <v>0</v>
      </c>
      <c r="DO338" s="50">
        <f t="shared" si="838"/>
        <v>0</v>
      </c>
      <c r="DP338" s="50">
        <f t="shared" si="839"/>
        <v>0</v>
      </c>
      <c r="DQ338" s="50">
        <f t="shared" si="816"/>
        <v>0</v>
      </c>
      <c r="DR338" s="50">
        <f t="shared" si="817"/>
        <v>0</v>
      </c>
      <c r="DS338" s="96">
        <f>Miscelaneous!$D$4*Miscelaneous!$D$2^($CI338-1)</f>
        <v>1000</v>
      </c>
      <c r="DT338" s="333">
        <f t="shared" si="796"/>
        <v>1</v>
      </c>
      <c r="DU338" s="81">
        <v>1</v>
      </c>
      <c r="DV338" s="79">
        <f t="shared" si="818"/>
        <v>0</v>
      </c>
      <c r="DW338" s="79">
        <f t="shared" si="819"/>
        <v>0</v>
      </c>
      <c r="DX338" s="79">
        <f t="shared" si="820"/>
        <v>0</v>
      </c>
      <c r="DY338" s="79">
        <v>1</v>
      </c>
      <c r="DZ338" s="79">
        <f t="shared" si="821"/>
        <v>0</v>
      </c>
      <c r="EA338" s="79">
        <f t="shared" si="822"/>
        <v>0</v>
      </c>
      <c r="EB338" s="79">
        <f t="shared" si="823"/>
        <v>0</v>
      </c>
      <c r="EC338" s="79">
        <f t="shared" si="824"/>
        <v>0</v>
      </c>
      <c r="ED338" s="79">
        <v>1</v>
      </c>
      <c r="EE338" s="79">
        <v>1</v>
      </c>
      <c r="EF338" s="79">
        <f t="shared" si="825"/>
        <v>0</v>
      </c>
      <c r="EG338" s="79">
        <v>1</v>
      </c>
      <c r="EH338" s="79">
        <v>1</v>
      </c>
      <c r="EI338" s="79">
        <v>1</v>
      </c>
      <c r="EJ338" s="79">
        <v>1</v>
      </c>
      <c r="EK338" s="79">
        <v>1</v>
      </c>
      <c r="EL338" s="79">
        <v>1</v>
      </c>
      <c r="EM338" s="143">
        <f t="shared" si="826"/>
        <v>0</v>
      </c>
      <c r="EN338" s="143">
        <f t="shared" si="827"/>
        <v>0</v>
      </c>
      <c r="EO338" s="82">
        <f t="shared" si="828"/>
        <v>0</v>
      </c>
    </row>
    <row r="339" spans="1:145" x14ac:dyDescent="0.25">
      <c r="A339">
        <v>325</v>
      </c>
      <c r="B339" s="172" t="e">
        <f t="shared" si="797"/>
        <v>#N/A</v>
      </c>
      <c r="C339" s="121" t="e">
        <f t="shared" ref="C339:E339" si="841">AJ339-SUM(AB339:AB343)</f>
        <v>#N/A</v>
      </c>
      <c r="D339" s="122" t="e">
        <f t="shared" si="841"/>
        <v>#N/A</v>
      </c>
      <c r="E339" s="122" t="e">
        <f t="shared" si="841"/>
        <v>#N/A</v>
      </c>
      <c r="F339" s="176" t="e">
        <f t="shared" si="778"/>
        <v>#N/A</v>
      </c>
      <c r="G339" s="121">
        <f t="shared" si="799"/>
        <v>208</v>
      </c>
      <c r="H339" s="176" t="e">
        <f t="shared" si="800"/>
        <v>#N/A</v>
      </c>
      <c r="I339" s="48">
        <v>1</v>
      </c>
      <c r="J339" s="39"/>
      <c r="K339" s="350">
        <v>1</v>
      </c>
      <c r="L339" s="34" t="e">
        <f t="shared" si="779"/>
        <v>#N/A</v>
      </c>
      <c r="M339" s="38" t="e">
        <f>(HLOOKUP(J339,'Construction Times'!$B$3:$W$34,L339+2,FALSE)*HLOOKUP("hq modifier",'Construction Times'!$W$3:$W$34,BS339+2,FALSE))*(1-$H$9)</f>
        <v>#N/A</v>
      </c>
      <c r="N339" s="426" t="e">
        <f t="shared" si="801"/>
        <v>#N/A</v>
      </c>
      <c r="O339" s="427"/>
      <c r="P339" s="430" t="e">
        <f t="shared" si="802"/>
        <v>#N/A</v>
      </c>
      <c r="Q339" s="431"/>
      <c r="R339" s="103">
        <f t="shared" si="830"/>
        <v>0</v>
      </c>
      <c r="S339" s="104">
        <f t="shared" si="830"/>
        <v>0</v>
      </c>
      <c r="T339" s="104">
        <f t="shared" si="831"/>
        <v>0</v>
      </c>
      <c r="U339" s="104">
        <f t="shared" si="831"/>
        <v>0</v>
      </c>
      <c r="V339" s="104">
        <f t="shared" si="831"/>
        <v>9.9999999999999995E-8</v>
      </c>
      <c r="W339" s="104">
        <f t="shared" si="831"/>
        <v>0</v>
      </c>
      <c r="X339" s="104">
        <f t="shared" si="737"/>
        <v>0</v>
      </c>
      <c r="Y339" s="104">
        <f t="shared" si="737"/>
        <v>9.9999999999999995E-8</v>
      </c>
      <c r="Z339" s="104">
        <f t="shared" si="737"/>
        <v>9.9999999999999995E-8</v>
      </c>
      <c r="AA339" s="105">
        <f t="shared" si="737"/>
        <v>9.9999999999999995E-8</v>
      </c>
      <c r="AB339" s="101" t="e">
        <f>$DT339*HLOOKUP($J339,'Construction Costs (timber)'!$B$1:$V$32,'Construction Planner'!$L339+2,FALSE)</f>
        <v>#N/A</v>
      </c>
      <c r="AC339" s="14" t="e">
        <f>$DT339*HLOOKUP($J339,'Construction Costs (clay)'!$B$1:$V$32,'Construction Planner'!$L339+2,FALSE)</f>
        <v>#N/A</v>
      </c>
      <c r="AD339" s="14" t="e">
        <f>$DT339*HLOOKUP($J339,'Construction Costs (iron)'!$B$1:$V$32,'Construction Planner'!$L339+2,FALSE)</f>
        <v>#N/A</v>
      </c>
      <c r="AE339" s="34" t="e">
        <f t="shared" si="690"/>
        <v>#N/A</v>
      </c>
      <c r="AF339" s="33" t="e">
        <f t="shared" si="780"/>
        <v>#N/A</v>
      </c>
      <c r="AG339" s="14" t="e">
        <f t="shared" si="781"/>
        <v>#N/A</v>
      </c>
      <c r="AH339" s="14" t="e">
        <f t="shared" si="782"/>
        <v>#N/A</v>
      </c>
      <c r="AI339" s="34" t="e">
        <f t="shared" si="691"/>
        <v>#N/A</v>
      </c>
      <c r="AJ339" s="49" t="e">
        <f t="shared" si="804"/>
        <v>#N/A</v>
      </c>
      <c r="AK339" s="49" t="e">
        <f t="shared" si="805"/>
        <v>#N/A</v>
      </c>
      <c r="AL339" s="49" t="e">
        <f t="shared" si="806"/>
        <v>#N/A</v>
      </c>
      <c r="AM339" s="25">
        <f t="shared" si="783"/>
        <v>30</v>
      </c>
      <c r="AN339" s="25">
        <f t="shared" si="784"/>
        <v>30</v>
      </c>
      <c r="AO339" s="25">
        <f t="shared" si="785"/>
        <v>30</v>
      </c>
      <c r="AP339" s="52" t="e">
        <f t="shared" si="807"/>
        <v>#N/A</v>
      </c>
      <c r="AQ339" s="53" t="e">
        <f t="shared" si="807"/>
        <v>#N/A</v>
      </c>
      <c r="AR339" s="54" t="e">
        <f t="shared" si="807"/>
        <v>#N/A</v>
      </c>
      <c r="AS339" s="316">
        <f t="shared" si="766"/>
        <v>0</v>
      </c>
      <c r="AT339" s="106">
        <f>_xlfn.IFNA($M339/VLOOKUP($BT339,'Unit information'!$A$2:$K$29,2,FALSE)*R339,0)*(1+$E$9)</f>
        <v>0</v>
      </c>
      <c r="AU339" s="107">
        <f>_xlfn.IFNA($M339/VLOOKUP($BT339,'Unit information'!$A$2:$K$29,3,FALSE)*S339,0)*(1+$E$9)</f>
        <v>0</v>
      </c>
      <c r="AV339" s="107">
        <f>_xlfn.IFNA($M339/VLOOKUP($BT339,'Unit information'!$A$2:$K$29,4,FALSE)*T339,0)*(1+$E$9)</f>
        <v>0</v>
      </c>
      <c r="AW339" s="107">
        <f>_xlfn.IFNA($M339/VLOOKUP($BT339,'Unit information'!$A$2:$K$29,5,FALSE)*U339,0)*(1+$E$9)</f>
        <v>0</v>
      </c>
      <c r="AX339" s="107">
        <f>_xlfn.IFNA($M339/VLOOKUP($BU339,'Unit information'!$A$2:$K$29,6,FALSE)*V339,0)*(1+$E$9)</f>
        <v>0</v>
      </c>
      <c r="AY339" s="107">
        <f>_xlfn.IFNA($M339/VLOOKUP($BU339,'Unit information'!$A$2:$K$29,7,FALSE)*W339,0)*(1+$E$9)</f>
        <v>0</v>
      </c>
      <c r="AZ339" s="107">
        <f>_xlfn.IFNA($M339/VLOOKUP($BU339,'Unit information'!$A$2:$K$29,8,FALSE)*X339,0)*(1+$E$9)</f>
        <v>0</v>
      </c>
      <c r="BA339" s="107">
        <f>_xlfn.IFNA($M339/VLOOKUP($BU339,'Unit information'!$A$2:$K$29,9,FALSE)*Y339,0)*(1+$E$9)</f>
        <v>0</v>
      </c>
      <c r="BB339" s="107">
        <f>_xlfn.IFNA($M339/VLOOKUP($BV339,'Unit information'!$A$2:$K$29,10,FALSE)*Z339,0)*(1+$E$9)</f>
        <v>0</v>
      </c>
      <c r="BC339" s="108">
        <f>_xlfn.IFNA($M339/VLOOKUP($BV339,'Unit information'!$A$2:$K$29,11,FALSE)*AA339,0)*(1+$E$9)</f>
        <v>0</v>
      </c>
      <c r="BD339" s="106">
        <f t="shared" si="786"/>
        <v>0</v>
      </c>
      <c r="BE339" s="107">
        <f t="shared" si="787"/>
        <v>0</v>
      </c>
      <c r="BF339" s="108">
        <f t="shared" si="788"/>
        <v>0</v>
      </c>
      <c r="BG339" s="25" t="e">
        <f t="shared" si="789"/>
        <v>#N/A</v>
      </c>
      <c r="BH339" s="25" t="e">
        <f t="shared" si="790"/>
        <v>#N/A</v>
      </c>
      <c r="BI339" s="25" t="e">
        <f t="shared" si="791"/>
        <v>#N/A</v>
      </c>
      <c r="BJ339" s="27" t="e">
        <f t="shared" si="792"/>
        <v>#N/A</v>
      </c>
      <c r="BK339" s="18" t="e">
        <f t="shared" si="793"/>
        <v>#N/A</v>
      </c>
      <c r="BL339" s="18" t="e">
        <f t="shared" si="794"/>
        <v>#N/A</v>
      </c>
      <c r="BM339" s="28" t="e">
        <f t="shared" si="693"/>
        <v>#N/A</v>
      </c>
      <c r="BN339" s="33">
        <f>HLOOKUP("maximum population",Miscelaneous!$C$1:$C$33,CH339+3,FALSE)</f>
        <v>240</v>
      </c>
      <c r="BO339" s="14">
        <f t="shared" si="808"/>
        <v>32</v>
      </c>
      <c r="BP339" s="14">
        <f t="shared" si="809"/>
        <v>0</v>
      </c>
      <c r="BQ339" s="14">
        <f t="shared" si="810"/>
        <v>208</v>
      </c>
      <c r="BR339" s="34" t="e">
        <f>HLOOKUP(J339,Villagers!$B$1:$V$33,L339+3,FALSE)-HLOOKUP(J339,Villagers!$B$1:$V$33,L339+2,FALSE)</f>
        <v>#N/A</v>
      </c>
      <c r="BS339" s="49">
        <f t="shared" si="811"/>
        <v>1</v>
      </c>
      <c r="BT339" s="50">
        <f t="shared" si="812"/>
        <v>0</v>
      </c>
      <c r="BU339" s="50">
        <f t="shared" si="813"/>
        <v>0</v>
      </c>
      <c r="BV339" s="50">
        <f t="shared" si="814"/>
        <v>0</v>
      </c>
      <c r="BW339" s="50">
        <f t="shared" si="815"/>
        <v>0</v>
      </c>
      <c r="BX339" s="50">
        <f t="shared" si="815"/>
        <v>0</v>
      </c>
      <c r="BY339" s="50">
        <f t="shared" si="815"/>
        <v>0</v>
      </c>
      <c r="BZ339" s="50">
        <f t="shared" si="707"/>
        <v>0</v>
      </c>
      <c r="CA339" s="50">
        <f t="shared" si="708"/>
        <v>0</v>
      </c>
      <c r="CB339" s="50">
        <f t="shared" si="709"/>
        <v>1</v>
      </c>
      <c r="CC339" s="50">
        <f t="shared" si="710"/>
        <v>0</v>
      </c>
      <c r="CD339" s="50">
        <f t="shared" si="711"/>
        <v>0</v>
      </c>
      <c r="CE339" s="50">
        <f t="shared" si="712"/>
        <v>1</v>
      </c>
      <c r="CF339" s="50">
        <f t="shared" si="713"/>
        <v>1</v>
      </c>
      <c r="CG339" s="50">
        <f t="shared" si="714"/>
        <v>1</v>
      </c>
      <c r="CH339" s="50">
        <f t="shared" si="715"/>
        <v>1</v>
      </c>
      <c r="CI339" s="50">
        <f t="shared" si="716"/>
        <v>1</v>
      </c>
      <c r="CJ339" s="50">
        <f t="shared" si="717"/>
        <v>1</v>
      </c>
      <c r="CK339" s="50">
        <f t="shared" si="717"/>
        <v>0</v>
      </c>
      <c r="CL339" s="50">
        <f t="shared" si="717"/>
        <v>0</v>
      </c>
      <c r="CM339" s="51">
        <f t="shared" si="795"/>
        <v>0</v>
      </c>
      <c r="CN339" s="33">
        <f>ROUND(IF(BS339=0,0,HLOOKUP(BS$14,Villagers!$B$1:$V$33,BS339+3,FALSE)),)</f>
        <v>5</v>
      </c>
      <c r="CO339" s="14">
        <f>ROUND(IF(BT339=0,0,HLOOKUP(BT$14,Villagers!$B$1:$V$33,BT339+3,FALSE)),)</f>
        <v>0</v>
      </c>
      <c r="CP339" s="14">
        <f>ROUND(IF(BU339=0,0,HLOOKUP(BU$14,Villagers!$B$1:$V$33,BU339+3,FALSE)),)</f>
        <v>0</v>
      </c>
      <c r="CQ339" s="14">
        <f>ROUND(IF(BV339=0,0,HLOOKUP(BV$14,Villagers!$B$1:$V$33,BV339+3,FALSE)),)</f>
        <v>0</v>
      </c>
      <c r="CR339" s="14">
        <f>ROUND(IF(BW339=0,0,HLOOKUP(BW$14,Villagers!$B$1:$V$33,BW339+3,FALSE)),)</f>
        <v>0</v>
      </c>
      <c r="CS339" s="14">
        <f>ROUND(IF(BX339=0,0,HLOOKUP(BX$14,Villagers!$B$1:$V$33,BX339+3,FALSE)),)</f>
        <v>0</v>
      </c>
      <c r="CT339" s="14">
        <f>ROUND(IF(BY339=0,0,HLOOKUP(BY$14,Villagers!$B$1:$V$33,BY339+3,FALSE)),)</f>
        <v>0</v>
      </c>
      <c r="CU339" s="14">
        <f>ROUND(IF(BZ339=0,0,HLOOKUP(BZ$14,Villagers!$B$1:$V$33,BZ339+3,FALSE)),)</f>
        <v>0</v>
      </c>
      <c r="CV339" s="14">
        <f>ROUND(IF(CA339=0,0,HLOOKUP(CA$14,Villagers!$B$1:$V$33,CA339+3,FALSE)),)</f>
        <v>0</v>
      </c>
      <c r="CW339" s="14">
        <f>ROUND(IF(CB339=0,0,HLOOKUP(CB$14,Villagers!$B$1:$V$33,CB339+3,FALSE)),)</f>
        <v>0</v>
      </c>
      <c r="CX339" s="14">
        <f>ROUND(IF(CC339=0,0,HLOOKUP(CC$14,Villagers!$B$1:$V$33,CC339+3,FALSE)),)</f>
        <v>0</v>
      </c>
      <c r="CY339" s="14">
        <f>ROUND(IF(CD339=0,0,HLOOKUP(CD$14,Villagers!$B$1:$V$33,CD339+3,FALSE)),)</f>
        <v>0</v>
      </c>
      <c r="CZ339" s="14">
        <f>ROUND(IF(CE339=0,0,HLOOKUP(CE$14,Villagers!$B$1:$V$33,CE339+3,FALSE)),)</f>
        <v>5</v>
      </c>
      <c r="DA339" s="14">
        <f>ROUND(IF(CF339=0,0,HLOOKUP(CF$14,Villagers!$B$1:$V$33,CF339+3,FALSE)),)</f>
        <v>10</v>
      </c>
      <c r="DB339" s="14">
        <f>ROUND(IF(CG339=0,0,HLOOKUP(CG$14,Villagers!$B$1:$V$33,CG339+3,FALSE)),)</f>
        <v>10</v>
      </c>
      <c r="DC339" s="14">
        <f>ROUND(IF(CH339=0,0,HLOOKUP(CH$14,Villagers!$B$1:$V$33,CH339+3,FALSE)),)</f>
        <v>0</v>
      </c>
      <c r="DD339" s="14">
        <f>ROUND(IF(CI339=0,0,HLOOKUP(CI$14,Villagers!$B$1:$V$33,CI339+3,FALSE)),)</f>
        <v>0</v>
      </c>
      <c r="DE339" s="14">
        <f>ROUND(IF(CJ339=0,0,HLOOKUP(CJ$14,Villagers!$B$1:$V$33,CJ339+3,FALSE)),)</f>
        <v>2</v>
      </c>
      <c r="DF339" s="370">
        <f>ROUND(IF(CK339=0,0,HLOOKUP(CK$14,Villagers!$B$1:$V$33,CK339+3,FALSE)),)</f>
        <v>0</v>
      </c>
      <c r="DG339" s="370">
        <f>ROUND(IF(CL339=0,0,HLOOKUP(CL$14,Villagers!$B$1:$V$33,CL339+3,FALSE)),)</f>
        <v>0</v>
      </c>
      <c r="DH339" s="34">
        <f>ROUND(IF(CM339=0,0,HLOOKUP(CM$14,Villagers!$B$1:$V$33,CM339+3,FALSE)),)</f>
        <v>0</v>
      </c>
      <c r="DI339" s="109">
        <f t="shared" si="832"/>
        <v>0</v>
      </c>
      <c r="DJ339" s="50">
        <f t="shared" si="833"/>
        <v>0</v>
      </c>
      <c r="DK339" s="50">
        <f t="shared" si="834"/>
        <v>0</v>
      </c>
      <c r="DL339" s="50">
        <f t="shared" si="835"/>
        <v>0</v>
      </c>
      <c r="DM339" s="50">
        <f t="shared" si="836"/>
        <v>0</v>
      </c>
      <c r="DN339" s="50">
        <f t="shared" si="837"/>
        <v>0</v>
      </c>
      <c r="DO339" s="50">
        <f t="shared" si="838"/>
        <v>0</v>
      </c>
      <c r="DP339" s="50">
        <f t="shared" si="839"/>
        <v>0</v>
      </c>
      <c r="DQ339" s="50">
        <f t="shared" si="816"/>
        <v>0</v>
      </c>
      <c r="DR339" s="50">
        <f t="shared" si="817"/>
        <v>0</v>
      </c>
      <c r="DS339" s="96">
        <f>Miscelaneous!$D$4*Miscelaneous!$D$2^($CI339-1)</f>
        <v>1000</v>
      </c>
      <c r="DT339" s="333">
        <f t="shared" si="796"/>
        <v>1</v>
      </c>
      <c r="DU339" s="81">
        <v>1</v>
      </c>
      <c r="DV339" s="79">
        <f t="shared" si="818"/>
        <v>0</v>
      </c>
      <c r="DW339" s="79">
        <f t="shared" si="819"/>
        <v>0</v>
      </c>
      <c r="DX339" s="79">
        <f t="shared" si="820"/>
        <v>0</v>
      </c>
      <c r="DY339" s="79">
        <v>1</v>
      </c>
      <c r="DZ339" s="79">
        <f t="shared" si="821"/>
        <v>0</v>
      </c>
      <c r="EA339" s="79">
        <f t="shared" si="822"/>
        <v>0</v>
      </c>
      <c r="EB339" s="79">
        <f t="shared" si="823"/>
        <v>0</v>
      </c>
      <c r="EC339" s="79">
        <f t="shared" si="824"/>
        <v>0</v>
      </c>
      <c r="ED339" s="79">
        <v>1</v>
      </c>
      <c r="EE339" s="79">
        <v>1</v>
      </c>
      <c r="EF339" s="79">
        <f t="shared" si="825"/>
        <v>0</v>
      </c>
      <c r="EG339" s="79">
        <v>1</v>
      </c>
      <c r="EH339" s="79">
        <v>1</v>
      </c>
      <c r="EI339" s="79">
        <v>1</v>
      </c>
      <c r="EJ339" s="79">
        <v>1</v>
      </c>
      <c r="EK339" s="79">
        <v>1</v>
      </c>
      <c r="EL339" s="79">
        <v>1</v>
      </c>
      <c r="EM339" s="143">
        <f t="shared" si="826"/>
        <v>0</v>
      </c>
      <c r="EN339" s="143">
        <f t="shared" si="827"/>
        <v>0</v>
      </c>
      <c r="EO339" s="82">
        <f t="shared" si="828"/>
        <v>0</v>
      </c>
    </row>
    <row r="340" spans="1:145" x14ac:dyDescent="0.25">
      <c r="A340">
        <v>326</v>
      </c>
      <c r="B340" s="172" t="e">
        <f t="shared" si="797"/>
        <v>#N/A</v>
      </c>
      <c r="C340" s="121" t="e">
        <f t="shared" ref="C340:E340" si="842">AJ340-SUM(AB340:AB344)</f>
        <v>#N/A</v>
      </c>
      <c r="D340" s="122" t="e">
        <f t="shared" si="842"/>
        <v>#N/A</v>
      </c>
      <c r="E340" s="122" t="e">
        <f t="shared" si="842"/>
        <v>#N/A</v>
      </c>
      <c r="F340" s="176" t="e">
        <f t="shared" si="778"/>
        <v>#N/A</v>
      </c>
      <c r="G340" s="121">
        <f t="shared" si="799"/>
        <v>208</v>
      </c>
      <c r="H340" s="176" t="e">
        <f t="shared" si="800"/>
        <v>#N/A</v>
      </c>
      <c r="I340" s="48">
        <v>1</v>
      </c>
      <c r="J340" s="39"/>
      <c r="K340" s="350">
        <v>1</v>
      </c>
      <c r="L340" s="34" t="e">
        <f t="shared" si="779"/>
        <v>#N/A</v>
      </c>
      <c r="M340" s="38" t="e">
        <f>(HLOOKUP(J340,'Construction Times'!$B$3:$W$34,L340+2,FALSE)*HLOOKUP("hq modifier",'Construction Times'!$W$3:$W$34,BS340+2,FALSE))*(1-$H$9)</f>
        <v>#N/A</v>
      </c>
      <c r="N340" s="426" t="e">
        <f t="shared" si="801"/>
        <v>#N/A</v>
      </c>
      <c r="O340" s="427"/>
      <c r="P340" s="430" t="e">
        <f t="shared" si="802"/>
        <v>#N/A</v>
      </c>
      <c r="Q340" s="431"/>
      <c r="R340" s="103">
        <f t="shared" si="830"/>
        <v>0</v>
      </c>
      <c r="S340" s="104">
        <f t="shared" si="830"/>
        <v>0</v>
      </c>
      <c r="T340" s="104">
        <f t="shared" si="831"/>
        <v>0</v>
      </c>
      <c r="U340" s="104">
        <f t="shared" si="831"/>
        <v>0</v>
      </c>
      <c r="V340" s="104">
        <f t="shared" si="831"/>
        <v>9.9999999999999995E-8</v>
      </c>
      <c r="W340" s="104">
        <f t="shared" si="831"/>
        <v>0</v>
      </c>
      <c r="X340" s="104">
        <f t="shared" si="737"/>
        <v>0</v>
      </c>
      <c r="Y340" s="104">
        <f t="shared" si="737"/>
        <v>9.9999999999999995E-8</v>
      </c>
      <c r="Z340" s="104">
        <f t="shared" si="737"/>
        <v>9.9999999999999995E-8</v>
      </c>
      <c r="AA340" s="105">
        <f t="shared" si="737"/>
        <v>9.9999999999999995E-8</v>
      </c>
      <c r="AB340" s="101" t="e">
        <f>$DT340*HLOOKUP($J340,'Construction Costs (timber)'!$B$1:$V$32,'Construction Planner'!$L340+2,FALSE)</f>
        <v>#N/A</v>
      </c>
      <c r="AC340" s="14" t="e">
        <f>$DT340*HLOOKUP($J340,'Construction Costs (clay)'!$B$1:$V$32,'Construction Planner'!$L340+2,FALSE)</f>
        <v>#N/A</v>
      </c>
      <c r="AD340" s="14" t="e">
        <f>$DT340*HLOOKUP($J340,'Construction Costs (iron)'!$B$1:$V$32,'Construction Planner'!$L340+2,FALSE)</f>
        <v>#N/A</v>
      </c>
      <c r="AE340" s="34" t="e">
        <f t="shared" ref="AE340:AE403" si="843">SUM(AB340:AD340)</f>
        <v>#N/A</v>
      </c>
      <c r="AF340" s="33" t="e">
        <f t="shared" si="780"/>
        <v>#N/A</v>
      </c>
      <c r="AG340" s="14" t="e">
        <f t="shared" si="781"/>
        <v>#N/A</v>
      </c>
      <c r="AH340" s="14" t="e">
        <f t="shared" si="782"/>
        <v>#N/A</v>
      </c>
      <c r="AI340" s="34" t="e">
        <f t="shared" ref="AI340:AI403" si="844">SUM(AF340:AH340)</f>
        <v>#N/A</v>
      </c>
      <c r="AJ340" s="49" t="e">
        <f t="shared" si="804"/>
        <v>#N/A</v>
      </c>
      <c r="AK340" s="49" t="e">
        <f t="shared" si="805"/>
        <v>#N/A</v>
      </c>
      <c r="AL340" s="49" t="e">
        <f t="shared" si="806"/>
        <v>#N/A</v>
      </c>
      <c r="AM340" s="25">
        <f t="shared" si="783"/>
        <v>30</v>
      </c>
      <c r="AN340" s="25">
        <f t="shared" si="784"/>
        <v>30</v>
      </c>
      <c r="AO340" s="25">
        <f t="shared" si="785"/>
        <v>30</v>
      </c>
      <c r="AP340" s="52" t="e">
        <f t="shared" si="807"/>
        <v>#N/A</v>
      </c>
      <c r="AQ340" s="53" t="e">
        <f t="shared" si="807"/>
        <v>#N/A</v>
      </c>
      <c r="AR340" s="54" t="e">
        <f t="shared" si="807"/>
        <v>#N/A</v>
      </c>
      <c r="AS340" s="316">
        <f t="shared" ref="AS340:AS355" si="845">AS339</f>
        <v>0</v>
      </c>
      <c r="AT340" s="106">
        <f>_xlfn.IFNA($M340/VLOOKUP($BT340,'Unit information'!$A$2:$K$29,2,FALSE)*R340,0)*(1+$E$9)</f>
        <v>0</v>
      </c>
      <c r="AU340" s="107">
        <f>_xlfn.IFNA($M340/VLOOKUP($BT340,'Unit information'!$A$2:$K$29,3,FALSE)*S340,0)*(1+$E$9)</f>
        <v>0</v>
      </c>
      <c r="AV340" s="107">
        <f>_xlfn.IFNA($M340/VLOOKUP($BT340,'Unit information'!$A$2:$K$29,4,FALSE)*T340,0)*(1+$E$9)</f>
        <v>0</v>
      </c>
      <c r="AW340" s="107">
        <f>_xlfn.IFNA($M340/VLOOKUP($BT340,'Unit information'!$A$2:$K$29,5,FALSE)*U340,0)*(1+$E$9)</f>
        <v>0</v>
      </c>
      <c r="AX340" s="107">
        <f>_xlfn.IFNA($M340/VLOOKUP($BU340,'Unit information'!$A$2:$K$29,6,FALSE)*V340,0)*(1+$E$9)</f>
        <v>0</v>
      </c>
      <c r="AY340" s="107">
        <f>_xlfn.IFNA($M340/VLOOKUP($BU340,'Unit information'!$A$2:$K$29,7,FALSE)*W340,0)*(1+$E$9)</f>
        <v>0</v>
      </c>
      <c r="AZ340" s="107">
        <f>_xlfn.IFNA($M340/VLOOKUP($BU340,'Unit information'!$A$2:$K$29,8,FALSE)*X340,0)*(1+$E$9)</f>
        <v>0</v>
      </c>
      <c r="BA340" s="107">
        <f>_xlfn.IFNA($M340/VLOOKUP($BU340,'Unit information'!$A$2:$K$29,9,FALSE)*Y340,0)*(1+$E$9)</f>
        <v>0</v>
      </c>
      <c r="BB340" s="107">
        <f>_xlfn.IFNA($M340/VLOOKUP($BV340,'Unit information'!$A$2:$K$29,10,FALSE)*Z340,0)*(1+$E$9)</f>
        <v>0</v>
      </c>
      <c r="BC340" s="108">
        <f>_xlfn.IFNA($M340/VLOOKUP($BV340,'Unit information'!$A$2:$K$29,11,FALSE)*AA340,0)*(1+$E$9)</f>
        <v>0</v>
      </c>
      <c r="BD340" s="106">
        <f t="shared" si="786"/>
        <v>0</v>
      </c>
      <c r="BE340" s="107">
        <f t="shared" si="787"/>
        <v>0</v>
      </c>
      <c r="BF340" s="108">
        <f t="shared" si="788"/>
        <v>0</v>
      </c>
      <c r="BG340" s="25" t="e">
        <f t="shared" si="789"/>
        <v>#N/A</v>
      </c>
      <c r="BH340" s="25" t="e">
        <f t="shared" si="790"/>
        <v>#N/A</v>
      </c>
      <c r="BI340" s="25" t="e">
        <f t="shared" si="791"/>
        <v>#N/A</v>
      </c>
      <c r="BJ340" s="27" t="e">
        <f t="shared" si="792"/>
        <v>#N/A</v>
      </c>
      <c r="BK340" s="18" t="e">
        <f t="shared" si="793"/>
        <v>#N/A</v>
      </c>
      <c r="BL340" s="18" t="e">
        <f t="shared" si="794"/>
        <v>#N/A</v>
      </c>
      <c r="BM340" s="28" t="e">
        <f t="shared" ref="BM340:BM403" si="846">MAX(BJ340:BL340)</f>
        <v>#N/A</v>
      </c>
      <c r="BN340" s="33">
        <f>HLOOKUP("maximum population",Miscelaneous!$C$1:$C$33,CH340+3,FALSE)</f>
        <v>240</v>
      </c>
      <c r="BO340" s="14">
        <f t="shared" si="808"/>
        <v>32</v>
      </c>
      <c r="BP340" s="14">
        <f t="shared" si="809"/>
        <v>0</v>
      </c>
      <c r="BQ340" s="14">
        <f t="shared" si="810"/>
        <v>208</v>
      </c>
      <c r="BR340" s="34" t="e">
        <f>HLOOKUP(J340,Villagers!$B$1:$V$33,L340+3,FALSE)-HLOOKUP(J340,Villagers!$B$1:$V$33,L340+2,FALSE)</f>
        <v>#N/A</v>
      </c>
      <c r="BS340" s="49">
        <f t="shared" si="811"/>
        <v>1</v>
      </c>
      <c r="BT340" s="50">
        <f t="shared" si="812"/>
        <v>0</v>
      </c>
      <c r="BU340" s="50">
        <f t="shared" si="813"/>
        <v>0</v>
      </c>
      <c r="BV340" s="50">
        <f t="shared" si="814"/>
        <v>0</v>
      </c>
      <c r="BW340" s="50">
        <f t="shared" si="815"/>
        <v>0</v>
      </c>
      <c r="BX340" s="50">
        <f t="shared" si="815"/>
        <v>0</v>
      </c>
      <c r="BY340" s="50">
        <f t="shared" si="815"/>
        <v>0</v>
      </c>
      <c r="BZ340" s="50">
        <f t="shared" si="707"/>
        <v>0</v>
      </c>
      <c r="CA340" s="50">
        <f t="shared" si="708"/>
        <v>0</v>
      </c>
      <c r="CB340" s="50">
        <f t="shared" si="709"/>
        <v>1</v>
      </c>
      <c r="CC340" s="50">
        <f t="shared" si="710"/>
        <v>0</v>
      </c>
      <c r="CD340" s="50">
        <f t="shared" si="711"/>
        <v>0</v>
      </c>
      <c r="CE340" s="50">
        <f t="shared" si="712"/>
        <v>1</v>
      </c>
      <c r="CF340" s="50">
        <f t="shared" si="713"/>
        <v>1</v>
      </c>
      <c r="CG340" s="50">
        <f t="shared" si="714"/>
        <v>1</v>
      </c>
      <c r="CH340" s="50">
        <f t="shared" si="715"/>
        <v>1</v>
      </c>
      <c r="CI340" s="50">
        <f t="shared" si="716"/>
        <v>1</v>
      </c>
      <c r="CJ340" s="50">
        <f t="shared" si="717"/>
        <v>1</v>
      </c>
      <c r="CK340" s="50">
        <f t="shared" si="717"/>
        <v>0</v>
      </c>
      <c r="CL340" s="50">
        <f t="shared" si="717"/>
        <v>0</v>
      </c>
      <c r="CM340" s="51">
        <f t="shared" si="795"/>
        <v>0</v>
      </c>
      <c r="CN340" s="33">
        <f>ROUND(IF(BS340=0,0,HLOOKUP(BS$14,Villagers!$B$1:$V$33,BS340+3,FALSE)),)</f>
        <v>5</v>
      </c>
      <c r="CO340" s="14">
        <f>ROUND(IF(BT340=0,0,HLOOKUP(BT$14,Villagers!$B$1:$V$33,BT340+3,FALSE)),)</f>
        <v>0</v>
      </c>
      <c r="CP340" s="14">
        <f>ROUND(IF(BU340=0,0,HLOOKUP(BU$14,Villagers!$B$1:$V$33,BU340+3,FALSE)),)</f>
        <v>0</v>
      </c>
      <c r="CQ340" s="14">
        <f>ROUND(IF(BV340=0,0,HLOOKUP(BV$14,Villagers!$B$1:$V$33,BV340+3,FALSE)),)</f>
        <v>0</v>
      </c>
      <c r="CR340" s="14">
        <f>ROUND(IF(BW340=0,0,HLOOKUP(BW$14,Villagers!$B$1:$V$33,BW340+3,FALSE)),)</f>
        <v>0</v>
      </c>
      <c r="CS340" s="14">
        <f>ROUND(IF(BX340=0,0,HLOOKUP(BX$14,Villagers!$B$1:$V$33,BX340+3,FALSE)),)</f>
        <v>0</v>
      </c>
      <c r="CT340" s="14">
        <f>ROUND(IF(BY340=0,0,HLOOKUP(BY$14,Villagers!$B$1:$V$33,BY340+3,FALSE)),)</f>
        <v>0</v>
      </c>
      <c r="CU340" s="14">
        <f>ROUND(IF(BZ340=0,0,HLOOKUP(BZ$14,Villagers!$B$1:$V$33,BZ340+3,FALSE)),)</f>
        <v>0</v>
      </c>
      <c r="CV340" s="14">
        <f>ROUND(IF(CA340=0,0,HLOOKUP(CA$14,Villagers!$B$1:$V$33,CA340+3,FALSE)),)</f>
        <v>0</v>
      </c>
      <c r="CW340" s="14">
        <f>ROUND(IF(CB340=0,0,HLOOKUP(CB$14,Villagers!$B$1:$V$33,CB340+3,FALSE)),)</f>
        <v>0</v>
      </c>
      <c r="CX340" s="14">
        <f>ROUND(IF(CC340=0,0,HLOOKUP(CC$14,Villagers!$B$1:$V$33,CC340+3,FALSE)),)</f>
        <v>0</v>
      </c>
      <c r="CY340" s="14">
        <f>ROUND(IF(CD340=0,0,HLOOKUP(CD$14,Villagers!$B$1:$V$33,CD340+3,FALSE)),)</f>
        <v>0</v>
      </c>
      <c r="CZ340" s="14">
        <f>ROUND(IF(CE340=0,0,HLOOKUP(CE$14,Villagers!$B$1:$V$33,CE340+3,FALSE)),)</f>
        <v>5</v>
      </c>
      <c r="DA340" s="14">
        <f>ROUND(IF(CF340=0,0,HLOOKUP(CF$14,Villagers!$B$1:$V$33,CF340+3,FALSE)),)</f>
        <v>10</v>
      </c>
      <c r="DB340" s="14">
        <f>ROUND(IF(CG340=0,0,HLOOKUP(CG$14,Villagers!$B$1:$V$33,CG340+3,FALSE)),)</f>
        <v>10</v>
      </c>
      <c r="DC340" s="14">
        <f>ROUND(IF(CH340=0,0,HLOOKUP(CH$14,Villagers!$B$1:$V$33,CH340+3,FALSE)),)</f>
        <v>0</v>
      </c>
      <c r="DD340" s="14">
        <f>ROUND(IF(CI340=0,0,HLOOKUP(CI$14,Villagers!$B$1:$V$33,CI340+3,FALSE)),)</f>
        <v>0</v>
      </c>
      <c r="DE340" s="14">
        <f>ROUND(IF(CJ340=0,0,HLOOKUP(CJ$14,Villagers!$B$1:$V$33,CJ340+3,FALSE)),)</f>
        <v>2</v>
      </c>
      <c r="DF340" s="370">
        <f>ROUND(IF(CK340=0,0,HLOOKUP(CK$14,Villagers!$B$1:$V$33,CK340+3,FALSE)),)</f>
        <v>0</v>
      </c>
      <c r="DG340" s="370">
        <f>ROUND(IF(CL340=0,0,HLOOKUP(CL$14,Villagers!$B$1:$V$33,CL340+3,FALSE)),)</f>
        <v>0</v>
      </c>
      <c r="DH340" s="34">
        <f>ROUND(IF(CM340=0,0,HLOOKUP(CM$14,Villagers!$B$1:$V$33,CM340+3,FALSE)),)</f>
        <v>0</v>
      </c>
      <c r="DI340" s="109">
        <f t="shared" si="832"/>
        <v>0</v>
      </c>
      <c r="DJ340" s="50">
        <f t="shared" si="833"/>
        <v>0</v>
      </c>
      <c r="DK340" s="50">
        <f t="shared" si="834"/>
        <v>0</v>
      </c>
      <c r="DL340" s="50">
        <f t="shared" si="835"/>
        <v>0</v>
      </c>
      <c r="DM340" s="50">
        <f t="shared" si="836"/>
        <v>0</v>
      </c>
      <c r="DN340" s="50">
        <f t="shared" si="837"/>
        <v>0</v>
      </c>
      <c r="DO340" s="50">
        <f t="shared" si="838"/>
        <v>0</v>
      </c>
      <c r="DP340" s="50">
        <f t="shared" si="839"/>
        <v>0</v>
      </c>
      <c r="DQ340" s="50">
        <f t="shared" si="816"/>
        <v>0</v>
      </c>
      <c r="DR340" s="50">
        <f t="shared" si="817"/>
        <v>0</v>
      </c>
      <c r="DS340" s="96">
        <f>Miscelaneous!$D$4*Miscelaneous!$D$2^($CI340-1)</f>
        <v>1000</v>
      </c>
      <c r="DT340" s="333">
        <f t="shared" si="796"/>
        <v>1</v>
      </c>
      <c r="DU340" s="81">
        <v>1</v>
      </c>
      <c r="DV340" s="79">
        <f t="shared" si="818"/>
        <v>0</v>
      </c>
      <c r="DW340" s="79">
        <f t="shared" si="819"/>
        <v>0</v>
      </c>
      <c r="DX340" s="79">
        <f t="shared" si="820"/>
        <v>0</v>
      </c>
      <c r="DY340" s="79">
        <v>1</v>
      </c>
      <c r="DZ340" s="79">
        <f t="shared" si="821"/>
        <v>0</v>
      </c>
      <c r="EA340" s="79">
        <f t="shared" si="822"/>
        <v>0</v>
      </c>
      <c r="EB340" s="79">
        <f t="shared" si="823"/>
        <v>0</v>
      </c>
      <c r="EC340" s="79">
        <f t="shared" si="824"/>
        <v>0</v>
      </c>
      <c r="ED340" s="79">
        <v>1</v>
      </c>
      <c r="EE340" s="79">
        <v>1</v>
      </c>
      <c r="EF340" s="79">
        <f t="shared" si="825"/>
        <v>0</v>
      </c>
      <c r="EG340" s="79">
        <v>1</v>
      </c>
      <c r="EH340" s="79">
        <v>1</v>
      </c>
      <c r="EI340" s="79">
        <v>1</v>
      </c>
      <c r="EJ340" s="79">
        <v>1</v>
      </c>
      <c r="EK340" s="79">
        <v>1</v>
      </c>
      <c r="EL340" s="79">
        <v>1</v>
      </c>
      <c r="EM340" s="143">
        <f t="shared" si="826"/>
        <v>0</v>
      </c>
      <c r="EN340" s="143">
        <f t="shared" si="827"/>
        <v>0</v>
      </c>
      <c r="EO340" s="82">
        <f t="shared" si="828"/>
        <v>0</v>
      </c>
    </row>
    <row r="341" spans="1:145" x14ac:dyDescent="0.25">
      <c r="A341">
        <v>327</v>
      </c>
      <c r="B341" s="172" t="e">
        <f t="shared" si="797"/>
        <v>#N/A</v>
      </c>
      <c r="C341" s="121" t="e">
        <f t="shared" ref="C341:E341" si="847">AJ341-SUM(AB341:AB345)</f>
        <v>#N/A</v>
      </c>
      <c r="D341" s="122" t="e">
        <f t="shared" si="847"/>
        <v>#N/A</v>
      </c>
      <c r="E341" s="122" t="e">
        <f t="shared" si="847"/>
        <v>#N/A</v>
      </c>
      <c r="F341" s="176" t="e">
        <f t="shared" si="778"/>
        <v>#N/A</v>
      </c>
      <c r="G341" s="121">
        <f t="shared" si="799"/>
        <v>208</v>
      </c>
      <c r="H341" s="176" t="e">
        <f t="shared" si="800"/>
        <v>#N/A</v>
      </c>
      <c r="I341" s="48">
        <v>1</v>
      </c>
      <c r="J341" s="39"/>
      <c r="K341" s="350">
        <v>1</v>
      </c>
      <c r="L341" s="34" t="e">
        <f t="shared" si="779"/>
        <v>#N/A</v>
      </c>
      <c r="M341" s="38" t="e">
        <f>(HLOOKUP(J341,'Construction Times'!$B$3:$W$34,L341+2,FALSE)*HLOOKUP("hq modifier",'Construction Times'!$W$3:$W$34,BS341+2,FALSE))*(1-$H$9)</f>
        <v>#N/A</v>
      </c>
      <c r="N341" s="426" t="e">
        <f t="shared" si="801"/>
        <v>#N/A</v>
      </c>
      <c r="O341" s="427"/>
      <c r="P341" s="430" t="e">
        <f t="shared" si="802"/>
        <v>#N/A</v>
      </c>
      <c r="Q341" s="431"/>
      <c r="R341" s="103">
        <f t="shared" si="830"/>
        <v>0</v>
      </c>
      <c r="S341" s="104">
        <f t="shared" si="830"/>
        <v>0</v>
      </c>
      <c r="T341" s="104">
        <f t="shared" si="831"/>
        <v>0</v>
      </c>
      <c r="U341" s="104">
        <f t="shared" si="831"/>
        <v>0</v>
      </c>
      <c r="V341" s="104">
        <f t="shared" si="831"/>
        <v>9.9999999999999995E-8</v>
      </c>
      <c r="W341" s="104">
        <f t="shared" si="831"/>
        <v>0</v>
      </c>
      <c r="X341" s="104">
        <f t="shared" si="737"/>
        <v>0</v>
      </c>
      <c r="Y341" s="104">
        <f t="shared" si="737"/>
        <v>9.9999999999999995E-8</v>
      </c>
      <c r="Z341" s="104">
        <f t="shared" si="737"/>
        <v>9.9999999999999995E-8</v>
      </c>
      <c r="AA341" s="105">
        <f t="shared" si="737"/>
        <v>9.9999999999999995E-8</v>
      </c>
      <c r="AB341" s="101" t="e">
        <f>$DT341*HLOOKUP($J341,'Construction Costs (timber)'!$B$1:$V$32,'Construction Planner'!$L341+2,FALSE)</f>
        <v>#N/A</v>
      </c>
      <c r="AC341" s="14" t="e">
        <f>$DT341*HLOOKUP($J341,'Construction Costs (clay)'!$B$1:$V$32,'Construction Planner'!$L341+2,FALSE)</f>
        <v>#N/A</v>
      </c>
      <c r="AD341" s="14" t="e">
        <f>$DT341*HLOOKUP($J341,'Construction Costs (iron)'!$B$1:$V$32,'Construction Planner'!$L341+2,FALSE)</f>
        <v>#N/A</v>
      </c>
      <c r="AE341" s="34" t="e">
        <f t="shared" si="843"/>
        <v>#N/A</v>
      </c>
      <c r="AF341" s="33" t="e">
        <f t="shared" si="780"/>
        <v>#N/A</v>
      </c>
      <c r="AG341" s="14" t="e">
        <f t="shared" si="781"/>
        <v>#N/A</v>
      </c>
      <c r="AH341" s="14" t="e">
        <f t="shared" si="782"/>
        <v>#N/A</v>
      </c>
      <c r="AI341" s="34" t="e">
        <f t="shared" si="844"/>
        <v>#N/A</v>
      </c>
      <c r="AJ341" s="49" t="e">
        <f t="shared" si="804"/>
        <v>#N/A</v>
      </c>
      <c r="AK341" s="49" t="e">
        <f t="shared" si="805"/>
        <v>#N/A</v>
      </c>
      <c r="AL341" s="49" t="e">
        <f t="shared" si="806"/>
        <v>#N/A</v>
      </c>
      <c r="AM341" s="25">
        <f t="shared" si="783"/>
        <v>30</v>
      </c>
      <c r="AN341" s="25">
        <f t="shared" si="784"/>
        <v>30</v>
      </c>
      <c r="AO341" s="25">
        <f t="shared" si="785"/>
        <v>30</v>
      </c>
      <c r="AP341" s="52" t="e">
        <f t="shared" si="807"/>
        <v>#N/A</v>
      </c>
      <c r="AQ341" s="53" t="e">
        <f t="shared" si="807"/>
        <v>#N/A</v>
      </c>
      <c r="AR341" s="54" t="e">
        <f t="shared" si="807"/>
        <v>#N/A</v>
      </c>
      <c r="AS341" s="316">
        <f t="shared" si="845"/>
        <v>0</v>
      </c>
      <c r="AT341" s="106">
        <f>_xlfn.IFNA($M341/VLOOKUP($BT341,'Unit information'!$A$2:$K$29,2,FALSE)*R341,0)*(1+$E$9)</f>
        <v>0</v>
      </c>
      <c r="AU341" s="107">
        <f>_xlfn.IFNA($M341/VLOOKUP($BT341,'Unit information'!$A$2:$K$29,3,FALSE)*S341,0)*(1+$E$9)</f>
        <v>0</v>
      </c>
      <c r="AV341" s="107">
        <f>_xlfn.IFNA($M341/VLOOKUP($BT341,'Unit information'!$A$2:$K$29,4,FALSE)*T341,0)*(1+$E$9)</f>
        <v>0</v>
      </c>
      <c r="AW341" s="107">
        <f>_xlfn.IFNA($M341/VLOOKUP($BT341,'Unit information'!$A$2:$K$29,5,FALSE)*U341,0)*(1+$E$9)</f>
        <v>0</v>
      </c>
      <c r="AX341" s="107">
        <f>_xlfn.IFNA($M341/VLOOKUP($BU341,'Unit information'!$A$2:$K$29,6,FALSE)*V341,0)*(1+$E$9)</f>
        <v>0</v>
      </c>
      <c r="AY341" s="107">
        <f>_xlfn.IFNA($M341/VLOOKUP($BU341,'Unit information'!$A$2:$K$29,7,FALSE)*W341,0)*(1+$E$9)</f>
        <v>0</v>
      </c>
      <c r="AZ341" s="107">
        <f>_xlfn.IFNA($M341/VLOOKUP($BU341,'Unit information'!$A$2:$K$29,8,FALSE)*X341,0)*(1+$E$9)</f>
        <v>0</v>
      </c>
      <c r="BA341" s="107">
        <f>_xlfn.IFNA($M341/VLOOKUP($BU341,'Unit information'!$A$2:$K$29,9,FALSE)*Y341,0)*(1+$E$9)</f>
        <v>0</v>
      </c>
      <c r="BB341" s="107">
        <f>_xlfn.IFNA($M341/VLOOKUP($BV341,'Unit information'!$A$2:$K$29,10,FALSE)*Z341,0)*(1+$E$9)</f>
        <v>0</v>
      </c>
      <c r="BC341" s="108">
        <f>_xlfn.IFNA($M341/VLOOKUP($BV341,'Unit information'!$A$2:$K$29,11,FALSE)*AA341,0)*(1+$E$9)</f>
        <v>0</v>
      </c>
      <c r="BD341" s="106">
        <f t="shared" si="786"/>
        <v>0</v>
      </c>
      <c r="BE341" s="107">
        <f t="shared" si="787"/>
        <v>0</v>
      </c>
      <c r="BF341" s="108">
        <f t="shared" si="788"/>
        <v>0</v>
      </c>
      <c r="BG341" s="25" t="e">
        <f t="shared" si="789"/>
        <v>#N/A</v>
      </c>
      <c r="BH341" s="25" t="e">
        <f t="shared" si="790"/>
        <v>#N/A</v>
      </c>
      <c r="BI341" s="25" t="e">
        <f t="shared" si="791"/>
        <v>#N/A</v>
      </c>
      <c r="BJ341" s="27" t="e">
        <f t="shared" si="792"/>
        <v>#N/A</v>
      </c>
      <c r="BK341" s="18" t="e">
        <f t="shared" si="793"/>
        <v>#N/A</v>
      </c>
      <c r="BL341" s="18" t="e">
        <f t="shared" si="794"/>
        <v>#N/A</v>
      </c>
      <c r="BM341" s="28" t="e">
        <f t="shared" si="846"/>
        <v>#N/A</v>
      </c>
      <c r="BN341" s="33">
        <f>HLOOKUP("maximum population",Miscelaneous!$C$1:$C$33,CH341+3,FALSE)</f>
        <v>240</v>
      </c>
      <c r="BO341" s="14">
        <f t="shared" si="808"/>
        <v>32</v>
      </c>
      <c r="BP341" s="14">
        <f t="shared" si="809"/>
        <v>0</v>
      </c>
      <c r="BQ341" s="14">
        <f t="shared" si="810"/>
        <v>208</v>
      </c>
      <c r="BR341" s="34" t="e">
        <f>HLOOKUP(J341,Villagers!$B$1:$V$33,L341+3,FALSE)-HLOOKUP(J341,Villagers!$B$1:$V$33,L341+2,FALSE)</f>
        <v>#N/A</v>
      </c>
      <c r="BS341" s="49">
        <f t="shared" si="811"/>
        <v>1</v>
      </c>
      <c r="BT341" s="50">
        <f t="shared" si="812"/>
        <v>0</v>
      </c>
      <c r="BU341" s="50">
        <f t="shared" si="813"/>
        <v>0</v>
      </c>
      <c r="BV341" s="50">
        <f t="shared" si="814"/>
        <v>0</v>
      </c>
      <c r="BW341" s="50">
        <f t="shared" si="815"/>
        <v>0</v>
      </c>
      <c r="BX341" s="50">
        <f t="shared" si="815"/>
        <v>0</v>
      </c>
      <c r="BY341" s="50">
        <f t="shared" si="815"/>
        <v>0</v>
      </c>
      <c r="BZ341" s="50">
        <f t="shared" si="707"/>
        <v>0</v>
      </c>
      <c r="CA341" s="50">
        <f t="shared" si="708"/>
        <v>0</v>
      </c>
      <c r="CB341" s="50">
        <f t="shared" si="709"/>
        <v>1</v>
      </c>
      <c r="CC341" s="50">
        <f t="shared" si="710"/>
        <v>0</v>
      </c>
      <c r="CD341" s="50">
        <f t="shared" si="711"/>
        <v>0</v>
      </c>
      <c r="CE341" s="50">
        <f t="shared" si="712"/>
        <v>1</v>
      </c>
      <c r="CF341" s="50">
        <f t="shared" si="713"/>
        <v>1</v>
      </c>
      <c r="CG341" s="50">
        <f t="shared" si="714"/>
        <v>1</v>
      </c>
      <c r="CH341" s="50">
        <f t="shared" si="715"/>
        <v>1</v>
      </c>
      <c r="CI341" s="50">
        <f t="shared" si="716"/>
        <v>1</v>
      </c>
      <c r="CJ341" s="50">
        <f t="shared" si="717"/>
        <v>1</v>
      </c>
      <c r="CK341" s="50">
        <f t="shared" si="717"/>
        <v>0</v>
      </c>
      <c r="CL341" s="50">
        <f t="shared" si="717"/>
        <v>0</v>
      </c>
      <c r="CM341" s="51">
        <f t="shared" si="795"/>
        <v>0</v>
      </c>
      <c r="CN341" s="33">
        <f>ROUND(IF(BS341=0,0,HLOOKUP(BS$14,Villagers!$B$1:$V$33,BS341+3,FALSE)),)</f>
        <v>5</v>
      </c>
      <c r="CO341" s="14">
        <f>ROUND(IF(BT341=0,0,HLOOKUP(BT$14,Villagers!$B$1:$V$33,BT341+3,FALSE)),)</f>
        <v>0</v>
      </c>
      <c r="CP341" s="14">
        <f>ROUND(IF(BU341=0,0,HLOOKUP(BU$14,Villagers!$B$1:$V$33,BU341+3,FALSE)),)</f>
        <v>0</v>
      </c>
      <c r="CQ341" s="14">
        <f>ROUND(IF(BV341=0,0,HLOOKUP(BV$14,Villagers!$B$1:$V$33,BV341+3,FALSE)),)</f>
        <v>0</v>
      </c>
      <c r="CR341" s="14">
        <f>ROUND(IF(BW341=0,0,HLOOKUP(BW$14,Villagers!$B$1:$V$33,BW341+3,FALSE)),)</f>
        <v>0</v>
      </c>
      <c r="CS341" s="14">
        <f>ROUND(IF(BX341=0,0,HLOOKUP(BX$14,Villagers!$B$1:$V$33,BX341+3,FALSE)),)</f>
        <v>0</v>
      </c>
      <c r="CT341" s="14">
        <f>ROUND(IF(BY341=0,0,HLOOKUP(BY$14,Villagers!$B$1:$V$33,BY341+3,FALSE)),)</f>
        <v>0</v>
      </c>
      <c r="CU341" s="14">
        <f>ROUND(IF(BZ341=0,0,HLOOKUP(BZ$14,Villagers!$B$1:$V$33,BZ341+3,FALSE)),)</f>
        <v>0</v>
      </c>
      <c r="CV341" s="14">
        <f>ROUND(IF(CA341=0,0,HLOOKUP(CA$14,Villagers!$B$1:$V$33,CA341+3,FALSE)),)</f>
        <v>0</v>
      </c>
      <c r="CW341" s="14">
        <f>ROUND(IF(CB341=0,0,HLOOKUP(CB$14,Villagers!$B$1:$V$33,CB341+3,FALSE)),)</f>
        <v>0</v>
      </c>
      <c r="CX341" s="14">
        <f>ROUND(IF(CC341=0,0,HLOOKUP(CC$14,Villagers!$B$1:$V$33,CC341+3,FALSE)),)</f>
        <v>0</v>
      </c>
      <c r="CY341" s="14">
        <f>ROUND(IF(CD341=0,0,HLOOKUP(CD$14,Villagers!$B$1:$V$33,CD341+3,FALSE)),)</f>
        <v>0</v>
      </c>
      <c r="CZ341" s="14">
        <f>ROUND(IF(CE341=0,0,HLOOKUP(CE$14,Villagers!$B$1:$V$33,CE341+3,FALSE)),)</f>
        <v>5</v>
      </c>
      <c r="DA341" s="14">
        <f>ROUND(IF(CF341=0,0,HLOOKUP(CF$14,Villagers!$B$1:$V$33,CF341+3,FALSE)),)</f>
        <v>10</v>
      </c>
      <c r="DB341" s="14">
        <f>ROUND(IF(CG341=0,0,HLOOKUP(CG$14,Villagers!$B$1:$V$33,CG341+3,FALSE)),)</f>
        <v>10</v>
      </c>
      <c r="DC341" s="14">
        <f>ROUND(IF(CH341=0,0,HLOOKUP(CH$14,Villagers!$B$1:$V$33,CH341+3,FALSE)),)</f>
        <v>0</v>
      </c>
      <c r="DD341" s="14">
        <f>ROUND(IF(CI341=0,0,HLOOKUP(CI$14,Villagers!$B$1:$V$33,CI341+3,FALSE)),)</f>
        <v>0</v>
      </c>
      <c r="DE341" s="14">
        <f>ROUND(IF(CJ341=0,0,HLOOKUP(CJ$14,Villagers!$B$1:$V$33,CJ341+3,FALSE)),)</f>
        <v>2</v>
      </c>
      <c r="DF341" s="370">
        <f>ROUND(IF(CK341=0,0,HLOOKUP(CK$14,Villagers!$B$1:$V$33,CK341+3,FALSE)),)</f>
        <v>0</v>
      </c>
      <c r="DG341" s="370">
        <f>ROUND(IF(CL341=0,0,HLOOKUP(CL$14,Villagers!$B$1:$V$33,CL341+3,FALSE)),)</f>
        <v>0</v>
      </c>
      <c r="DH341" s="34">
        <f>ROUND(IF(CM341=0,0,HLOOKUP(CM$14,Villagers!$B$1:$V$33,CM341+3,FALSE)),)</f>
        <v>0</v>
      </c>
      <c r="DI341" s="109">
        <f t="shared" si="832"/>
        <v>0</v>
      </c>
      <c r="DJ341" s="50">
        <f t="shared" si="833"/>
        <v>0</v>
      </c>
      <c r="DK341" s="50">
        <f t="shared" si="834"/>
        <v>0</v>
      </c>
      <c r="DL341" s="50">
        <f t="shared" si="835"/>
        <v>0</v>
      </c>
      <c r="DM341" s="50">
        <f t="shared" si="836"/>
        <v>0</v>
      </c>
      <c r="DN341" s="50">
        <f t="shared" si="837"/>
        <v>0</v>
      </c>
      <c r="DO341" s="50">
        <f t="shared" si="838"/>
        <v>0</v>
      </c>
      <c r="DP341" s="50">
        <f t="shared" si="839"/>
        <v>0</v>
      </c>
      <c r="DQ341" s="50">
        <f t="shared" si="816"/>
        <v>0</v>
      </c>
      <c r="DR341" s="50">
        <f t="shared" si="817"/>
        <v>0</v>
      </c>
      <c r="DS341" s="96">
        <f>Miscelaneous!$D$4*Miscelaneous!$D$2^($CI341-1)</f>
        <v>1000</v>
      </c>
      <c r="DT341" s="333">
        <f t="shared" si="796"/>
        <v>1</v>
      </c>
      <c r="DU341" s="81">
        <v>1</v>
      </c>
      <c r="DV341" s="79">
        <f t="shared" si="818"/>
        <v>0</v>
      </c>
      <c r="DW341" s="79">
        <f t="shared" si="819"/>
        <v>0</v>
      </c>
      <c r="DX341" s="79">
        <f t="shared" si="820"/>
        <v>0</v>
      </c>
      <c r="DY341" s="79">
        <v>1</v>
      </c>
      <c r="DZ341" s="79">
        <f t="shared" si="821"/>
        <v>0</v>
      </c>
      <c r="EA341" s="79">
        <f t="shared" si="822"/>
        <v>0</v>
      </c>
      <c r="EB341" s="79">
        <f t="shared" si="823"/>
        <v>0</v>
      </c>
      <c r="EC341" s="79">
        <f t="shared" si="824"/>
        <v>0</v>
      </c>
      <c r="ED341" s="79">
        <v>1</v>
      </c>
      <c r="EE341" s="79">
        <v>1</v>
      </c>
      <c r="EF341" s="79">
        <f t="shared" si="825"/>
        <v>0</v>
      </c>
      <c r="EG341" s="79">
        <v>1</v>
      </c>
      <c r="EH341" s="79">
        <v>1</v>
      </c>
      <c r="EI341" s="79">
        <v>1</v>
      </c>
      <c r="EJ341" s="79">
        <v>1</v>
      </c>
      <c r="EK341" s="79">
        <v>1</v>
      </c>
      <c r="EL341" s="79">
        <v>1</v>
      </c>
      <c r="EM341" s="143">
        <f t="shared" si="826"/>
        <v>0</v>
      </c>
      <c r="EN341" s="143">
        <f t="shared" si="827"/>
        <v>0</v>
      </c>
      <c r="EO341" s="82">
        <f t="shared" si="828"/>
        <v>0</v>
      </c>
    </row>
    <row r="342" spans="1:145" x14ac:dyDescent="0.25">
      <c r="A342">
        <v>328</v>
      </c>
      <c r="B342" s="172" t="e">
        <f t="shared" si="797"/>
        <v>#N/A</v>
      </c>
      <c r="C342" s="121" t="e">
        <f t="shared" ref="C342:E342" si="848">AJ342-SUM(AB342:AB346)</f>
        <v>#N/A</v>
      </c>
      <c r="D342" s="122" t="e">
        <f t="shared" si="848"/>
        <v>#N/A</v>
      </c>
      <c r="E342" s="122" t="e">
        <f t="shared" si="848"/>
        <v>#N/A</v>
      </c>
      <c r="F342" s="176" t="e">
        <f t="shared" si="778"/>
        <v>#N/A</v>
      </c>
      <c r="G342" s="121">
        <f t="shared" si="799"/>
        <v>208</v>
      </c>
      <c r="H342" s="176" t="e">
        <f t="shared" si="800"/>
        <v>#N/A</v>
      </c>
      <c r="I342" s="48">
        <v>1</v>
      </c>
      <c r="J342" s="39"/>
      <c r="K342" s="350">
        <v>1</v>
      </c>
      <c r="L342" s="34" t="e">
        <f t="shared" si="779"/>
        <v>#N/A</v>
      </c>
      <c r="M342" s="38" t="e">
        <f>(HLOOKUP(J342,'Construction Times'!$B$3:$W$34,L342+2,FALSE)*HLOOKUP("hq modifier",'Construction Times'!$W$3:$W$34,BS342+2,FALSE))*(1-$H$9)</f>
        <v>#N/A</v>
      </c>
      <c r="N342" s="426" t="e">
        <f t="shared" si="801"/>
        <v>#N/A</v>
      </c>
      <c r="O342" s="427"/>
      <c r="P342" s="430" t="e">
        <f t="shared" si="802"/>
        <v>#N/A</v>
      </c>
      <c r="Q342" s="431"/>
      <c r="R342" s="103">
        <f t="shared" si="830"/>
        <v>0</v>
      </c>
      <c r="S342" s="104">
        <f t="shared" si="830"/>
        <v>0</v>
      </c>
      <c r="T342" s="104">
        <f t="shared" si="831"/>
        <v>0</v>
      </c>
      <c r="U342" s="104">
        <f t="shared" si="831"/>
        <v>0</v>
      </c>
      <c r="V342" s="104">
        <f t="shared" si="831"/>
        <v>9.9999999999999995E-8</v>
      </c>
      <c r="W342" s="104">
        <f t="shared" si="831"/>
        <v>0</v>
      </c>
      <c r="X342" s="104">
        <f t="shared" si="737"/>
        <v>0</v>
      </c>
      <c r="Y342" s="104">
        <f t="shared" si="737"/>
        <v>9.9999999999999995E-8</v>
      </c>
      <c r="Z342" s="104">
        <f t="shared" si="737"/>
        <v>9.9999999999999995E-8</v>
      </c>
      <c r="AA342" s="105">
        <f t="shared" si="737"/>
        <v>9.9999999999999995E-8</v>
      </c>
      <c r="AB342" s="101" t="e">
        <f>$DT342*HLOOKUP($J342,'Construction Costs (timber)'!$B$1:$V$32,'Construction Planner'!$L342+2,FALSE)</f>
        <v>#N/A</v>
      </c>
      <c r="AC342" s="14" t="e">
        <f>$DT342*HLOOKUP($J342,'Construction Costs (clay)'!$B$1:$V$32,'Construction Planner'!$L342+2,FALSE)</f>
        <v>#N/A</v>
      </c>
      <c r="AD342" s="14" t="e">
        <f>$DT342*HLOOKUP($J342,'Construction Costs (iron)'!$B$1:$V$32,'Construction Planner'!$L342+2,FALSE)</f>
        <v>#N/A</v>
      </c>
      <c r="AE342" s="34" t="e">
        <f t="shared" si="843"/>
        <v>#N/A</v>
      </c>
      <c r="AF342" s="33" t="e">
        <f t="shared" si="780"/>
        <v>#N/A</v>
      </c>
      <c r="AG342" s="14" t="e">
        <f t="shared" si="781"/>
        <v>#N/A</v>
      </c>
      <c r="AH342" s="14" t="e">
        <f t="shared" si="782"/>
        <v>#N/A</v>
      </c>
      <c r="AI342" s="34" t="e">
        <f t="shared" si="844"/>
        <v>#N/A</v>
      </c>
      <c r="AJ342" s="49" t="e">
        <f t="shared" si="804"/>
        <v>#N/A</v>
      </c>
      <c r="AK342" s="49" t="e">
        <f t="shared" si="805"/>
        <v>#N/A</v>
      </c>
      <c r="AL342" s="49" t="e">
        <f t="shared" si="806"/>
        <v>#N/A</v>
      </c>
      <c r="AM342" s="25">
        <f t="shared" si="783"/>
        <v>30</v>
      </c>
      <c r="AN342" s="25">
        <f t="shared" si="784"/>
        <v>30</v>
      </c>
      <c r="AO342" s="25">
        <f t="shared" si="785"/>
        <v>30</v>
      </c>
      <c r="AP342" s="52" t="e">
        <f t="shared" si="807"/>
        <v>#N/A</v>
      </c>
      <c r="AQ342" s="53" t="e">
        <f t="shared" si="807"/>
        <v>#N/A</v>
      </c>
      <c r="AR342" s="54" t="e">
        <f t="shared" si="807"/>
        <v>#N/A</v>
      </c>
      <c r="AS342" s="316">
        <f t="shared" si="845"/>
        <v>0</v>
      </c>
      <c r="AT342" s="106">
        <f>_xlfn.IFNA($M342/VLOOKUP($BT342,'Unit information'!$A$2:$K$29,2,FALSE)*R342,0)*(1+$E$9)</f>
        <v>0</v>
      </c>
      <c r="AU342" s="107">
        <f>_xlfn.IFNA($M342/VLOOKUP($BT342,'Unit information'!$A$2:$K$29,3,FALSE)*S342,0)*(1+$E$9)</f>
        <v>0</v>
      </c>
      <c r="AV342" s="107">
        <f>_xlfn.IFNA($M342/VLOOKUP($BT342,'Unit information'!$A$2:$K$29,4,FALSE)*T342,0)*(1+$E$9)</f>
        <v>0</v>
      </c>
      <c r="AW342" s="107">
        <f>_xlfn.IFNA($M342/VLOOKUP($BT342,'Unit information'!$A$2:$K$29,5,FALSE)*U342,0)*(1+$E$9)</f>
        <v>0</v>
      </c>
      <c r="AX342" s="107">
        <f>_xlfn.IFNA($M342/VLOOKUP($BU342,'Unit information'!$A$2:$K$29,6,FALSE)*V342,0)*(1+$E$9)</f>
        <v>0</v>
      </c>
      <c r="AY342" s="107">
        <f>_xlfn.IFNA($M342/VLOOKUP($BU342,'Unit information'!$A$2:$K$29,7,FALSE)*W342,0)*(1+$E$9)</f>
        <v>0</v>
      </c>
      <c r="AZ342" s="107">
        <f>_xlfn.IFNA($M342/VLOOKUP($BU342,'Unit information'!$A$2:$K$29,8,FALSE)*X342,0)*(1+$E$9)</f>
        <v>0</v>
      </c>
      <c r="BA342" s="107">
        <f>_xlfn.IFNA($M342/VLOOKUP($BU342,'Unit information'!$A$2:$K$29,9,FALSE)*Y342,0)*(1+$E$9)</f>
        <v>0</v>
      </c>
      <c r="BB342" s="107">
        <f>_xlfn.IFNA($M342/VLOOKUP($BV342,'Unit information'!$A$2:$K$29,10,FALSE)*Z342,0)*(1+$E$9)</f>
        <v>0</v>
      </c>
      <c r="BC342" s="108">
        <f>_xlfn.IFNA($M342/VLOOKUP($BV342,'Unit information'!$A$2:$K$29,11,FALSE)*AA342,0)*(1+$E$9)</f>
        <v>0</v>
      </c>
      <c r="BD342" s="106">
        <f t="shared" si="786"/>
        <v>0</v>
      </c>
      <c r="BE342" s="107">
        <f t="shared" si="787"/>
        <v>0</v>
      </c>
      <c r="BF342" s="108">
        <f t="shared" si="788"/>
        <v>0</v>
      </c>
      <c r="BG342" s="25" t="e">
        <f t="shared" si="789"/>
        <v>#N/A</v>
      </c>
      <c r="BH342" s="25" t="e">
        <f t="shared" si="790"/>
        <v>#N/A</v>
      </c>
      <c r="BI342" s="25" t="e">
        <f t="shared" si="791"/>
        <v>#N/A</v>
      </c>
      <c r="BJ342" s="27" t="e">
        <f t="shared" si="792"/>
        <v>#N/A</v>
      </c>
      <c r="BK342" s="18" t="e">
        <f t="shared" si="793"/>
        <v>#N/A</v>
      </c>
      <c r="BL342" s="18" t="e">
        <f t="shared" si="794"/>
        <v>#N/A</v>
      </c>
      <c r="BM342" s="28" t="e">
        <f t="shared" si="846"/>
        <v>#N/A</v>
      </c>
      <c r="BN342" s="33">
        <f>HLOOKUP("maximum population",Miscelaneous!$C$1:$C$33,CH342+3,FALSE)</f>
        <v>240</v>
      </c>
      <c r="BO342" s="14">
        <f t="shared" si="808"/>
        <v>32</v>
      </c>
      <c r="BP342" s="14">
        <f t="shared" si="809"/>
        <v>0</v>
      </c>
      <c r="BQ342" s="14">
        <f t="shared" si="810"/>
        <v>208</v>
      </c>
      <c r="BR342" s="34" t="e">
        <f>HLOOKUP(J342,Villagers!$B$1:$V$33,L342+3,FALSE)-HLOOKUP(J342,Villagers!$B$1:$V$33,L342+2,FALSE)</f>
        <v>#N/A</v>
      </c>
      <c r="BS342" s="49">
        <f t="shared" si="811"/>
        <v>1</v>
      </c>
      <c r="BT342" s="50">
        <f t="shared" si="812"/>
        <v>0</v>
      </c>
      <c r="BU342" s="50">
        <f t="shared" si="813"/>
        <v>0</v>
      </c>
      <c r="BV342" s="50">
        <f t="shared" si="814"/>
        <v>0</v>
      </c>
      <c r="BW342" s="50">
        <f t="shared" si="815"/>
        <v>0</v>
      </c>
      <c r="BX342" s="50">
        <f t="shared" si="815"/>
        <v>0</v>
      </c>
      <c r="BY342" s="50">
        <f t="shared" si="815"/>
        <v>0</v>
      </c>
      <c r="BZ342" s="50">
        <f t="shared" si="707"/>
        <v>0</v>
      </c>
      <c r="CA342" s="50">
        <f t="shared" si="708"/>
        <v>0</v>
      </c>
      <c r="CB342" s="50">
        <f t="shared" si="709"/>
        <v>1</v>
      </c>
      <c r="CC342" s="50">
        <f t="shared" si="710"/>
        <v>0</v>
      </c>
      <c r="CD342" s="50">
        <f t="shared" si="711"/>
        <v>0</v>
      </c>
      <c r="CE342" s="50">
        <f t="shared" si="712"/>
        <v>1</v>
      </c>
      <c r="CF342" s="50">
        <f t="shared" si="713"/>
        <v>1</v>
      </c>
      <c r="CG342" s="50">
        <f t="shared" si="714"/>
        <v>1</v>
      </c>
      <c r="CH342" s="50">
        <f t="shared" si="715"/>
        <v>1</v>
      </c>
      <c r="CI342" s="50">
        <f t="shared" si="716"/>
        <v>1</v>
      </c>
      <c r="CJ342" s="50">
        <f t="shared" si="717"/>
        <v>1</v>
      </c>
      <c r="CK342" s="50">
        <f t="shared" si="717"/>
        <v>0</v>
      </c>
      <c r="CL342" s="50">
        <f t="shared" si="717"/>
        <v>0</v>
      </c>
      <c r="CM342" s="51">
        <f t="shared" si="795"/>
        <v>0</v>
      </c>
      <c r="CN342" s="33">
        <f>ROUND(IF(BS342=0,0,HLOOKUP(BS$14,Villagers!$B$1:$V$33,BS342+3,FALSE)),)</f>
        <v>5</v>
      </c>
      <c r="CO342" s="14">
        <f>ROUND(IF(BT342=0,0,HLOOKUP(BT$14,Villagers!$B$1:$V$33,BT342+3,FALSE)),)</f>
        <v>0</v>
      </c>
      <c r="CP342" s="14">
        <f>ROUND(IF(BU342=0,0,HLOOKUP(BU$14,Villagers!$B$1:$V$33,BU342+3,FALSE)),)</f>
        <v>0</v>
      </c>
      <c r="CQ342" s="14">
        <f>ROUND(IF(BV342=0,0,HLOOKUP(BV$14,Villagers!$B$1:$V$33,BV342+3,FALSE)),)</f>
        <v>0</v>
      </c>
      <c r="CR342" s="14">
        <f>ROUND(IF(BW342=0,0,HLOOKUP(BW$14,Villagers!$B$1:$V$33,BW342+3,FALSE)),)</f>
        <v>0</v>
      </c>
      <c r="CS342" s="14">
        <f>ROUND(IF(BX342=0,0,HLOOKUP(BX$14,Villagers!$B$1:$V$33,BX342+3,FALSE)),)</f>
        <v>0</v>
      </c>
      <c r="CT342" s="14">
        <f>ROUND(IF(BY342=0,0,HLOOKUP(BY$14,Villagers!$B$1:$V$33,BY342+3,FALSE)),)</f>
        <v>0</v>
      </c>
      <c r="CU342" s="14">
        <f>ROUND(IF(BZ342=0,0,HLOOKUP(BZ$14,Villagers!$B$1:$V$33,BZ342+3,FALSE)),)</f>
        <v>0</v>
      </c>
      <c r="CV342" s="14">
        <f>ROUND(IF(CA342=0,0,HLOOKUP(CA$14,Villagers!$B$1:$V$33,CA342+3,FALSE)),)</f>
        <v>0</v>
      </c>
      <c r="CW342" s="14">
        <f>ROUND(IF(CB342=0,0,HLOOKUP(CB$14,Villagers!$B$1:$V$33,CB342+3,FALSE)),)</f>
        <v>0</v>
      </c>
      <c r="CX342" s="14">
        <f>ROUND(IF(CC342=0,0,HLOOKUP(CC$14,Villagers!$B$1:$V$33,CC342+3,FALSE)),)</f>
        <v>0</v>
      </c>
      <c r="CY342" s="14">
        <f>ROUND(IF(CD342=0,0,HLOOKUP(CD$14,Villagers!$B$1:$V$33,CD342+3,FALSE)),)</f>
        <v>0</v>
      </c>
      <c r="CZ342" s="14">
        <f>ROUND(IF(CE342=0,0,HLOOKUP(CE$14,Villagers!$B$1:$V$33,CE342+3,FALSE)),)</f>
        <v>5</v>
      </c>
      <c r="DA342" s="14">
        <f>ROUND(IF(CF342=0,0,HLOOKUP(CF$14,Villagers!$B$1:$V$33,CF342+3,FALSE)),)</f>
        <v>10</v>
      </c>
      <c r="DB342" s="14">
        <f>ROUND(IF(CG342=0,0,HLOOKUP(CG$14,Villagers!$B$1:$V$33,CG342+3,FALSE)),)</f>
        <v>10</v>
      </c>
      <c r="DC342" s="14">
        <f>ROUND(IF(CH342=0,0,HLOOKUP(CH$14,Villagers!$B$1:$V$33,CH342+3,FALSE)),)</f>
        <v>0</v>
      </c>
      <c r="DD342" s="14">
        <f>ROUND(IF(CI342=0,0,HLOOKUP(CI$14,Villagers!$B$1:$V$33,CI342+3,FALSE)),)</f>
        <v>0</v>
      </c>
      <c r="DE342" s="14">
        <f>ROUND(IF(CJ342=0,0,HLOOKUP(CJ$14,Villagers!$B$1:$V$33,CJ342+3,FALSE)),)</f>
        <v>2</v>
      </c>
      <c r="DF342" s="370">
        <f>ROUND(IF(CK342=0,0,HLOOKUP(CK$14,Villagers!$B$1:$V$33,CK342+3,FALSE)),)</f>
        <v>0</v>
      </c>
      <c r="DG342" s="370">
        <f>ROUND(IF(CL342=0,0,HLOOKUP(CL$14,Villagers!$B$1:$V$33,CL342+3,FALSE)),)</f>
        <v>0</v>
      </c>
      <c r="DH342" s="34">
        <f>ROUND(IF(CM342=0,0,HLOOKUP(CM$14,Villagers!$B$1:$V$33,CM342+3,FALSE)),)</f>
        <v>0</v>
      </c>
      <c r="DI342" s="109">
        <f t="shared" si="832"/>
        <v>0</v>
      </c>
      <c r="DJ342" s="50">
        <f t="shared" si="833"/>
        <v>0</v>
      </c>
      <c r="DK342" s="50">
        <f t="shared" si="834"/>
        <v>0</v>
      </c>
      <c r="DL342" s="50">
        <f t="shared" si="835"/>
        <v>0</v>
      </c>
      <c r="DM342" s="50">
        <f t="shared" si="836"/>
        <v>0</v>
      </c>
      <c r="DN342" s="50">
        <f t="shared" si="837"/>
        <v>0</v>
      </c>
      <c r="DO342" s="50">
        <f t="shared" si="838"/>
        <v>0</v>
      </c>
      <c r="DP342" s="50">
        <f t="shared" si="839"/>
        <v>0</v>
      </c>
      <c r="DQ342" s="50">
        <f t="shared" si="816"/>
        <v>0</v>
      </c>
      <c r="DR342" s="50">
        <f t="shared" si="817"/>
        <v>0</v>
      </c>
      <c r="DS342" s="96">
        <f>Miscelaneous!$D$4*Miscelaneous!$D$2^($CI342-1)</f>
        <v>1000</v>
      </c>
      <c r="DT342" s="333">
        <f t="shared" si="796"/>
        <v>1</v>
      </c>
      <c r="DU342" s="81">
        <v>1</v>
      </c>
      <c r="DV342" s="79">
        <f t="shared" si="818"/>
        <v>0</v>
      </c>
      <c r="DW342" s="79">
        <f t="shared" si="819"/>
        <v>0</v>
      </c>
      <c r="DX342" s="79">
        <f t="shared" si="820"/>
        <v>0</v>
      </c>
      <c r="DY342" s="79">
        <v>1</v>
      </c>
      <c r="DZ342" s="79">
        <f t="shared" si="821"/>
        <v>0</v>
      </c>
      <c r="EA342" s="79">
        <f t="shared" si="822"/>
        <v>0</v>
      </c>
      <c r="EB342" s="79">
        <f t="shared" si="823"/>
        <v>0</v>
      </c>
      <c r="EC342" s="79">
        <f t="shared" si="824"/>
        <v>0</v>
      </c>
      <c r="ED342" s="79">
        <v>1</v>
      </c>
      <c r="EE342" s="79">
        <v>1</v>
      </c>
      <c r="EF342" s="79">
        <f t="shared" si="825"/>
        <v>0</v>
      </c>
      <c r="EG342" s="79">
        <v>1</v>
      </c>
      <c r="EH342" s="79">
        <v>1</v>
      </c>
      <c r="EI342" s="79">
        <v>1</v>
      </c>
      <c r="EJ342" s="79">
        <v>1</v>
      </c>
      <c r="EK342" s="79">
        <v>1</v>
      </c>
      <c r="EL342" s="79">
        <v>1</v>
      </c>
      <c r="EM342" s="143">
        <f t="shared" si="826"/>
        <v>0</v>
      </c>
      <c r="EN342" s="143">
        <f t="shared" si="827"/>
        <v>0</v>
      </c>
      <c r="EO342" s="82">
        <f t="shared" si="828"/>
        <v>0</v>
      </c>
    </row>
    <row r="343" spans="1:145" x14ac:dyDescent="0.25">
      <c r="A343">
        <v>329</v>
      </c>
      <c r="B343" s="172" t="e">
        <f t="shared" si="797"/>
        <v>#N/A</v>
      </c>
      <c r="C343" s="121" t="e">
        <f t="shared" ref="C343:E343" si="849">AJ343-SUM(AB343:AB347)</f>
        <v>#N/A</v>
      </c>
      <c r="D343" s="122" t="e">
        <f t="shared" si="849"/>
        <v>#N/A</v>
      </c>
      <c r="E343" s="122" t="e">
        <f t="shared" si="849"/>
        <v>#N/A</v>
      </c>
      <c r="F343" s="176" t="e">
        <f t="shared" si="778"/>
        <v>#N/A</v>
      </c>
      <c r="G343" s="121">
        <f t="shared" si="799"/>
        <v>208</v>
      </c>
      <c r="H343" s="176" t="e">
        <f t="shared" si="800"/>
        <v>#N/A</v>
      </c>
      <c r="I343" s="48">
        <v>1</v>
      </c>
      <c r="J343" s="39"/>
      <c r="K343" s="350">
        <v>1</v>
      </c>
      <c r="L343" s="34" t="e">
        <f t="shared" si="779"/>
        <v>#N/A</v>
      </c>
      <c r="M343" s="38" t="e">
        <f>(HLOOKUP(J343,'Construction Times'!$B$3:$W$34,L343+2,FALSE)*HLOOKUP("hq modifier",'Construction Times'!$W$3:$W$34,BS343+2,FALSE))*(1-$H$9)</f>
        <v>#N/A</v>
      </c>
      <c r="N343" s="426" t="e">
        <f t="shared" si="801"/>
        <v>#N/A</v>
      </c>
      <c r="O343" s="427"/>
      <c r="P343" s="430" t="e">
        <f t="shared" si="802"/>
        <v>#N/A</v>
      </c>
      <c r="Q343" s="431"/>
      <c r="R343" s="103">
        <f t="shared" si="830"/>
        <v>0</v>
      </c>
      <c r="S343" s="104">
        <f t="shared" si="830"/>
        <v>0</v>
      </c>
      <c r="T343" s="104">
        <f t="shared" si="831"/>
        <v>0</v>
      </c>
      <c r="U343" s="104">
        <f t="shared" si="831"/>
        <v>0</v>
      </c>
      <c r="V343" s="104">
        <f t="shared" si="831"/>
        <v>9.9999999999999995E-8</v>
      </c>
      <c r="W343" s="104">
        <f t="shared" si="831"/>
        <v>0</v>
      </c>
      <c r="X343" s="104">
        <f t="shared" si="737"/>
        <v>0</v>
      </c>
      <c r="Y343" s="104">
        <f t="shared" si="737"/>
        <v>9.9999999999999995E-8</v>
      </c>
      <c r="Z343" s="104">
        <f t="shared" si="737"/>
        <v>9.9999999999999995E-8</v>
      </c>
      <c r="AA343" s="105">
        <f t="shared" si="737"/>
        <v>9.9999999999999995E-8</v>
      </c>
      <c r="AB343" s="101" t="e">
        <f>$DT343*HLOOKUP($J343,'Construction Costs (timber)'!$B$1:$V$32,'Construction Planner'!$L343+2,FALSE)</f>
        <v>#N/A</v>
      </c>
      <c r="AC343" s="14" t="e">
        <f>$DT343*HLOOKUP($J343,'Construction Costs (clay)'!$B$1:$V$32,'Construction Planner'!$L343+2,FALSE)</f>
        <v>#N/A</v>
      </c>
      <c r="AD343" s="14" t="e">
        <f>$DT343*HLOOKUP($J343,'Construction Costs (iron)'!$B$1:$V$32,'Construction Planner'!$L343+2,FALSE)</f>
        <v>#N/A</v>
      </c>
      <c r="AE343" s="34" t="e">
        <f t="shared" si="843"/>
        <v>#N/A</v>
      </c>
      <c r="AF343" s="33" t="e">
        <f t="shared" si="780"/>
        <v>#N/A</v>
      </c>
      <c r="AG343" s="14" t="e">
        <f t="shared" si="781"/>
        <v>#N/A</v>
      </c>
      <c r="AH343" s="14" t="e">
        <f t="shared" si="782"/>
        <v>#N/A</v>
      </c>
      <c r="AI343" s="34" t="e">
        <f t="shared" si="844"/>
        <v>#N/A</v>
      </c>
      <c r="AJ343" s="49" t="e">
        <f t="shared" si="804"/>
        <v>#N/A</v>
      </c>
      <c r="AK343" s="49" t="e">
        <f t="shared" si="805"/>
        <v>#N/A</v>
      </c>
      <c r="AL343" s="49" t="e">
        <f t="shared" si="806"/>
        <v>#N/A</v>
      </c>
      <c r="AM343" s="25">
        <f t="shared" si="783"/>
        <v>30</v>
      </c>
      <c r="AN343" s="25">
        <f t="shared" si="784"/>
        <v>30</v>
      </c>
      <c r="AO343" s="25">
        <f t="shared" si="785"/>
        <v>30</v>
      </c>
      <c r="AP343" s="52" t="e">
        <f t="shared" si="807"/>
        <v>#N/A</v>
      </c>
      <c r="AQ343" s="53" t="e">
        <f t="shared" si="807"/>
        <v>#N/A</v>
      </c>
      <c r="AR343" s="54" t="e">
        <f t="shared" si="807"/>
        <v>#N/A</v>
      </c>
      <c r="AS343" s="316">
        <f t="shared" si="845"/>
        <v>0</v>
      </c>
      <c r="AT343" s="106">
        <f>_xlfn.IFNA($M343/VLOOKUP($BT343,'Unit information'!$A$2:$K$29,2,FALSE)*R343,0)*(1+$E$9)</f>
        <v>0</v>
      </c>
      <c r="AU343" s="107">
        <f>_xlfn.IFNA($M343/VLOOKUP($BT343,'Unit information'!$A$2:$K$29,3,FALSE)*S343,0)*(1+$E$9)</f>
        <v>0</v>
      </c>
      <c r="AV343" s="107">
        <f>_xlfn.IFNA($M343/VLOOKUP($BT343,'Unit information'!$A$2:$K$29,4,FALSE)*T343,0)*(1+$E$9)</f>
        <v>0</v>
      </c>
      <c r="AW343" s="107">
        <f>_xlfn.IFNA($M343/VLOOKUP($BT343,'Unit information'!$A$2:$K$29,5,FALSE)*U343,0)*(1+$E$9)</f>
        <v>0</v>
      </c>
      <c r="AX343" s="107">
        <f>_xlfn.IFNA($M343/VLOOKUP($BU343,'Unit information'!$A$2:$K$29,6,FALSE)*V343,0)*(1+$E$9)</f>
        <v>0</v>
      </c>
      <c r="AY343" s="107">
        <f>_xlfn.IFNA($M343/VLOOKUP($BU343,'Unit information'!$A$2:$K$29,7,FALSE)*W343,0)*(1+$E$9)</f>
        <v>0</v>
      </c>
      <c r="AZ343" s="107">
        <f>_xlfn.IFNA($M343/VLOOKUP($BU343,'Unit information'!$A$2:$K$29,8,FALSE)*X343,0)*(1+$E$9)</f>
        <v>0</v>
      </c>
      <c r="BA343" s="107">
        <f>_xlfn.IFNA($M343/VLOOKUP($BU343,'Unit information'!$A$2:$K$29,9,FALSE)*Y343,0)*(1+$E$9)</f>
        <v>0</v>
      </c>
      <c r="BB343" s="107">
        <f>_xlfn.IFNA($M343/VLOOKUP($BV343,'Unit information'!$A$2:$K$29,10,FALSE)*Z343,0)*(1+$E$9)</f>
        <v>0</v>
      </c>
      <c r="BC343" s="108">
        <f>_xlfn.IFNA($M343/VLOOKUP($BV343,'Unit information'!$A$2:$K$29,11,FALSE)*AA343,0)*(1+$E$9)</f>
        <v>0</v>
      </c>
      <c r="BD343" s="106">
        <f t="shared" si="786"/>
        <v>0</v>
      </c>
      <c r="BE343" s="107">
        <f t="shared" si="787"/>
        <v>0</v>
      </c>
      <c r="BF343" s="108">
        <f t="shared" si="788"/>
        <v>0</v>
      </c>
      <c r="BG343" s="25" t="e">
        <f t="shared" si="789"/>
        <v>#N/A</v>
      </c>
      <c r="BH343" s="25" t="e">
        <f t="shared" si="790"/>
        <v>#N/A</v>
      </c>
      <c r="BI343" s="25" t="e">
        <f t="shared" si="791"/>
        <v>#N/A</v>
      </c>
      <c r="BJ343" s="27" t="e">
        <f t="shared" si="792"/>
        <v>#N/A</v>
      </c>
      <c r="BK343" s="18" t="e">
        <f t="shared" si="793"/>
        <v>#N/A</v>
      </c>
      <c r="BL343" s="18" t="e">
        <f t="shared" si="794"/>
        <v>#N/A</v>
      </c>
      <c r="BM343" s="28" t="e">
        <f t="shared" si="846"/>
        <v>#N/A</v>
      </c>
      <c r="BN343" s="33">
        <f>HLOOKUP("maximum population",Miscelaneous!$C$1:$C$33,CH343+3,FALSE)</f>
        <v>240</v>
      </c>
      <c r="BO343" s="14">
        <f t="shared" si="808"/>
        <v>32</v>
      </c>
      <c r="BP343" s="14">
        <f t="shared" si="809"/>
        <v>0</v>
      </c>
      <c r="BQ343" s="14">
        <f t="shared" si="810"/>
        <v>208</v>
      </c>
      <c r="BR343" s="34" t="e">
        <f>HLOOKUP(J343,Villagers!$B$1:$V$33,L343+3,FALSE)-HLOOKUP(J343,Villagers!$B$1:$V$33,L343+2,FALSE)</f>
        <v>#N/A</v>
      </c>
      <c r="BS343" s="49">
        <f t="shared" si="811"/>
        <v>1</v>
      </c>
      <c r="BT343" s="50">
        <f t="shared" si="812"/>
        <v>0</v>
      </c>
      <c r="BU343" s="50">
        <f t="shared" si="813"/>
        <v>0</v>
      </c>
      <c r="BV343" s="50">
        <f t="shared" si="814"/>
        <v>0</v>
      </c>
      <c r="BW343" s="50">
        <f>IF($J342=BW$14,$L342,BW342)</f>
        <v>0</v>
      </c>
      <c r="BX343" s="50">
        <f t="shared" ref="BX343:BY351" si="850">IF($J342=BX$14,$L342,BX342)</f>
        <v>0</v>
      </c>
      <c r="BY343" s="50">
        <f t="shared" si="850"/>
        <v>0</v>
      </c>
      <c r="BZ343" s="50">
        <f t="shared" si="707"/>
        <v>0</v>
      </c>
      <c r="CA343" s="50">
        <f t="shared" si="708"/>
        <v>0</v>
      </c>
      <c r="CB343" s="50">
        <f t="shared" si="709"/>
        <v>1</v>
      </c>
      <c r="CC343" s="50">
        <f t="shared" si="710"/>
        <v>0</v>
      </c>
      <c r="CD343" s="50">
        <f t="shared" si="711"/>
        <v>0</v>
      </c>
      <c r="CE343" s="50">
        <f t="shared" si="712"/>
        <v>1</v>
      </c>
      <c r="CF343" s="50">
        <f t="shared" si="713"/>
        <v>1</v>
      </c>
      <c r="CG343" s="50">
        <f t="shared" si="714"/>
        <v>1</v>
      </c>
      <c r="CH343" s="50">
        <f t="shared" si="715"/>
        <v>1</v>
      </c>
      <c r="CI343" s="50">
        <f t="shared" si="716"/>
        <v>1</v>
      </c>
      <c r="CJ343" s="50">
        <f t="shared" si="717"/>
        <v>1</v>
      </c>
      <c r="CK343" s="50">
        <f t="shared" si="717"/>
        <v>0</v>
      </c>
      <c r="CL343" s="50">
        <f t="shared" si="717"/>
        <v>0</v>
      </c>
      <c r="CM343" s="51">
        <f t="shared" si="795"/>
        <v>0</v>
      </c>
      <c r="CN343" s="33">
        <f>ROUND(IF(BS343=0,0,HLOOKUP(BS$14,Villagers!$B$1:$V$33,BS343+3,FALSE)),)</f>
        <v>5</v>
      </c>
      <c r="CO343" s="14">
        <f>ROUND(IF(BT343=0,0,HLOOKUP(BT$14,Villagers!$B$1:$V$33,BT343+3,FALSE)),)</f>
        <v>0</v>
      </c>
      <c r="CP343" s="14">
        <f>ROUND(IF(BU343=0,0,HLOOKUP(BU$14,Villagers!$B$1:$V$33,BU343+3,FALSE)),)</f>
        <v>0</v>
      </c>
      <c r="CQ343" s="14">
        <f>ROUND(IF(BV343=0,0,HLOOKUP(BV$14,Villagers!$B$1:$V$33,BV343+3,FALSE)),)</f>
        <v>0</v>
      </c>
      <c r="CR343" s="14">
        <f>ROUND(IF(BW343=0,0,HLOOKUP(BW$14,Villagers!$B$1:$V$33,BW343+3,FALSE)),)</f>
        <v>0</v>
      </c>
      <c r="CS343" s="14">
        <f>ROUND(IF(BX343=0,0,HLOOKUP(BX$14,Villagers!$B$1:$V$33,BX343+3,FALSE)),)</f>
        <v>0</v>
      </c>
      <c r="CT343" s="14">
        <f>ROUND(IF(BY343=0,0,HLOOKUP(BY$14,Villagers!$B$1:$V$33,BY343+3,FALSE)),)</f>
        <v>0</v>
      </c>
      <c r="CU343" s="14">
        <f>ROUND(IF(BZ343=0,0,HLOOKUP(BZ$14,Villagers!$B$1:$V$33,BZ343+3,FALSE)),)</f>
        <v>0</v>
      </c>
      <c r="CV343" s="14">
        <f>ROUND(IF(CA343=0,0,HLOOKUP(CA$14,Villagers!$B$1:$V$33,CA343+3,FALSE)),)</f>
        <v>0</v>
      </c>
      <c r="CW343" s="14">
        <f>ROUND(IF(CB343=0,0,HLOOKUP(CB$14,Villagers!$B$1:$V$33,CB343+3,FALSE)),)</f>
        <v>0</v>
      </c>
      <c r="CX343" s="14">
        <f>ROUND(IF(CC343=0,0,HLOOKUP(CC$14,Villagers!$B$1:$V$33,CC343+3,FALSE)),)</f>
        <v>0</v>
      </c>
      <c r="CY343" s="14">
        <f>ROUND(IF(CD343=0,0,HLOOKUP(CD$14,Villagers!$B$1:$V$33,CD343+3,FALSE)),)</f>
        <v>0</v>
      </c>
      <c r="CZ343" s="14">
        <f>ROUND(IF(CE343=0,0,HLOOKUP(CE$14,Villagers!$B$1:$V$33,CE343+3,FALSE)),)</f>
        <v>5</v>
      </c>
      <c r="DA343" s="14">
        <f>ROUND(IF(CF343=0,0,HLOOKUP(CF$14,Villagers!$B$1:$V$33,CF343+3,FALSE)),)</f>
        <v>10</v>
      </c>
      <c r="DB343" s="14">
        <f>ROUND(IF(CG343=0,0,HLOOKUP(CG$14,Villagers!$B$1:$V$33,CG343+3,FALSE)),)</f>
        <v>10</v>
      </c>
      <c r="DC343" s="14">
        <f>ROUND(IF(CH343=0,0,HLOOKUP(CH$14,Villagers!$B$1:$V$33,CH343+3,FALSE)),)</f>
        <v>0</v>
      </c>
      <c r="DD343" s="14">
        <f>ROUND(IF(CI343=0,0,HLOOKUP(CI$14,Villagers!$B$1:$V$33,CI343+3,FALSE)),)</f>
        <v>0</v>
      </c>
      <c r="DE343" s="14">
        <f>ROUND(IF(CJ343=0,0,HLOOKUP(CJ$14,Villagers!$B$1:$V$33,CJ343+3,FALSE)),)</f>
        <v>2</v>
      </c>
      <c r="DF343" s="370">
        <f>ROUND(IF(CK343=0,0,HLOOKUP(CK$14,Villagers!$B$1:$V$33,CK343+3,FALSE)),)</f>
        <v>0</v>
      </c>
      <c r="DG343" s="370">
        <f>ROUND(IF(CL343=0,0,HLOOKUP(CL$14,Villagers!$B$1:$V$33,CL343+3,FALSE)),)</f>
        <v>0</v>
      </c>
      <c r="DH343" s="34">
        <f>ROUND(IF(CM343=0,0,HLOOKUP(CM$14,Villagers!$B$1:$V$33,CM343+3,FALSE)),)</f>
        <v>0</v>
      </c>
      <c r="DI343" s="109">
        <f t="shared" si="832"/>
        <v>0</v>
      </c>
      <c r="DJ343" s="50">
        <f t="shared" si="833"/>
        <v>0</v>
      </c>
      <c r="DK343" s="50">
        <f t="shared" si="834"/>
        <v>0</v>
      </c>
      <c r="DL343" s="50">
        <f t="shared" si="835"/>
        <v>0</v>
      </c>
      <c r="DM343" s="50">
        <f t="shared" si="836"/>
        <v>0</v>
      </c>
      <c r="DN343" s="50">
        <f t="shared" si="837"/>
        <v>0</v>
      </c>
      <c r="DO343" s="50">
        <f t="shared" si="838"/>
        <v>0</v>
      </c>
      <c r="DP343" s="50">
        <f t="shared" si="839"/>
        <v>0</v>
      </c>
      <c r="DQ343" s="50">
        <f t="shared" si="816"/>
        <v>0</v>
      </c>
      <c r="DR343" s="50">
        <f t="shared" si="817"/>
        <v>0</v>
      </c>
      <c r="DS343" s="96">
        <f>Miscelaneous!$D$4*Miscelaneous!$D$2^($CI343-1)</f>
        <v>1000</v>
      </c>
      <c r="DT343" s="333">
        <f t="shared" si="796"/>
        <v>1</v>
      </c>
      <c r="DU343" s="81">
        <v>1</v>
      </c>
      <c r="DV343" s="79">
        <f t="shared" si="818"/>
        <v>0</v>
      </c>
      <c r="DW343" s="79">
        <f t="shared" si="819"/>
        <v>0</v>
      </c>
      <c r="DX343" s="79">
        <f t="shared" si="820"/>
        <v>0</v>
      </c>
      <c r="DY343" s="79">
        <v>1</v>
      </c>
      <c r="DZ343" s="79">
        <f t="shared" si="821"/>
        <v>0</v>
      </c>
      <c r="EA343" s="79">
        <f t="shared" si="822"/>
        <v>0</v>
      </c>
      <c r="EB343" s="79">
        <f t="shared" si="823"/>
        <v>0</v>
      </c>
      <c r="EC343" s="79">
        <f t="shared" si="824"/>
        <v>0</v>
      </c>
      <c r="ED343" s="79">
        <v>1</v>
      </c>
      <c r="EE343" s="79">
        <v>1</v>
      </c>
      <c r="EF343" s="79">
        <f t="shared" si="825"/>
        <v>0</v>
      </c>
      <c r="EG343" s="79">
        <v>1</v>
      </c>
      <c r="EH343" s="79">
        <v>1</v>
      </c>
      <c r="EI343" s="79">
        <v>1</v>
      </c>
      <c r="EJ343" s="79">
        <v>1</v>
      </c>
      <c r="EK343" s="79">
        <v>1</v>
      </c>
      <c r="EL343" s="79">
        <v>1</v>
      </c>
      <c r="EM343" s="143">
        <f t="shared" si="826"/>
        <v>0</v>
      </c>
      <c r="EN343" s="143">
        <f t="shared" si="827"/>
        <v>0</v>
      </c>
      <c r="EO343" s="82">
        <f t="shared" si="828"/>
        <v>0</v>
      </c>
    </row>
    <row r="344" spans="1:145" x14ac:dyDescent="0.25">
      <c r="A344">
        <v>330</v>
      </c>
      <c r="B344" s="172" t="e">
        <f t="shared" si="797"/>
        <v>#N/A</v>
      </c>
      <c r="C344" s="121" t="e">
        <f t="shared" ref="C344:E344" si="851">AJ344-SUM(AB344:AB348)</f>
        <v>#N/A</v>
      </c>
      <c r="D344" s="122" t="e">
        <f t="shared" si="851"/>
        <v>#N/A</v>
      </c>
      <c r="E344" s="122" t="e">
        <f t="shared" si="851"/>
        <v>#N/A</v>
      </c>
      <c r="F344" s="176" t="e">
        <f t="shared" si="778"/>
        <v>#N/A</v>
      </c>
      <c r="G344" s="121">
        <f t="shared" si="799"/>
        <v>208</v>
      </c>
      <c r="H344" s="176" t="e">
        <f t="shared" si="800"/>
        <v>#N/A</v>
      </c>
      <c r="I344" s="48">
        <v>1</v>
      </c>
      <c r="J344" s="39"/>
      <c r="K344" s="350">
        <v>1</v>
      </c>
      <c r="L344" s="34" t="e">
        <f t="shared" si="779"/>
        <v>#N/A</v>
      </c>
      <c r="M344" s="38" t="e">
        <f>(HLOOKUP(J344,'Construction Times'!$B$3:$W$34,L344+2,FALSE)*HLOOKUP("hq modifier",'Construction Times'!$W$3:$W$34,BS344+2,FALSE))*(1-$H$9)</f>
        <v>#N/A</v>
      </c>
      <c r="N344" s="426" t="e">
        <f t="shared" si="801"/>
        <v>#N/A</v>
      </c>
      <c r="O344" s="427"/>
      <c r="P344" s="430" t="e">
        <f t="shared" si="802"/>
        <v>#N/A</v>
      </c>
      <c r="Q344" s="431"/>
      <c r="R344" s="103">
        <f t="shared" si="830"/>
        <v>0</v>
      </c>
      <c r="S344" s="104">
        <f t="shared" si="830"/>
        <v>0</v>
      </c>
      <c r="T344" s="104">
        <f t="shared" si="831"/>
        <v>0</v>
      </c>
      <c r="U344" s="104">
        <f t="shared" si="831"/>
        <v>0</v>
      </c>
      <c r="V344" s="104">
        <f t="shared" si="831"/>
        <v>9.9999999999999995E-8</v>
      </c>
      <c r="W344" s="104">
        <f t="shared" si="831"/>
        <v>0</v>
      </c>
      <c r="X344" s="104">
        <f t="shared" si="737"/>
        <v>0</v>
      </c>
      <c r="Y344" s="104">
        <f t="shared" si="737"/>
        <v>9.9999999999999995E-8</v>
      </c>
      <c r="Z344" s="104">
        <f t="shared" si="737"/>
        <v>9.9999999999999995E-8</v>
      </c>
      <c r="AA344" s="105">
        <f t="shared" si="737"/>
        <v>9.9999999999999995E-8</v>
      </c>
      <c r="AB344" s="101" t="e">
        <f>$DT344*HLOOKUP($J344,'Construction Costs (timber)'!$B$1:$V$32,'Construction Planner'!$L344+2,FALSE)</f>
        <v>#N/A</v>
      </c>
      <c r="AC344" s="14" t="e">
        <f>$DT344*HLOOKUP($J344,'Construction Costs (clay)'!$B$1:$V$32,'Construction Planner'!$L344+2,FALSE)</f>
        <v>#N/A</v>
      </c>
      <c r="AD344" s="14" t="e">
        <f>$DT344*HLOOKUP($J344,'Construction Costs (iron)'!$B$1:$V$32,'Construction Planner'!$L344+2,FALSE)</f>
        <v>#N/A</v>
      </c>
      <c r="AE344" s="34" t="e">
        <f t="shared" si="843"/>
        <v>#N/A</v>
      </c>
      <c r="AF344" s="33" t="e">
        <f t="shared" si="780"/>
        <v>#N/A</v>
      </c>
      <c r="AG344" s="14" t="e">
        <f t="shared" si="781"/>
        <v>#N/A</v>
      </c>
      <c r="AH344" s="14" t="e">
        <f t="shared" si="782"/>
        <v>#N/A</v>
      </c>
      <c r="AI344" s="34" t="e">
        <f t="shared" si="844"/>
        <v>#N/A</v>
      </c>
      <c r="AJ344" s="49" t="e">
        <f t="shared" si="804"/>
        <v>#N/A</v>
      </c>
      <c r="AK344" s="49" t="e">
        <f t="shared" si="805"/>
        <v>#N/A</v>
      </c>
      <c r="AL344" s="49" t="e">
        <f t="shared" si="806"/>
        <v>#N/A</v>
      </c>
      <c r="AM344" s="25">
        <f t="shared" si="783"/>
        <v>30</v>
      </c>
      <c r="AN344" s="25">
        <f t="shared" si="784"/>
        <v>30</v>
      </c>
      <c r="AO344" s="25">
        <f t="shared" si="785"/>
        <v>30</v>
      </c>
      <c r="AP344" s="52" t="e">
        <f t="shared" si="807"/>
        <v>#N/A</v>
      </c>
      <c r="AQ344" s="53" t="e">
        <f t="shared" si="807"/>
        <v>#N/A</v>
      </c>
      <c r="AR344" s="54" t="e">
        <f t="shared" si="807"/>
        <v>#N/A</v>
      </c>
      <c r="AS344" s="316">
        <f t="shared" si="845"/>
        <v>0</v>
      </c>
      <c r="AT344" s="106">
        <f>_xlfn.IFNA($M344/VLOOKUP($BT344,'Unit information'!$A$2:$K$29,2,FALSE)*R344,0)*(1+$E$9)</f>
        <v>0</v>
      </c>
      <c r="AU344" s="107">
        <f>_xlfn.IFNA($M344/VLOOKUP($BT344,'Unit information'!$A$2:$K$29,3,FALSE)*S344,0)*(1+$E$9)</f>
        <v>0</v>
      </c>
      <c r="AV344" s="107">
        <f>_xlfn.IFNA($M344/VLOOKUP($BT344,'Unit information'!$A$2:$K$29,4,FALSE)*T344,0)*(1+$E$9)</f>
        <v>0</v>
      </c>
      <c r="AW344" s="107">
        <f>_xlfn.IFNA($M344/VLOOKUP($BT344,'Unit information'!$A$2:$K$29,5,FALSE)*U344,0)*(1+$E$9)</f>
        <v>0</v>
      </c>
      <c r="AX344" s="107">
        <f>_xlfn.IFNA($M344/VLOOKUP($BU344,'Unit information'!$A$2:$K$29,6,FALSE)*V344,0)*(1+$E$9)</f>
        <v>0</v>
      </c>
      <c r="AY344" s="107">
        <f>_xlfn.IFNA($M344/VLOOKUP($BU344,'Unit information'!$A$2:$K$29,7,FALSE)*W344,0)*(1+$E$9)</f>
        <v>0</v>
      </c>
      <c r="AZ344" s="107">
        <f>_xlfn.IFNA($M344/VLOOKUP($BU344,'Unit information'!$A$2:$K$29,8,FALSE)*X344,0)*(1+$E$9)</f>
        <v>0</v>
      </c>
      <c r="BA344" s="107">
        <f>_xlfn.IFNA($M344/VLOOKUP($BU344,'Unit information'!$A$2:$K$29,9,FALSE)*Y344,0)*(1+$E$9)</f>
        <v>0</v>
      </c>
      <c r="BB344" s="107">
        <f>_xlfn.IFNA($M344/VLOOKUP($BV344,'Unit information'!$A$2:$K$29,10,FALSE)*Z344,0)*(1+$E$9)</f>
        <v>0</v>
      </c>
      <c r="BC344" s="108">
        <f>_xlfn.IFNA($M344/VLOOKUP($BV344,'Unit information'!$A$2:$K$29,11,FALSE)*AA344,0)*(1+$E$9)</f>
        <v>0</v>
      </c>
      <c r="BD344" s="106">
        <f t="shared" si="786"/>
        <v>0</v>
      </c>
      <c r="BE344" s="107">
        <f t="shared" si="787"/>
        <v>0</v>
      </c>
      <c r="BF344" s="108">
        <f t="shared" si="788"/>
        <v>0</v>
      </c>
      <c r="BG344" s="25" t="e">
        <f t="shared" si="789"/>
        <v>#N/A</v>
      </c>
      <c r="BH344" s="25" t="e">
        <f t="shared" si="790"/>
        <v>#N/A</v>
      </c>
      <c r="BI344" s="25" t="e">
        <f t="shared" si="791"/>
        <v>#N/A</v>
      </c>
      <c r="BJ344" s="27" t="e">
        <f t="shared" si="792"/>
        <v>#N/A</v>
      </c>
      <c r="BK344" s="18" t="e">
        <f t="shared" si="793"/>
        <v>#N/A</v>
      </c>
      <c r="BL344" s="18" t="e">
        <f t="shared" si="794"/>
        <v>#N/A</v>
      </c>
      <c r="BM344" s="28" t="e">
        <f t="shared" si="846"/>
        <v>#N/A</v>
      </c>
      <c r="BN344" s="33">
        <f>HLOOKUP("maximum population",Miscelaneous!$C$1:$C$33,CH344+3,FALSE)</f>
        <v>240</v>
      </c>
      <c r="BO344" s="14">
        <f t="shared" si="808"/>
        <v>32</v>
      </c>
      <c r="BP344" s="14">
        <f t="shared" si="809"/>
        <v>0</v>
      </c>
      <c r="BQ344" s="14">
        <f t="shared" si="810"/>
        <v>208</v>
      </c>
      <c r="BR344" s="34" t="e">
        <f>HLOOKUP(J344,Villagers!$B$1:$V$33,L344+3,FALSE)-HLOOKUP(J344,Villagers!$B$1:$V$33,L344+2,FALSE)</f>
        <v>#N/A</v>
      </c>
      <c r="BS344" s="49">
        <f t="shared" si="811"/>
        <v>1</v>
      </c>
      <c r="BT344" s="50">
        <f t="shared" si="812"/>
        <v>0</v>
      </c>
      <c r="BU344" s="50">
        <f t="shared" si="813"/>
        <v>0</v>
      </c>
      <c r="BV344" s="50">
        <f t="shared" si="814"/>
        <v>0</v>
      </c>
      <c r="BW344" s="50">
        <f t="shared" ref="BW344:BW351" si="852">IF($J343=BW$14,$L343,BW343)</f>
        <v>0</v>
      </c>
      <c r="BX344" s="50">
        <f t="shared" si="850"/>
        <v>0</v>
      </c>
      <c r="BY344" s="50">
        <f t="shared" si="850"/>
        <v>0</v>
      </c>
      <c r="BZ344" s="50">
        <f t="shared" si="707"/>
        <v>0</v>
      </c>
      <c r="CA344" s="50">
        <f t="shared" si="708"/>
        <v>0</v>
      </c>
      <c r="CB344" s="50">
        <f t="shared" si="709"/>
        <v>1</v>
      </c>
      <c r="CC344" s="50">
        <f t="shared" si="710"/>
        <v>0</v>
      </c>
      <c r="CD344" s="50">
        <f t="shared" si="711"/>
        <v>0</v>
      </c>
      <c r="CE344" s="50">
        <f t="shared" si="712"/>
        <v>1</v>
      </c>
      <c r="CF344" s="50">
        <f t="shared" si="713"/>
        <v>1</v>
      </c>
      <c r="CG344" s="50">
        <f t="shared" si="714"/>
        <v>1</v>
      </c>
      <c r="CH344" s="50">
        <f t="shared" si="715"/>
        <v>1</v>
      </c>
      <c r="CI344" s="50">
        <f t="shared" si="716"/>
        <v>1</v>
      </c>
      <c r="CJ344" s="50">
        <f t="shared" si="717"/>
        <v>1</v>
      </c>
      <c r="CK344" s="50">
        <f t="shared" si="717"/>
        <v>0</v>
      </c>
      <c r="CL344" s="50">
        <f t="shared" si="717"/>
        <v>0</v>
      </c>
      <c r="CM344" s="51">
        <f t="shared" si="795"/>
        <v>0</v>
      </c>
      <c r="CN344" s="33">
        <f>ROUND(IF(BS344=0,0,HLOOKUP(BS$14,Villagers!$B$1:$V$33,BS344+3,FALSE)),)</f>
        <v>5</v>
      </c>
      <c r="CO344" s="14">
        <f>ROUND(IF(BT344=0,0,HLOOKUP(BT$14,Villagers!$B$1:$V$33,BT344+3,FALSE)),)</f>
        <v>0</v>
      </c>
      <c r="CP344" s="14">
        <f>ROUND(IF(BU344=0,0,HLOOKUP(BU$14,Villagers!$B$1:$V$33,BU344+3,FALSE)),)</f>
        <v>0</v>
      </c>
      <c r="CQ344" s="14">
        <f>ROUND(IF(BV344=0,0,HLOOKUP(BV$14,Villagers!$B$1:$V$33,BV344+3,FALSE)),)</f>
        <v>0</v>
      </c>
      <c r="CR344" s="14">
        <f>ROUND(IF(BW344=0,0,HLOOKUP(BW$14,Villagers!$B$1:$V$33,BW344+3,FALSE)),)</f>
        <v>0</v>
      </c>
      <c r="CS344" s="14">
        <f>ROUND(IF(BX344=0,0,HLOOKUP(BX$14,Villagers!$B$1:$V$33,BX344+3,FALSE)),)</f>
        <v>0</v>
      </c>
      <c r="CT344" s="14">
        <f>ROUND(IF(BY344=0,0,HLOOKUP(BY$14,Villagers!$B$1:$V$33,BY344+3,FALSE)),)</f>
        <v>0</v>
      </c>
      <c r="CU344" s="14">
        <f>ROUND(IF(BZ344=0,0,HLOOKUP(BZ$14,Villagers!$B$1:$V$33,BZ344+3,FALSE)),)</f>
        <v>0</v>
      </c>
      <c r="CV344" s="14">
        <f>ROUND(IF(CA344=0,0,HLOOKUP(CA$14,Villagers!$B$1:$V$33,CA344+3,FALSE)),)</f>
        <v>0</v>
      </c>
      <c r="CW344" s="14">
        <f>ROUND(IF(CB344=0,0,HLOOKUP(CB$14,Villagers!$B$1:$V$33,CB344+3,FALSE)),)</f>
        <v>0</v>
      </c>
      <c r="CX344" s="14">
        <f>ROUND(IF(CC344=0,0,HLOOKUP(CC$14,Villagers!$B$1:$V$33,CC344+3,FALSE)),)</f>
        <v>0</v>
      </c>
      <c r="CY344" s="14">
        <f>ROUND(IF(CD344=0,0,HLOOKUP(CD$14,Villagers!$B$1:$V$33,CD344+3,FALSE)),)</f>
        <v>0</v>
      </c>
      <c r="CZ344" s="14">
        <f>ROUND(IF(CE344=0,0,HLOOKUP(CE$14,Villagers!$B$1:$V$33,CE344+3,FALSE)),)</f>
        <v>5</v>
      </c>
      <c r="DA344" s="14">
        <f>ROUND(IF(CF344=0,0,HLOOKUP(CF$14,Villagers!$B$1:$V$33,CF344+3,FALSE)),)</f>
        <v>10</v>
      </c>
      <c r="DB344" s="14">
        <f>ROUND(IF(CG344=0,0,HLOOKUP(CG$14,Villagers!$B$1:$V$33,CG344+3,FALSE)),)</f>
        <v>10</v>
      </c>
      <c r="DC344" s="14">
        <f>ROUND(IF(CH344=0,0,HLOOKUP(CH$14,Villagers!$B$1:$V$33,CH344+3,FALSE)),)</f>
        <v>0</v>
      </c>
      <c r="DD344" s="14">
        <f>ROUND(IF(CI344=0,0,HLOOKUP(CI$14,Villagers!$B$1:$V$33,CI344+3,FALSE)),)</f>
        <v>0</v>
      </c>
      <c r="DE344" s="14">
        <f>ROUND(IF(CJ344=0,0,HLOOKUP(CJ$14,Villagers!$B$1:$V$33,CJ344+3,FALSE)),)</f>
        <v>2</v>
      </c>
      <c r="DF344" s="370">
        <f>ROUND(IF(CK344=0,0,HLOOKUP(CK$14,Villagers!$B$1:$V$33,CK344+3,FALSE)),)</f>
        <v>0</v>
      </c>
      <c r="DG344" s="370">
        <f>ROUND(IF(CL344=0,0,HLOOKUP(CL$14,Villagers!$B$1:$V$33,CL344+3,FALSE)),)</f>
        <v>0</v>
      </c>
      <c r="DH344" s="34">
        <f>ROUND(IF(CM344=0,0,HLOOKUP(CM$14,Villagers!$B$1:$V$33,CM344+3,FALSE)),)</f>
        <v>0</v>
      </c>
      <c r="DI344" s="109">
        <f t="shared" si="832"/>
        <v>0</v>
      </c>
      <c r="DJ344" s="50">
        <f t="shared" si="833"/>
        <v>0</v>
      </c>
      <c r="DK344" s="50">
        <f t="shared" si="834"/>
        <v>0</v>
      </c>
      <c r="DL344" s="50">
        <f t="shared" si="835"/>
        <v>0</v>
      </c>
      <c r="DM344" s="50">
        <f t="shared" si="836"/>
        <v>0</v>
      </c>
      <c r="DN344" s="50">
        <f t="shared" si="837"/>
        <v>0</v>
      </c>
      <c r="DO344" s="50">
        <f t="shared" si="838"/>
        <v>0</v>
      </c>
      <c r="DP344" s="50">
        <f t="shared" si="839"/>
        <v>0</v>
      </c>
      <c r="DQ344" s="50">
        <f t="shared" si="816"/>
        <v>0</v>
      </c>
      <c r="DR344" s="50">
        <f t="shared" si="817"/>
        <v>0</v>
      </c>
      <c r="DS344" s="96">
        <f>Miscelaneous!$D$4*Miscelaneous!$D$2^($CI344-1)</f>
        <v>1000</v>
      </c>
      <c r="DT344" s="333">
        <f t="shared" si="796"/>
        <v>1</v>
      </c>
      <c r="DU344" s="81">
        <v>1</v>
      </c>
      <c r="DV344" s="79">
        <f t="shared" si="818"/>
        <v>0</v>
      </c>
      <c r="DW344" s="79">
        <f t="shared" si="819"/>
        <v>0</v>
      </c>
      <c r="DX344" s="79">
        <f t="shared" si="820"/>
        <v>0</v>
      </c>
      <c r="DY344" s="79">
        <v>1</v>
      </c>
      <c r="DZ344" s="79">
        <f t="shared" si="821"/>
        <v>0</v>
      </c>
      <c r="EA344" s="79">
        <f t="shared" si="822"/>
        <v>0</v>
      </c>
      <c r="EB344" s="79">
        <f t="shared" si="823"/>
        <v>0</v>
      </c>
      <c r="EC344" s="79">
        <f t="shared" si="824"/>
        <v>0</v>
      </c>
      <c r="ED344" s="79">
        <v>1</v>
      </c>
      <c r="EE344" s="79">
        <v>1</v>
      </c>
      <c r="EF344" s="79">
        <f t="shared" si="825"/>
        <v>0</v>
      </c>
      <c r="EG344" s="79">
        <v>1</v>
      </c>
      <c r="EH344" s="79">
        <v>1</v>
      </c>
      <c r="EI344" s="79">
        <v>1</v>
      </c>
      <c r="EJ344" s="79">
        <v>1</v>
      </c>
      <c r="EK344" s="79">
        <v>1</v>
      </c>
      <c r="EL344" s="79">
        <v>1</v>
      </c>
      <c r="EM344" s="143">
        <f t="shared" si="826"/>
        <v>0</v>
      </c>
      <c r="EN344" s="143">
        <f t="shared" si="827"/>
        <v>0</v>
      </c>
      <c r="EO344" s="82">
        <f t="shared" si="828"/>
        <v>0</v>
      </c>
    </row>
    <row r="345" spans="1:145" x14ac:dyDescent="0.25">
      <c r="A345">
        <v>331</v>
      </c>
      <c r="B345" s="172" t="e">
        <f t="shared" si="797"/>
        <v>#N/A</v>
      </c>
      <c r="C345" s="121" t="e">
        <f t="shared" ref="C345:E345" si="853">AJ345-SUM(AB345:AB349)</f>
        <v>#N/A</v>
      </c>
      <c r="D345" s="122" t="e">
        <f t="shared" si="853"/>
        <v>#N/A</v>
      </c>
      <c r="E345" s="122" t="e">
        <f t="shared" si="853"/>
        <v>#N/A</v>
      </c>
      <c r="F345" s="176" t="e">
        <f t="shared" si="778"/>
        <v>#N/A</v>
      </c>
      <c r="G345" s="121">
        <f t="shared" si="799"/>
        <v>208</v>
      </c>
      <c r="H345" s="176" t="e">
        <f t="shared" si="800"/>
        <v>#N/A</v>
      </c>
      <c r="I345" s="48">
        <v>1</v>
      </c>
      <c r="J345" s="39"/>
      <c r="K345" s="350">
        <v>1</v>
      </c>
      <c r="L345" s="34" t="e">
        <f t="shared" si="779"/>
        <v>#N/A</v>
      </c>
      <c r="M345" s="38" t="e">
        <f>(HLOOKUP(J345,'Construction Times'!$B$3:$W$34,L345+2,FALSE)*HLOOKUP("hq modifier",'Construction Times'!$W$3:$W$34,BS345+2,FALSE))*(1-$H$9)</f>
        <v>#N/A</v>
      </c>
      <c r="N345" s="426" t="e">
        <f t="shared" si="801"/>
        <v>#N/A</v>
      </c>
      <c r="O345" s="427"/>
      <c r="P345" s="430" t="e">
        <f t="shared" si="802"/>
        <v>#N/A</v>
      </c>
      <c r="Q345" s="431"/>
      <c r="R345" s="103">
        <f t="shared" si="830"/>
        <v>0</v>
      </c>
      <c r="S345" s="104">
        <f t="shared" si="830"/>
        <v>0</v>
      </c>
      <c r="T345" s="104">
        <f t="shared" si="831"/>
        <v>0</v>
      </c>
      <c r="U345" s="104">
        <f t="shared" si="831"/>
        <v>0</v>
      </c>
      <c r="V345" s="104">
        <f t="shared" si="831"/>
        <v>9.9999999999999995E-8</v>
      </c>
      <c r="W345" s="104">
        <f t="shared" si="831"/>
        <v>0</v>
      </c>
      <c r="X345" s="104">
        <f t="shared" si="737"/>
        <v>0</v>
      </c>
      <c r="Y345" s="104">
        <f t="shared" si="737"/>
        <v>9.9999999999999995E-8</v>
      </c>
      <c r="Z345" s="104">
        <f t="shared" si="737"/>
        <v>9.9999999999999995E-8</v>
      </c>
      <c r="AA345" s="105">
        <f t="shared" si="737"/>
        <v>9.9999999999999995E-8</v>
      </c>
      <c r="AB345" s="101" t="e">
        <f>$DT345*HLOOKUP($J345,'Construction Costs (timber)'!$B$1:$V$32,'Construction Planner'!$L345+2,FALSE)</f>
        <v>#N/A</v>
      </c>
      <c r="AC345" s="14" t="e">
        <f>$DT345*HLOOKUP($J345,'Construction Costs (clay)'!$B$1:$V$32,'Construction Planner'!$L345+2,FALSE)</f>
        <v>#N/A</v>
      </c>
      <c r="AD345" s="14" t="e">
        <f>$DT345*HLOOKUP($J345,'Construction Costs (iron)'!$B$1:$V$32,'Construction Planner'!$L345+2,FALSE)</f>
        <v>#N/A</v>
      </c>
      <c r="AE345" s="34" t="e">
        <f t="shared" si="843"/>
        <v>#N/A</v>
      </c>
      <c r="AF345" s="33" t="e">
        <f t="shared" si="780"/>
        <v>#N/A</v>
      </c>
      <c r="AG345" s="14" t="e">
        <f t="shared" si="781"/>
        <v>#N/A</v>
      </c>
      <c r="AH345" s="14" t="e">
        <f t="shared" si="782"/>
        <v>#N/A</v>
      </c>
      <c r="AI345" s="34" t="e">
        <f t="shared" si="844"/>
        <v>#N/A</v>
      </c>
      <c r="AJ345" s="49" t="e">
        <f t="shared" si="804"/>
        <v>#N/A</v>
      </c>
      <c r="AK345" s="49" t="e">
        <f t="shared" si="805"/>
        <v>#N/A</v>
      </c>
      <c r="AL345" s="49" t="e">
        <f t="shared" si="806"/>
        <v>#N/A</v>
      </c>
      <c r="AM345" s="25">
        <f t="shared" si="783"/>
        <v>30</v>
      </c>
      <c r="AN345" s="25">
        <f t="shared" si="784"/>
        <v>30</v>
      </c>
      <c r="AO345" s="25">
        <f t="shared" si="785"/>
        <v>30</v>
      </c>
      <c r="AP345" s="52" t="e">
        <f t="shared" si="807"/>
        <v>#N/A</v>
      </c>
      <c r="AQ345" s="53" t="e">
        <f t="shared" si="807"/>
        <v>#N/A</v>
      </c>
      <c r="AR345" s="54" t="e">
        <f t="shared" si="807"/>
        <v>#N/A</v>
      </c>
      <c r="AS345" s="316">
        <f t="shared" si="845"/>
        <v>0</v>
      </c>
      <c r="AT345" s="106">
        <f>_xlfn.IFNA($M345/VLOOKUP($BT345,'Unit information'!$A$2:$K$29,2,FALSE)*R345,0)*(1+$E$9)</f>
        <v>0</v>
      </c>
      <c r="AU345" s="107">
        <f>_xlfn.IFNA($M345/VLOOKUP($BT345,'Unit information'!$A$2:$K$29,3,FALSE)*S345,0)*(1+$E$9)</f>
        <v>0</v>
      </c>
      <c r="AV345" s="107">
        <f>_xlfn.IFNA($M345/VLOOKUP($BT345,'Unit information'!$A$2:$K$29,4,FALSE)*T345,0)*(1+$E$9)</f>
        <v>0</v>
      </c>
      <c r="AW345" s="107">
        <f>_xlfn.IFNA($M345/VLOOKUP($BT345,'Unit information'!$A$2:$K$29,5,FALSE)*U345,0)*(1+$E$9)</f>
        <v>0</v>
      </c>
      <c r="AX345" s="107">
        <f>_xlfn.IFNA($M345/VLOOKUP($BU345,'Unit information'!$A$2:$K$29,6,FALSE)*V345,0)*(1+$E$9)</f>
        <v>0</v>
      </c>
      <c r="AY345" s="107">
        <f>_xlfn.IFNA($M345/VLOOKUP($BU345,'Unit information'!$A$2:$K$29,7,FALSE)*W345,0)*(1+$E$9)</f>
        <v>0</v>
      </c>
      <c r="AZ345" s="107">
        <f>_xlfn.IFNA($M345/VLOOKUP($BU345,'Unit information'!$A$2:$K$29,8,FALSE)*X345,0)*(1+$E$9)</f>
        <v>0</v>
      </c>
      <c r="BA345" s="107">
        <f>_xlfn.IFNA($M345/VLOOKUP($BU345,'Unit information'!$A$2:$K$29,9,FALSE)*Y345,0)*(1+$E$9)</f>
        <v>0</v>
      </c>
      <c r="BB345" s="107">
        <f>_xlfn.IFNA($M345/VLOOKUP($BV345,'Unit information'!$A$2:$K$29,10,FALSE)*Z345,0)*(1+$E$9)</f>
        <v>0</v>
      </c>
      <c r="BC345" s="108">
        <f>_xlfn.IFNA($M345/VLOOKUP($BV345,'Unit information'!$A$2:$K$29,11,FALSE)*AA345,0)*(1+$E$9)</f>
        <v>0</v>
      </c>
      <c r="BD345" s="106">
        <f t="shared" si="786"/>
        <v>0</v>
      </c>
      <c r="BE345" s="107">
        <f t="shared" si="787"/>
        <v>0</v>
      </c>
      <c r="BF345" s="108">
        <f t="shared" si="788"/>
        <v>0</v>
      </c>
      <c r="BG345" s="25" t="e">
        <f t="shared" si="789"/>
        <v>#N/A</v>
      </c>
      <c r="BH345" s="25" t="e">
        <f t="shared" si="790"/>
        <v>#N/A</v>
      </c>
      <c r="BI345" s="25" t="e">
        <f t="shared" si="791"/>
        <v>#N/A</v>
      </c>
      <c r="BJ345" s="27" t="e">
        <f t="shared" si="792"/>
        <v>#N/A</v>
      </c>
      <c r="BK345" s="18" t="e">
        <f t="shared" si="793"/>
        <v>#N/A</v>
      </c>
      <c r="BL345" s="18" t="e">
        <f t="shared" si="794"/>
        <v>#N/A</v>
      </c>
      <c r="BM345" s="28" t="e">
        <f t="shared" si="846"/>
        <v>#N/A</v>
      </c>
      <c r="BN345" s="33">
        <f>HLOOKUP("maximum population",Miscelaneous!$C$1:$C$33,CH345+3,FALSE)</f>
        <v>240</v>
      </c>
      <c r="BO345" s="14">
        <f t="shared" si="808"/>
        <v>32</v>
      </c>
      <c r="BP345" s="14">
        <f t="shared" si="809"/>
        <v>0</v>
      </c>
      <c r="BQ345" s="14">
        <f t="shared" si="810"/>
        <v>208</v>
      </c>
      <c r="BR345" s="34" t="e">
        <f>HLOOKUP(J345,Villagers!$B$1:$V$33,L345+3,FALSE)-HLOOKUP(J345,Villagers!$B$1:$V$33,L345+2,FALSE)</f>
        <v>#N/A</v>
      </c>
      <c r="BS345" s="49">
        <f t="shared" si="811"/>
        <v>1</v>
      </c>
      <c r="BT345" s="50">
        <f t="shared" si="812"/>
        <v>0</v>
      </c>
      <c r="BU345" s="50">
        <f t="shared" si="813"/>
        <v>0</v>
      </c>
      <c r="BV345" s="50">
        <f t="shared" si="814"/>
        <v>0</v>
      </c>
      <c r="BW345" s="50">
        <f t="shared" si="852"/>
        <v>0</v>
      </c>
      <c r="BX345" s="50">
        <f t="shared" si="850"/>
        <v>0</v>
      </c>
      <c r="BY345" s="50">
        <f t="shared" si="850"/>
        <v>0</v>
      </c>
      <c r="BZ345" s="50">
        <f t="shared" si="707"/>
        <v>0</v>
      </c>
      <c r="CA345" s="50">
        <f t="shared" si="708"/>
        <v>0</v>
      </c>
      <c r="CB345" s="50">
        <f t="shared" si="709"/>
        <v>1</v>
      </c>
      <c r="CC345" s="50">
        <f t="shared" si="710"/>
        <v>0</v>
      </c>
      <c r="CD345" s="50">
        <f t="shared" si="711"/>
        <v>0</v>
      </c>
      <c r="CE345" s="50">
        <f t="shared" si="712"/>
        <v>1</v>
      </c>
      <c r="CF345" s="50">
        <f t="shared" si="713"/>
        <v>1</v>
      </c>
      <c r="CG345" s="50">
        <f t="shared" si="714"/>
        <v>1</v>
      </c>
      <c r="CH345" s="50">
        <f t="shared" si="715"/>
        <v>1</v>
      </c>
      <c r="CI345" s="50">
        <f t="shared" si="716"/>
        <v>1</v>
      </c>
      <c r="CJ345" s="50">
        <f t="shared" si="717"/>
        <v>1</v>
      </c>
      <c r="CK345" s="50">
        <f t="shared" si="717"/>
        <v>0</v>
      </c>
      <c r="CL345" s="50">
        <f t="shared" si="717"/>
        <v>0</v>
      </c>
      <c r="CM345" s="51">
        <f t="shared" si="795"/>
        <v>0</v>
      </c>
      <c r="CN345" s="33">
        <f>ROUND(IF(BS345=0,0,HLOOKUP(BS$14,Villagers!$B$1:$V$33,BS345+3,FALSE)),)</f>
        <v>5</v>
      </c>
      <c r="CO345" s="14">
        <f>ROUND(IF(BT345=0,0,HLOOKUP(BT$14,Villagers!$B$1:$V$33,BT345+3,FALSE)),)</f>
        <v>0</v>
      </c>
      <c r="CP345" s="14">
        <f>ROUND(IF(BU345=0,0,HLOOKUP(BU$14,Villagers!$B$1:$V$33,BU345+3,FALSE)),)</f>
        <v>0</v>
      </c>
      <c r="CQ345" s="14">
        <f>ROUND(IF(BV345=0,0,HLOOKUP(BV$14,Villagers!$B$1:$V$33,BV345+3,FALSE)),)</f>
        <v>0</v>
      </c>
      <c r="CR345" s="14">
        <f>ROUND(IF(BW345=0,0,HLOOKUP(BW$14,Villagers!$B$1:$V$33,BW345+3,FALSE)),)</f>
        <v>0</v>
      </c>
      <c r="CS345" s="14">
        <f>ROUND(IF(BX345=0,0,HLOOKUP(BX$14,Villagers!$B$1:$V$33,BX345+3,FALSE)),)</f>
        <v>0</v>
      </c>
      <c r="CT345" s="14">
        <f>ROUND(IF(BY345=0,0,HLOOKUP(BY$14,Villagers!$B$1:$V$33,BY345+3,FALSE)),)</f>
        <v>0</v>
      </c>
      <c r="CU345" s="14">
        <f>ROUND(IF(BZ345=0,0,HLOOKUP(BZ$14,Villagers!$B$1:$V$33,BZ345+3,FALSE)),)</f>
        <v>0</v>
      </c>
      <c r="CV345" s="14">
        <f>ROUND(IF(CA345=0,0,HLOOKUP(CA$14,Villagers!$B$1:$V$33,CA345+3,FALSE)),)</f>
        <v>0</v>
      </c>
      <c r="CW345" s="14">
        <f>ROUND(IF(CB345=0,0,HLOOKUP(CB$14,Villagers!$B$1:$V$33,CB345+3,FALSE)),)</f>
        <v>0</v>
      </c>
      <c r="CX345" s="14">
        <f>ROUND(IF(CC345=0,0,HLOOKUP(CC$14,Villagers!$B$1:$V$33,CC345+3,FALSE)),)</f>
        <v>0</v>
      </c>
      <c r="CY345" s="14">
        <f>ROUND(IF(CD345=0,0,HLOOKUP(CD$14,Villagers!$B$1:$V$33,CD345+3,FALSE)),)</f>
        <v>0</v>
      </c>
      <c r="CZ345" s="14">
        <f>ROUND(IF(CE345=0,0,HLOOKUP(CE$14,Villagers!$B$1:$V$33,CE345+3,FALSE)),)</f>
        <v>5</v>
      </c>
      <c r="DA345" s="14">
        <f>ROUND(IF(CF345=0,0,HLOOKUP(CF$14,Villagers!$B$1:$V$33,CF345+3,FALSE)),)</f>
        <v>10</v>
      </c>
      <c r="DB345" s="14">
        <f>ROUND(IF(CG345=0,0,HLOOKUP(CG$14,Villagers!$B$1:$V$33,CG345+3,FALSE)),)</f>
        <v>10</v>
      </c>
      <c r="DC345" s="14">
        <f>ROUND(IF(CH345=0,0,HLOOKUP(CH$14,Villagers!$B$1:$V$33,CH345+3,FALSE)),)</f>
        <v>0</v>
      </c>
      <c r="DD345" s="14">
        <f>ROUND(IF(CI345=0,0,HLOOKUP(CI$14,Villagers!$B$1:$V$33,CI345+3,FALSE)),)</f>
        <v>0</v>
      </c>
      <c r="DE345" s="14">
        <f>ROUND(IF(CJ345=0,0,HLOOKUP(CJ$14,Villagers!$B$1:$V$33,CJ345+3,FALSE)),)</f>
        <v>2</v>
      </c>
      <c r="DF345" s="370">
        <f>ROUND(IF(CK345=0,0,HLOOKUP(CK$14,Villagers!$B$1:$V$33,CK345+3,FALSE)),)</f>
        <v>0</v>
      </c>
      <c r="DG345" s="370">
        <f>ROUND(IF(CL345=0,0,HLOOKUP(CL$14,Villagers!$B$1:$V$33,CL345+3,FALSE)),)</f>
        <v>0</v>
      </c>
      <c r="DH345" s="34">
        <f>ROUND(IF(CM345=0,0,HLOOKUP(CM$14,Villagers!$B$1:$V$33,CM345+3,FALSE)),)</f>
        <v>0</v>
      </c>
      <c r="DI345" s="109">
        <f t="shared" si="832"/>
        <v>0</v>
      </c>
      <c r="DJ345" s="50">
        <f t="shared" si="833"/>
        <v>0</v>
      </c>
      <c r="DK345" s="50">
        <f t="shared" si="834"/>
        <v>0</v>
      </c>
      <c r="DL345" s="50">
        <f t="shared" si="835"/>
        <v>0</v>
      </c>
      <c r="DM345" s="50">
        <f t="shared" si="836"/>
        <v>0</v>
      </c>
      <c r="DN345" s="50">
        <f t="shared" si="837"/>
        <v>0</v>
      </c>
      <c r="DO345" s="50">
        <f t="shared" si="838"/>
        <v>0</v>
      </c>
      <c r="DP345" s="50">
        <f t="shared" si="839"/>
        <v>0</v>
      </c>
      <c r="DQ345" s="50">
        <f t="shared" si="816"/>
        <v>0</v>
      </c>
      <c r="DR345" s="50">
        <f t="shared" si="817"/>
        <v>0</v>
      </c>
      <c r="DS345" s="96">
        <f>Miscelaneous!$D$4*Miscelaneous!$D$2^($CI345-1)</f>
        <v>1000</v>
      </c>
      <c r="DT345" s="333">
        <f t="shared" si="796"/>
        <v>1</v>
      </c>
      <c r="DU345" s="81">
        <v>1</v>
      </c>
      <c r="DV345" s="79">
        <f t="shared" si="818"/>
        <v>0</v>
      </c>
      <c r="DW345" s="79">
        <f t="shared" si="819"/>
        <v>0</v>
      </c>
      <c r="DX345" s="79">
        <f t="shared" si="820"/>
        <v>0</v>
      </c>
      <c r="DY345" s="79">
        <v>1</v>
      </c>
      <c r="DZ345" s="79">
        <f t="shared" si="821"/>
        <v>0</v>
      </c>
      <c r="EA345" s="79">
        <f t="shared" si="822"/>
        <v>0</v>
      </c>
      <c r="EB345" s="79">
        <f t="shared" si="823"/>
        <v>0</v>
      </c>
      <c r="EC345" s="79">
        <f t="shared" si="824"/>
        <v>0</v>
      </c>
      <c r="ED345" s="79">
        <v>1</v>
      </c>
      <c r="EE345" s="79">
        <v>1</v>
      </c>
      <c r="EF345" s="79">
        <f t="shared" si="825"/>
        <v>0</v>
      </c>
      <c r="EG345" s="79">
        <v>1</v>
      </c>
      <c r="EH345" s="79">
        <v>1</v>
      </c>
      <c r="EI345" s="79">
        <v>1</v>
      </c>
      <c r="EJ345" s="79">
        <v>1</v>
      </c>
      <c r="EK345" s="79">
        <v>1</v>
      </c>
      <c r="EL345" s="79">
        <v>1</v>
      </c>
      <c r="EM345" s="143">
        <f t="shared" si="826"/>
        <v>0</v>
      </c>
      <c r="EN345" s="143">
        <f t="shared" si="827"/>
        <v>0</v>
      </c>
      <c r="EO345" s="82">
        <f t="shared" si="828"/>
        <v>0</v>
      </c>
    </row>
    <row r="346" spans="1:145" x14ac:dyDescent="0.25">
      <c r="A346">
        <v>332</v>
      </c>
      <c r="B346" s="172" t="e">
        <f t="shared" si="797"/>
        <v>#N/A</v>
      </c>
      <c r="C346" s="121" t="e">
        <f t="shared" ref="C346:E346" si="854">AJ346-SUM(AB346:AB350)</f>
        <v>#N/A</v>
      </c>
      <c r="D346" s="122" t="e">
        <f t="shared" si="854"/>
        <v>#N/A</v>
      </c>
      <c r="E346" s="122" t="e">
        <f t="shared" si="854"/>
        <v>#N/A</v>
      </c>
      <c r="F346" s="176" t="e">
        <f t="shared" si="778"/>
        <v>#N/A</v>
      </c>
      <c r="G346" s="121">
        <f t="shared" si="799"/>
        <v>208</v>
      </c>
      <c r="H346" s="176" t="e">
        <f t="shared" si="800"/>
        <v>#N/A</v>
      </c>
      <c r="I346" s="48">
        <v>1</v>
      </c>
      <c r="J346" s="39"/>
      <c r="K346" s="350">
        <v>1</v>
      </c>
      <c r="L346" s="34" t="e">
        <f t="shared" si="779"/>
        <v>#N/A</v>
      </c>
      <c r="M346" s="38" t="e">
        <f>(HLOOKUP(J346,'Construction Times'!$B$3:$W$34,L346+2,FALSE)*HLOOKUP("hq modifier",'Construction Times'!$W$3:$W$34,BS346+2,FALSE))*(1-$H$9)</f>
        <v>#N/A</v>
      </c>
      <c r="N346" s="426" t="e">
        <f t="shared" si="801"/>
        <v>#N/A</v>
      </c>
      <c r="O346" s="427"/>
      <c r="P346" s="430" t="e">
        <f t="shared" si="802"/>
        <v>#N/A</v>
      </c>
      <c r="Q346" s="431"/>
      <c r="R346" s="103">
        <f t="shared" si="830"/>
        <v>0</v>
      </c>
      <c r="S346" s="104">
        <f t="shared" si="830"/>
        <v>0</v>
      </c>
      <c r="T346" s="104">
        <f t="shared" si="831"/>
        <v>0</v>
      </c>
      <c r="U346" s="104">
        <f t="shared" si="831"/>
        <v>0</v>
      </c>
      <c r="V346" s="104">
        <f t="shared" si="831"/>
        <v>9.9999999999999995E-8</v>
      </c>
      <c r="W346" s="104">
        <f t="shared" si="831"/>
        <v>0</v>
      </c>
      <c r="X346" s="104">
        <f t="shared" si="737"/>
        <v>0</v>
      </c>
      <c r="Y346" s="104">
        <f t="shared" si="737"/>
        <v>9.9999999999999995E-8</v>
      </c>
      <c r="Z346" s="104">
        <f t="shared" si="737"/>
        <v>9.9999999999999995E-8</v>
      </c>
      <c r="AA346" s="105">
        <f t="shared" si="737"/>
        <v>9.9999999999999995E-8</v>
      </c>
      <c r="AB346" s="101" t="e">
        <f>$DT346*HLOOKUP($J346,'Construction Costs (timber)'!$B$1:$V$32,'Construction Planner'!$L346+2,FALSE)</f>
        <v>#N/A</v>
      </c>
      <c r="AC346" s="14" t="e">
        <f>$DT346*HLOOKUP($J346,'Construction Costs (clay)'!$B$1:$V$32,'Construction Planner'!$L346+2,FALSE)</f>
        <v>#N/A</v>
      </c>
      <c r="AD346" s="14" t="e">
        <f>$DT346*HLOOKUP($J346,'Construction Costs (iron)'!$B$1:$V$32,'Construction Planner'!$L346+2,FALSE)</f>
        <v>#N/A</v>
      </c>
      <c r="AE346" s="34" t="e">
        <f t="shared" si="843"/>
        <v>#N/A</v>
      </c>
      <c r="AF346" s="33" t="e">
        <f t="shared" si="780"/>
        <v>#N/A</v>
      </c>
      <c r="AG346" s="14" t="e">
        <f t="shared" si="781"/>
        <v>#N/A</v>
      </c>
      <c r="AH346" s="14" t="e">
        <f t="shared" si="782"/>
        <v>#N/A</v>
      </c>
      <c r="AI346" s="34" t="e">
        <f t="shared" si="844"/>
        <v>#N/A</v>
      </c>
      <c r="AJ346" s="49" t="e">
        <f t="shared" si="804"/>
        <v>#N/A</v>
      </c>
      <c r="AK346" s="49" t="e">
        <f t="shared" si="805"/>
        <v>#N/A</v>
      </c>
      <c r="AL346" s="49" t="e">
        <f t="shared" si="806"/>
        <v>#N/A</v>
      </c>
      <c r="AM346" s="25">
        <f t="shared" si="783"/>
        <v>30</v>
      </c>
      <c r="AN346" s="25">
        <f t="shared" si="784"/>
        <v>30</v>
      </c>
      <c r="AO346" s="25">
        <f t="shared" si="785"/>
        <v>30</v>
      </c>
      <c r="AP346" s="52" t="e">
        <f t="shared" si="807"/>
        <v>#N/A</v>
      </c>
      <c r="AQ346" s="53" t="e">
        <f t="shared" si="807"/>
        <v>#N/A</v>
      </c>
      <c r="AR346" s="54" t="e">
        <f t="shared" si="807"/>
        <v>#N/A</v>
      </c>
      <c r="AS346" s="316">
        <f t="shared" si="845"/>
        <v>0</v>
      </c>
      <c r="AT346" s="106">
        <f>_xlfn.IFNA($M346/VLOOKUP($BT346,'Unit information'!$A$2:$K$29,2,FALSE)*R346,0)*(1+$E$9)</f>
        <v>0</v>
      </c>
      <c r="AU346" s="107">
        <f>_xlfn.IFNA($M346/VLOOKUP($BT346,'Unit information'!$A$2:$K$29,3,FALSE)*S346,0)*(1+$E$9)</f>
        <v>0</v>
      </c>
      <c r="AV346" s="107">
        <f>_xlfn.IFNA($M346/VLOOKUP($BT346,'Unit information'!$A$2:$K$29,4,FALSE)*T346,0)*(1+$E$9)</f>
        <v>0</v>
      </c>
      <c r="AW346" s="107">
        <f>_xlfn.IFNA($M346/VLOOKUP($BT346,'Unit information'!$A$2:$K$29,5,FALSE)*U346,0)*(1+$E$9)</f>
        <v>0</v>
      </c>
      <c r="AX346" s="107">
        <f>_xlfn.IFNA($M346/VLOOKUP($BU346,'Unit information'!$A$2:$K$29,6,FALSE)*V346,0)*(1+$E$9)</f>
        <v>0</v>
      </c>
      <c r="AY346" s="107">
        <f>_xlfn.IFNA($M346/VLOOKUP($BU346,'Unit information'!$A$2:$K$29,7,FALSE)*W346,0)*(1+$E$9)</f>
        <v>0</v>
      </c>
      <c r="AZ346" s="107">
        <f>_xlfn.IFNA($M346/VLOOKUP($BU346,'Unit information'!$A$2:$K$29,8,FALSE)*X346,0)*(1+$E$9)</f>
        <v>0</v>
      </c>
      <c r="BA346" s="107">
        <f>_xlfn.IFNA($M346/VLOOKUP($BU346,'Unit information'!$A$2:$K$29,9,FALSE)*Y346,0)*(1+$E$9)</f>
        <v>0</v>
      </c>
      <c r="BB346" s="107">
        <f>_xlfn.IFNA($M346/VLOOKUP($BV346,'Unit information'!$A$2:$K$29,10,FALSE)*Z346,0)*(1+$E$9)</f>
        <v>0</v>
      </c>
      <c r="BC346" s="108">
        <f>_xlfn.IFNA($M346/VLOOKUP($BV346,'Unit information'!$A$2:$K$29,11,FALSE)*AA346,0)*(1+$E$9)</f>
        <v>0</v>
      </c>
      <c r="BD346" s="106">
        <f t="shared" si="786"/>
        <v>0</v>
      </c>
      <c r="BE346" s="107">
        <f t="shared" si="787"/>
        <v>0</v>
      </c>
      <c r="BF346" s="108">
        <f t="shared" si="788"/>
        <v>0</v>
      </c>
      <c r="BG346" s="25" t="e">
        <f t="shared" si="789"/>
        <v>#N/A</v>
      </c>
      <c r="BH346" s="25" t="e">
        <f t="shared" si="790"/>
        <v>#N/A</v>
      </c>
      <c r="BI346" s="25" t="e">
        <f t="shared" si="791"/>
        <v>#N/A</v>
      </c>
      <c r="BJ346" s="27" t="e">
        <f t="shared" si="792"/>
        <v>#N/A</v>
      </c>
      <c r="BK346" s="18" t="e">
        <f t="shared" si="793"/>
        <v>#N/A</v>
      </c>
      <c r="BL346" s="18" t="e">
        <f t="shared" si="794"/>
        <v>#N/A</v>
      </c>
      <c r="BM346" s="28" t="e">
        <f t="shared" si="846"/>
        <v>#N/A</v>
      </c>
      <c r="BN346" s="33">
        <f>HLOOKUP("maximum population",Miscelaneous!$C$1:$C$33,CH346+3,FALSE)</f>
        <v>240</v>
      </c>
      <c r="BO346" s="14">
        <f t="shared" si="808"/>
        <v>32</v>
      </c>
      <c r="BP346" s="14">
        <f t="shared" si="809"/>
        <v>0</v>
      </c>
      <c r="BQ346" s="14">
        <f t="shared" si="810"/>
        <v>208</v>
      </c>
      <c r="BR346" s="34" t="e">
        <f>HLOOKUP(J346,Villagers!$B$1:$V$33,L346+3,FALSE)-HLOOKUP(J346,Villagers!$B$1:$V$33,L346+2,FALSE)</f>
        <v>#N/A</v>
      </c>
      <c r="BS346" s="49">
        <f t="shared" si="811"/>
        <v>1</v>
      </c>
      <c r="BT346" s="50">
        <f t="shared" si="812"/>
        <v>0</v>
      </c>
      <c r="BU346" s="50">
        <f t="shared" si="813"/>
        <v>0</v>
      </c>
      <c r="BV346" s="50">
        <f t="shared" si="814"/>
        <v>0</v>
      </c>
      <c r="BW346" s="50">
        <f t="shared" si="852"/>
        <v>0</v>
      </c>
      <c r="BX346" s="50">
        <f t="shared" si="850"/>
        <v>0</v>
      </c>
      <c r="BY346" s="50">
        <f t="shared" si="850"/>
        <v>0</v>
      </c>
      <c r="BZ346" s="50">
        <f t="shared" si="707"/>
        <v>0</v>
      </c>
      <c r="CA346" s="50">
        <f t="shared" si="708"/>
        <v>0</v>
      </c>
      <c r="CB346" s="50">
        <f t="shared" si="709"/>
        <v>1</v>
      </c>
      <c r="CC346" s="50">
        <f t="shared" si="710"/>
        <v>0</v>
      </c>
      <c r="CD346" s="50">
        <f t="shared" si="711"/>
        <v>0</v>
      </c>
      <c r="CE346" s="50">
        <f t="shared" si="712"/>
        <v>1</v>
      </c>
      <c r="CF346" s="50">
        <f t="shared" si="713"/>
        <v>1</v>
      </c>
      <c r="CG346" s="50">
        <f t="shared" si="714"/>
        <v>1</v>
      </c>
      <c r="CH346" s="50">
        <f t="shared" si="715"/>
        <v>1</v>
      </c>
      <c r="CI346" s="50">
        <f t="shared" si="716"/>
        <v>1</v>
      </c>
      <c r="CJ346" s="50">
        <f t="shared" si="717"/>
        <v>1</v>
      </c>
      <c r="CK346" s="50">
        <f t="shared" si="717"/>
        <v>0</v>
      </c>
      <c r="CL346" s="50">
        <f t="shared" si="717"/>
        <v>0</v>
      </c>
      <c r="CM346" s="51">
        <f t="shared" si="795"/>
        <v>0</v>
      </c>
      <c r="CN346" s="33">
        <f>ROUND(IF(BS346=0,0,HLOOKUP(BS$14,Villagers!$B$1:$V$33,BS346+3,FALSE)),)</f>
        <v>5</v>
      </c>
      <c r="CO346" s="14">
        <f>ROUND(IF(BT346=0,0,HLOOKUP(BT$14,Villagers!$B$1:$V$33,BT346+3,FALSE)),)</f>
        <v>0</v>
      </c>
      <c r="CP346" s="14">
        <f>ROUND(IF(BU346=0,0,HLOOKUP(BU$14,Villagers!$B$1:$V$33,BU346+3,FALSE)),)</f>
        <v>0</v>
      </c>
      <c r="CQ346" s="14">
        <f>ROUND(IF(BV346=0,0,HLOOKUP(BV$14,Villagers!$B$1:$V$33,BV346+3,FALSE)),)</f>
        <v>0</v>
      </c>
      <c r="CR346" s="14">
        <f>ROUND(IF(BW346=0,0,HLOOKUP(BW$14,Villagers!$B$1:$V$33,BW346+3,FALSE)),)</f>
        <v>0</v>
      </c>
      <c r="CS346" s="14">
        <f>ROUND(IF(BX346=0,0,HLOOKUP(BX$14,Villagers!$B$1:$V$33,BX346+3,FALSE)),)</f>
        <v>0</v>
      </c>
      <c r="CT346" s="14">
        <f>ROUND(IF(BY346=0,0,HLOOKUP(BY$14,Villagers!$B$1:$V$33,BY346+3,FALSE)),)</f>
        <v>0</v>
      </c>
      <c r="CU346" s="14">
        <f>ROUND(IF(BZ346=0,0,HLOOKUP(BZ$14,Villagers!$B$1:$V$33,BZ346+3,FALSE)),)</f>
        <v>0</v>
      </c>
      <c r="CV346" s="14">
        <f>ROUND(IF(CA346=0,0,HLOOKUP(CA$14,Villagers!$B$1:$V$33,CA346+3,FALSE)),)</f>
        <v>0</v>
      </c>
      <c r="CW346" s="14">
        <f>ROUND(IF(CB346=0,0,HLOOKUP(CB$14,Villagers!$B$1:$V$33,CB346+3,FALSE)),)</f>
        <v>0</v>
      </c>
      <c r="CX346" s="14">
        <f>ROUND(IF(CC346=0,0,HLOOKUP(CC$14,Villagers!$B$1:$V$33,CC346+3,FALSE)),)</f>
        <v>0</v>
      </c>
      <c r="CY346" s="14">
        <f>ROUND(IF(CD346=0,0,HLOOKUP(CD$14,Villagers!$B$1:$V$33,CD346+3,FALSE)),)</f>
        <v>0</v>
      </c>
      <c r="CZ346" s="14">
        <f>ROUND(IF(CE346=0,0,HLOOKUP(CE$14,Villagers!$B$1:$V$33,CE346+3,FALSE)),)</f>
        <v>5</v>
      </c>
      <c r="DA346" s="14">
        <f>ROUND(IF(CF346=0,0,HLOOKUP(CF$14,Villagers!$B$1:$V$33,CF346+3,FALSE)),)</f>
        <v>10</v>
      </c>
      <c r="DB346" s="14">
        <f>ROUND(IF(CG346=0,0,HLOOKUP(CG$14,Villagers!$B$1:$V$33,CG346+3,FALSE)),)</f>
        <v>10</v>
      </c>
      <c r="DC346" s="14">
        <f>ROUND(IF(CH346=0,0,HLOOKUP(CH$14,Villagers!$B$1:$V$33,CH346+3,FALSE)),)</f>
        <v>0</v>
      </c>
      <c r="DD346" s="14">
        <f>ROUND(IF(CI346=0,0,HLOOKUP(CI$14,Villagers!$B$1:$V$33,CI346+3,FALSE)),)</f>
        <v>0</v>
      </c>
      <c r="DE346" s="14">
        <f>ROUND(IF(CJ346=0,0,HLOOKUP(CJ$14,Villagers!$B$1:$V$33,CJ346+3,FALSE)),)</f>
        <v>2</v>
      </c>
      <c r="DF346" s="370">
        <f>ROUND(IF(CK346=0,0,HLOOKUP(CK$14,Villagers!$B$1:$V$33,CK346+3,FALSE)),)</f>
        <v>0</v>
      </c>
      <c r="DG346" s="370">
        <f>ROUND(IF(CL346=0,0,HLOOKUP(CL$14,Villagers!$B$1:$V$33,CL346+3,FALSE)),)</f>
        <v>0</v>
      </c>
      <c r="DH346" s="34">
        <f>ROUND(IF(CM346=0,0,HLOOKUP(CM$14,Villagers!$B$1:$V$33,CM346+3,FALSE)),)</f>
        <v>0</v>
      </c>
      <c r="DI346" s="109">
        <f t="shared" si="832"/>
        <v>0</v>
      </c>
      <c r="DJ346" s="50">
        <f t="shared" si="833"/>
        <v>0</v>
      </c>
      <c r="DK346" s="50">
        <f t="shared" si="834"/>
        <v>0</v>
      </c>
      <c r="DL346" s="50">
        <f t="shared" si="835"/>
        <v>0</v>
      </c>
      <c r="DM346" s="50">
        <f t="shared" si="836"/>
        <v>0</v>
      </c>
      <c r="DN346" s="50">
        <f t="shared" si="837"/>
        <v>0</v>
      </c>
      <c r="DO346" s="50">
        <f t="shared" si="838"/>
        <v>0</v>
      </c>
      <c r="DP346" s="50">
        <f t="shared" si="839"/>
        <v>0</v>
      </c>
      <c r="DQ346" s="50">
        <f t="shared" si="816"/>
        <v>0</v>
      </c>
      <c r="DR346" s="50">
        <f t="shared" si="817"/>
        <v>0</v>
      </c>
      <c r="DS346" s="96">
        <f>Miscelaneous!$D$4*Miscelaneous!$D$2^($CI346-1)</f>
        <v>1000</v>
      </c>
      <c r="DT346" s="333">
        <f t="shared" si="796"/>
        <v>1</v>
      </c>
      <c r="DU346" s="81">
        <v>1</v>
      </c>
      <c r="DV346" s="79">
        <f t="shared" si="818"/>
        <v>0</v>
      </c>
      <c r="DW346" s="79">
        <f t="shared" si="819"/>
        <v>0</v>
      </c>
      <c r="DX346" s="79">
        <f t="shared" si="820"/>
        <v>0</v>
      </c>
      <c r="DY346" s="79">
        <v>1</v>
      </c>
      <c r="DZ346" s="79">
        <f t="shared" si="821"/>
        <v>0</v>
      </c>
      <c r="EA346" s="79">
        <f t="shared" si="822"/>
        <v>0</v>
      </c>
      <c r="EB346" s="79">
        <f t="shared" si="823"/>
        <v>0</v>
      </c>
      <c r="EC346" s="79">
        <f t="shared" si="824"/>
        <v>0</v>
      </c>
      <c r="ED346" s="79">
        <v>1</v>
      </c>
      <c r="EE346" s="79">
        <v>1</v>
      </c>
      <c r="EF346" s="79">
        <f t="shared" si="825"/>
        <v>0</v>
      </c>
      <c r="EG346" s="79">
        <v>1</v>
      </c>
      <c r="EH346" s="79">
        <v>1</v>
      </c>
      <c r="EI346" s="79">
        <v>1</v>
      </c>
      <c r="EJ346" s="79">
        <v>1</v>
      </c>
      <c r="EK346" s="79">
        <v>1</v>
      </c>
      <c r="EL346" s="79">
        <v>1</v>
      </c>
      <c r="EM346" s="143">
        <f t="shared" si="826"/>
        <v>0</v>
      </c>
      <c r="EN346" s="143">
        <f t="shared" si="827"/>
        <v>0</v>
      </c>
      <c r="EO346" s="82">
        <f t="shared" si="828"/>
        <v>0</v>
      </c>
    </row>
    <row r="347" spans="1:145" x14ac:dyDescent="0.25">
      <c r="A347">
        <v>333</v>
      </c>
      <c r="B347" s="172" t="e">
        <f t="shared" si="797"/>
        <v>#N/A</v>
      </c>
      <c r="C347" s="121" t="e">
        <f t="shared" ref="C347:E347" si="855">AJ347-SUM(AB347:AB351)</f>
        <v>#N/A</v>
      </c>
      <c r="D347" s="122" t="e">
        <f t="shared" si="855"/>
        <v>#N/A</v>
      </c>
      <c r="E347" s="122" t="e">
        <f t="shared" si="855"/>
        <v>#N/A</v>
      </c>
      <c r="F347" s="176" t="e">
        <f t="shared" si="778"/>
        <v>#N/A</v>
      </c>
      <c r="G347" s="121">
        <f t="shared" si="799"/>
        <v>208</v>
      </c>
      <c r="H347" s="176" t="e">
        <f t="shared" si="800"/>
        <v>#N/A</v>
      </c>
      <c r="I347" s="48">
        <v>1</v>
      </c>
      <c r="J347" s="39"/>
      <c r="K347" s="350">
        <v>1</v>
      </c>
      <c r="L347" s="34" t="e">
        <f t="shared" si="779"/>
        <v>#N/A</v>
      </c>
      <c r="M347" s="38" t="e">
        <f>(HLOOKUP(J347,'Construction Times'!$B$3:$W$34,L347+2,FALSE)*HLOOKUP("hq modifier",'Construction Times'!$W$3:$W$34,BS347+2,FALSE))*(1-$H$9)</f>
        <v>#N/A</v>
      </c>
      <c r="N347" s="426" t="e">
        <f t="shared" si="801"/>
        <v>#N/A</v>
      </c>
      <c r="O347" s="427"/>
      <c r="P347" s="430" t="e">
        <f t="shared" si="802"/>
        <v>#N/A</v>
      </c>
      <c r="Q347" s="431"/>
      <c r="R347" s="103">
        <f t="shared" si="830"/>
        <v>0</v>
      </c>
      <c r="S347" s="104">
        <f t="shared" si="830"/>
        <v>0</v>
      </c>
      <c r="T347" s="104">
        <f t="shared" si="831"/>
        <v>0</v>
      </c>
      <c r="U347" s="104">
        <f t="shared" si="831"/>
        <v>0</v>
      </c>
      <c r="V347" s="104">
        <f t="shared" si="831"/>
        <v>9.9999999999999995E-8</v>
      </c>
      <c r="W347" s="104">
        <f t="shared" si="831"/>
        <v>0</v>
      </c>
      <c r="X347" s="104">
        <f t="shared" si="737"/>
        <v>0</v>
      </c>
      <c r="Y347" s="104">
        <f t="shared" si="737"/>
        <v>9.9999999999999995E-8</v>
      </c>
      <c r="Z347" s="104">
        <f t="shared" si="737"/>
        <v>9.9999999999999995E-8</v>
      </c>
      <c r="AA347" s="105">
        <f t="shared" si="737"/>
        <v>9.9999999999999995E-8</v>
      </c>
      <c r="AB347" s="101" t="e">
        <f>$DT347*HLOOKUP($J347,'Construction Costs (timber)'!$B$1:$V$32,'Construction Planner'!$L347+2,FALSE)</f>
        <v>#N/A</v>
      </c>
      <c r="AC347" s="14" t="e">
        <f>$DT347*HLOOKUP($J347,'Construction Costs (clay)'!$B$1:$V$32,'Construction Planner'!$L347+2,FALSE)</f>
        <v>#N/A</v>
      </c>
      <c r="AD347" s="14" t="e">
        <f>$DT347*HLOOKUP($J347,'Construction Costs (iron)'!$B$1:$V$32,'Construction Planner'!$L347+2,FALSE)</f>
        <v>#N/A</v>
      </c>
      <c r="AE347" s="34" t="e">
        <f t="shared" si="843"/>
        <v>#N/A</v>
      </c>
      <c r="AF347" s="33" t="e">
        <f t="shared" si="780"/>
        <v>#N/A</v>
      </c>
      <c r="AG347" s="14" t="e">
        <f t="shared" si="781"/>
        <v>#N/A</v>
      </c>
      <c r="AH347" s="14" t="e">
        <f t="shared" si="782"/>
        <v>#N/A</v>
      </c>
      <c r="AI347" s="34" t="e">
        <f t="shared" si="844"/>
        <v>#N/A</v>
      </c>
      <c r="AJ347" s="49" t="e">
        <f t="shared" si="804"/>
        <v>#N/A</v>
      </c>
      <c r="AK347" s="49" t="e">
        <f t="shared" si="805"/>
        <v>#N/A</v>
      </c>
      <c r="AL347" s="49" t="e">
        <f t="shared" si="806"/>
        <v>#N/A</v>
      </c>
      <c r="AM347" s="25">
        <f t="shared" si="783"/>
        <v>30</v>
      </c>
      <c r="AN347" s="25">
        <f t="shared" si="784"/>
        <v>30</v>
      </c>
      <c r="AO347" s="25">
        <f t="shared" si="785"/>
        <v>30</v>
      </c>
      <c r="AP347" s="52" t="e">
        <f t="shared" si="807"/>
        <v>#N/A</v>
      </c>
      <c r="AQ347" s="53" t="e">
        <f t="shared" si="807"/>
        <v>#N/A</v>
      </c>
      <c r="AR347" s="54" t="e">
        <f t="shared" si="807"/>
        <v>#N/A</v>
      </c>
      <c r="AS347" s="316">
        <f t="shared" si="845"/>
        <v>0</v>
      </c>
      <c r="AT347" s="106">
        <f>_xlfn.IFNA($M347/VLOOKUP($BT347,'Unit information'!$A$2:$K$29,2,FALSE)*R347,0)*(1+$E$9)</f>
        <v>0</v>
      </c>
      <c r="AU347" s="107">
        <f>_xlfn.IFNA($M347/VLOOKUP($BT347,'Unit information'!$A$2:$K$29,3,FALSE)*S347,0)*(1+$E$9)</f>
        <v>0</v>
      </c>
      <c r="AV347" s="107">
        <f>_xlfn.IFNA($M347/VLOOKUP($BT347,'Unit information'!$A$2:$K$29,4,FALSE)*T347,0)*(1+$E$9)</f>
        <v>0</v>
      </c>
      <c r="AW347" s="107">
        <f>_xlfn.IFNA($M347/VLOOKUP($BT347,'Unit information'!$A$2:$K$29,5,FALSE)*U347,0)*(1+$E$9)</f>
        <v>0</v>
      </c>
      <c r="AX347" s="107">
        <f>_xlfn.IFNA($M347/VLOOKUP($BU347,'Unit information'!$A$2:$K$29,6,FALSE)*V347,0)*(1+$E$9)</f>
        <v>0</v>
      </c>
      <c r="AY347" s="107">
        <f>_xlfn.IFNA($M347/VLOOKUP($BU347,'Unit information'!$A$2:$K$29,7,FALSE)*W347,0)*(1+$E$9)</f>
        <v>0</v>
      </c>
      <c r="AZ347" s="107">
        <f>_xlfn.IFNA($M347/VLOOKUP($BU347,'Unit information'!$A$2:$K$29,8,FALSE)*X347,0)*(1+$E$9)</f>
        <v>0</v>
      </c>
      <c r="BA347" s="107">
        <f>_xlfn.IFNA($M347/VLOOKUP($BU347,'Unit information'!$A$2:$K$29,9,FALSE)*Y347,0)*(1+$E$9)</f>
        <v>0</v>
      </c>
      <c r="BB347" s="107">
        <f>_xlfn.IFNA($M347/VLOOKUP($BV347,'Unit information'!$A$2:$K$29,10,FALSE)*Z347,0)*(1+$E$9)</f>
        <v>0</v>
      </c>
      <c r="BC347" s="108">
        <f>_xlfn.IFNA($M347/VLOOKUP($BV347,'Unit information'!$A$2:$K$29,11,FALSE)*AA347,0)*(1+$E$9)</f>
        <v>0</v>
      </c>
      <c r="BD347" s="106">
        <f t="shared" si="786"/>
        <v>0</v>
      </c>
      <c r="BE347" s="107">
        <f t="shared" si="787"/>
        <v>0</v>
      </c>
      <c r="BF347" s="108">
        <f t="shared" si="788"/>
        <v>0</v>
      </c>
      <c r="BG347" s="25" t="e">
        <f t="shared" si="789"/>
        <v>#N/A</v>
      </c>
      <c r="BH347" s="25" t="e">
        <f t="shared" si="790"/>
        <v>#N/A</v>
      </c>
      <c r="BI347" s="25" t="e">
        <f t="shared" si="791"/>
        <v>#N/A</v>
      </c>
      <c r="BJ347" s="27" t="e">
        <f t="shared" si="792"/>
        <v>#N/A</v>
      </c>
      <c r="BK347" s="18" t="e">
        <f t="shared" si="793"/>
        <v>#N/A</v>
      </c>
      <c r="BL347" s="18" t="e">
        <f t="shared" si="794"/>
        <v>#N/A</v>
      </c>
      <c r="BM347" s="28" t="e">
        <f t="shared" si="846"/>
        <v>#N/A</v>
      </c>
      <c r="BN347" s="33">
        <f>HLOOKUP("maximum population",Miscelaneous!$C$1:$C$33,CH347+3,FALSE)</f>
        <v>240</v>
      </c>
      <c r="BO347" s="14">
        <f t="shared" si="808"/>
        <v>32</v>
      </c>
      <c r="BP347" s="14">
        <f t="shared" si="809"/>
        <v>0</v>
      </c>
      <c r="BQ347" s="14">
        <f t="shared" si="810"/>
        <v>208</v>
      </c>
      <c r="BR347" s="34" t="e">
        <f>HLOOKUP(J347,Villagers!$B$1:$V$33,L347+3,FALSE)-HLOOKUP(J347,Villagers!$B$1:$V$33,L347+2,FALSE)</f>
        <v>#N/A</v>
      </c>
      <c r="BS347" s="49">
        <f t="shared" si="811"/>
        <v>1</v>
      </c>
      <c r="BT347" s="50">
        <f t="shared" si="812"/>
        <v>0</v>
      </c>
      <c r="BU347" s="50">
        <f t="shared" si="813"/>
        <v>0</v>
      </c>
      <c r="BV347" s="50">
        <f t="shared" si="814"/>
        <v>0</v>
      </c>
      <c r="BW347" s="50">
        <f t="shared" si="852"/>
        <v>0</v>
      </c>
      <c r="BX347" s="50">
        <f t="shared" si="850"/>
        <v>0</v>
      </c>
      <c r="BY347" s="50">
        <f t="shared" si="850"/>
        <v>0</v>
      </c>
      <c r="BZ347" s="50">
        <f t="shared" si="707"/>
        <v>0</v>
      </c>
      <c r="CA347" s="50">
        <f t="shared" si="708"/>
        <v>0</v>
      </c>
      <c r="CB347" s="50">
        <f t="shared" si="709"/>
        <v>1</v>
      </c>
      <c r="CC347" s="50">
        <f t="shared" si="710"/>
        <v>0</v>
      </c>
      <c r="CD347" s="50">
        <f t="shared" si="711"/>
        <v>0</v>
      </c>
      <c r="CE347" s="50">
        <f t="shared" si="712"/>
        <v>1</v>
      </c>
      <c r="CF347" s="50">
        <f t="shared" si="713"/>
        <v>1</v>
      </c>
      <c r="CG347" s="50">
        <f t="shared" si="714"/>
        <v>1</v>
      </c>
      <c r="CH347" s="50">
        <f t="shared" si="715"/>
        <v>1</v>
      </c>
      <c r="CI347" s="50">
        <f t="shared" si="716"/>
        <v>1</v>
      </c>
      <c r="CJ347" s="50">
        <f t="shared" si="717"/>
        <v>1</v>
      </c>
      <c r="CK347" s="50">
        <f t="shared" si="717"/>
        <v>0</v>
      </c>
      <c r="CL347" s="50">
        <f t="shared" si="717"/>
        <v>0</v>
      </c>
      <c r="CM347" s="51">
        <f t="shared" si="795"/>
        <v>0</v>
      </c>
      <c r="CN347" s="33">
        <f>ROUND(IF(BS347=0,0,HLOOKUP(BS$14,Villagers!$B$1:$V$33,BS347+3,FALSE)),)</f>
        <v>5</v>
      </c>
      <c r="CO347" s="14">
        <f>ROUND(IF(BT347=0,0,HLOOKUP(BT$14,Villagers!$B$1:$V$33,BT347+3,FALSE)),)</f>
        <v>0</v>
      </c>
      <c r="CP347" s="14">
        <f>ROUND(IF(BU347=0,0,HLOOKUP(BU$14,Villagers!$B$1:$V$33,BU347+3,FALSE)),)</f>
        <v>0</v>
      </c>
      <c r="CQ347" s="14">
        <f>ROUND(IF(BV347=0,0,HLOOKUP(BV$14,Villagers!$B$1:$V$33,BV347+3,FALSE)),)</f>
        <v>0</v>
      </c>
      <c r="CR347" s="14">
        <f>ROUND(IF(BW347=0,0,HLOOKUP(BW$14,Villagers!$B$1:$V$33,BW347+3,FALSE)),)</f>
        <v>0</v>
      </c>
      <c r="CS347" s="14">
        <f>ROUND(IF(BX347=0,0,HLOOKUP(BX$14,Villagers!$B$1:$V$33,BX347+3,FALSE)),)</f>
        <v>0</v>
      </c>
      <c r="CT347" s="14">
        <f>ROUND(IF(BY347=0,0,HLOOKUP(BY$14,Villagers!$B$1:$V$33,BY347+3,FALSE)),)</f>
        <v>0</v>
      </c>
      <c r="CU347" s="14">
        <f>ROUND(IF(BZ347=0,0,HLOOKUP(BZ$14,Villagers!$B$1:$V$33,BZ347+3,FALSE)),)</f>
        <v>0</v>
      </c>
      <c r="CV347" s="14">
        <f>ROUND(IF(CA347=0,0,HLOOKUP(CA$14,Villagers!$B$1:$V$33,CA347+3,FALSE)),)</f>
        <v>0</v>
      </c>
      <c r="CW347" s="14">
        <f>ROUND(IF(CB347=0,0,HLOOKUP(CB$14,Villagers!$B$1:$V$33,CB347+3,FALSE)),)</f>
        <v>0</v>
      </c>
      <c r="CX347" s="14">
        <f>ROUND(IF(CC347=0,0,HLOOKUP(CC$14,Villagers!$B$1:$V$33,CC347+3,FALSE)),)</f>
        <v>0</v>
      </c>
      <c r="CY347" s="14">
        <f>ROUND(IF(CD347=0,0,HLOOKUP(CD$14,Villagers!$B$1:$V$33,CD347+3,FALSE)),)</f>
        <v>0</v>
      </c>
      <c r="CZ347" s="14">
        <f>ROUND(IF(CE347=0,0,HLOOKUP(CE$14,Villagers!$B$1:$V$33,CE347+3,FALSE)),)</f>
        <v>5</v>
      </c>
      <c r="DA347" s="14">
        <f>ROUND(IF(CF347=0,0,HLOOKUP(CF$14,Villagers!$B$1:$V$33,CF347+3,FALSE)),)</f>
        <v>10</v>
      </c>
      <c r="DB347" s="14">
        <f>ROUND(IF(CG347=0,0,HLOOKUP(CG$14,Villagers!$B$1:$V$33,CG347+3,FALSE)),)</f>
        <v>10</v>
      </c>
      <c r="DC347" s="14">
        <f>ROUND(IF(CH347=0,0,HLOOKUP(CH$14,Villagers!$B$1:$V$33,CH347+3,FALSE)),)</f>
        <v>0</v>
      </c>
      <c r="DD347" s="14">
        <f>ROUND(IF(CI347=0,0,HLOOKUP(CI$14,Villagers!$B$1:$V$33,CI347+3,FALSE)),)</f>
        <v>0</v>
      </c>
      <c r="DE347" s="14">
        <f>ROUND(IF(CJ347=0,0,HLOOKUP(CJ$14,Villagers!$B$1:$V$33,CJ347+3,FALSE)),)</f>
        <v>2</v>
      </c>
      <c r="DF347" s="370">
        <f>ROUND(IF(CK347=0,0,HLOOKUP(CK$14,Villagers!$B$1:$V$33,CK347+3,FALSE)),)</f>
        <v>0</v>
      </c>
      <c r="DG347" s="370">
        <f>ROUND(IF(CL347=0,0,HLOOKUP(CL$14,Villagers!$B$1:$V$33,CL347+3,FALSE)),)</f>
        <v>0</v>
      </c>
      <c r="DH347" s="34">
        <f>ROUND(IF(CM347=0,0,HLOOKUP(CM$14,Villagers!$B$1:$V$33,CM347+3,FALSE)),)</f>
        <v>0</v>
      </c>
      <c r="DI347" s="109">
        <f t="shared" si="832"/>
        <v>0</v>
      </c>
      <c r="DJ347" s="50">
        <f t="shared" si="833"/>
        <v>0</v>
      </c>
      <c r="DK347" s="50">
        <f t="shared" si="834"/>
        <v>0</v>
      </c>
      <c r="DL347" s="50">
        <f t="shared" si="835"/>
        <v>0</v>
      </c>
      <c r="DM347" s="50">
        <f t="shared" si="836"/>
        <v>0</v>
      </c>
      <c r="DN347" s="50">
        <f t="shared" si="837"/>
        <v>0</v>
      </c>
      <c r="DO347" s="50">
        <f t="shared" si="838"/>
        <v>0</v>
      </c>
      <c r="DP347" s="50">
        <f t="shared" si="839"/>
        <v>0</v>
      </c>
      <c r="DQ347" s="50">
        <f t="shared" si="816"/>
        <v>0</v>
      </c>
      <c r="DR347" s="50">
        <f t="shared" si="817"/>
        <v>0</v>
      </c>
      <c r="DS347" s="96">
        <f>Miscelaneous!$D$4*Miscelaneous!$D$2^($CI347-1)</f>
        <v>1000</v>
      </c>
      <c r="DT347" s="333">
        <f t="shared" si="796"/>
        <v>1</v>
      </c>
      <c r="DU347" s="81">
        <v>1</v>
      </c>
      <c r="DV347" s="79">
        <f t="shared" si="818"/>
        <v>0</v>
      </c>
      <c r="DW347" s="79">
        <f t="shared" si="819"/>
        <v>0</v>
      </c>
      <c r="DX347" s="79">
        <f t="shared" si="820"/>
        <v>0</v>
      </c>
      <c r="DY347" s="79">
        <v>1</v>
      </c>
      <c r="DZ347" s="79">
        <f t="shared" si="821"/>
        <v>0</v>
      </c>
      <c r="EA347" s="79">
        <f t="shared" si="822"/>
        <v>0</v>
      </c>
      <c r="EB347" s="79">
        <f t="shared" si="823"/>
        <v>0</v>
      </c>
      <c r="EC347" s="79">
        <f t="shared" si="824"/>
        <v>0</v>
      </c>
      <c r="ED347" s="79">
        <v>1</v>
      </c>
      <c r="EE347" s="79">
        <v>1</v>
      </c>
      <c r="EF347" s="79">
        <f t="shared" si="825"/>
        <v>0</v>
      </c>
      <c r="EG347" s="79">
        <v>1</v>
      </c>
      <c r="EH347" s="79">
        <v>1</v>
      </c>
      <c r="EI347" s="79">
        <v>1</v>
      </c>
      <c r="EJ347" s="79">
        <v>1</v>
      </c>
      <c r="EK347" s="79">
        <v>1</v>
      </c>
      <c r="EL347" s="79">
        <v>1</v>
      </c>
      <c r="EM347" s="143">
        <f t="shared" si="826"/>
        <v>0</v>
      </c>
      <c r="EN347" s="143">
        <f t="shared" si="827"/>
        <v>0</v>
      </c>
      <c r="EO347" s="82">
        <f t="shared" si="828"/>
        <v>0</v>
      </c>
    </row>
    <row r="348" spans="1:145" x14ac:dyDescent="0.25">
      <c r="A348">
        <v>334</v>
      </c>
      <c r="B348" s="172" t="e">
        <f t="shared" si="797"/>
        <v>#N/A</v>
      </c>
      <c r="C348" s="121" t="e">
        <f t="shared" ref="C348:E348" si="856">AJ348-SUM(AB348:AB352)</f>
        <v>#N/A</v>
      </c>
      <c r="D348" s="122" t="e">
        <f t="shared" si="856"/>
        <v>#N/A</v>
      </c>
      <c r="E348" s="122" t="e">
        <f t="shared" si="856"/>
        <v>#N/A</v>
      </c>
      <c r="F348" s="176" t="e">
        <f t="shared" si="778"/>
        <v>#N/A</v>
      </c>
      <c r="G348" s="121">
        <f t="shared" si="799"/>
        <v>208</v>
      </c>
      <c r="H348" s="176" t="e">
        <f t="shared" si="800"/>
        <v>#N/A</v>
      </c>
      <c r="I348" s="48">
        <v>1</v>
      </c>
      <c r="J348" s="39"/>
      <c r="K348" s="350">
        <v>1</v>
      </c>
      <c r="L348" s="34" t="e">
        <f t="shared" si="779"/>
        <v>#N/A</v>
      </c>
      <c r="M348" s="38" t="e">
        <f>(HLOOKUP(J348,'Construction Times'!$B$3:$W$34,L348+2,FALSE)*HLOOKUP("hq modifier",'Construction Times'!$W$3:$W$34,BS348+2,FALSE))*(1-$H$9)</f>
        <v>#N/A</v>
      </c>
      <c r="N348" s="426" t="e">
        <f t="shared" si="801"/>
        <v>#N/A</v>
      </c>
      <c r="O348" s="427"/>
      <c r="P348" s="430" t="e">
        <f t="shared" si="802"/>
        <v>#N/A</v>
      </c>
      <c r="Q348" s="431"/>
      <c r="R348" s="103">
        <f t="shared" si="830"/>
        <v>0</v>
      </c>
      <c r="S348" s="104">
        <f t="shared" si="830"/>
        <v>0</v>
      </c>
      <c r="T348" s="104">
        <f t="shared" si="831"/>
        <v>0</v>
      </c>
      <c r="U348" s="104">
        <f t="shared" si="831"/>
        <v>0</v>
      </c>
      <c r="V348" s="104">
        <f t="shared" si="831"/>
        <v>9.9999999999999995E-8</v>
      </c>
      <c r="W348" s="104">
        <f t="shared" si="831"/>
        <v>0</v>
      </c>
      <c r="X348" s="104">
        <f t="shared" si="737"/>
        <v>0</v>
      </c>
      <c r="Y348" s="104">
        <f t="shared" si="737"/>
        <v>9.9999999999999995E-8</v>
      </c>
      <c r="Z348" s="104">
        <f t="shared" si="737"/>
        <v>9.9999999999999995E-8</v>
      </c>
      <c r="AA348" s="105">
        <f t="shared" si="737"/>
        <v>9.9999999999999995E-8</v>
      </c>
      <c r="AB348" s="101" t="e">
        <f>$DT348*HLOOKUP($J348,'Construction Costs (timber)'!$B$1:$V$32,'Construction Planner'!$L348+2,FALSE)</f>
        <v>#N/A</v>
      </c>
      <c r="AC348" s="14" t="e">
        <f>$DT348*HLOOKUP($J348,'Construction Costs (clay)'!$B$1:$V$32,'Construction Planner'!$L348+2,FALSE)</f>
        <v>#N/A</v>
      </c>
      <c r="AD348" s="14" t="e">
        <f>$DT348*HLOOKUP($J348,'Construction Costs (iron)'!$B$1:$V$32,'Construction Planner'!$L348+2,FALSE)</f>
        <v>#N/A</v>
      </c>
      <c r="AE348" s="34" t="e">
        <f t="shared" si="843"/>
        <v>#N/A</v>
      </c>
      <c r="AF348" s="33" t="e">
        <f t="shared" si="780"/>
        <v>#N/A</v>
      </c>
      <c r="AG348" s="14" t="e">
        <f t="shared" si="781"/>
        <v>#N/A</v>
      </c>
      <c r="AH348" s="14" t="e">
        <f t="shared" si="782"/>
        <v>#N/A</v>
      </c>
      <c r="AI348" s="34" t="e">
        <f t="shared" si="844"/>
        <v>#N/A</v>
      </c>
      <c r="AJ348" s="49" t="e">
        <f t="shared" si="804"/>
        <v>#N/A</v>
      </c>
      <c r="AK348" s="49" t="e">
        <f t="shared" si="805"/>
        <v>#N/A</v>
      </c>
      <c r="AL348" s="49" t="e">
        <f t="shared" si="806"/>
        <v>#N/A</v>
      </c>
      <c r="AM348" s="25">
        <f t="shared" si="783"/>
        <v>30</v>
      </c>
      <c r="AN348" s="25">
        <f t="shared" si="784"/>
        <v>30</v>
      </c>
      <c r="AO348" s="25">
        <f t="shared" si="785"/>
        <v>30</v>
      </c>
      <c r="AP348" s="52" t="e">
        <f t="shared" si="807"/>
        <v>#N/A</v>
      </c>
      <c r="AQ348" s="53" t="e">
        <f t="shared" si="807"/>
        <v>#N/A</v>
      </c>
      <c r="AR348" s="54" t="e">
        <f t="shared" si="807"/>
        <v>#N/A</v>
      </c>
      <c r="AS348" s="316">
        <f t="shared" si="845"/>
        <v>0</v>
      </c>
      <c r="AT348" s="106">
        <f>_xlfn.IFNA($M348/VLOOKUP($BT348,'Unit information'!$A$2:$K$29,2,FALSE)*R348,0)*(1+$E$9)</f>
        <v>0</v>
      </c>
      <c r="AU348" s="107">
        <f>_xlfn.IFNA($M348/VLOOKUP($BT348,'Unit information'!$A$2:$K$29,3,FALSE)*S348,0)*(1+$E$9)</f>
        <v>0</v>
      </c>
      <c r="AV348" s="107">
        <f>_xlfn.IFNA($M348/VLOOKUP($BT348,'Unit information'!$A$2:$K$29,4,FALSE)*T348,0)*(1+$E$9)</f>
        <v>0</v>
      </c>
      <c r="AW348" s="107">
        <f>_xlfn.IFNA($M348/VLOOKUP($BT348,'Unit information'!$A$2:$K$29,5,FALSE)*U348,0)*(1+$E$9)</f>
        <v>0</v>
      </c>
      <c r="AX348" s="107">
        <f>_xlfn.IFNA($M348/VLOOKUP($BU348,'Unit information'!$A$2:$K$29,6,FALSE)*V348,0)*(1+$E$9)</f>
        <v>0</v>
      </c>
      <c r="AY348" s="107">
        <f>_xlfn.IFNA($M348/VLOOKUP($BU348,'Unit information'!$A$2:$K$29,7,FALSE)*W348,0)*(1+$E$9)</f>
        <v>0</v>
      </c>
      <c r="AZ348" s="107">
        <f>_xlfn.IFNA($M348/VLOOKUP($BU348,'Unit information'!$A$2:$K$29,8,FALSE)*X348,0)*(1+$E$9)</f>
        <v>0</v>
      </c>
      <c r="BA348" s="107">
        <f>_xlfn.IFNA($M348/VLOOKUP($BU348,'Unit information'!$A$2:$K$29,9,FALSE)*Y348,0)*(1+$E$9)</f>
        <v>0</v>
      </c>
      <c r="BB348" s="107">
        <f>_xlfn.IFNA($M348/VLOOKUP($BV348,'Unit information'!$A$2:$K$29,10,FALSE)*Z348,0)*(1+$E$9)</f>
        <v>0</v>
      </c>
      <c r="BC348" s="108">
        <f>_xlfn.IFNA($M348/VLOOKUP($BV348,'Unit information'!$A$2:$K$29,11,FALSE)*AA348,0)*(1+$E$9)</f>
        <v>0</v>
      </c>
      <c r="BD348" s="106">
        <f t="shared" si="786"/>
        <v>0</v>
      </c>
      <c r="BE348" s="107">
        <f t="shared" si="787"/>
        <v>0</v>
      </c>
      <c r="BF348" s="108">
        <f t="shared" si="788"/>
        <v>0</v>
      </c>
      <c r="BG348" s="25" t="e">
        <f t="shared" si="789"/>
        <v>#N/A</v>
      </c>
      <c r="BH348" s="25" t="e">
        <f t="shared" si="790"/>
        <v>#N/A</v>
      </c>
      <c r="BI348" s="25" t="e">
        <f t="shared" si="791"/>
        <v>#N/A</v>
      </c>
      <c r="BJ348" s="27" t="e">
        <f t="shared" si="792"/>
        <v>#N/A</v>
      </c>
      <c r="BK348" s="18" t="e">
        <f t="shared" si="793"/>
        <v>#N/A</v>
      </c>
      <c r="BL348" s="18" t="e">
        <f t="shared" si="794"/>
        <v>#N/A</v>
      </c>
      <c r="BM348" s="28" t="e">
        <f t="shared" si="846"/>
        <v>#N/A</v>
      </c>
      <c r="BN348" s="33">
        <f>HLOOKUP("maximum population",Miscelaneous!$C$1:$C$33,CH348+3,FALSE)</f>
        <v>240</v>
      </c>
      <c r="BO348" s="14">
        <f t="shared" si="808"/>
        <v>32</v>
      </c>
      <c r="BP348" s="14">
        <f t="shared" si="809"/>
        <v>0</v>
      </c>
      <c r="BQ348" s="14">
        <f t="shared" si="810"/>
        <v>208</v>
      </c>
      <c r="BR348" s="34" t="e">
        <f>HLOOKUP(J348,Villagers!$B$1:$V$33,L348+3,FALSE)-HLOOKUP(J348,Villagers!$B$1:$V$33,L348+2,FALSE)</f>
        <v>#N/A</v>
      </c>
      <c r="BS348" s="49">
        <f t="shared" si="811"/>
        <v>1</v>
      </c>
      <c r="BT348" s="50">
        <f t="shared" si="812"/>
        <v>0</v>
      </c>
      <c r="BU348" s="50">
        <f t="shared" si="813"/>
        <v>0</v>
      </c>
      <c r="BV348" s="50">
        <f t="shared" si="814"/>
        <v>0</v>
      </c>
      <c r="BW348" s="50">
        <f t="shared" si="852"/>
        <v>0</v>
      </c>
      <c r="BX348" s="50">
        <f t="shared" si="850"/>
        <v>0</v>
      </c>
      <c r="BY348" s="50">
        <f t="shared" si="850"/>
        <v>0</v>
      </c>
      <c r="BZ348" s="50">
        <f t="shared" si="707"/>
        <v>0</v>
      </c>
      <c r="CA348" s="50">
        <f t="shared" si="708"/>
        <v>0</v>
      </c>
      <c r="CB348" s="50">
        <f t="shared" si="709"/>
        <v>1</v>
      </c>
      <c r="CC348" s="50">
        <f t="shared" si="710"/>
        <v>0</v>
      </c>
      <c r="CD348" s="50">
        <f t="shared" si="711"/>
        <v>0</v>
      </c>
      <c r="CE348" s="50">
        <f t="shared" si="712"/>
        <v>1</v>
      </c>
      <c r="CF348" s="50">
        <f t="shared" si="713"/>
        <v>1</v>
      </c>
      <c r="CG348" s="50">
        <f t="shared" si="714"/>
        <v>1</v>
      </c>
      <c r="CH348" s="50">
        <f t="shared" si="715"/>
        <v>1</v>
      </c>
      <c r="CI348" s="50">
        <f t="shared" si="716"/>
        <v>1</v>
      </c>
      <c r="CJ348" s="50">
        <f t="shared" si="717"/>
        <v>1</v>
      </c>
      <c r="CK348" s="50">
        <f t="shared" si="717"/>
        <v>0</v>
      </c>
      <c r="CL348" s="50">
        <f t="shared" si="717"/>
        <v>0</v>
      </c>
      <c r="CM348" s="51">
        <f t="shared" si="795"/>
        <v>0</v>
      </c>
      <c r="CN348" s="33">
        <f>ROUND(IF(BS348=0,0,HLOOKUP(BS$14,Villagers!$B$1:$V$33,BS348+3,FALSE)),)</f>
        <v>5</v>
      </c>
      <c r="CO348" s="14">
        <f>ROUND(IF(BT348=0,0,HLOOKUP(BT$14,Villagers!$B$1:$V$33,BT348+3,FALSE)),)</f>
        <v>0</v>
      </c>
      <c r="CP348" s="14">
        <f>ROUND(IF(BU348=0,0,HLOOKUP(BU$14,Villagers!$B$1:$V$33,BU348+3,FALSE)),)</f>
        <v>0</v>
      </c>
      <c r="CQ348" s="14">
        <f>ROUND(IF(BV348=0,0,HLOOKUP(BV$14,Villagers!$B$1:$V$33,BV348+3,FALSE)),)</f>
        <v>0</v>
      </c>
      <c r="CR348" s="14">
        <f>ROUND(IF(BW348=0,0,HLOOKUP(BW$14,Villagers!$B$1:$V$33,BW348+3,FALSE)),)</f>
        <v>0</v>
      </c>
      <c r="CS348" s="14">
        <f>ROUND(IF(BX348=0,0,HLOOKUP(BX$14,Villagers!$B$1:$V$33,BX348+3,FALSE)),)</f>
        <v>0</v>
      </c>
      <c r="CT348" s="14">
        <f>ROUND(IF(BY348=0,0,HLOOKUP(BY$14,Villagers!$B$1:$V$33,BY348+3,FALSE)),)</f>
        <v>0</v>
      </c>
      <c r="CU348" s="14">
        <f>ROUND(IF(BZ348=0,0,HLOOKUP(BZ$14,Villagers!$B$1:$V$33,BZ348+3,FALSE)),)</f>
        <v>0</v>
      </c>
      <c r="CV348" s="14">
        <f>ROUND(IF(CA348=0,0,HLOOKUP(CA$14,Villagers!$B$1:$V$33,CA348+3,FALSE)),)</f>
        <v>0</v>
      </c>
      <c r="CW348" s="14">
        <f>ROUND(IF(CB348=0,0,HLOOKUP(CB$14,Villagers!$B$1:$V$33,CB348+3,FALSE)),)</f>
        <v>0</v>
      </c>
      <c r="CX348" s="14">
        <f>ROUND(IF(CC348=0,0,HLOOKUP(CC$14,Villagers!$B$1:$V$33,CC348+3,FALSE)),)</f>
        <v>0</v>
      </c>
      <c r="CY348" s="14">
        <f>ROUND(IF(CD348=0,0,HLOOKUP(CD$14,Villagers!$B$1:$V$33,CD348+3,FALSE)),)</f>
        <v>0</v>
      </c>
      <c r="CZ348" s="14">
        <f>ROUND(IF(CE348=0,0,HLOOKUP(CE$14,Villagers!$B$1:$V$33,CE348+3,FALSE)),)</f>
        <v>5</v>
      </c>
      <c r="DA348" s="14">
        <f>ROUND(IF(CF348=0,0,HLOOKUP(CF$14,Villagers!$B$1:$V$33,CF348+3,FALSE)),)</f>
        <v>10</v>
      </c>
      <c r="DB348" s="14">
        <f>ROUND(IF(CG348=0,0,HLOOKUP(CG$14,Villagers!$B$1:$V$33,CG348+3,FALSE)),)</f>
        <v>10</v>
      </c>
      <c r="DC348" s="14">
        <f>ROUND(IF(CH348=0,0,HLOOKUP(CH$14,Villagers!$B$1:$V$33,CH348+3,FALSE)),)</f>
        <v>0</v>
      </c>
      <c r="DD348" s="14">
        <f>ROUND(IF(CI348=0,0,HLOOKUP(CI$14,Villagers!$B$1:$V$33,CI348+3,FALSE)),)</f>
        <v>0</v>
      </c>
      <c r="DE348" s="14">
        <f>ROUND(IF(CJ348=0,0,HLOOKUP(CJ$14,Villagers!$B$1:$V$33,CJ348+3,FALSE)),)</f>
        <v>2</v>
      </c>
      <c r="DF348" s="370">
        <f>ROUND(IF(CK348=0,0,HLOOKUP(CK$14,Villagers!$B$1:$V$33,CK348+3,FALSE)),)</f>
        <v>0</v>
      </c>
      <c r="DG348" s="370">
        <f>ROUND(IF(CL348=0,0,HLOOKUP(CL$14,Villagers!$B$1:$V$33,CL348+3,FALSE)),)</f>
        <v>0</v>
      </c>
      <c r="DH348" s="34">
        <f>ROUND(IF(CM348=0,0,HLOOKUP(CM$14,Villagers!$B$1:$V$33,CM348+3,FALSE)),)</f>
        <v>0</v>
      </c>
      <c r="DI348" s="109">
        <f t="shared" si="832"/>
        <v>0</v>
      </c>
      <c r="DJ348" s="50">
        <f t="shared" si="833"/>
        <v>0</v>
      </c>
      <c r="DK348" s="50">
        <f t="shared" si="834"/>
        <v>0</v>
      </c>
      <c r="DL348" s="50">
        <f t="shared" si="835"/>
        <v>0</v>
      </c>
      <c r="DM348" s="50">
        <f t="shared" si="836"/>
        <v>0</v>
      </c>
      <c r="DN348" s="50">
        <f t="shared" si="837"/>
        <v>0</v>
      </c>
      <c r="DO348" s="50">
        <f t="shared" si="838"/>
        <v>0</v>
      </c>
      <c r="DP348" s="50">
        <f t="shared" si="839"/>
        <v>0</v>
      </c>
      <c r="DQ348" s="50">
        <f t="shared" si="816"/>
        <v>0</v>
      </c>
      <c r="DR348" s="50">
        <f t="shared" si="817"/>
        <v>0</v>
      </c>
      <c r="DS348" s="96">
        <f>Miscelaneous!$D$4*Miscelaneous!$D$2^($CI348-1)</f>
        <v>1000</v>
      </c>
      <c r="DT348" s="333">
        <f t="shared" si="796"/>
        <v>1</v>
      </c>
      <c r="DU348" s="81">
        <v>1</v>
      </c>
      <c r="DV348" s="79">
        <f t="shared" si="818"/>
        <v>0</v>
      </c>
      <c r="DW348" s="79">
        <f t="shared" si="819"/>
        <v>0</v>
      </c>
      <c r="DX348" s="79">
        <f t="shared" si="820"/>
        <v>0</v>
      </c>
      <c r="DY348" s="79">
        <v>1</v>
      </c>
      <c r="DZ348" s="79">
        <f t="shared" si="821"/>
        <v>0</v>
      </c>
      <c r="EA348" s="79">
        <f t="shared" si="822"/>
        <v>0</v>
      </c>
      <c r="EB348" s="79">
        <f t="shared" si="823"/>
        <v>0</v>
      </c>
      <c r="EC348" s="79">
        <f t="shared" si="824"/>
        <v>0</v>
      </c>
      <c r="ED348" s="79">
        <v>1</v>
      </c>
      <c r="EE348" s="79">
        <v>1</v>
      </c>
      <c r="EF348" s="79">
        <f t="shared" si="825"/>
        <v>0</v>
      </c>
      <c r="EG348" s="79">
        <v>1</v>
      </c>
      <c r="EH348" s="79">
        <v>1</v>
      </c>
      <c r="EI348" s="79">
        <v>1</v>
      </c>
      <c r="EJ348" s="79">
        <v>1</v>
      </c>
      <c r="EK348" s="79">
        <v>1</v>
      </c>
      <c r="EL348" s="79">
        <v>1</v>
      </c>
      <c r="EM348" s="143">
        <f t="shared" si="826"/>
        <v>0</v>
      </c>
      <c r="EN348" s="143">
        <f t="shared" si="827"/>
        <v>0</v>
      </c>
      <c r="EO348" s="82">
        <f t="shared" si="828"/>
        <v>0</v>
      </c>
    </row>
    <row r="349" spans="1:145" x14ac:dyDescent="0.25">
      <c r="A349">
        <v>335</v>
      </c>
      <c r="B349" s="172" t="e">
        <f t="shared" si="797"/>
        <v>#N/A</v>
      </c>
      <c r="C349" s="121" t="e">
        <f t="shared" ref="C349:E349" si="857">AJ349-SUM(AB349:AB353)</f>
        <v>#N/A</v>
      </c>
      <c r="D349" s="122" t="e">
        <f t="shared" si="857"/>
        <v>#N/A</v>
      </c>
      <c r="E349" s="122" t="e">
        <f t="shared" si="857"/>
        <v>#N/A</v>
      </c>
      <c r="F349" s="176" t="e">
        <f t="shared" si="778"/>
        <v>#N/A</v>
      </c>
      <c r="G349" s="121">
        <f t="shared" si="799"/>
        <v>208</v>
      </c>
      <c r="H349" s="176" t="e">
        <f t="shared" si="800"/>
        <v>#N/A</v>
      </c>
      <c r="I349" s="48">
        <v>1</v>
      </c>
      <c r="J349" s="39"/>
      <c r="K349" s="350">
        <v>1</v>
      </c>
      <c r="L349" s="34" t="e">
        <f t="shared" si="779"/>
        <v>#N/A</v>
      </c>
      <c r="M349" s="38" t="e">
        <f>(HLOOKUP(J349,'Construction Times'!$B$3:$W$34,L349+2,FALSE)*HLOOKUP("hq modifier",'Construction Times'!$W$3:$W$34,BS349+2,FALSE))*(1-$H$9)</f>
        <v>#N/A</v>
      </c>
      <c r="N349" s="426" t="e">
        <f t="shared" si="801"/>
        <v>#N/A</v>
      </c>
      <c r="O349" s="427"/>
      <c r="P349" s="430" t="e">
        <f t="shared" si="802"/>
        <v>#N/A</v>
      </c>
      <c r="Q349" s="431"/>
      <c r="R349" s="103">
        <f t="shared" si="830"/>
        <v>0</v>
      </c>
      <c r="S349" s="104">
        <f t="shared" si="830"/>
        <v>0</v>
      </c>
      <c r="T349" s="104">
        <f t="shared" si="831"/>
        <v>0</v>
      </c>
      <c r="U349" s="104">
        <f t="shared" si="831"/>
        <v>0</v>
      </c>
      <c r="V349" s="104">
        <f t="shared" si="831"/>
        <v>9.9999999999999995E-8</v>
      </c>
      <c r="W349" s="104">
        <f t="shared" si="831"/>
        <v>0</v>
      </c>
      <c r="X349" s="104">
        <f t="shared" si="737"/>
        <v>0</v>
      </c>
      <c r="Y349" s="104">
        <f t="shared" si="737"/>
        <v>9.9999999999999995E-8</v>
      </c>
      <c r="Z349" s="104">
        <f t="shared" si="737"/>
        <v>9.9999999999999995E-8</v>
      </c>
      <c r="AA349" s="105">
        <f t="shared" si="737"/>
        <v>9.9999999999999995E-8</v>
      </c>
      <c r="AB349" s="101" t="e">
        <f>$DT349*HLOOKUP($J349,'Construction Costs (timber)'!$B$1:$V$32,'Construction Planner'!$L349+2,FALSE)</f>
        <v>#N/A</v>
      </c>
      <c r="AC349" s="14" t="e">
        <f>$DT349*HLOOKUP($J349,'Construction Costs (clay)'!$B$1:$V$32,'Construction Planner'!$L349+2,FALSE)</f>
        <v>#N/A</v>
      </c>
      <c r="AD349" s="14" t="e">
        <f>$DT349*HLOOKUP($J349,'Construction Costs (iron)'!$B$1:$V$32,'Construction Planner'!$L349+2,FALSE)</f>
        <v>#N/A</v>
      </c>
      <c r="AE349" s="34" t="e">
        <f t="shared" si="843"/>
        <v>#N/A</v>
      </c>
      <c r="AF349" s="33" t="e">
        <f t="shared" si="780"/>
        <v>#N/A</v>
      </c>
      <c r="AG349" s="14" t="e">
        <f t="shared" si="781"/>
        <v>#N/A</v>
      </c>
      <c r="AH349" s="14" t="e">
        <f t="shared" si="782"/>
        <v>#N/A</v>
      </c>
      <c r="AI349" s="34" t="e">
        <f t="shared" si="844"/>
        <v>#N/A</v>
      </c>
      <c r="AJ349" s="49" t="e">
        <f t="shared" si="804"/>
        <v>#N/A</v>
      </c>
      <c r="AK349" s="49" t="e">
        <f t="shared" si="805"/>
        <v>#N/A</v>
      </c>
      <c r="AL349" s="49" t="e">
        <f t="shared" si="806"/>
        <v>#N/A</v>
      </c>
      <c r="AM349" s="25">
        <f t="shared" si="783"/>
        <v>30</v>
      </c>
      <c r="AN349" s="25">
        <f t="shared" si="784"/>
        <v>30</v>
      </c>
      <c r="AO349" s="25">
        <f t="shared" si="785"/>
        <v>30</v>
      </c>
      <c r="AP349" s="52" t="e">
        <f t="shared" si="807"/>
        <v>#N/A</v>
      </c>
      <c r="AQ349" s="53" t="e">
        <f t="shared" si="807"/>
        <v>#N/A</v>
      </c>
      <c r="AR349" s="54" t="e">
        <f t="shared" si="807"/>
        <v>#N/A</v>
      </c>
      <c r="AS349" s="316">
        <f t="shared" si="845"/>
        <v>0</v>
      </c>
      <c r="AT349" s="106">
        <f>_xlfn.IFNA($M349/VLOOKUP($BT349,'Unit information'!$A$2:$K$29,2,FALSE)*R349,0)*(1+$E$9)</f>
        <v>0</v>
      </c>
      <c r="AU349" s="107">
        <f>_xlfn.IFNA($M349/VLOOKUP($BT349,'Unit information'!$A$2:$K$29,3,FALSE)*S349,0)*(1+$E$9)</f>
        <v>0</v>
      </c>
      <c r="AV349" s="107">
        <f>_xlfn.IFNA($M349/VLOOKUP($BT349,'Unit information'!$A$2:$K$29,4,FALSE)*T349,0)*(1+$E$9)</f>
        <v>0</v>
      </c>
      <c r="AW349" s="107">
        <f>_xlfn.IFNA($M349/VLOOKUP($BT349,'Unit information'!$A$2:$K$29,5,FALSE)*U349,0)*(1+$E$9)</f>
        <v>0</v>
      </c>
      <c r="AX349" s="107">
        <f>_xlfn.IFNA($M349/VLOOKUP($BU349,'Unit information'!$A$2:$K$29,6,FALSE)*V349,0)*(1+$E$9)</f>
        <v>0</v>
      </c>
      <c r="AY349" s="107">
        <f>_xlfn.IFNA($M349/VLOOKUP($BU349,'Unit information'!$A$2:$K$29,7,FALSE)*W349,0)*(1+$E$9)</f>
        <v>0</v>
      </c>
      <c r="AZ349" s="107">
        <f>_xlfn.IFNA($M349/VLOOKUP($BU349,'Unit information'!$A$2:$K$29,8,FALSE)*X349,0)*(1+$E$9)</f>
        <v>0</v>
      </c>
      <c r="BA349" s="107">
        <f>_xlfn.IFNA($M349/VLOOKUP($BU349,'Unit information'!$A$2:$K$29,9,FALSE)*Y349,0)*(1+$E$9)</f>
        <v>0</v>
      </c>
      <c r="BB349" s="107">
        <f>_xlfn.IFNA($M349/VLOOKUP($BV349,'Unit information'!$A$2:$K$29,10,FALSE)*Z349,0)*(1+$E$9)</f>
        <v>0</v>
      </c>
      <c r="BC349" s="108">
        <f>_xlfn.IFNA($M349/VLOOKUP($BV349,'Unit information'!$A$2:$K$29,11,FALSE)*AA349,0)*(1+$E$9)</f>
        <v>0</v>
      </c>
      <c r="BD349" s="106">
        <f t="shared" si="786"/>
        <v>0</v>
      </c>
      <c r="BE349" s="107">
        <f t="shared" si="787"/>
        <v>0</v>
      </c>
      <c r="BF349" s="108">
        <f t="shared" si="788"/>
        <v>0</v>
      </c>
      <c r="BG349" s="25" t="e">
        <f t="shared" si="789"/>
        <v>#N/A</v>
      </c>
      <c r="BH349" s="25" t="e">
        <f t="shared" si="790"/>
        <v>#N/A</v>
      </c>
      <c r="BI349" s="25" t="e">
        <f t="shared" si="791"/>
        <v>#N/A</v>
      </c>
      <c r="BJ349" s="27" t="e">
        <f t="shared" si="792"/>
        <v>#N/A</v>
      </c>
      <c r="BK349" s="18" t="e">
        <f t="shared" si="793"/>
        <v>#N/A</v>
      </c>
      <c r="BL349" s="18" t="e">
        <f t="shared" si="794"/>
        <v>#N/A</v>
      </c>
      <c r="BM349" s="28" t="e">
        <f t="shared" si="846"/>
        <v>#N/A</v>
      </c>
      <c r="BN349" s="33">
        <f>HLOOKUP("maximum population",Miscelaneous!$C$1:$C$33,CH349+3,FALSE)</f>
        <v>240</v>
      </c>
      <c r="BO349" s="14">
        <f t="shared" si="808"/>
        <v>32</v>
      </c>
      <c r="BP349" s="14">
        <f t="shared" si="809"/>
        <v>0</v>
      </c>
      <c r="BQ349" s="14">
        <f t="shared" si="810"/>
        <v>208</v>
      </c>
      <c r="BR349" s="34" t="e">
        <f>HLOOKUP(J349,Villagers!$B$1:$V$33,L349+3,FALSE)-HLOOKUP(J349,Villagers!$B$1:$V$33,L349+2,FALSE)</f>
        <v>#N/A</v>
      </c>
      <c r="BS349" s="49">
        <f t="shared" si="811"/>
        <v>1</v>
      </c>
      <c r="BT349" s="50">
        <f t="shared" si="812"/>
        <v>0</v>
      </c>
      <c r="BU349" s="50">
        <f t="shared" si="813"/>
        <v>0</v>
      </c>
      <c r="BV349" s="50">
        <f t="shared" si="814"/>
        <v>0</v>
      </c>
      <c r="BW349" s="50">
        <f t="shared" si="852"/>
        <v>0</v>
      </c>
      <c r="BX349" s="50">
        <f t="shared" si="850"/>
        <v>0</v>
      </c>
      <c r="BY349" s="50">
        <f t="shared" si="850"/>
        <v>0</v>
      </c>
      <c r="BZ349" s="50">
        <f t="shared" si="707"/>
        <v>0</v>
      </c>
      <c r="CA349" s="50">
        <f t="shared" si="708"/>
        <v>0</v>
      </c>
      <c r="CB349" s="50">
        <f t="shared" si="709"/>
        <v>1</v>
      </c>
      <c r="CC349" s="50">
        <f t="shared" si="710"/>
        <v>0</v>
      </c>
      <c r="CD349" s="50">
        <f t="shared" si="711"/>
        <v>0</v>
      </c>
      <c r="CE349" s="50">
        <f t="shared" si="712"/>
        <v>1</v>
      </c>
      <c r="CF349" s="50">
        <f t="shared" si="713"/>
        <v>1</v>
      </c>
      <c r="CG349" s="50">
        <f t="shared" si="714"/>
        <v>1</v>
      </c>
      <c r="CH349" s="50">
        <f t="shared" si="715"/>
        <v>1</v>
      </c>
      <c r="CI349" s="50">
        <f t="shared" si="716"/>
        <v>1</v>
      </c>
      <c r="CJ349" s="50">
        <f t="shared" si="717"/>
        <v>1</v>
      </c>
      <c r="CK349" s="50">
        <f t="shared" si="717"/>
        <v>0</v>
      </c>
      <c r="CL349" s="50">
        <f t="shared" si="717"/>
        <v>0</v>
      </c>
      <c r="CM349" s="51">
        <f t="shared" si="795"/>
        <v>0</v>
      </c>
      <c r="CN349" s="33">
        <f>ROUND(IF(BS349=0,0,HLOOKUP(BS$14,Villagers!$B$1:$V$33,BS349+3,FALSE)),)</f>
        <v>5</v>
      </c>
      <c r="CO349" s="14">
        <f>ROUND(IF(BT349=0,0,HLOOKUP(BT$14,Villagers!$B$1:$V$33,BT349+3,FALSE)),)</f>
        <v>0</v>
      </c>
      <c r="CP349" s="14">
        <f>ROUND(IF(BU349=0,0,HLOOKUP(BU$14,Villagers!$B$1:$V$33,BU349+3,FALSE)),)</f>
        <v>0</v>
      </c>
      <c r="CQ349" s="14">
        <f>ROUND(IF(BV349=0,0,HLOOKUP(BV$14,Villagers!$B$1:$V$33,BV349+3,FALSE)),)</f>
        <v>0</v>
      </c>
      <c r="CR349" s="14">
        <f>ROUND(IF(BW349=0,0,HLOOKUP(BW$14,Villagers!$B$1:$V$33,BW349+3,FALSE)),)</f>
        <v>0</v>
      </c>
      <c r="CS349" s="14">
        <f>ROUND(IF(BX349=0,0,HLOOKUP(BX$14,Villagers!$B$1:$V$33,BX349+3,FALSE)),)</f>
        <v>0</v>
      </c>
      <c r="CT349" s="14">
        <f>ROUND(IF(BY349=0,0,HLOOKUP(BY$14,Villagers!$B$1:$V$33,BY349+3,FALSE)),)</f>
        <v>0</v>
      </c>
      <c r="CU349" s="14">
        <f>ROUND(IF(BZ349=0,0,HLOOKUP(BZ$14,Villagers!$B$1:$V$33,BZ349+3,FALSE)),)</f>
        <v>0</v>
      </c>
      <c r="CV349" s="14">
        <f>ROUND(IF(CA349=0,0,HLOOKUP(CA$14,Villagers!$B$1:$V$33,CA349+3,FALSE)),)</f>
        <v>0</v>
      </c>
      <c r="CW349" s="14">
        <f>ROUND(IF(CB349=0,0,HLOOKUP(CB$14,Villagers!$B$1:$V$33,CB349+3,FALSE)),)</f>
        <v>0</v>
      </c>
      <c r="CX349" s="14">
        <f>ROUND(IF(CC349=0,0,HLOOKUP(CC$14,Villagers!$B$1:$V$33,CC349+3,FALSE)),)</f>
        <v>0</v>
      </c>
      <c r="CY349" s="14">
        <f>ROUND(IF(CD349=0,0,HLOOKUP(CD$14,Villagers!$B$1:$V$33,CD349+3,FALSE)),)</f>
        <v>0</v>
      </c>
      <c r="CZ349" s="14">
        <f>ROUND(IF(CE349=0,0,HLOOKUP(CE$14,Villagers!$B$1:$V$33,CE349+3,FALSE)),)</f>
        <v>5</v>
      </c>
      <c r="DA349" s="14">
        <f>ROUND(IF(CF349=0,0,HLOOKUP(CF$14,Villagers!$B$1:$V$33,CF349+3,FALSE)),)</f>
        <v>10</v>
      </c>
      <c r="DB349" s="14">
        <f>ROUND(IF(CG349=0,0,HLOOKUP(CG$14,Villagers!$B$1:$V$33,CG349+3,FALSE)),)</f>
        <v>10</v>
      </c>
      <c r="DC349" s="14">
        <f>ROUND(IF(CH349=0,0,HLOOKUP(CH$14,Villagers!$B$1:$V$33,CH349+3,FALSE)),)</f>
        <v>0</v>
      </c>
      <c r="DD349" s="14">
        <f>ROUND(IF(CI349=0,0,HLOOKUP(CI$14,Villagers!$B$1:$V$33,CI349+3,FALSE)),)</f>
        <v>0</v>
      </c>
      <c r="DE349" s="14">
        <f>ROUND(IF(CJ349=0,0,HLOOKUP(CJ$14,Villagers!$B$1:$V$33,CJ349+3,FALSE)),)</f>
        <v>2</v>
      </c>
      <c r="DF349" s="370">
        <f>ROUND(IF(CK349=0,0,HLOOKUP(CK$14,Villagers!$B$1:$V$33,CK349+3,FALSE)),)</f>
        <v>0</v>
      </c>
      <c r="DG349" s="370">
        <f>ROUND(IF(CL349=0,0,HLOOKUP(CL$14,Villagers!$B$1:$V$33,CL349+3,FALSE)),)</f>
        <v>0</v>
      </c>
      <c r="DH349" s="34">
        <f>ROUND(IF(CM349=0,0,HLOOKUP(CM$14,Villagers!$B$1:$V$33,CM349+3,FALSE)),)</f>
        <v>0</v>
      </c>
      <c r="DI349" s="109">
        <f t="shared" si="832"/>
        <v>0</v>
      </c>
      <c r="DJ349" s="50">
        <f t="shared" si="833"/>
        <v>0</v>
      </c>
      <c r="DK349" s="50">
        <f t="shared" si="834"/>
        <v>0</v>
      </c>
      <c r="DL349" s="50">
        <f t="shared" si="835"/>
        <v>0</v>
      </c>
      <c r="DM349" s="50">
        <f t="shared" si="836"/>
        <v>0</v>
      </c>
      <c r="DN349" s="50">
        <f t="shared" si="837"/>
        <v>0</v>
      </c>
      <c r="DO349" s="50">
        <f t="shared" si="838"/>
        <v>0</v>
      </c>
      <c r="DP349" s="50">
        <f t="shared" si="839"/>
        <v>0</v>
      </c>
      <c r="DQ349" s="50">
        <f t="shared" si="816"/>
        <v>0</v>
      </c>
      <c r="DR349" s="50">
        <f t="shared" si="817"/>
        <v>0</v>
      </c>
      <c r="DS349" s="96">
        <f>Miscelaneous!$D$4*Miscelaneous!$D$2^($CI349-1)</f>
        <v>1000</v>
      </c>
      <c r="DT349" s="333">
        <f t="shared" si="796"/>
        <v>1</v>
      </c>
      <c r="DU349" s="81">
        <v>1</v>
      </c>
      <c r="DV349" s="79">
        <f t="shared" si="818"/>
        <v>0</v>
      </c>
      <c r="DW349" s="79">
        <f t="shared" si="819"/>
        <v>0</v>
      </c>
      <c r="DX349" s="79">
        <f t="shared" si="820"/>
        <v>0</v>
      </c>
      <c r="DY349" s="79">
        <v>1</v>
      </c>
      <c r="DZ349" s="79">
        <f t="shared" si="821"/>
        <v>0</v>
      </c>
      <c r="EA349" s="79">
        <f t="shared" si="822"/>
        <v>0</v>
      </c>
      <c r="EB349" s="79">
        <f t="shared" si="823"/>
        <v>0</v>
      </c>
      <c r="EC349" s="79">
        <f t="shared" si="824"/>
        <v>0</v>
      </c>
      <c r="ED349" s="79">
        <v>1</v>
      </c>
      <c r="EE349" s="79">
        <v>1</v>
      </c>
      <c r="EF349" s="79">
        <f t="shared" si="825"/>
        <v>0</v>
      </c>
      <c r="EG349" s="79">
        <v>1</v>
      </c>
      <c r="EH349" s="79">
        <v>1</v>
      </c>
      <c r="EI349" s="79">
        <v>1</v>
      </c>
      <c r="EJ349" s="79">
        <v>1</v>
      </c>
      <c r="EK349" s="79">
        <v>1</v>
      </c>
      <c r="EL349" s="79">
        <v>1</v>
      </c>
      <c r="EM349" s="143">
        <f t="shared" si="826"/>
        <v>0</v>
      </c>
      <c r="EN349" s="143">
        <f t="shared" si="827"/>
        <v>0</v>
      </c>
      <c r="EO349" s="82">
        <f t="shared" si="828"/>
        <v>0</v>
      </c>
    </row>
    <row r="350" spans="1:145" x14ac:dyDescent="0.25">
      <c r="A350">
        <v>336</v>
      </c>
      <c r="B350" s="172" t="e">
        <f t="shared" si="797"/>
        <v>#N/A</v>
      </c>
      <c r="C350" s="121" t="e">
        <f t="shared" ref="C350:E350" si="858">AJ350-SUM(AB350:AB354)</f>
        <v>#N/A</v>
      </c>
      <c r="D350" s="122" t="e">
        <f t="shared" si="858"/>
        <v>#N/A</v>
      </c>
      <c r="E350" s="122" t="e">
        <f t="shared" si="858"/>
        <v>#N/A</v>
      </c>
      <c r="F350" s="176" t="e">
        <f t="shared" si="778"/>
        <v>#N/A</v>
      </c>
      <c r="G350" s="121">
        <f t="shared" si="799"/>
        <v>208</v>
      </c>
      <c r="H350" s="176" t="e">
        <f t="shared" si="800"/>
        <v>#N/A</v>
      </c>
      <c r="I350" s="48">
        <v>1</v>
      </c>
      <c r="J350" s="39"/>
      <c r="K350" s="350">
        <v>1</v>
      </c>
      <c r="L350" s="34" t="e">
        <f t="shared" si="779"/>
        <v>#N/A</v>
      </c>
      <c r="M350" s="38" t="e">
        <f>(HLOOKUP(J350,'Construction Times'!$B$3:$W$34,L350+2,FALSE)*HLOOKUP("hq modifier",'Construction Times'!$W$3:$W$34,BS350+2,FALSE))*(1-$H$9)</f>
        <v>#N/A</v>
      </c>
      <c r="N350" s="426" t="e">
        <f t="shared" si="801"/>
        <v>#N/A</v>
      </c>
      <c r="O350" s="427"/>
      <c r="P350" s="430" t="e">
        <f t="shared" si="802"/>
        <v>#N/A</v>
      </c>
      <c r="Q350" s="431"/>
      <c r="R350" s="103">
        <f t="shared" si="830"/>
        <v>0</v>
      </c>
      <c r="S350" s="104">
        <f t="shared" si="830"/>
        <v>0</v>
      </c>
      <c r="T350" s="104">
        <f t="shared" si="831"/>
        <v>0</v>
      </c>
      <c r="U350" s="104">
        <f t="shared" si="831"/>
        <v>0</v>
      </c>
      <c r="V350" s="104">
        <f t="shared" si="831"/>
        <v>9.9999999999999995E-8</v>
      </c>
      <c r="W350" s="104">
        <f t="shared" si="831"/>
        <v>0</v>
      </c>
      <c r="X350" s="104">
        <f t="shared" si="737"/>
        <v>0</v>
      </c>
      <c r="Y350" s="104">
        <f t="shared" si="737"/>
        <v>9.9999999999999995E-8</v>
      </c>
      <c r="Z350" s="104">
        <f t="shared" si="737"/>
        <v>9.9999999999999995E-8</v>
      </c>
      <c r="AA350" s="105">
        <f t="shared" si="737"/>
        <v>9.9999999999999995E-8</v>
      </c>
      <c r="AB350" s="101" t="e">
        <f>$DT350*HLOOKUP($J350,'Construction Costs (timber)'!$B$1:$V$32,'Construction Planner'!$L350+2,FALSE)</f>
        <v>#N/A</v>
      </c>
      <c r="AC350" s="14" t="e">
        <f>$DT350*HLOOKUP($J350,'Construction Costs (clay)'!$B$1:$V$32,'Construction Planner'!$L350+2,FALSE)</f>
        <v>#N/A</v>
      </c>
      <c r="AD350" s="14" t="e">
        <f>$DT350*HLOOKUP($J350,'Construction Costs (iron)'!$B$1:$V$32,'Construction Planner'!$L350+2,FALSE)</f>
        <v>#N/A</v>
      </c>
      <c r="AE350" s="34" t="e">
        <f t="shared" si="843"/>
        <v>#N/A</v>
      </c>
      <c r="AF350" s="33" t="e">
        <f t="shared" si="780"/>
        <v>#N/A</v>
      </c>
      <c r="AG350" s="14" t="e">
        <f t="shared" si="781"/>
        <v>#N/A</v>
      </c>
      <c r="AH350" s="14" t="e">
        <f t="shared" si="782"/>
        <v>#N/A</v>
      </c>
      <c r="AI350" s="34" t="e">
        <f t="shared" si="844"/>
        <v>#N/A</v>
      </c>
      <c r="AJ350" s="49" t="e">
        <f t="shared" si="804"/>
        <v>#N/A</v>
      </c>
      <c r="AK350" s="49" t="e">
        <f t="shared" si="805"/>
        <v>#N/A</v>
      </c>
      <c r="AL350" s="49" t="e">
        <f t="shared" si="806"/>
        <v>#N/A</v>
      </c>
      <c r="AM350" s="25">
        <f t="shared" si="783"/>
        <v>30</v>
      </c>
      <c r="AN350" s="25">
        <f t="shared" si="784"/>
        <v>30</v>
      </c>
      <c r="AO350" s="25">
        <f t="shared" si="785"/>
        <v>30</v>
      </c>
      <c r="AP350" s="52" t="e">
        <f t="shared" si="807"/>
        <v>#N/A</v>
      </c>
      <c r="AQ350" s="53" t="e">
        <f t="shared" si="807"/>
        <v>#N/A</v>
      </c>
      <c r="AR350" s="54" t="e">
        <f t="shared" si="807"/>
        <v>#N/A</v>
      </c>
      <c r="AS350" s="316">
        <f t="shared" si="845"/>
        <v>0</v>
      </c>
      <c r="AT350" s="106">
        <f>_xlfn.IFNA($M350/VLOOKUP($BT350,'Unit information'!$A$2:$K$29,2,FALSE)*R350,0)*(1+$E$9)</f>
        <v>0</v>
      </c>
      <c r="AU350" s="107">
        <f>_xlfn.IFNA($M350/VLOOKUP($BT350,'Unit information'!$A$2:$K$29,3,FALSE)*S350,0)*(1+$E$9)</f>
        <v>0</v>
      </c>
      <c r="AV350" s="107">
        <f>_xlfn.IFNA($M350/VLOOKUP($BT350,'Unit information'!$A$2:$K$29,4,FALSE)*T350,0)*(1+$E$9)</f>
        <v>0</v>
      </c>
      <c r="AW350" s="107">
        <f>_xlfn.IFNA($M350/VLOOKUP($BT350,'Unit information'!$A$2:$K$29,5,FALSE)*U350,0)*(1+$E$9)</f>
        <v>0</v>
      </c>
      <c r="AX350" s="107">
        <f>_xlfn.IFNA($M350/VLOOKUP($BU350,'Unit information'!$A$2:$K$29,6,FALSE)*V350,0)*(1+$E$9)</f>
        <v>0</v>
      </c>
      <c r="AY350" s="107">
        <f>_xlfn.IFNA($M350/VLOOKUP($BU350,'Unit information'!$A$2:$K$29,7,FALSE)*W350,0)*(1+$E$9)</f>
        <v>0</v>
      </c>
      <c r="AZ350" s="107">
        <f>_xlfn.IFNA($M350/VLOOKUP($BU350,'Unit information'!$A$2:$K$29,8,FALSE)*X350,0)*(1+$E$9)</f>
        <v>0</v>
      </c>
      <c r="BA350" s="107">
        <f>_xlfn.IFNA($M350/VLOOKUP($BU350,'Unit information'!$A$2:$K$29,9,FALSE)*Y350,0)*(1+$E$9)</f>
        <v>0</v>
      </c>
      <c r="BB350" s="107">
        <f>_xlfn.IFNA($M350/VLOOKUP($BV350,'Unit information'!$A$2:$K$29,10,FALSE)*Z350,0)*(1+$E$9)</f>
        <v>0</v>
      </c>
      <c r="BC350" s="108">
        <f>_xlfn.IFNA($M350/VLOOKUP($BV350,'Unit information'!$A$2:$K$29,11,FALSE)*AA350,0)*(1+$E$9)</f>
        <v>0</v>
      </c>
      <c r="BD350" s="106">
        <f t="shared" si="786"/>
        <v>0</v>
      </c>
      <c r="BE350" s="107">
        <f t="shared" si="787"/>
        <v>0</v>
      </c>
      <c r="BF350" s="108">
        <f t="shared" si="788"/>
        <v>0</v>
      </c>
      <c r="BG350" s="25" t="e">
        <f t="shared" si="789"/>
        <v>#N/A</v>
      </c>
      <c r="BH350" s="25" t="e">
        <f t="shared" si="790"/>
        <v>#N/A</v>
      </c>
      <c r="BI350" s="25" t="e">
        <f t="shared" si="791"/>
        <v>#N/A</v>
      </c>
      <c r="BJ350" s="27" t="e">
        <f t="shared" si="792"/>
        <v>#N/A</v>
      </c>
      <c r="BK350" s="18" t="e">
        <f t="shared" si="793"/>
        <v>#N/A</v>
      </c>
      <c r="BL350" s="18" t="e">
        <f t="shared" si="794"/>
        <v>#N/A</v>
      </c>
      <c r="BM350" s="28" t="e">
        <f t="shared" si="846"/>
        <v>#N/A</v>
      </c>
      <c r="BN350" s="33">
        <f>HLOOKUP("maximum population",Miscelaneous!$C$1:$C$33,CH350+3,FALSE)</f>
        <v>240</v>
      </c>
      <c r="BO350" s="14">
        <f t="shared" si="808"/>
        <v>32</v>
      </c>
      <c r="BP350" s="14">
        <f t="shared" si="809"/>
        <v>0</v>
      </c>
      <c r="BQ350" s="14">
        <f t="shared" si="810"/>
        <v>208</v>
      </c>
      <c r="BR350" s="34" t="e">
        <f>HLOOKUP(J350,Villagers!$B$1:$V$33,L350+3,FALSE)-HLOOKUP(J350,Villagers!$B$1:$V$33,L350+2,FALSE)</f>
        <v>#N/A</v>
      </c>
      <c r="BS350" s="49">
        <f t="shared" si="811"/>
        <v>1</v>
      </c>
      <c r="BT350" s="50">
        <f t="shared" si="812"/>
        <v>0</v>
      </c>
      <c r="BU350" s="50">
        <f t="shared" si="813"/>
        <v>0</v>
      </c>
      <c r="BV350" s="50">
        <f t="shared" si="814"/>
        <v>0</v>
      </c>
      <c r="BW350" s="50">
        <f t="shared" si="852"/>
        <v>0</v>
      </c>
      <c r="BX350" s="50">
        <f t="shared" si="850"/>
        <v>0</v>
      </c>
      <c r="BY350" s="50">
        <f t="shared" si="850"/>
        <v>0</v>
      </c>
      <c r="BZ350" s="50">
        <f t="shared" si="707"/>
        <v>0</v>
      </c>
      <c r="CA350" s="50">
        <f t="shared" si="708"/>
        <v>0</v>
      </c>
      <c r="CB350" s="50">
        <f t="shared" si="709"/>
        <v>1</v>
      </c>
      <c r="CC350" s="50">
        <f t="shared" si="710"/>
        <v>0</v>
      </c>
      <c r="CD350" s="50">
        <f t="shared" si="711"/>
        <v>0</v>
      </c>
      <c r="CE350" s="50">
        <f t="shared" si="712"/>
        <v>1</v>
      </c>
      <c r="CF350" s="50">
        <f t="shared" si="713"/>
        <v>1</v>
      </c>
      <c r="CG350" s="50">
        <f t="shared" si="714"/>
        <v>1</v>
      </c>
      <c r="CH350" s="50">
        <f t="shared" si="715"/>
        <v>1</v>
      </c>
      <c r="CI350" s="50">
        <f t="shared" si="716"/>
        <v>1</v>
      </c>
      <c r="CJ350" s="50">
        <f t="shared" si="717"/>
        <v>1</v>
      </c>
      <c r="CK350" s="50">
        <f t="shared" si="717"/>
        <v>0</v>
      </c>
      <c r="CL350" s="50">
        <f t="shared" si="717"/>
        <v>0</v>
      </c>
      <c r="CM350" s="51">
        <f t="shared" si="795"/>
        <v>0</v>
      </c>
      <c r="CN350" s="33">
        <f>ROUND(IF(BS350=0,0,HLOOKUP(BS$14,Villagers!$B$1:$V$33,BS350+3,FALSE)),)</f>
        <v>5</v>
      </c>
      <c r="CO350" s="14">
        <f>ROUND(IF(BT350=0,0,HLOOKUP(BT$14,Villagers!$B$1:$V$33,BT350+3,FALSE)),)</f>
        <v>0</v>
      </c>
      <c r="CP350" s="14">
        <f>ROUND(IF(BU350=0,0,HLOOKUP(BU$14,Villagers!$B$1:$V$33,BU350+3,FALSE)),)</f>
        <v>0</v>
      </c>
      <c r="CQ350" s="14">
        <f>ROUND(IF(BV350=0,0,HLOOKUP(BV$14,Villagers!$B$1:$V$33,BV350+3,FALSE)),)</f>
        <v>0</v>
      </c>
      <c r="CR350" s="14">
        <f>ROUND(IF(BW350=0,0,HLOOKUP(BW$14,Villagers!$B$1:$V$33,BW350+3,FALSE)),)</f>
        <v>0</v>
      </c>
      <c r="CS350" s="14">
        <f>ROUND(IF(BX350=0,0,HLOOKUP(BX$14,Villagers!$B$1:$V$33,BX350+3,FALSE)),)</f>
        <v>0</v>
      </c>
      <c r="CT350" s="14">
        <f>ROUND(IF(BY350=0,0,HLOOKUP(BY$14,Villagers!$B$1:$V$33,BY350+3,FALSE)),)</f>
        <v>0</v>
      </c>
      <c r="CU350" s="14">
        <f>ROUND(IF(BZ350=0,0,HLOOKUP(BZ$14,Villagers!$B$1:$V$33,BZ350+3,FALSE)),)</f>
        <v>0</v>
      </c>
      <c r="CV350" s="14">
        <f>ROUND(IF(CA350=0,0,HLOOKUP(CA$14,Villagers!$B$1:$V$33,CA350+3,FALSE)),)</f>
        <v>0</v>
      </c>
      <c r="CW350" s="14">
        <f>ROUND(IF(CB350=0,0,HLOOKUP(CB$14,Villagers!$B$1:$V$33,CB350+3,FALSE)),)</f>
        <v>0</v>
      </c>
      <c r="CX350" s="14">
        <f>ROUND(IF(CC350=0,0,HLOOKUP(CC$14,Villagers!$B$1:$V$33,CC350+3,FALSE)),)</f>
        <v>0</v>
      </c>
      <c r="CY350" s="14">
        <f>ROUND(IF(CD350=0,0,HLOOKUP(CD$14,Villagers!$B$1:$V$33,CD350+3,FALSE)),)</f>
        <v>0</v>
      </c>
      <c r="CZ350" s="14">
        <f>ROUND(IF(CE350=0,0,HLOOKUP(CE$14,Villagers!$B$1:$V$33,CE350+3,FALSE)),)</f>
        <v>5</v>
      </c>
      <c r="DA350" s="14">
        <f>ROUND(IF(CF350=0,0,HLOOKUP(CF$14,Villagers!$B$1:$V$33,CF350+3,FALSE)),)</f>
        <v>10</v>
      </c>
      <c r="DB350" s="14">
        <f>ROUND(IF(CG350=0,0,HLOOKUP(CG$14,Villagers!$B$1:$V$33,CG350+3,FALSE)),)</f>
        <v>10</v>
      </c>
      <c r="DC350" s="14">
        <f>ROUND(IF(CH350=0,0,HLOOKUP(CH$14,Villagers!$B$1:$V$33,CH350+3,FALSE)),)</f>
        <v>0</v>
      </c>
      <c r="DD350" s="14">
        <f>ROUND(IF(CI350=0,0,HLOOKUP(CI$14,Villagers!$B$1:$V$33,CI350+3,FALSE)),)</f>
        <v>0</v>
      </c>
      <c r="DE350" s="14">
        <f>ROUND(IF(CJ350=0,0,HLOOKUP(CJ$14,Villagers!$B$1:$V$33,CJ350+3,FALSE)),)</f>
        <v>2</v>
      </c>
      <c r="DF350" s="370">
        <f>ROUND(IF(CK350=0,0,HLOOKUP(CK$14,Villagers!$B$1:$V$33,CK350+3,FALSE)),)</f>
        <v>0</v>
      </c>
      <c r="DG350" s="370">
        <f>ROUND(IF(CL350=0,0,HLOOKUP(CL$14,Villagers!$B$1:$V$33,CL350+3,FALSE)),)</f>
        <v>0</v>
      </c>
      <c r="DH350" s="34">
        <f>ROUND(IF(CM350=0,0,HLOOKUP(CM$14,Villagers!$B$1:$V$33,CM350+3,FALSE)),)</f>
        <v>0</v>
      </c>
      <c r="DI350" s="109">
        <f t="shared" si="832"/>
        <v>0</v>
      </c>
      <c r="DJ350" s="50">
        <f t="shared" si="833"/>
        <v>0</v>
      </c>
      <c r="DK350" s="50">
        <f t="shared" si="834"/>
        <v>0</v>
      </c>
      <c r="DL350" s="50">
        <f t="shared" si="835"/>
        <v>0</v>
      </c>
      <c r="DM350" s="50">
        <f t="shared" si="836"/>
        <v>0</v>
      </c>
      <c r="DN350" s="50">
        <f t="shared" si="837"/>
        <v>0</v>
      </c>
      <c r="DO350" s="50">
        <f t="shared" si="838"/>
        <v>0</v>
      </c>
      <c r="DP350" s="50">
        <f t="shared" si="839"/>
        <v>0</v>
      </c>
      <c r="DQ350" s="50">
        <f t="shared" si="816"/>
        <v>0</v>
      </c>
      <c r="DR350" s="50">
        <f t="shared" si="817"/>
        <v>0</v>
      </c>
      <c r="DS350" s="96">
        <f>Miscelaneous!$D$4*Miscelaneous!$D$2^($CI350-1)</f>
        <v>1000</v>
      </c>
      <c r="DT350" s="333">
        <f t="shared" si="796"/>
        <v>1</v>
      </c>
      <c r="DU350" s="81">
        <v>1</v>
      </c>
      <c r="DV350" s="79">
        <f t="shared" si="818"/>
        <v>0</v>
      </c>
      <c r="DW350" s="79">
        <f t="shared" si="819"/>
        <v>0</v>
      </c>
      <c r="DX350" s="79">
        <f t="shared" si="820"/>
        <v>0</v>
      </c>
      <c r="DY350" s="79">
        <v>1</v>
      </c>
      <c r="DZ350" s="79">
        <f t="shared" si="821"/>
        <v>0</v>
      </c>
      <c r="EA350" s="79">
        <f t="shared" si="822"/>
        <v>0</v>
      </c>
      <c r="EB350" s="79">
        <f t="shared" si="823"/>
        <v>0</v>
      </c>
      <c r="EC350" s="79">
        <f t="shared" si="824"/>
        <v>0</v>
      </c>
      <c r="ED350" s="79">
        <v>1</v>
      </c>
      <c r="EE350" s="79">
        <v>1</v>
      </c>
      <c r="EF350" s="79">
        <f t="shared" si="825"/>
        <v>0</v>
      </c>
      <c r="EG350" s="79">
        <v>1</v>
      </c>
      <c r="EH350" s="79">
        <v>1</v>
      </c>
      <c r="EI350" s="79">
        <v>1</v>
      </c>
      <c r="EJ350" s="79">
        <v>1</v>
      </c>
      <c r="EK350" s="79">
        <v>1</v>
      </c>
      <c r="EL350" s="79">
        <v>1</v>
      </c>
      <c r="EM350" s="143">
        <f t="shared" si="826"/>
        <v>0</v>
      </c>
      <c r="EN350" s="143">
        <f t="shared" si="827"/>
        <v>0</v>
      </c>
      <c r="EO350" s="82">
        <f t="shared" si="828"/>
        <v>0</v>
      </c>
    </row>
    <row r="351" spans="1:145" x14ac:dyDescent="0.25">
      <c r="A351">
        <v>337</v>
      </c>
      <c r="B351" s="172" t="e">
        <f t="shared" si="797"/>
        <v>#N/A</v>
      </c>
      <c r="C351" s="121" t="e">
        <f t="shared" ref="C351:E351" si="859">AJ351-SUM(AB351:AB355)</f>
        <v>#N/A</v>
      </c>
      <c r="D351" s="122" t="e">
        <f t="shared" si="859"/>
        <v>#N/A</v>
      </c>
      <c r="E351" s="122" t="e">
        <f t="shared" si="859"/>
        <v>#N/A</v>
      </c>
      <c r="F351" s="176" t="e">
        <f t="shared" si="778"/>
        <v>#N/A</v>
      </c>
      <c r="G351" s="121">
        <f t="shared" si="799"/>
        <v>208</v>
      </c>
      <c r="H351" s="176" t="e">
        <f t="shared" si="800"/>
        <v>#N/A</v>
      </c>
      <c r="I351" s="48">
        <v>1</v>
      </c>
      <c r="J351" s="39"/>
      <c r="K351" s="350">
        <v>1</v>
      </c>
      <c r="L351" s="34" t="e">
        <f t="shared" si="779"/>
        <v>#N/A</v>
      </c>
      <c r="M351" s="38" t="e">
        <f>(HLOOKUP(J351,'Construction Times'!$B$3:$W$34,L351+2,FALSE)*HLOOKUP("hq modifier",'Construction Times'!$W$3:$W$34,BS351+2,FALSE))*(1-$H$9)</f>
        <v>#N/A</v>
      </c>
      <c r="N351" s="426" t="e">
        <f t="shared" si="801"/>
        <v>#N/A</v>
      </c>
      <c r="O351" s="427"/>
      <c r="P351" s="430" t="e">
        <f t="shared" si="802"/>
        <v>#N/A</v>
      </c>
      <c r="Q351" s="431"/>
      <c r="R351" s="103">
        <f t="shared" si="830"/>
        <v>0</v>
      </c>
      <c r="S351" s="104">
        <f t="shared" si="830"/>
        <v>0</v>
      </c>
      <c r="T351" s="104">
        <f t="shared" si="831"/>
        <v>0</v>
      </c>
      <c r="U351" s="104">
        <f t="shared" si="831"/>
        <v>0</v>
      </c>
      <c r="V351" s="104">
        <f t="shared" si="831"/>
        <v>9.9999999999999995E-8</v>
      </c>
      <c r="W351" s="104">
        <f t="shared" si="831"/>
        <v>0</v>
      </c>
      <c r="X351" s="104">
        <f t="shared" si="737"/>
        <v>0</v>
      </c>
      <c r="Y351" s="104">
        <f t="shared" si="737"/>
        <v>9.9999999999999995E-8</v>
      </c>
      <c r="Z351" s="104">
        <f t="shared" si="737"/>
        <v>9.9999999999999995E-8</v>
      </c>
      <c r="AA351" s="105">
        <f t="shared" si="737"/>
        <v>9.9999999999999995E-8</v>
      </c>
      <c r="AB351" s="101" t="e">
        <f>$DT351*HLOOKUP($J351,'Construction Costs (timber)'!$B$1:$V$32,'Construction Planner'!$L351+2,FALSE)</f>
        <v>#N/A</v>
      </c>
      <c r="AC351" s="14" t="e">
        <f>$DT351*HLOOKUP($J351,'Construction Costs (clay)'!$B$1:$V$32,'Construction Planner'!$L351+2,FALSE)</f>
        <v>#N/A</v>
      </c>
      <c r="AD351" s="14" t="e">
        <f>$DT351*HLOOKUP($J351,'Construction Costs (iron)'!$B$1:$V$32,'Construction Planner'!$L351+2,FALSE)</f>
        <v>#N/A</v>
      </c>
      <c r="AE351" s="34" t="e">
        <f t="shared" si="843"/>
        <v>#N/A</v>
      </c>
      <c r="AF351" s="33" t="e">
        <f t="shared" si="780"/>
        <v>#N/A</v>
      </c>
      <c r="AG351" s="14" t="e">
        <f t="shared" si="781"/>
        <v>#N/A</v>
      </c>
      <c r="AH351" s="14" t="e">
        <f t="shared" si="782"/>
        <v>#N/A</v>
      </c>
      <c r="AI351" s="34" t="e">
        <f t="shared" si="844"/>
        <v>#N/A</v>
      </c>
      <c r="AJ351" s="49" t="e">
        <f t="shared" si="804"/>
        <v>#N/A</v>
      </c>
      <c r="AK351" s="49" t="e">
        <f t="shared" si="805"/>
        <v>#N/A</v>
      </c>
      <c r="AL351" s="49" t="e">
        <f t="shared" si="806"/>
        <v>#N/A</v>
      </c>
      <c r="AM351" s="25">
        <f t="shared" si="783"/>
        <v>30</v>
      </c>
      <c r="AN351" s="25">
        <f t="shared" si="784"/>
        <v>30</v>
      </c>
      <c r="AO351" s="25">
        <f t="shared" si="785"/>
        <v>30</v>
      </c>
      <c r="AP351" s="52" t="e">
        <f t="shared" si="807"/>
        <v>#N/A</v>
      </c>
      <c r="AQ351" s="53" t="e">
        <f t="shared" si="807"/>
        <v>#N/A</v>
      </c>
      <c r="AR351" s="54" t="e">
        <f t="shared" si="807"/>
        <v>#N/A</v>
      </c>
      <c r="AS351" s="316">
        <f t="shared" si="845"/>
        <v>0</v>
      </c>
      <c r="AT351" s="106">
        <f>_xlfn.IFNA($M351/VLOOKUP($BT351,'Unit information'!$A$2:$K$29,2,FALSE)*R351,0)*(1+$E$9)</f>
        <v>0</v>
      </c>
      <c r="AU351" s="107">
        <f>_xlfn.IFNA($M351/VLOOKUP($BT351,'Unit information'!$A$2:$K$29,3,FALSE)*S351,0)*(1+$E$9)</f>
        <v>0</v>
      </c>
      <c r="AV351" s="107">
        <f>_xlfn.IFNA($M351/VLOOKUP($BT351,'Unit information'!$A$2:$K$29,4,FALSE)*T351,0)*(1+$E$9)</f>
        <v>0</v>
      </c>
      <c r="AW351" s="107">
        <f>_xlfn.IFNA($M351/VLOOKUP($BT351,'Unit information'!$A$2:$K$29,5,FALSE)*U351,0)*(1+$E$9)</f>
        <v>0</v>
      </c>
      <c r="AX351" s="107">
        <f>_xlfn.IFNA($M351/VLOOKUP($BU351,'Unit information'!$A$2:$K$29,6,FALSE)*V351,0)*(1+$E$9)</f>
        <v>0</v>
      </c>
      <c r="AY351" s="107">
        <f>_xlfn.IFNA($M351/VLOOKUP($BU351,'Unit information'!$A$2:$K$29,7,FALSE)*W351,0)*(1+$E$9)</f>
        <v>0</v>
      </c>
      <c r="AZ351" s="107">
        <f>_xlfn.IFNA($M351/VLOOKUP($BU351,'Unit information'!$A$2:$K$29,8,FALSE)*X351,0)*(1+$E$9)</f>
        <v>0</v>
      </c>
      <c r="BA351" s="107">
        <f>_xlfn.IFNA($M351/VLOOKUP($BU351,'Unit information'!$A$2:$K$29,9,FALSE)*Y351,0)*(1+$E$9)</f>
        <v>0</v>
      </c>
      <c r="BB351" s="107">
        <f>_xlfn.IFNA($M351/VLOOKUP($BV351,'Unit information'!$A$2:$K$29,10,FALSE)*Z351,0)*(1+$E$9)</f>
        <v>0</v>
      </c>
      <c r="BC351" s="108">
        <f>_xlfn.IFNA($M351/VLOOKUP($BV351,'Unit information'!$A$2:$K$29,11,FALSE)*AA351,0)*(1+$E$9)</f>
        <v>0</v>
      </c>
      <c r="BD351" s="106">
        <f t="shared" si="786"/>
        <v>0</v>
      </c>
      <c r="BE351" s="107">
        <f t="shared" si="787"/>
        <v>0</v>
      </c>
      <c r="BF351" s="108">
        <f t="shared" si="788"/>
        <v>0</v>
      </c>
      <c r="BG351" s="25" t="e">
        <f t="shared" si="789"/>
        <v>#N/A</v>
      </c>
      <c r="BH351" s="25" t="e">
        <f t="shared" si="790"/>
        <v>#N/A</v>
      </c>
      <c r="BI351" s="25" t="e">
        <f t="shared" si="791"/>
        <v>#N/A</v>
      </c>
      <c r="BJ351" s="27" t="e">
        <f t="shared" si="792"/>
        <v>#N/A</v>
      </c>
      <c r="BK351" s="18" t="e">
        <f t="shared" si="793"/>
        <v>#N/A</v>
      </c>
      <c r="BL351" s="18" t="e">
        <f t="shared" si="794"/>
        <v>#N/A</v>
      </c>
      <c r="BM351" s="28" t="e">
        <f t="shared" si="846"/>
        <v>#N/A</v>
      </c>
      <c r="BN351" s="33">
        <f>HLOOKUP("maximum population",Miscelaneous!$C$1:$C$33,CH351+3,FALSE)</f>
        <v>240</v>
      </c>
      <c r="BO351" s="14">
        <f t="shared" si="808"/>
        <v>32</v>
      </c>
      <c r="BP351" s="14">
        <f t="shared" si="809"/>
        <v>0</v>
      </c>
      <c r="BQ351" s="14">
        <f t="shared" si="810"/>
        <v>208</v>
      </c>
      <c r="BR351" s="34" t="e">
        <f>HLOOKUP(J351,Villagers!$B$1:$V$33,L351+3,FALSE)-HLOOKUP(J351,Villagers!$B$1:$V$33,L351+2,FALSE)</f>
        <v>#N/A</v>
      </c>
      <c r="BS351" s="49">
        <f t="shared" si="811"/>
        <v>1</v>
      </c>
      <c r="BT351" s="50">
        <f t="shared" si="812"/>
        <v>0</v>
      </c>
      <c r="BU351" s="50">
        <f t="shared" si="813"/>
        <v>0</v>
      </c>
      <c r="BV351" s="50">
        <f t="shared" si="814"/>
        <v>0</v>
      </c>
      <c r="BW351" s="50">
        <f t="shared" si="852"/>
        <v>0</v>
      </c>
      <c r="BX351" s="50">
        <f t="shared" si="850"/>
        <v>0</v>
      </c>
      <c r="BY351" s="50">
        <f t="shared" si="850"/>
        <v>0</v>
      </c>
      <c r="BZ351" s="50">
        <f t="shared" ref="BZ351:BZ414" si="860">IF($J350=BZ$14,$L350,BZ350)</f>
        <v>0</v>
      </c>
      <c r="CA351" s="50">
        <f t="shared" ref="CA351:CA414" si="861">IF($J350=CA$14,$L350,CA350)</f>
        <v>0</v>
      </c>
      <c r="CB351" s="50">
        <f t="shared" ref="CB351:CB414" si="862">IF($J350=CB$14,$L350,CB350)</f>
        <v>1</v>
      </c>
      <c r="CC351" s="50">
        <f t="shared" ref="CC351:CC414" si="863">IF($J350=CC$14,$L350,CC350)</f>
        <v>0</v>
      </c>
      <c r="CD351" s="50">
        <f t="shared" ref="CD351:CD414" si="864">IF($J350=CD$14,$L350,CD350)</f>
        <v>0</v>
      </c>
      <c r="CE351" s="50">
        <f t="shared" ref="CE351:CE414" si="865">IF($J350=CE$14,$L350,CE350)</f>
        <v>1</v>
      </c>
      <c r="CF351" s="50">
        <f t="shared" ref="CF351:CF414" si="866">IF($J350=CF$14,$L350,CF350)</f>
        <v>1</v>
      </c>
      <c r="CG351" s="50">
        <f t="shared" ref="CG351:CG414" si="867">IF($J350=CG$14,$L350,CG350)</f>
        <v>1</v>
      </c>
      <c r="CH351" s="50">
        <f t="shared" ref="CH351:CH414" si="868">IF($J350=CH$14,$L350,CH350)</f>
        <v>1</v>
      </c>
      <c r="CI351" s="50">
        <f t="shared" ref="CI351:CI414" si="869">IF($J350=CI$14,$L350,CI350)</f>
        <v>1</v>
      </c>
      <c r="CJ351" s="50">
        <f t="shared" ref="CJ351:CL414" si="870">IF($J350=CJ$14,$L350,CJ350)</f>
        <v>1</v>
      </c>
      <c r="CK351" s="50">
        <f t="shared" si="870"/>
        <v>0</v>
      </c>
      <c r="CL351" s="50">
        <f t="shared" si="870"/>
        <v>0</v>
      </c>
      <c r="CM351" s="51">
        <f t="shared" si="795"/>
        <v>0</v>
      </c>
      <c r="CN351" s="33">
        <f>ROUND(IF(BS351=0,0,HLOOKUP(BS$14,Villagers!$B$1:$V$33,BS351+3,FALSE)),)</f>
        <v>5</v>
      </c>
      <c r="CO351" s="14">
        <f>ROUND(IF(BT351=0,0,HLOOKUP(BT$14,Villagers!$B$1:$V$33,BT351+3,FALSE)),)</f>
        <v>0</v>
      </c>
      <c r="CP351" s="14">
        <f>ROUND(IF(BU351=0,0,HLOOKUP(BU$14,Villagers!$B$1:$V$33,BU351+3,FALSE)),)</f>
        <v>0</v>
      </c>
      <c r="CQ351" s="14">
        <f>ROUND(IF(BV351=0,0,HLOOKUP(BV$14,Villagers!$B$1:$V$33,BV351+3,FALSE)),)</f>
        <v>0</v>
      </c>
      <c r="CR351" s="14">
        <f>ROUND(IF(BW351=0,0,HLOOKUP(BW$14,Villagers!$B$1:$V$33,BW351+3,FALSE)),)</f>
        <v>0</v>
      </c>
      <c r="CS351" s="14">
        <f>ROUND(IF(BX351=0,0,HLOOKUP(BX$14,Villagers!$B$1:$V$33,BX351+3,FALSE)),)</f>
        <v>0</v>
      </c>
      <c r="CT351" s="14">
        <f>ROUND(IF(BY351=0,0,HLOOKUP(BY$14,Villagers!$B$1:$V$33,BY351+3,FALSE)),)</f>
        <v>0</v>
      </c>
      <c r="CU351" s="14">
        <f>ROUND(IF(BZ351=0,0,HLOOKUP(BZ$14,Villagers!$B$1:$V$33,BZ351+3,FALSE)),)</f>
        <v>0</v>
      </c>
      <c r="CV351" s="14">
        <f>ROUND(IF(CA351=0,0,HLOOKUP(CA$14,Villagers!$B$1:$V$33,CA351+3,FALSE)),)</f>
        <v>0</v>
      </c>
      <c r="CW351" s="14">
        <f>ROUND(IF(CB351=0,0,HLOOKUP(CB$14,Villagers!$B$1:$V$33,CB351+3,FALSE)),)</f>
        <v>0</v>
      </c>
      <c r="CX351" s="14">
        <f>ROUND(IF(CC351=0,0,HLOOKUP(CC$14,Villagers!$B$1:$V$33,CC351+3,FALSE)),)</f>
        <v>0</v>
      </c>
      <c r="CY351" s="14">
        <f>ROUND(IF(CD351=0,0,HLOOKUP(CD$14,Villagers!$B$1:$V$33,CD351+3,FALSE)),)</f>
        <v>0</v>
      </c>
      <c r="CZ351" s="14">
        <f>ROUND(IF(CE351=0,0,HLOOKUP(CE$14,Villagers!$B$1:$V$33,CE351+3,FALSE)),)</f>
        <v>5</v>
      </c>
      <c r="DA351" s="14">
        <f>ROUND(IF(CF351=0,0,HLOOKUP(CF$14,Villagers!$B$1:$V$33,CF351+3,FALSE)),)</f>
        <v>10</v>
      </c>
      <c r="DB351" s="14">
        <f>ROUND(IF(CG351=0,0,HLOOKUP(CG$14,Villagers!$B$1:$V$33,CG351+3,FALSE)),)</f>
        <v>10</v>
      </c>
      <c r="DC351" s="14">
        <f>ROUND(IF(CH351=0,0,HLOOKUP(CH$14,Villagers!$B$1:$V$33,CH351+3,FALSE)),)</f>
        <v>0</v>
      </c>
      <c r="DD351" s="14">
        <f>ROUND(IF(CI351=0,0,HLOOKUP(CI$14,Villagers!$B$1:$V$33,CI351+3,FALSE)),)</f>
        <v>0</v>
      </c>
      <c r="DE351" s="14">
        <f>ROUND(IF(CJ351=0,0,HLOOKUP(CJ$14,Villagers!$B$1:$V$33,CJ351+3,FALSE)),)</f>
        <v>2</v>
      </c>
      <c r="DF351" s="370">
        <f>ROUND(IF(CK351=0,0,HLOOKUP(CK$14,Villagers!$B$1:$V$33,CK351+3,FALSE)),)</f>
        <v>0</v>
      </c>
      <c r="DG351" s="370">
        <f>ROUND(IF(CL351=0,0,HLOOKUP(CL$14,Villagers!$B$1:$V$33,CL351+3,FALSE)),)</f>
        <v>0</v>
      </c>
      <c r="DH351" s="34">
        <f>ROUND(IF(CM351=0,0,HLOOKUP(CM$14,Villagers!$B$1:$V$33,CM351+3,FALSE)),)</f>
        <v>0</v>
      </c>
      <c r="DI351" s="109">
        <f t="shared" si="832"/>
        <v>0</v>
      </c>
      <c r="DJ351" s="50">
        <f t="shared" si="833"/>
        <v>0</v>
      </c>
      <c r="DK351" s="50">
        <f t="shared" si="834"/>
        <v>0</v>
      </c>
      <c r="DL351" s="50">
        <f t="shared" si="835"/>
        <v>0</v>
      </c>
      <c r="DM351" s="50">
        <f t="shared" si="836"/>
        <v>0</v>
      </c>
      <c r="DN351" s="50">
        <f t="shared" si="837"/>
        <v>0</v>
      </c>
      <c r="DO351" s="50">
        <f t="shared" si="838"/>
        <v>0</v>
      </c>
      <c r="DP351" s="50">
        <f t="shared" si="839"/>
        <v>0</v>
      </c>
      <c r="DQ351" s="50">
        <f t="shared" si="816"/>
        <v>0</v>
      </c>
      <c r="DR351" s="50">
        <f t="shared" si="817"/>
        <v>0</v>
      </c>
      <c r="DS351" s="96">
        <f>Miscelaneous!$D$4*Miscelaneous!$D$2^($CI351-1)</f>
        <v>1000</v>
      </c>
      <c r="DT351" s="333">
        <f t="shared" si="796"/>
        <v>1</v>
      </c>
      <c r="DU351" s="81">
        <v>1</v>
      </c>
      <c r="DV351" s="79">
        <f t="shared" si="818"/>
        <v>0</v>
      </c>
      <c r="DW351" s="79">
        <f t="shared" si="819"/>
        <v>0</v>
      </c>
      <c r="DX351" s="79">
        <f t="shared" si="820"/>
        <v>0</v>
      </c>
      <c r="DY351" s="79">
        <v>1</v>
      </c>
      <c r="DZ351" s="79">
        <f t="shared" si="821"/>
        <v>0</v>
      </c>
      <c r="EA351" s="79">
        <f t="shared" si="822"/>
        <v>0</v>
      </c>
      <c r="EB351" s="79">
        <f t="shared" si="823"/>
        <v>0</v>
      </c>
      <c r="EC351" s="79">
        <f t="shared" si="824"/>
        <v>0</v>
      </c>
      <c r="ED351" s="79">
        <v>1</v>
      </c>
      <c r="EE351" s="79">
        <v>1</v>
      </c>
      <c r="EF351" s="79">
        <f t="shared" si="825"/>
        <v>0</v>
      </c>
      <c r="EG351" s="79">
        <v>1</v>
      </c>
      <c r="EH351" s="79">
        <v>1</v>
      </c>
      <c r="EI351" s="79">
        <v>1</v>
      </c>
      <c r="EJ351" s="79">
        <v>1</v>
      </c>
      <c r="EK351" s="79">
        <v>1</v>
      </c>
      <c r="EL351" s="79">
        <v>1</v>
      </c>
      <c r="EM351" s="143">
        <f t="shared" si="826"/>
        <v>0</v>
      </c>
      <c r="EN351" s="143">
        <f t="shared" si="827"/>
        <v>0</v>
      </c>
      <c r="EO351" s="82">
        <f t="shared" si="828"/>
        <v>0</v>
      </c>
    </row>
    <row r="352" spans="1:145" x14ac:dyDescent="0.25">
      <c r="A352">
        <v>338</v>
      </c>
      <c r="B352" s="172" t="e">
        <f t="shared" si="797"/>
        <v>#N/A</v>
      </c>
      <c r="C352" s="121" t="e">
        <f t="shared" ref="C352:E352" si="871">AJ352-SUM(AB352:AB356)</f>
        <v>#N/A</v>
      </c>
      <c r="D352" s="122" t="e">
        <f t="shared" si="871"/>
        <v>#N/A</v>
      </c>
      <c r="E352" s="122" t="e">
        <f t="shared" si="871"/>
        <v>#N/A</v>
      </c>
      <c r="F352" s="176" t="e">
        <f t="shared" si="778"/>
        <v>#N/A</v>
      </c>
      <c r="G352" s="121">
        <f t="shared" si="799"/>
        <v>208</v>
      </c>
      <c r="H352" s="176" t="e">
        <f t="shared" si="800"/>
        <v>#N/A</v>
      </c>
      <c r="I352" s="48">
        <v>1</v>
      </c>
      <c r="J352" s="39"/>
      <c r="K352" s="350">
        <v>1</v>
      </c>
      <c r="L352" s="34" t="e">
        <f t="shared" si="779"/>
        <v>#N/A</v>
      </c>
      <c r="M352" s="38" t="e">
        <f>(HLOOKUP(J352,'Construction Times'!$B$3:$W$34,L352+2,FALSE)*HLOOKUP("hq modifier",'Construction Times'!$W$3:$W$34,BS352+2,FALSE))*(1-$H$9)</f>
        <v>#N/A</v>
      </c>
      <c r="N352" s="426" t="e">
        <f t="shared" si="801"/>
        <v>#N/A</v>
      </c>
      <c r="O352" s="427"/>
      <c r="P352" s="430" t="e">
        <f t="shared" si="802"/>
        <v>#N/A</v>
      </c>
      <c r="Q352" s="431"/>
      <c r="R352" s="103">
        <f t="shared" si="830"/>
        <v>0</v>
      </c>
      <c r="S352" s="104">
        <f t="shared" si="830"/>
        <v>0</v>
      </c>
      <c r="T352" s="104">
        <f t="shared" si="831"/>
        <v>0</v>
      </c>
      <c r="U352" s="104">
        <f t="shared" si="831"/>
        <v>0</v>
      </c>
      <c r="V352" s="104">
        <f t="shared" si="831"/>
        <v>9.9999999999999995E-8</v>
      </c>
      <c r="W352" s="104">
        <f t="shared" si="831"/>
        <v>0</v>
      </c>
      <c r="X352" s="104">
        <f t="shared" si="737"/>
        <v>0</v>
      </c>
      <c r="Y352" s="104">
        <f t="shared" si="737"/>
        <v>9.9999999999999995E-8</v>
      </c>
      <c r="Z352" s="104">
        <f t="shared" si="737"/>
        <v>9.9999999999999995E-8</v>
      </c>
      <c r="AA352" s="105">
        <f t="shared" si="737"/>
        <v>9.9999999999999995E-8</v>
      </c>
      <c r="AB352" s="101" t="e">
        <f>$DT352*HLOOKUP($J352,'Construction Costs (timber)'!$B$1:$V$32,'Construction Planner'!$L352+2,FALSE)</f>
        <v>#N/A</v>
      </c>
      <c r="AC352" s="14" t="e">
        <f>$DT352*HLOOKUP($J352,'Construction Costs (clay)'!$B$1:$V$32,'Construction Planner'!$L352+2,FALSE)</f>
        <v>#N/A</v>
      </c>
      <c r="AD352" s="14" t="e">
        <f>$DT352*HLOOKUP($J352,'Construction Costs (iron)'!$B$1:$V$32,'Construction Planner'!$L352+2,FALSE)</f>
        <v>#N/A</v>
      </c>
      <c r="AE352" s="34" t="e">
        <f t="shared" si="843"/>
        <v>#N/A</v>
      </c>
      <c r="AF352" s="33" t="e">
        <f t="shared" si="780"/>
        <v>#N/A</v>
      </c>
      <c r="AG352" s="14" t="e">
        <f t="shared" si="781"/>
        <v>#N/A</v>
      </c>
      <c r="AH352" s="14" t="e">
        <f t="shared" si="782"/>
        <v>#N/A</v>
      </c>
      <c r="AI352" s="34" t="e">
        <f t="shared" si="844"/>
        <v>#N/A</v>
      </c>
      <c r="AJ352" s="49" t="e">
        <f t="shared" si="804"/>
        <v>#N/A</v>
      </c>
      <c r="AK352" s="49" t="e">
        <f t="shared" si="805"/>
        <v>#N/A</v>
      </c>
      <c r="AL352" s="49" t="e">
        <f t="shared" si="806"/>
        <v>#N/A</v>
      </c>
      <c r="AM352" s="25">
        <f t="shared" si="783"/>
        <v>30</v>
      </c>
      <c r="AN352" s="25">
        <f t="shared" si="784"/>
        <v>30</v>
      </c>
      <c r="AO352" s="25">
        <f t="shared" si="785"/>
        <v>30</v>
      </c>
      <c r="AP352" s="52" t="e">
        <f t="shared" si="807"/>
        <v>#N/A</v>
      </c>
      <c r="AQ352" s="53" t="e">
        <f t="shared" si="807"/>
        <v>#N/A</v>
      </c>
      <c r="AR352" s="54" t="e">
        <f t="shared" si="807"/>
        <v>#N/A</v>
      </c>
      <c r="AS352" s="316">
        <f t="shared" si="845"/>
        <v>0</v>
      </c>
      <c r="AT352" s="106">
        <f>_xlfn.IFNA($M352/VLOOKUP($BT352,'Unit information'!$A$2:$K$29,2,FALSE)*R352,0)*(1+$E$9)</f>
        <v>0</v>
      </c>
      <c r="AU352" s="107">
        <f>_xlfn.IFNA($M352/VLOOKUP($BT352,'Unit information'!$A$2:$K$29,3,FALSE)*S352,0)*(1+$E$9)</f>
        <v>0</v>
      </c>
      <c r="AV352" s="107">
        <f>_xlfn.IFNA($M352/VLOOKUP($BT352,'Unit information'!$A$2:$K$29,4,FALSE)*T352,0)*(1+$E$9)</f>
        <v>0</v>
      </c>
      <c r="AW352" s="107">
        <f>_xlfn.IFNA($M352/VLOOKUP($BT352,'Unit information'!$A$2:$K$29,5,FALSE)*U352,0)*(1+$E$9)</f>
        <v>0</v>
      </c>
      <c r="AX352" s="107">
        <f>_xlfn.IFNA($M352/VLOOKUP($BU352,'Unit information'!$A$2:$K$29,6,FALSE)*V352,0)*(1+$E$9)</f>
        <v>0</v>
      </c>
      <c r="AY352" s="107">
        <f>_xlfn.IFNA($M352/VLOOKUP($BU352,'Unit information'!$A$2:$K$29,7,FALSE)*W352,0)*(1+$E$9)</f>
        <v>0</v>
      </c>
      <c r="AZ352" s="107">
        <f>_xlfn.IFNA($M352/VLOOKUP($BU352,'Unit information'!$A$2:$K$29,8,FALSE)*X352,0)*(1+$E$9)</f>
        <v>0</v>
      </c>
      <c r="BA352" s="107">
        <f>_xlfn.IFNA($M352/VLOOKUP($BU352,'Unit information'!$A$2:$K$29,9,FALSE)*Y352,0)*(1+$E$9)</f>
        <v>0</v>
      </c>
      <c r="BB352" s="107">
        <f>_xlfn.IFNA($M352/VLOOKUP($BV352,'Unit information'!$A$2:$K$29,10,FALSE)*Z352,0)*(1+$E$9)</f>
        <v>0</v>
      </c>
      <c r="BC352" s="108">
        <f>_xlfn.IFNA($M352/VLOOKUP($BV352,'Unit information'!$A$2:$K$29,11,FALSE)*AA352,0)*(1+$E$9)</f>
        <v>0</v>
      </c>
      <c r="BD352" s="106">
        <f t="shared" si="786"/>
        <v>0</v>
      </c>
      <c r="BE352" s="107">
        <f t="shared" si="787"/>
        <v>0</v>
      </c>
      <c r="BF352" s="108">
        <f t="shared" si="788"/>
        <v>0</v>
      </c>
      <c r="BG352" s="25" t="e">
        <f t="shared" si="789"/>
        <v>#N/A</v>
      </c>
      <c r="BH352" s="25" t="e">
        <f t="shared" si="790"/>
        <v>#N/A</v>
      </c>
      <c r="BI352" s="25" t="e">
        <f t="shared" si="791"/>
        <v>#N/A</v>
      </c>
      <c r="BJ352" s="27" t="e">
        <f t="shared" si="792"/>
        <v>#N/A</v>
      </c>
      <c r="BK352" s="18" t="e">
        <f t="shared" si="793"/>
        <v>#N/A</v>
      </c>
      <c r="BL352" s="18" t="e">
        <f t="shared" si="794"/>
        <v>#N/A</v>
      </c>
      <c r="BM352" s="28" t="e">
        <f t="shared" si="846"/>
        <v>#N/A</v>
      </c>
      <c r="BN352" s="33">
        <f>HLOOKUP("maximum population",Miscelaneous!$C$1:$C$33,CH352+3,FALSE)</f>
        <v>240</v>
      </c>
      <c r="BO352" s="14">
        <f t="shared" si="808"/>
        <v>32</v>
      </c>
      <c r="BP352" s="14">
        <f t="shared" si="809"/>
        <v>0</v>
      </c>
      <c r="BQ352" s="14">
        <f t="shared" si="810"/>
        <v>208</v>
      </c>
      <c r="BR352" s="34" t="e">
        <f>HLOOKUP(J352,Villagers!$B$1:$V$33,L352+3,FALSE)-HLOOKUP(J352,Villagers!$B$1:$V$33,L352+2,FALSE)</f>
        <v>#N/A</v>
      </c>
      <c r="BS352" s="49">
        <f t="shared" si="811"/>
        <v>1</v>
      </c>
      <c r="BT352" s="50">
        <f t="shared" si="812"/>
        <v>0</v>
      </c>
      <c r="BU352" s="50">
        <f t="shared" si="813"/>
        <v>0</v>
      </c>
      <c r="BV352" s="50">
        <f t="shared" si="814"/>
        <v>0</v>
      </c>
      <c r="BW352" s="50">
        <f t="shared" ref="BW352:BY358" si="872">IF($J351=BW$14,$L351,BW351)</f>
        <v>0</v>
      </c>
      <c r="BX352" s="50">
        <f t="shared" si="872"/>
        <v>0</v>
      </c>
      <c r="BY352" s="50">
        <f t="shared" si="872"/>
        <v>0</v>
      </c>
      <c r="BZ352" s="50">
        <f t="shared" si="860"/>
        <v>0</v>
      </c>
      <c r="CA352" s="50">
        <f t="shared" si="861"/>
        <v>0</v>
      </c>
      <c r="CB352" s="50">
        <f t="shared" si="862"/>
        <v>1</v>
      </c>
      <c r="CC352" s="50">
        <f t="shared" si="863"/>
        <v>0</v>
      </c>
      <c r="CD352" s="50">
        <f t="shared" si="864"/>
        <v>0</v>
      </c>
      <c r="CE352" s="50">
        <f t="shared" si="865"/>
        <v>1</v>
      </c>
      <c r="CF352" s="50">
        <f t="shared" si="866"/>
        <v>1</v>
      </c>
      <c r="CG352" s="50">
        <f t="shared" si="867"/>
        <v>1</v>
      </c>
      <c r="CH352" s="50">
        <f t="shared" si="868"/>
        <v>1</v>
      </c>
      <c r="CI352" s="50">
        <f t="shared" si="869"/>
        <v>1</v>
      </c>
      <c r="CJ352" s="50">
        <f t="shared" si="870"/>
        <v>1</v>
      </c>
      <c r="CK352" s="50">
        <f t="shared" si="870"/>
        <v>0</v>
      </c>
      <c r="CL352" s="50">
        <f t="shared" si="870"/>
        <v>0</v>
      </c>
      <c r="CM352" s="51">
        <f t="shared" si="795"/>
        <v>0</v>
      </c>
      <c r="CN352" s="33">
        <f>ROUND(IF(BS352=0,0,HLOOKUP(BS$14,Villagers!$B$1:$V$33,BS352+3,FALSE)),)</f>
        <v>5</v>
      </c>
      <c r="CO352" s="14">
        <f>ROUND(IF(BT352=0,0,HLOOKUP(BT$14,Villagers!$B$1:$V$33,BT352+3,FALSE)),)</f>
        <v>0</v>
      </c>
      <c r="CP352" s="14">
        <f>ROUND(IF(BU352=0,0,HLOOKUP(BU$14,Villagers!$B$1:$V$33,BU352+3,FALSE)),)</f>
        <v>0</v>
      </c>
      <c r="CQ352" s="14">
        <f>ROUND(IF(BV352=0,0,HLOOKUP(BV$14,Villagers!$B$1:$V$33,BV352+3,FALSE)),)</f>
        <v>0</v>
      </c>
      <c r="CR352" s="14">
        <f>ROUND(IF(BW352=0,0,HLOOKUP(BW$14,Villagers!$B$1:$V$33,BW352+3,FALSE)),)</f>
        <v>0</v>
      </c>
      <c r="CS352" s="14">
        <f>ROUND(IF(BX352=0,0,HLOOKUP(BX$14,Villagers!$B$1:$V$33,BX352+3,FALSE)),)</f>
        <v>0</v>
      </c>
      <c r="CT352" s="14">
        <f>ROUND(IF(BY352=0,0,HLOOKUP(BY$14,Villagers!$B$1:$V$33,BY352+3,FALSE)),)</f>
        <v>0</v>
      </c>
      <c r="CU352" s="14">
        <f>ROUND(IF(BZ352=0,0,HLOOKUP(BZ$14,Villagers!$B$1:$V$33,BZ352+3,FALSE)),)</f>
        <v>0</v>
      </c>
      <c r="CV352" s="14">
        <f>ROUND(IF(CA352=0,0,HLOOKUP(CA$14,Villagers!$B$1:$V$33,CA352+3,FALSE)),)</f>
        <v>0</v>
      </c>
      <c r="CW352" s="14">
        <f>ROUND(IF(CB352=0,0,HLOOKUP(CB$14,Villagers!$B$1:$V$33,CB352+3,FALSE)),)</f>
        <v>0</v>
      </c>
      <c r="CX352" s="14">
        <f>ROUND(IF(CC352=0,0,HLOOKUP(CC$14,Villagers!$B$1:$V$33,CC352+3,FALSE)),)</f>
        <v>0</v>
      </c>
      <c r="CY352" s="14">
        <f>ROUND(IF(CD352=0,0,HLOOKUP(CD$14,Villagers!$B$1:$V$33,CD352+3,FALSE)),)</f>
        <v>0</v>
      </c>
      <c r="CZ352" s="14">
        <f>ROUND(IF(CE352=0,0,HLOOKUP(CE$14,Villagers!$B$1:$V$33,CE352+3,FALSE)),)</f>
        <v>5</v>
      </c>
      <c r="DA352" s="14">
        <f>ROUND(IF(CF352=0,0,HLOOKUP(CF$14,Villagers!$B$1:$V$33,CF352+3,FALSE)),)</f>
        <v>10</v>
      </c>
      <c r="DB352" s="14">
        <f>ROUND(IF(CG352=0,0,HLOOKUP(CG$14,Villagers!$B$1:$V$33,CG352+3,FALSE)),)</f>
        <v>10</v>
      </c>
      <c r="DC352" s="14">
        <f>ROUND(IF(CH352=0,0,HLOOKUP(CH$14,Villagers!$B$1:$V$33,CH352+3,FALSE)),)</f>
        <v>0</v>
      </c>
      <c r="DD352" s="14">
        <f>ROUND(IF(CI352=0,0,HLOOKUP(CI$14,Villagers!$B$1:$V$33,CI352+3,FALSE)),)</f>
        <v>0</v>
      </c>
      <c r="DE352" s="14">
        <f>ROUND(IF(CJ352=0,0,HLOOKUP(CJ$14,Villagers!$B$1:$V$33,CJ352+3,FALSE)),)</f>
        <v>2</v>
      </c>
      <c r="DF352" s="370">
        <f>ROUND(IF(CK352=0,0,HLOOKUP(CK$14,Villagers!$B$1:$V$33,CK352+3,FALSE)),)</f>
        <v>0</v>
      </c>
      <c r="DG352" s="370">
        <f>ROUND(IF(CL352=0,0,HLOOKUP(CL$14,Villagers!$B$1:$V$33,CL352+3,FALSE)),)</f>
        <v>0</v>
      </c>
      <c r="DH352" s="34">
        <f>ROUND(IF(CM352=0,0,HLOOKUP(CM$14,Villagers!$B$1:$V$33,CM352+3,FALSE)),)</f>
        <v>0</v>
      </c>
      <c r="DI352" s="109">
        <f t="shared" si="832"/>
        <v>0</v>
      </c>
      <c r="DJ352" s="50">
        <f t="shared" si="833"/>
        <v>0</v>
      </c>
      <c r="DK352" s="50">
        <f t="shared" si="834"/>
        <v>0</v>
      </c>
      <c r="DL352" s="50">
        <f t="shared" si="835"/>
        <v>0</v>
      </c>
      <c r="DM352" s="50">
        <f t="shared" si="836"/>
        <v>0</v>
      </c>
      <c r="DN352" s="50">
        <f t="shared" si="837"/>
        <v>0</v>
      </c>
      <c r="DO352" s="50">
        <f t="shared" si="838"/>
        <v>0</v>
      </c>
      <c r="DP352" s="50">
        <f t="shared" si="839"/>
        <v>0</v>
      </c>
      <c r="DQ352" s="50">
        <f t="shared" si="816"/>
        <v>0</v>
      </c>
      <c r="DR352" s="50">
        <f t="shared" si="817"/>
        <v>0</v>
      </c>
      <c r="DS352" s="96">
        <f>Miscelaneous!$D$4*Miscelaneous!$D$2^($CI352-1)</f>
        <v>1000</v>
      </c>
      <c r="DT352" s="333">
        <f t="shared" si="796"/>
        <v>1</v>
      </c>
      <c r="DU352" s="81">
        <v>1</v>
      </c>
      <c r="DV352" s="79">
        <f t="shared" si="818"/>
        <v>0</v>
      </c>
      <c r="DW352" s="79">
        <f t="shared" si="819"/>
        <v>0</v>
      </c>
      <c r="DX352" s="79">
        <f t="shared" si="820"/>
        <v>0</v>
      </c>
      <c r="DY352" s="79">
        <v>1</v>
      </c>
      <c r="DZ352" s="79">
        <f t="shared" si="821"/>
        <v>0</v>
      </c>
      <c r="EA352" s="79">
        <f t="shared" si="822"/>
        <v>0</v>
      </c>
      <c r="EB352" s="79">
        <f t="shared" si="823"/>
        <v>0</v>
      </c>
      <c r="EC352" s="79">
        <f t="shared" si="824"/>
        <v>0</v>
      </c>
      <c r="ED352" s="79">
        <v>1</v>
      </c>
      <c r="EE352" s="79">
        <v>1</v>
      </c>
      <c r="EF352" s="79">
        <f t="shared" si="825"/>
        <v>0</v>
      </c>
      <c r="EG352" s="79">
        <v>1</v>
      </c>
      <c r="EH352" s="79">
        <v>1</v>
      </c>
      <c r="EI352" s="79">
        <v>1</v>
      </c>
      <c r="EJ352" s="79">
        <v>1</v>
      </c>
      <c r="EK352" s="79">
        <v>1</v>
      </c>
      <c r="EL352" s="79">
        <v>1</v>
      </c>
      <c r="EM352" s="143">
        <f t="shared" si="826"/>
        <v>0</v>
      </c>
      <c r="EN352" s="143">
        <f t="shared" si="827"/>
        <v>0</v>
      </c>
      <c r="EO352" s="82">
        <f t="shared" si="828"/>
        <v>0</v>
      </c>
    </row>
    <row r="353" spans="1:145" x14ac:dyDescent="0.25">
      <c r="A353">
        <v>339</v>
      </c>
      <c r="B353" s="172" t="e">
        <f t="shared" si="797"/>
        <v>#N/A</v>
      </c>
      <c r="C353" s="121" t="e">
        <f t="shared" ref="C353:E353" si="873">AJ353-SUM(AB353:AB357)</f>
        <v>#N/A</v>
      </c>
      <c r="D353" s="122" t="e">
        <f t="shared" si="873"/>
        <v>#N/A</v>
      </c>
      <c r="E353" s="122" t="e">
        <f t="shared" si="873"/>
        <v>#N/A</v>
      </c>
      <c r="F353" s="176" t="e">
        <f t="shared" si="778"/>
        <v>#N/A</v>
      </c>
      <c r="G353" s="121">
        <f t="shared" si="799"/>
        <v>208</v>
      </c>
      <c r="H353" s="176" t="e">
        <f t="shared" si="800"/>
        <v>#N/A</v>
      </c>
      <c r="I353" s="48">
        <v>1</v>
      </c>
      <c r="J353" s="39"/>
      <c r="K353" s="350">
        <v>1</v>
      </c>
      <c r="L353" s="34" t="e">
        <f t="shared" si="779"/>
        <v>#N/A</v>
      </c>
      <c r="M353" s="38" t="e">
        <f>(HLOOKUP(J353,'Construction Times'!$B$3:$W$34,L353+2,FALSE)*HLOOKUP("hq modifier",'Construction Times'!$W$3:$W$34,BS353+2,FALSE))*(1-$H$9)</f>
        <v>#N/A</v>
      </c>
      <c r="N353" s="426" t="e">
        <f t="shared" si="801"/>
        <v>#N/A</v>
      </c>
      <c r="O353" s="427"/>
      <c r="P353" s="430" t="e">
        <f t="shared" si="802"/>
        <v>#N/A</v>
      </c>
      <c r="Q353" s="431"/>
      <c r="R353" s="103">
        <f t="shared" si="830"/>
        <v>0</v>
      </c>
      <c r="S353" s="104">
        <f t="shared" si="830"/>
        <v>0</v>
      </c>
      <c r="T353" s="104">
        <f t="shared" si="831"/>
        <v>0</v>
      </c>
      <c r="U353" s="104">
        <f t="shared" si="831"/>
        <v>0</v>
      </c>
      <c r="V353" s="104">
        <f t="shared" si="831"/>
        <v>9.9999999999999995E-8</v>
      </c>
      <c r="W353" s="104">
        <f t="shared" si="831"/>
        <v>0</v>
      </c>
      <c r="X353" s="104">
        <f t="shared" si="737"/>
        <v>0</v>
      </c>
      <c r="Y353" s="104">
        <f t="shared" si="737"/>
        <v>9.9999999999999995E-8</v>
      </c>
      <c r="Z353" s="104">
        <f t="shared" si="737"/>
        <v>9.9999999999999995E-8</v>
      </c>
      <c r="AA353" s="105">
        <f t="shared" si="737"/>
        <v>9.9999999999999995E-8</v>
      </c>
      <c r="AB353" s="101" t="e">
        <f>$DT353*HLOOKUP($J353,'Construction Costs (timber)'!$B$1:$V$32,'Construction Planner'!$L353+2,FALSE)</f>
        <v>#N/A</v>
      </c>
      <c r="AC353" s="14" t="e">
        <f>$DT353*HLOOKUP($J353,'Construction Costs (clay)'!$B$1:$V$32,'Construction Planner'!$L353+2,FALSE)</f>
        <v>#N/A</v>
      </c>
      <c r="AD353" s="14" t="e">
        <f>$DT353*HLOOKUP($J353,'Construction Costs (iron)'!$B$1:$V$32,'Construction Planner'!$L353+2,FALSE)</f>
        <v>#N/A</v>
      </c>
      <c r="AE353" s="34" t="e">
        <f t="shared" si="843"/>
        <v>#N/A</v>
      </c>
      <c r="AF353" s="33" t="e">
        <f t="shared" si="780"/>
        <v>#N/A</v>
      </c>
      <c r="AG353" s="14" t="e">
        <f t="shared" si="781"/>
        <v>#N/A</v>
      </c>
      <c r="AH353" s="14" t="e">
        <f t="shared" si="782"/>
        <v>#N/A</v>
      </c>
      <c r="AI353" s="34" t="e">
        <f t="shared" si="844"/>
        <v>#N/A</v>
      </c>
      <c r="AJ353" s="49" t="e">
        <f t="shared" si="804"/>
        <v>#N/A</v>
      </c>
      <c r="AK353" s="49" t="e">
        <f t="shared" si="805"/>
        <v>#N/A</v>
      </c>
      <c r="AL353" s="49" t="e">
        <f t="shared" si="806"/>
        <v>#N/A</v>
      </c>
      <c r="AM353" s="25">
        <f t="shared" si="783"/>
        <v>30</v>
      </c>
      <c r="AN353" s="25">
        <f t="shared" si="784"/>
        <v>30</v>
      </c>
      <c r="AO353" s="25">
        <f t="shared" si="785"/>
        <v>30</v>
      </c>
      <c r="AP353" s="52" t="e">
        <f t="shared" si="807"/>
        <v>#N/A</v>
      </c>
      <c r="AQ353" s="53" t="e">
        <f t="shared" si="807"/>
        <v>#N/A</v>
      </c>
      <c r="AR353" s="54" t="e">
        <f t="shared" si="807"/>
        <v>#N/A</v>
      </c>
      <c r="AS353" s="316">
        <f t="shared" si="845"/>
        <v>0</v>
      </c>
      <c r="AT353" s="106">
        <f>_xlfn.IFNA($M353/VLOOKUP($BT353,'Unit information'!$A$2:$K$29,2,FALSE)*R353,0)*(1+$E$9)</f>
        <v>0</v>
      </c>
      <c r="AU353" s="107">
        <f>_xlfn.IFNA($M353/VLOOKUP($BT353,'Unit information'!$A$2:$K$29,3,FALSE)*S353,0)*(1+$E$9)</f>
        <v>0</v>
      </c>
      <c r="AV353" s="107">
        <f>_xlfn.IFNA($M353/VLOOKUP($BT353,'Unit information'!$A$2:$K$29,4,FALSE)*T353,0)*(1+$E$9)</f>
        <v>0</v>
      </c>
      <c r="AW353" s="107">
        <f>_xlfn.IFNA($M353/VLOOKUP($BT353,'Unit information'!$A$2:$K$29,5,FALSE)*U353,0)*(1+$E$9)</f>
        <v>0</v>
      </c>
      <c r="AX353" s="107">
        <f>_xlfn.IFNA($M353/VLOOKUP($BU353,'Unit information'!$A$2:$K$29,6,FALSE)*V353,0)*(1+$E$9)</f>
        <v>0</v>
      </c>
      <c r="AY353" s="107">
        <f>_xlfn.IFNA($M353/VLOOKUP($BU353,'Unit information'!$A$2:$K$29,7,FALSE)*W353,0)*(1+$E$9)</f>
        <v>0</v>
      </c>
      <c r="AZ353" s="107">
        <f>_xlfn.IFNA($M353/VLOOKUP($BU353,'Unit information'!$A$2:$K$29,8,FALSE)*X353,0)*(1+$E$9)</f>
        <v>0</v>
      </c>
      <c r="BA353" s="107">
        <f>_xlfn.IFNA($M353/VLOOKUP($BU353,'Unit information'!$A$2:$K$29,9,FALSE)*Y353,0)*(1+$E$9)</f>
        <v>0</v>
      </c>
      <c r="BB353" s="107">
        <f>_xlfn.IFNA($M353/VLOOKUP($BV353,'Unit information'!$A$2:$K$29,10,FALSE)*Z353,0)*(1+$E$9)</f>
        <v>0</v>
      </c>
      <c r="BC353" s="108">
        <f>_xlfn.IFNA($M353/VLOOKUP($BV353,'Unit information'!$A$2:$K$29,11,FALSE)*AA353,0)*(1+$E$9)</f>
        <v>0</v>
      </c>
      <c r="BD353" s="106">
        <f t="shared" si="786"/>
        <v>0</v>
      </c>
      <c r="BE353" s="107">
        <f t="shared" si="787"/>
        <v>0</v>
      </c>
      <c r="BF353" s="108">
        <f t="shared" si="788"/>
        <v>0</v>
      </c>
      <c r="BG353" s="25" t="e">
        <f t="shared" si="789"/>
        <v>#N/A</v>
      </c>
      <c r="BH353" s="25" t="e">
        <f t="shared" si="790"/>
        <v>#N/A</v>
      </c>
      <c r="BI353" s="25" t="e">
        <f t="shared" si="791"/>
        <v>#N/A</v>
      </c>
      <c r="BJ353" s="27" t="e">
        <f t="shared" si="792"/>
        <v>#N/A</v>
      </c>
      <c r="BK353" s="18" t="e">
        <f t="shared" si="793"/>
        <v>#N/A</v>
      </c>
      <c r="BL353" s="18" t="e">
        <f t="shared" si="794"/>
        <v>#N/A</v>
      </c>
      <c r="BM353" s="28" t="e">
        <f t="shared" si="846"/>
        <v>#N/A</v>
      </c>
      <c r="BN353" s="33">
        <f>HLOOKUP("maximum population",Miscelaneous!$C$1:$C$33,CH353+3,FALSE)</f>
        <v>240</v>
      </c>
      <c r="BO353" s="14">
        <f t="shared" si="808"/>
        <v>32</v>
      </c>
      <c r="BP353" s="14">
        <f t="shared" si="809"/>
        <v>0</v>
      </c>
      <c r="BQ353" s="14">
        <f t="shared" si="810"/>
        <v>208</v>
      </c>
      <c r="BR353" s="34" t="e">
        <f>HLOOKUP(J353,Villagers!$B$1:$V$33,L353+3,FALSE)-HLOOKUP(J353,Villagers!$B$1:$V$33,L353+2,FALSE)</f>
        <v>#N/A</v>
      </c>
      <c r="BS353" s="49">
        <f t="shared" si="811"/>
        <v>1</v>
      </c>
      <c r="BT353" s="50">
        <f t="shared" si="812"/>
        <v>0</v>
      </c>
      <c r="BU353" s="50">
        <f t="shared" si="813"/>
        <v>0</v>
      </c>
      <c r="BV353" s="50">
        <f t="shared" si="814"/>
        <v>0</v>
      </c>
      <c r="BW353" s="50">
        <f t="shared" si="872"/>
        <v>0</v>
      </c>
      <c r="BX353" s="50">
        <f t="shared" si="872"/>
        <v>0</v>
      </c>
      <c r="BY353" s="50">
        <f t="shared" si="872"/>
        <v>0</v>
      </c>
      <c r="BZ353" s="50">
        <f t="shared" si="860"/>
        <v>0</v>
      </c>
      <c r="CA353" s="50">
        <f t="shared" si="861"/>
        <v>0</v>
      </c>
      <c r="CB353" s="50">
        <f t="shared" si="862"/>
        <v>1</v>
      </c>
      <c r="CC353" s="50">
        <f t="shared" si="863"/>
        <v>0</v>
      </c>
      <c r="CD353" s="50">
        <f t="shared" si="864"/>
        <v>0</v>
      </c>
      <c r="CE353" s="50">
        <f t="shared" si="865"/>
        <v>1</v>
      </c>
      <c r="CF353" s="50">
        <f t="shared" si="866"/>
        <v>1</v>
      </c>
      <c r="CG353" s="50">
        <f t="shared" si="867"/>
        <v>1</v>
      </c>
      <c r="CH353" s="50">
        <f t="shared" si="868"/>
        <v>1</v>
      </c>
      <c r="CI353" s="50">
        <f t="shared" si="869"/>
        <v>1</v>
      </c>
      <c r="CJ353" s="50">
        <f t="shared" si="870"/>
        <v>1</v>
      </c>
      <c r="CK353" s="50">
        <f t="shared" si="870"/>
        <v>0</v>
      </c>
      <c r="CL353" s="50">
        <f t="shared" si="870"/>
        <v>0</v>
      </c>
      <c r="CM353" s="51">
        <f t="shared" si="795"/>
        <v>0</v>
      </c>
      <c r="CN353" s="33">
        <f>ROUND(IF(BS353=0,0,HLOOKUP(BS$14,Villagers!$B$1:$V$33,BS353+3,FALSE)),)</f>
        <v>5</v>
      </c>
      <c r="CO353" s="14">
        <f>ROUND(IF(BT353=0,0,HLOOKUP(BT$14,Villagers!$B$1:$V$33,BT353+3,FALSE)),)</f>
        <v>0</v>
      </c>
      <c r="CP353" s="14">
        <f>ROUND(IF(BU353=0,0,HLOOKUP(BU$14,Villagers!$B$1:$V$33,BU353+3,FALSE)),)</f>
        <v>0</v>
      </c>
      <c r="CQ353" s="14">
        <f>ROUND(IF(BV353=0,0,HLOOKUP(BV$14,Villagers!$B$1:$V$33,BV353+3,FALSE)),)</f>
        <v>0</v>
      </c>
      <c r="CR353" s="14">
        <f>ROUND(IF(BW353=0,0,HLOOKUP(BW$14,Villagers!$B$1:$V$33,BW353+3,FALSE)),)</f>
        <v>0</v>
      </c>
      <c r="CS353" s="14">
        <f>ROUND(IF(BX353=0,0,HLOOKUP(BX$14,Villagers!$B$1:$V$33,BX353+3,FALSE)),)</f>
        <v>0</v>
      </c>
      <c r="CT353" s="14">
        <f>ROUND(IF(BY353=0,0,HLOOKUP(BY$14,Villagers!$B$1:$V$33,BY353+3,FALSE)),)</f>
        <v>0</v>
      </c>
      <c r="CU353" s="14">
        <f>ROUND(IF(BZ353=0,0,HLOOKUP(BZ$14,Villagers!$B$1:$V$33,BZ353+3,FALSE)),)</f>
        <v>0</v>
      </c>
      <c r="CV353" s="14">
        <f>ROUND(IF(CA353=0,0,HLOOKUP(CA$14,Villagers!$B$1:$V$33,CA353+3,FALSE)),)</f>
        <v>0</v>
      </c>
      <c r="CW353" s="14">
        <f>ROUND(IF(CB353=0,0,HLOOKUP(CB$14,Villagers!$B$1:$V$33,CB353+3,FALSE)),)</f>
        <v>0</v>
      </c>
      <c r="CX353" s="14">
        <f>ROUND(IF(CC353=0,0,HLOOKUP(CC$14,Villagers!$B$1:$V$33,CC353+3,FALSE)),)</f>
        <v>0</v>
      </c>
      <c r="CY353" s="14">
        <f>ROUND(IF(CD353=0,0,HLOOKUP(CD$14,Villagers!$B$1:$V$33,CD353+3,FALSE)),)</f>
        <v>0</v>
      </c>
      <c r="CZ353" s="14">
        <f>ROUND(IF(CE353=0,0,HLOOKUP(CE$14,Villagers!$B$1:$V$33,CE353+3,FALSE)),)</f>
        <v>5</v>
      </c>
      <c r="DA353" s="14">
        <f>ROUND(IF(CF353=0,0,HLOOKUP(CF$14,Villagers!$B$1:$V$33,CF353+3,FALSE)),)</f>
        <v>10</v>
      </c>
      <c r="DB353" s="14">
        <f>ROUND(IF(CG353=0,0,HLOOKUP(CG$14,Villagers!$B$1:$V$33,CG353+3,FALSE)),)</f>
        <v>10</v>
      </c>
      <c r="DC353" s="14">
        <f>ROUND(IF(CH353=0,0,HLOOKUP(CH$14,Villagers!$B$1:$V$33,CH353+3,FALSE)),)</f>
        <v>0</v>
      </c>
      <c r="DD353" s="14">
        <f>ROUND(IF(CI353=0,0,HLOOKUP(CI$14,Villagers!$B$1:$V$33,CI353+3,FALSE)),)</f>
        <v>0</v>
      </c>
      <c r="DE353" s="14">
        <f>ROUND(IF(CJ353=0,0,HLOOKUP(CJ$14,Villagers!$B$1:$V$33,CJ353+3,FALSE)),)</f>
        <v>2</v>
      </c>
      <c r="DF353" s="370">
        <f>ROUND(IF(CK353=0,0,HLOOKUP(CK$14,Villagers!$B$1:$V$33,CK353+3,FALSE)),)</f>
        <v>0</v>
      </c>
      <c r="DG353" s="370">
        <f>ROUND(IF(CL353=0,0,HLOOKUP(CL$14,Villagers!$B$1:$V$33,CL353+3,FALSE)),)</f>
        <v>0</v>
      </c>
      <c r="DH353" s="34">
        <f>ROUND(IF(CM353=0,0,HLOOKUP(CM$14,Villagers!$B$1:$V$33,CM353+3,FALSE)),)</f>
        <v>0</v>
      </c>
      <c r="DI353" s="109">
        <f t="shared" si="832"/>
        <v>0</v>
      </c>
      <c r="DJ353" s="50">
        <f t="shared" si="833"/>
        <v>0</v>
      </c>
      <c r="DK353" s="50">
        <f t="shared" si="834"/>
        <v>0</v>
      </c>
      <c r="DL353" s="50">
        <f t="shared" si="835"/>
        <v>0</v>
      </c>
      <c r="DM353" s="50">
        <f t="shared" si="836"/>
        <v>0</v>
      </c>
      <c r="DN353" s="50">
        <f t="shared" si="837"/>
        <v>0</v>
      </c>
      <c r="DO353" s="50">
        <f t="shared" si="838"/>
        <v>0</v>
      </c>
      <c r="DP353" s="50">
        <f t="shared" si="839"/>
        <v>0</v>
      </c>
      <c r="DQ353" s="50">
        <f t="shared" si="816"/>
        <v>0</v>
      </c>
      <c r="DR353" s="50">
        <f t="shared" si="817"/>
        <v>0</v>
      </c>
      <c r="DS353" s="96">
        <f>Miscelaneous!$D$4*Miscelaneous!$D$2^($CI353-1)</f>
        <v>1000</v>
      </c>
      <c r="DT353" s="333">
        <f t="shared" si="796"/>
        <v>1</v>
      </c>
      <c r="DU353" s="81">
        <v>1</v>
      </c>
      <c r="DV353" s="79">
        <f t="shared" si="818"/>
        <v>0</v>
      </c>
      <c r="DW353" s="79">
        <f t="shared" si="819"/>
        <v>0</v>
      </c>
      <c r="DX353" s="79">
        <f t="shared" si="820"/>
        <v>0</v>
      </c>
      <c r="DY353" s="79">
        <v>1</v>
      </c>
      <c r="DZ353" s="79">
        <f t="shared" si="821"/>
        <v>0</v>
      </c>
      <c r="EA353" s="79">
        <f t="shared" si="822"/>
        <v>0</v>
      </c>
      <c r="EB353" s="79">
        <f t="shared" si="823"/>
        <v>0</v>
      </c>
      <c r="EC353" s="79">
        <f t="shared" si="824"/>
        <v>0</v>
      </c>
      <c r="ED353" s="79">
        <v>1</v>
      </c>
      <c r="EE353" s="79">
        <v>1</v>
      </c>
      <c r="EF353" s="79">
        <f t="shared" si="825"/>
        <v>0</v>
      </c>
      <c r="EG353" s="79">
        <v>1</v>
      </c>
      <c r="EH353" s="79">
        <v>1</v>
      </c>
      <c r="EI353" s="79">
        <v>1</v>
      </c>
      <c r="EJ353" s="79">
        <v>1</v>
      </c>
      <c r="EK353" s="79">
        <v>1</v>
      </c>
      <c r="EL353" s="79">
        <v>1</v>
      </c>
      <c r="EM353" s="143">
        <f t="shared" si="826"/>
        <v>0</v>
      </c>
      <c r="EN353" s="143">
        <f t="shared" si="827"/>
        <v>0</v>
      </c>
      <c r="EO353" s="82">
        <f t="shared" si="828"/>
        <v>0</v>
      </c>
    </row>
    <row r="354" spans="1:145" x14ac:dyDescent="0.25">
      <c r="A354">
        <v>340</v>
      </c>
      <c r="B354" s="172" t="e">
        <f t="shared" si="797"/>
        <v>#N/A</v>
      </c>
      <c r="C354" s="121" t="e">
        <f t="shared" ref="C354:E354" si="874">AJ354-SUM(AB354:AB358)</f>
        <v>#N/A</v>
      </c>
      <c r="D354" s="122" t="e">
        <f t="shared" si="874"/>
        <v>#N/A</v>
      </c>
      <c r="E354" s="122" t="e">
        <f t="shared" si="874"/>
        <v>#N/A</v>
      </c>
      <c r="F354" s="176" t="e">
        <f t="shared" si="778"/>
        <v>#N/A</v>
      </c>
      <c r="G354" s="121">
        <f t="shared" si="799"/>
        <v>208</v>
      </c>
      <c r="H354" s="176" t="e">
        <f t="shared" si="800"/>
        <v>#N/A</v>
      </c>
      <c r="I354" s="48">
        <v>1</v>
      </c>
      <c r="J354" s="39"/>
      <c r="K354" s="350">
        <v>1</v>
      </c>
      <c r="L354" s="34" t="e">
        <f t="shared" si="779"/>
        <v>#N/A</v>
      </c>
      <c r="M354" s="38" t="e">
        <f>(HLOOKUP(J354,'Construction Times'!$B$3:$W$34,L354+2,FALSE)*HLOOKUP("hq modifier",'Construction Times'!$W$3:$W$34,BS354+2,FALSE))*(1-$H$9)</f>
        <v>#N/A</v>
      </c>
      <c r="N354" s="426" t="e">
        <f t="shared" si="801"/>
        <v>#N/A</v>
      </c>
      <c r="O354" s="427"/>
      <c r="P354" s="430" t="e">
        <f t="shared" si="802"/>
        <v>#N/A</v>
      </c>
      <c r="Q354" s="431"/>
      <c r="R354" s="103">
        <f t="shared" si="830"/>
        <v>0</v>
      </c>
      <c r="S354" s="104">
        <f t="shared" si="830"/>
        <v>0</v>
      </c>
      <c r="T354" s="104">
        <f t="shared" si="831"/>
        <v>0</v>
      </c>
      <c r="U354" s="104">
        <f t="shared" si="831"/>
        <v>0</v>
      </c>
      <c r="V354" s="104">
        <f t="shared" si="831"/>
        <v>9.9999999999999995E-8</v>
      </c>
      <c r="W354" s="104">
        <f t="shared" si="831"/>
        <v>0</v>
      </c>
      <c r="X354" s="104">
        <f t="shared" si="737"/>
        <v>0</v>
      </c>
      <c r="Y354" s="104">
        <f t="shared" si="737"/>
        <v>9.9999999999999995E-8</v>
      </c>
      <c r="Z354" s="104">
        <f t="shared" si="737"/>
        <v>9.9999999999999995E-8</v>
      </c>
      <c r="AA354" s="105">
        <f t="shared" si="737"/>
        <v>9.9999999999999995E-8</v>
      </c>
      <c r="AB354" s="101" t="e">
        <f>$DT354*HLOOKUP($J354,'Construction Costs (timber)'!$B$1:$V$32,'Construction Planner'!$L354+2,FALSE)</f>
        <v>#N/A</v>
      </c>
      <c r="AC354" s="14" t="e">
        <f>$DT354*HLOOKUP($J354,'Construction Costs (clay)'!$B$1:$V$32,'Construction Planner'!$L354+2,FALSE)</f>
        <v>#N/A</v>
      </c>
      <c r="AD354" s="14" t="e">
        <f>$DT354*HLOOKUP($J354,'Construction Costs (iron)'!$B$1:$V$32,'Construction Planner'!$L354+2,FALSE)</f>
        <v>#N/A</v>
      </c>
      <c r="AE354" s="34" t="e">
        <f t="shared" si="843"/>
        <v>#N/A</v>
      </c>
      <c r="AF354" s="33" t="e">
        <f t="shared" si="780"/>
        <v>#N/A</v>
      </c>
      <c r="AG354" s="14" t="e">
        <f t="shared" si="781"/>
        <v>#N/A</v>
      </c>
      <c r="AH354" s="14" t="e">
        <f t="shared" si="782"/>
        <v>#N/A</v>
      </c>
      <c r="AI354" s="34" t="e">
        <f t="shared" si="844"/>
        <v>#N/A</v>
      </c>
      <c r="AJ354" s="49" t="e">
        <f t="shared" si="804"/>
        <v>#N/A</v>
      </c>
      <c r="AK354" s="49" t="e">
        <f t="shared" si="805"/>
        <v>#N/A</v>
      </c>
      <c r="AL354" s="49" t="e">
        <f t="shared" si="806"/>
        <v>#N/A</v>
      </c>
      <c r="AM354" s="25">
        <f t="shared" si="783"/>
        <v>30</v>
      </c>
      <c r="AN354" s="25">
        <f t="shared" si="784"/>
        <v>30</v>
      </c>
      <c r="AO354" s="25">
        <f t="shared" si="785"/>
        <v>30</v>
      </c>
      <c r="AP354" s="52" t="e">
        <f t="shared" si="807"/>
        <v>#N/A</v>
      </c>
      <c r="AQ354" s="53" t="e">
        <f t="shared" si="807"/>
        <v>#N/A</v>
      </c>
      <c r="AR354" s="54" t="e">
        <f t="shared" si="807"/>
        <v>#N/A</v>
      </c>
      <c r="AS354" s="316">
        <f t="shared" si="845"/>
        <v>0</v>
      </c>
      <c r="AT354" s="106">
        <f>_xlfn.IFNA($M354/VLOOKUP($BT354,'Unit information'!$A$2:$K$29,2,FALSE)*R354,0)*(1+$E$9)</f>
        <v>0</v>
      </c>
      <c r="AU354" s="107">
        <f>_xlfn.IFNA($M354/VLOOKUP($BT354,'Unit information'!$A$2:$K$29,3,FALSE)*S354,0)*(1+$E$9)</f>
        <v>0</v>
      </c>
      <c r="AV354" s="107">
        <f>_xlfn.IFNA($M354/VLOOKUP($BT354,'Unit information'!$A$2:$K$29,4,FALSE)*T354,0)*(1+$E$9)</f>
        <v>0</v>
      </c>
      <c r="AW354" s="107">
        <f>_xlfn.IFNA($M354/VLOOKUP($BT354,'Unit information'!$A$2:$K$29,5,FALSE)*U354,0)*(1+$E$9)</f>
        <v>0</v>
      </c>
      <c r="AX354" s="107">
        <f>_xlfn.IFNA($M354/VLOOKUP($BU354,'Unit information'!$A$2:$K$29,6,FALSE)*V354,0)*(1+$E$9)</f>
        <v>0</v>
      </c>
      <c r="AY354" s="107">
        <f>_xlfn.IFNA($M354/VLOOKUP($BU354,'Unit information'!$A$2:$K$29,7,FALSE)*W354,0)*(1+$E$9)</f>
        <v>0</v>
      </c>
      <c r="AZ354" s="107">
        <f>_xlfn.IFNA($M354/VLOOKUP($BU354,'Unit information'!$A$2:$K$29,8,FALSE)*X354,0)*(1+$E$9)</f>
        <v>0</v>
      </c>
      <c r="BA354" s="107">
        <f>_xlfn.IFNA($M354/VLOOKUP($BU354,'Unit information'!$A$2:$K$29,9,FALSE)*Y354,0)*(1+$E$9)</f>
        <v>0</v>
      </c>
      <c r="BB354" s="107">
        <f>_xlfn.IFNA($M354/VLOOKUP($BV354,'Unit information'!$A$2:$K$29,10,FALSE)*Z354,0)*(1+$E$9)</f>
        <v>0</v>
      </c>
      <c r="BC354" s="108">
        <f>_xlfn.IFNA($M354/VLOOKUP($BV354,'Unit information'!$A$2:$K$29,11,FALSE)*AA354,0)*(1+$E$9)</f>
        <v>0</v>
      </c>
      <c r="BD354" s="106">
        <f t="shared" si="786"/>
        <v>0</v>
      </c>
      <c r="BE354" s="107">
        <f t="shared" si="787"/>
        <v>0</v>
      </c>
      <c r="BF354" s="108">
        <f t="shared" si="788"/>
        <v>0</v>
      </c>
      <c r="BG354" s="25" t="e">
        <f t="shared" si="789"/>
        <v>#N/A</v>
      </c>
      <c r="BH354" s="25" t="e">
        <f t="shared" si="790"/>
        <v>#N/A</v>
      </c>
      <c r="BI354" s="25" t="e">
        <f t="shared" si="791"/>
        <v>#N/A</v>
      </c>
      <c r="BJ354" s="27" t="e">
        <f t="shared" si="792"/>
        <v>#N/A</v>
      </c>
      <c r="BK354" s="18" t="e">
        <f t="shared" si="793"/>
        <v>#N/A</v>
      </c>
      <c r="BL354" s="18" t="e">
        <f t="shared" si="794"/>
        <v>#N/A</v>
      </c>
      <c r="BM354" s="28" t="e">
        <f t="shared" si="846"/>
        <v>#N/A</v>
      </c>
      <c r="BN354" s="33">
        <f>HLOOKUP("maximum population",Miscelaneous!$C$1:$C$33,CH354+3,FALSE)</f>
        <v>240</v>
      </c>
      <c r="BO354" s="14">
        <f t="shared" si="808"/>
        <v>32</v>
      </c>
      <c r="BP354" s="14">
        <f t="shared" si="809"/>
        <v>0</v>
      </c>
      <c r="BQ354" s="14">
        <f t="shared" si="810"/>
        <v>208</v>
      </c>
      <c r="BR354" s="34" t="e">
        <f>HLOOKUP(J354,Villagers!$B$1:$V$33,L354+3,FALSE)-HLOOKUP(J354,Villagers!$B$1:$V$33,L354+2,FALSE)</f>
        <v>#N/A</v>
      </c>
      <c r="BS354" s="49">
        <f t="shared" si="811"/>
        <v>1</v>
      </c>
      <c r="BT354" s="50">
        <f t="shared" si="812"/>
        <v>0</v>
      </c>
      <c r="BU354" s="50">
        <f t="shared" si="813"/>
        <v>0</v>
      </c>
      <c r="BV354" s="50">
        <f t="shared" si="814"/>
        <v>0</v>
      </c>
      <c r="BW354" s="50">
        <f t="shared" si="872"/>
        <v>0</v>
      </c>
      <c r="BX354" s="50">
        <f t="shared" si="872"/>
        <v>0</v>
      </c>
      <c r="BY354" s="50">
        <f t="shared" si="872"/>
        <v>0</v>
      </c>
      <c r="BZ354" s="50">
        <f t="shared" si="860"/>
        <v>0</v>
      </c>
      <c r="CA354" s="50">
        <f t="shared" si="861"/>
        <v>0</v>
      </c>
      <c r="CB354" s="50">
        <f t="shared" si="862"/>
        <v>1</v>
      </c>
      <c r="CC354" s="50">
        <f t="shared" si="863"/>
        <v>0</v>
      </c>
      <c r="CD354" s="50">
        <f t="shared" si="864"/>
        <v>0</v>
      </c>
      <c r="CE354" s="50">
        <f t="shared" si="865"/>
        <v>1</v>
      </c>
      <c r="CF354" s="50">
        <f t="shared" si="866"/>
        <v>1</v>
      </c>
      <c r="CG354" s="50">
        <f t="shared" si="867"/>
        <v>1</v>
      </c>
      <c r="CH354" s="50">
        <f t="shared" si="868"/>
        <v>1</v>
      </c>
      <c r="CI354" s="50">
        <f t="shared" si="869"/>
        <v>1</v>
      </c>
      <c r="CJ354" s="50">
        <f t="shared" si="870"/>
        <v>1</v>
      </c>
      <c r="CK354" s="50">
        <f t="shared" si="870"/>
        <v>0</v>
      </c>
      <c r="CL354" s="50">
        <f t="shared" si="870"/>
        <v>0</v>
      </c>
      <c r="CM354" s="51">
        <f t="shared" si="795"/>
        <v>0</v>
      </c>
      <c r="CN354" s="33">
        <f>ROUND(IF(BS354=0,0,HLOOKUP(BS$14,Villagers!$B$1:$V$33,BS354+3,FALSE)),)</f>
        <v>5</v>
      </c>
      <c r="CO354" s="14">
        <f>ROUND(IF(BT354=0,0,HLOOKUP(BT$14,Villagers!$B$1:$V$33,BT354+3,FALSE)),)</f>
        <v>0</v>
      </c>
      <c r="CP354" s="14">
        <f>ROUND(IF(BU354=0,0,HLOOKUP(BU$14,Villagers!$B$1:$V$33,BU354+3,FALSE)),)</f>
        <v>0</v>
      </c>
      <c r="CQ354" s="14">
        <f>ROUND(IF(BV354=0,0,HLOOKUP(BV$14,Villagers!$B$1:$V$33,BV354+3,FALSE)),)</f>
        <v>0</v>
      </c>
      <c r="CR354" s="14">
        <f>ROUND(IF(BW354=0,0,HLOOKUP(BW$14,Villagers!$B$1:$V$33,BW354+3,FALSE)),)</f>
        <v>0</v>
      </c>
      <c r="CS354" s="14">
        <f>ROUND(IF(BX354=0,0,HLOOKUP(BX$14,Villagers!$B$1:$V$33,BX354+3,FALSE)),)</f>
        <v>0</v>
      </c>
      <c r="CT354" s="14">
        <f>ROUND(IF(BY354=0,0,HLOOKUP(BY$14,Villagers!$B$1:$V$33,BY354+3,FALSE)),)</f>
        <v>0</v>
      </c>
      <c r="CU354" s="14">
        <f>ROUND(IF(BZ354=0,0,HLOOKUP(BZ$14,Villagers!$B$1:$V$33,BZ354+3,FALSE)),)</f>
        <v>0</v>
      </c>
      <c r="CV354" s="14">
        <f>ROUND(IF(CA354=0,0,HLOOKUP(CA$14,Villagers!$B$1:$V$33,CA354+3,FALSE)),)</f>
        <v>0</v>
      </c>
      <c r="CW354" s="14">
        <f>ROUND(IF(CB354=0,0,HLOOKUP(CB$14,Villagers!$B$1:$V$33,CB354+3,FALSE)),)</f>
        <v>0</v>
      </c>
      <c r="CX354" s="14">
        <f>ROUND(IF(CC354=0,0,HLOOKUP(CC$14,Villagers!$B$1:$V$33,CC354+3,FALSE)),)</f>
        <v>0</v>
      </c>
      <c r="CY354" s="14">
        <f>ROUND(IF(CD354=0,0,HLOOKUP(CD$14,Villagers!$B$1:$V$33,CD354+3,FALSE)),)</f>
        <v>0</v>
      </c>
      <c r="CZ354" s="14">
        <f>ROUND(IF(CE354=0,0,HLOOKUP(CE$14,Villagers!$B$1:$V$33,CE354+3,FALSE)),)</f>
        <v>5</v>
      </c>
      <c r="DA354" s="14">
        <f>ROUND(IF(CF354=0,0,HLOOKUP(CF$14,Villagers!$B$1:$V$33,CF354+3,FALSE)),)</f>
        <v>10</v>
      </c>
      <c r="DB354" s="14">
        <f>ROUND(IF(CG354=0,0,HLOOKUP(CG$14,Villagers!$B$1:$V$33,CG354+3,FALSE)),)</f>
        <v>10</v>
      </c>
      <c r="DC354" s="14">
        <f>ROUND(IF(CH354=0,0,HLOOKUP(CH$14,Villagers!$B$1:$V$33,CH354+3,FALSE)),)</f>
        <v>0</v>
      </c>
      <c r="DD354" s="14">
        <f>ROUND(IF(CI354=0,0,HLOOKUP(CI$14,Villagers!$B$1:$V$33,CI354+3,FALSE)),)</f>
        <v>0</v>
      </c>
      <c r="DE354" s="14">
        <f>ROUND(IF(CJ354=0,0,HLOOKUP(CJ$14,Villagers!$B$1:$V$33,CJ354+3,FALSE)),)</f>
        <v>2</v>
      </c>
      <c r="DF354" s="370">
        <f>ROUND(IF(CK354=0,0,HLOOKUP(CK$14,Villagers!$B$1:$V$33,CK354+3,FALSE)),)</f>
        <v>0</v>
      </c>
      <c r="DG354" s="370">
        <f>ROUND(IF(CL354=0,0,HLOOKUP(CL$14,Villagers!$B$1:$V$33,CL354+3,FALSE)),)</f>
        <v>0</v>
      </c>
      <c r="DH354" s="34">
        <f>ROUND(IF(CM354=0,0,HLOOKUP(CM$14,Villagers!$B$1:$V$33,CM354+3,FALSE)),)</f>
        <v>0</v>
      </c>
      <c r="DI354" s="109">
        <f t="shared" si="832"/>
        <v>0</v>
      </c>
      <c r="DJ354" s="50">
        <f t="shared" si="833"/>
        <v>0</v>
      </c>
      <c r="DK354" s="50">
        <f t="shared" si="834"/>
        <v>0</v>
      </c>
      <c r="DL354" s="50">
        <f t="shared" si="835"/>
        <v>0</v>
      </c>
      <c r="DM354" s="50">
        <f t="shared" si="836"/>
        <v>0</v>
      </c>
      <c r="DN354" s="50">
        <f t="shared" si="837"/>
        <v>0</v>
      </c>
      <c r="DO354" s="50">
        <f t="shared" si="838"/>
        <v>0</v>
      </c>
      <c r="DP354" s="50">
        <f t="shared" si="839"/>
        <v>0</v>
      </c>
      <c r="DQ354" s="50">
        <f t="shared" si="816"/>
        <v>0</v>
      </c>
      <c r="DR354" s="50">
        <f t="shared" si="817"/>
        <v>0</v>
      </c>
      <c r="DS354" s="96">
        <f>Miscelaneous!$D$4*Miscelaneous!$D$2^($CI354-1)</f>
        <v>1000</v>
      </c>
      <c r="DT354" s="333">
        <f t="shared" si="796"/>
        <v>1</v>
      </c>
      <c r="DU354" s="81">
        <v>1</v>
      </c>
      <c r="DV354" s="79">
        <f t="shared" si="818"/>
        <v>0</v>
      </c>
      <c r="DW354" s="79">
        <f t="shared" si="819"/>
        <v>0</v>
      </c>
      <c r="DX354" s="79">
        <f t="shared" si="820"/>
        <v>0</v>
      </c>
      <c r="DY354" s="79">
        <v>1</v>
      </c>
      <c r="DZ354" s="79">
        <f t="shared" si="821"/>
        <v>0</v>
      </c>
      <c r="EA354" s="79">
        <f t="shared" si="822"/>
        <v>0</v>
      </c>
      <c r="EB354" s="79">
        <f t="shared" si="823"/>
        <v>0</v>
      </c>
      <c r="EC354" s="79">
        <f t="shared" si="824"/>
        <v>0</v>
      </c>
      <c r="ED354" s="79">
        <v>1</v>
      </c>
      <c r="EE354" s="79">
        <v>1</v>
      </c>
      <c r="EF354" s="79">
        <f t="shared" si="825"/>
        <v>0</v>
      </c>
      <c r="EG354" s="79">
        <v>1</v>
      </c>
      <c r="EH354" s="79">
        <v>1</v>
      </c>
      <c r="EI354" s="79">
        <v>1</v>
      </c>
      <c r="EJ354" s="79">
        <v>1</v>
      </c>
      <c r="EK354" s="79">
        <v>1</v>
      </c>
      <c r="EL354" s="79">
        <v>1</v>
      </c>
      <c r="EM354" s="143">
        <f t="shared" si="826"/>
        <v>0</v>
      </c>
      <c r="EN354" s="143">
        <f t="shared" si="827"/>
        <v>0</v>
      </c>
      <c r="EO354" s="82">
        <f t="shared" si="828"/>
        <v>0</v>
      </c>
    </row>
    <row r="355" spans="1:145" x14ac:dyDescent="0.25">
      <c r="A355">
        <v>341</v>
      </c>
      <c r="B355" s="172" t="e">
        <f t="shared" si="797"/>
        <v>#N/A</v>
      </c>
      <c r="C355" s="121" t="e">
        <f t="shared" ref="C355:E355" si="875">AJ355-SUM(AB355:AB359)</f>
        <v>#N/A</v>
      </c>
      <c r="D355" s="122" t="e">
        <f t="shared" si="875"/>
        <v>#N/A</v>
      </c>
      <c r="E355" s="122" t="e">
        <f t="shared" si="875"/>
        <v>#N/A</v>
      </c>
      <c r="F355" s="176" t="e">
        <f t="shared" si="778"/>
        <v>#N/A</v>
      </c>
      <c r="G355" s="121">
        <f t="shared" si="799"/>
        <v>208</v>
      </c>
      <c r="H355" s="176" t="e">
        <f t="shared" si="800"/>
        <v>#N/A</v>
      </c>
      <c r="I355" s="48">
        <v>1</v>
      </c>
      <c r="J355" s="39"/>
      <c r="K355" s="350">
        <v>1</v>
      </c>
      <c r="L355" s="34" t="e">
        <f t="shared" si="779"/>
        <v>#N/A</v>
      </c>
      <c r="M355" s="38" t="e">
        <f>(HLOOKUP(J355,'Construction Times'!$B$3:$W$34,L355+2,FALSE)*HLOOKUP("hq modifier",'Construction Times'!$W$3:$W$34,BS355+2,FALSE))*(1-$H$9)</f>
        <v>#N/A</v>
      </c>
      <c r="N355" s="426" t="e">
        <f t="shared" si="801"/>
        <v>#N/A</v>
      </c>
      <c r="O355" s="427"/>
      <c r="P355" s="430" t="e">
        <f t="shared" si="802"/>
        <v>#N/A</v>
      </c>
      <c r="Q355" s="431"/>
      <c r="R355" s="103">
        <f t="shared" si="830"/>
        <v>0</v>
      </c>
      <c r="S355" s="104">
        <f t="shared" si="830"/>
        <v>0</v>
      </c>
      <c r="T355" s="104">
        <f t="shared" si="831"/>
        <v>0</v>
      </c>
      <c r="U355" s="104">
        <f t="shared" si="831"/>
        <v>0</v>
      </c>
      <c r="V355" s="104">
        <f t="shared" si="831"/>
        <v>9.9999999999999995E-8</v>
      </c>
      <c r="W355" s="104">
        <f t="shared" si="831"/>
        <v>0</v>
      </c>
      <c r="X355" s="104">
        <f t="shared" si="737"/>
        <v>0</v>
      </c>
      <c r="Y355" s="104">
        <f t="shared" si="737"/>
        <v>9.9999999999999995E-8</v>
      </c>
      <c r="Z355" s="104">
        <f t="shared" si="737"/>
        <v>9.9999999999999995E-8</v>
      </c>
      <c r="AA355" s="105">
        <f t="shared" si="737"/>
        <v>9.9999999999999995E-8</v>
      </c>
      <c r="AB355" s="101" t="e">
        <f>$DT355*HLOOKUP($J355,'Construction Costs (timber)'!$B$1:$V$32,'Construction Planner'!$L355+2,FALSE)</f>
        <v>#N/A</v>
      </c>
      <c r="AC355" s="14" t="e">
        <f>$DT355*HLOOKUP($J355,'Construction Costs (clay)'!$B$1:$V$32,'Construction Planner'!$L355+2,FALSE)</f>
        <v>#N/A</v>
      </c>
      <c r="AD355" s="14" t="e">
        <f>$DT355*HLOOKUP($J355,'Construction Costs (iron)'!$B$1:$V$32,'Construction Planner'!$L355+2,FALSE)</f>
        <v>#N/A</v>
      </c>
      <c r="AE355" s="34" t="e">
        <f t="shared" si="843"/>
        <v>#N/A</v>
      </c>
      <c r="AF355" s="33" t="e">
        <f t="shared" si="780"/>
        <v>#N/A</v>
      </c>
      <c r="AG355" s="14" t="e">
        <f t="shared" si="781"/>
        <v>#N/A</v>
      </c>
      <c r="AH355" s="14" t="e">
        <f t="shared" si="782"/>
        <v>#N/A</v>
      </c>
      <c r="AI355" s="34" t="e">
        <f t="shared" si="844"/>
        <v>#N/A</v>
      </c>
      <c r="AJ355" s="49" t="e">
        <f t="shared" si="804"/>
        <v>#N/A</v>
      </c>
      <c r="AK355" s="49" t="e">
        <f t="shared" si="805"/>
        <v>#N/A</v>
      </c>
      <c r="AL355" s="49" t="e">
        <f t="shared" si="806"/>
        <v>#N/A</v>
      </c>
      <c r="AM355" s="25">
        <f t="shared" si="783"/>
        <v>30</v>
      </c>
      <c r="AN355" s="25">
        <f t="shared" si="784"/>
        <v>30</v>
      </c>
      <c r="AO355" s="25">
        <f t="shared" si="785"/>
        <v>30</v>
      </c>
      <c r="AP355" s="52" t="e">
        <f t="shared" si="807"/>
        <v>#N/A</v>
      </c>
      <c r="AQ355" s="53" t="e">
        <f t="shared" si="807"/>
        <v>#N/A</v>
      </c>
      <c r="AR355" s="54" t="e">
        <f t="shared" si="807"/>
        <v>#N/A</v>
      </c>
      <c r="AS355" s="316">
        <f t="shared" si="845"/>
        <v>0</v>
      </c>
      <c r="AT355" s="106">
        <f>_xlfn.IFNA($M355/VLOOKUP($BT355,'Unit information'!$A$2:$K$29,2,FALSE)*R355,0)*(1+$E$9)</f>
        <v>0</v>
      </c>
      <c r="AU355" s="107">
        <f>_xlfn.IFNA($M355/VLOOKUP($BT355,'Unit information'!$A$2:$K$29,3,FALSE)*S355,0)*(1+$E$9)</f>
        <v>0</v>
      </c>
      <c r="AV355" s="107">
        <f>_xlfn.IFNA($M355/VLOOKUP($BT355,'Unit information'!$A$2:$K$29,4,FALSE)*T355,0)*(1+$E$9)</f>
        <v>0</v>
      </c>
      <c r="AW355" s="107">
        <f>_xlfn.IFNA($M355/VLOOKUP($BT355,'Unit information'!$A$2:$K$29,5,FALSE)*U355,0)*(1+$E$9)</f>
        <v>0</v>
      </c>
      <c r="AX355" s="107">
        <f>_xlfn.IFNA($M355/VLOOKUP($BU355,'Unit information'!$A$2:$K$29,6,FALSE)*V355,0)*(1+$E$9)</f>
        <v>0</v>
      </c>
      <c r="AY355" s="107">
        <f>_xlfn.IFNA($M355/VLOOKUP($BU355,'Unit information'!$A$2:$K$29,7,FALSE)*W355,0)*(1+$E$9)</f>
        <v>0</v>
      </c>
      <c r="AZ355" s="107">
        <f>_xlfn.IFNA($M355/VLOOKUP($BU355,'Unit information'!$A$2:$K$29,8,FALSE)*X355,0)*(1+$E$9)</f>
        <v>0</v>
      </c>
      <c r="BA355" s="107">
        <f>_xlfn.IFNA($M355/VLOOKUP($BU355,'Unit information'!$A$2:$K$29,9,FALSE)*Y355,0)*(1+$E$9)</f>
        <v>0</v>
      </c>
      <c r="BB355" s="107">
        <f>_xlfn.IFNA($M355/VLOOKUP($BV355,'Unit information'!$A$2:$K$29,10,FALSE)*Z355,0)*(1+$E$9)</f>
        <v>0</v>
      </c>
      <c r="BC355" s="108">
        <f>_xlfn.IFNA($M355/VLOOKUP($BV355,'Unit information'!$A$2:$K$29,11,FALSE)*AA355,0)*(1+$E$9)</f>
        <v>0</v>
      </c>
      <c r="BD355" s="106">
        <f t="shared" si="786"/>
        <v>0</v>
      </c>
      <c r="BE355" s="107">
        <f t="shared" si="787"/>
        <v>0</v>
      </c>
      <c r="BF355" s="108">
        <f t="shared" si="788"/>
        <v>0</v>
      </c>
      <c r="BG355" s="25" t="e">
        <f t="shared" si="789"/>
        <v>#N/A</v>
      </c>
      <c r="BH355" s="25" t="e">
        <f t="shared" si="790"/>
        <v>#N/A</v>
      </c>
      <c r="BI355" s="25" t="e">
        <f t="shared" si="791"/>
        <v>#N/A</v>
      </c>
      <c r="BJ355" s="27" t="e">
        <f t="shared" si="792"/>
        <v>#N/A</v>
      </c>
      <c r="BK355" s="18" t="e">
        <f t="shared" si="793"/>
        <v>#N/A</v>
      </c>
      <c r="BL355" s="18" t="e">
        <f t="shared" si="794"/>
        <v>#N/A</v>
      </c>
      <c r="BM355" s="28" t="e">
        <f t="shared" si="846"/>
        <v>#N/A</v>
      </c>
      <c r="BN355" s="33">
        <f>HLOOKUP("maximum population",Miscelaneous!$C$1:$C$33,CH355+3,FALSE)</f>
        <v>240</v>
      </c>
      <c r="BO355" s="14">
        <f t="shared" si="808"/>
        <v>32</v>
      </c>
      <c r="BP355" s="14">
        <f t="shared" si="809"/>
        <v>0</v>
      </c>
      <c r="BQ355" s="14">
        <f t="shared" si="810"/>
        <v>208</v>
      </c>
      <c r="BR355" s="34" t="e">
        <f>HLOOKUP(J355,Villagers!$B$1:$V$33,L355+3,FALSE)-HLOOKUP(J355,Villagers!$B$1:$V$33,L355+2,FALSE)</f>
        <v>#N/A</v>
      </c>
      <c r="BS355" s="49">
        <f t="shared" si="811"/>
        <v>1</v>
      </c>
      <c r="BT355" s="50">
        <f t="shared" si="812"/>
        <v>0</v>
      </c>
      <c r="BU355" s="50">
        <f t="shared" si="813"/>
        <v>0</v>
      </c>
      <c r="BV355" s="50">
        <f t="shared" si="814"/>
        <v>0</v>
      </c>
      <c r="BW355" s="50">
        <f t="shared" si="872"/>
        <v>0</v>
      </c>
      <c r="BX355" s="50">
        <f t="shared" si="872"/>
        <v>0</v>
      </c>
      <c r="BY355" s="50">
        <f t="shared" si="872"/>
        <v>0</v>
      </c>
      <c r="BZ355" s="50">
        <f t="shared" si="860"/>
        <v>0</v>
      </c>
      <c r="CA355" s="50">
        <f t="shared" si="861"/>
        <v>0</v>
      </c>
      <c r="CB355" s="50">
        <f t="shared" si="862"/>
        <v>1</v>
      </c>
      <c r="CC355" s="50">
        <f t="shared" si="863"/>
        <v>0</v>
      </c>
      <c r="CD355" s="50">
        <f t="shared" si="864"/>
        <v>0</v>
      </c>
      <c r="CE355" s="50">
        <f t="shared" si="865"/>
        <v>1</v>
      </c>
      <c r="CF355" s="50">
        <f t="shared" si="866"/>
        <v>1</v>
      </c>
      <c r="CG355" s="50">
        <f t="shared" si="867"/>
        <v>1</v>
      </c>
      <c r="CH355" s="50">
        <f t="shared" si="868"/>
        <v>1</v>
      </c>
      <c r="CI355" s="50">
        <f t="shared" si="869"/>
        <v>1</v>
      </c>
      <c r="CJ355" s="50">
        <f t="shared" si="870"/>
        <v>1</v>
      </c>
      <c r="CK355" s="50">
        <f t="shared" si="870"/>
        <v>0</v>
      </c>
      <c r="CL355" s="50">
        <f t="shared" si="870"/>
        <v>0</v>
      </c>
      <c r="CM355" s="51">
        <f t="shared" si="795"/>
        <v>0</v>
      </c>
      <c r="CN355" s="33">
        <f>ROUND(IF(BS355=0,0,HLOOKUP(BS$14,Villagers!$B$1:$V$33,BS355+3,FALSE)),)</f>
        <v>5</v>
      </c>
      <c r="CO355" s="14">
        <f>ROUND(IF(BT355=0,0,HLOOKUP(BT$14,Villagers!$B$1:$V$33,BT355+3,FALSE)),)</f>
        <v>0</v>
      </c>
      <c r="CP355" s="14">
        <f>ROUND(IF(BU355=0,0,HLOOKUP(BU$14,Villagers!$B$1:$V$33,BU355+3,FALSE)),)</f>
        <v>0</v>
      </c>
      <c r="CQ355" s="14">
        <f>ROUND(IF(BV355=0,0,HLOOKUP(BV$14,Villagers!$B$1:$V$33,BV355+3,FALSE)),)</f>
        <v>0</v>
      </c>
      <c r="CR355" s="14">
        <f>ROUND(IF(BW355=0,0,HLOOKUP(BW$14,Villagers!$B$1:$V$33,BW355+3,FALSE)),)</f>
        <v>0</v>
      </c>
      <c r="CS355" s="14">
        <f>ROUND(IF(BX355=0,0,HLOOKUP(BX$14,Villagers!$B$1:$V$33,BX355+3,FALSE)),)</f>
        <v>0</v>
      </c>
      <c r="CT355" s="14">
        <f>ROUND(IF(BY355=0,0,HLOOKUP(BY$14,Villagers!$B$1:$V$33,BY355+3,FALSE)),)</f>
        <v>0</v>
      </c>
      <c r="CU355" s="14">
        <f>ROUND(IF(BZ355=0,0,HLOOKUP(BZ$14,Villagers!$B$1:$V$33,BZ355+3,FALSE)),)</f>
        <v>0</v>
      </c>
      <c r="CV355" s="14">
        <f>ROUND(IF(CA355=0,0,HLOOKUP(CA$14,Villagers!$B$1:$V$33,CA355+3,FALSE)),)</f>
        <v>0</v>
      </c>
      <c r="CW355" s="14">
        <f>ROUND(IF(CB355=0,0,HLOOKUP(CB$14,Villagers!$B$1:$V$33,CB355+3,FALSE)),)</f>
        <v>0</v>
      </c>
      <c r="CX355" s="14">
        <f>ROUND(IF(CC355=0,0,HLOOKUP(CC$14,Villagers!$B$1:$V$33,CC355+3,FALSE)),)</f>
        <v>0</v>
      </c>
      <c r="CY355" s="14">
        <f>ROUND(IF(CD355=0,0,HLOOKUP(CD$14,Villagers!$B$1:$V$33,CD355+3,FALSE)),)</f>
        <v>0</v>
      </c>
      <c r="CZ355" s="14">
        <f>ROUND(IF(CE355=0,0,HLOOKUP(CE$14,Villagers!$B$1:$V$33,CE355+3,FALSE)),)</f>
        <v>5</v>
      </c>
      <c r="DA355" s="14">
        <f>ROUND(IF(CF355=0,0,HLOOKUP(CF$14,Villagers!$B$1:$V$33,CF355+3,FALSE)),)</f>
        <v>10</v>
      </c>
      <c r="DB355" s="14">
        <f>ROUND(IF(CG355=0,0,HLOOKUP(CG$14,Villagers!$B$1:$V$33,CG355+3,FALSE)),)</f>
        <v>10</v>
      </c>
      <c r="DC355" s="14">
        <f>ROUND(IF(CH355=0,0,HLOOKUP(CH$14,Villagers!$B$1:$V$33,CH355+3,FALSE)),)</f>
        <v>0</v>
      </c>
      <c r="DD355" s="14">
        <f>ROUND(IF(CI355=0,0,HLOOKUP(CI$14,Villagers!$B$1:$V$33,CI355+3,FALSE)),)</f>
        <v>0</v>
      </c>
      <c r="DE355" s="14">
        <f>ROUND(IF(CJ355=0,0,HLOOKUP(CJ$14,Villagers!$B$1:$V$33,CJ355+3,FALSE)),)</f>
        <v>2</v>
      </c>
      <c r="DF355" s="370">
        <f>ROUND(IF(CK355=0,0,HLOOKUP(CK$14,Villagers!$B$1:$V$33,CK355+3,FALSE)),)</f>
        <v>0</v>
      </c>
      <c r="DG355" s="370">
        <f>ROUND(IF(CL355=0,0,HLOOKUP(CL$14,Villagers!$B$1:$V$33,CL355+3,FALSE)),)</f>
        <v>0</v>
      </c>
      <c r="DH355" s="34">
        <f>ROUND(IF(CM355=0,0,HLOOKUP(CM$14,Villagers!$B$1:$V$33,CM355+3,FALSE)),)</f>
        <v>0</v>
      </c>
      <c r="DI355" s="109">
        <f t="shared" si="832"/>
        <v>0</v>
      </c>
      <c r="DJ355" s="50">
        <f t="shared" si="833"/>
        <v>0</v>
      </c>
      <c r="DK355" s="50">
        <f t="shared" si="834"/>
        <v>0</v>
      </c>
      <c r="DL355" s="50">
        <f t="shared" si="835"/>
        <v>0</v>
      </c>
      <c r="DM355" s="50">
        <f t="shared" si="836"/>
        <v>0</v>
      </c>
      <c r="DN355" s="50">
        <f t="shared" si="837"/>
        <v>0</v>
      </c>
      <c r="DO355" s="50">
        <f t="shared" si="838"/>
        <v>0</v>
      </c>
      <c r="DP355" s="50">
        <f t="shared" si="839"/>
        <v>0</v>
      </c>
      <c r="DQ355" s="50">
        <f t="shared" si="816"/>
        <v>0</v>
      </c>
      <c r="DR355" s="50">
        <f t="shared" si="817"/>
        <v>0</v>
      </c>
      <c r="DS355" s="96">
        <f>Miscelaneous!$D$4*Miscelaneous!$D$2^($CI355-1)</f>
        <v>1000</v>
      </c>
      <c r="DT355" s="333">
        <f t="shared" si="796"/>
        <v>1</v>
      </c>
      <c r="DU355" s="81">
        <v>1</v>
      </c>
      <c r="DV355" s="79">
        <f t="shared" si="818"/>
        <v>0</v>
      </c>
      <c r="DW355" s="79">
        <f t="shared" si="819"/>
        <v>0</v>
      </c>
      <c r="DX355" s="79">
        <f t="shared" si="820"/>
        <v>0</v>
      </c>
      <c r="DY355" s="79">
        <v>1</v>
      </c>
      <c r="DZ355" s="79">
        <f t="shared" si="821"/>
        <v>0</v>
      </c>
      <c r="EA355" s="79">
        <f t="shared" si="822"/>
        <v>0</v>
      </c>
      <c r="EB355" s="79">
        <f t="shared" si="823"/>
        <v>0</v>
      </c>
      <c r="EC355" s="79">
        <f t="shared" si="824"/>
        <v>0</v>
      </c>
      <c r="ED355" s="79">
        <v>1</v>
      </c>
      <c r="EE355" s="79">
        <v>1</v>
      </c>
      <c r="EF355" s="79">
        <f t="shared" si="825"/>
        <v>0</v>
      </c>
      <c r="EG355" s="79">
        <v>1</v>
      </c>
      <c r="EH355" s="79">
        <v>1</v>
      </c>
      <c r="EI355" s="79">
        <v>1</v>
      </c>
      <c r="EJ355" s="79">
        <v>1</v>
      </c>
      <c r="EK355" s="79">
        <v>1</v>
      </c>
      <c r="EL355" s="79">
        <v>1</v>
      </c>
      <c r="EM355" s="143">
        <f t="shared" si="826"/>
        <v>0</v>
      </c>
      <c r="EN355" s="143">
        <f t="shared" si="827"/>
        <v>0</v>
      </c>
      <c r="EO355" s="82">
        <f t="shared" si="828"/>
        <v>0</v>
      </c>
    </row>
    <row r="356" spans="1:145" x14ac:dyDescent="0.25">
      <c r="A356">
        <v>342</v>
      </c>
      <c r="B356" s="172" t="e">
        <f t="shared" si="797"/>
        <v>#N/A</v>
      </c>
      <c r="C356" s="121" t="e">
        <f t="shared" ref="C356:E356" si="876">AJ356-SUM(AB356:AB360)</f>
        <v>#N/A</v>
      </c>
      <c r="D356" s="122" t="e">
        <f t="shared" si="876"/>
        <v>#N/A</v>
      </c>
      <c r="E356" s="122" t="e">
        <f t="shared" si="876"/>
        <v>#N/A</v>
      </c>
      <c r="F356" s="176" t="e">
        <f t="shared" si="778"/>
        <v>#N/A</v>
      </c>
      <c r="G356" s="121">
        <f t="shared" si="799"/>
        <v>208</v>
      </c>
      <c r="H356" s="176" t="e">
        <f t="shared" si="800"/>
        <v>#N/A</v>
      </c>
      <c r="I356" s="48">
        <v>1</v>
      </c>
      <c r="J356" s="39"/>
      <c r="K356" s="350">
        <v>1</v>
      </c>
      <c r="L356" s="34" t="e">
        <f t="shared" si="779"/>
        <v>#N/A</v>
      </c>
      <c r="M356" s="38" t="e">
        <f>(HLOOKUP(J356,'Construction Times'!$B$3:$W$34,L356+2,FALSE)*HLOOKUP("hq modifier",'Construction Times'!$W$3:$W$34,BS356+2,FALSE))*(1-$H$9)</f>
        <v>#N/A</v>
      </c>
      <c r="N356" s="426" t="e">
        <f t="shared" si="801"/>
        <v>#N/A</v>
      </c>
      <c r="O356" s="427"/>
      <c r="P356" s="430" t="e">
        <f t="shared" si="802"/>
        <v>#N/A</v>
      </c>
      <c r="Q356" s="431"/>
      <c r="R356" s="103">
        <f t="shared" si="830"/>
        <v>0</v>
      </c>
      <c r="S356" s="104">
        <f t="shared" si="830"/>
        <v>0</v>
      </c>
      <c r="T356" s="104">
        <f t="shared" si="831"/>
        <v>0</v>
      </c>
      <c r="U356" s="104">
        <f t="shared" si="831"/>
        <v>0</v>
      </c>
      <c r="V356" s="104">
        <f t="shared" si="831"/>
        <v>9.9999999999999995E-8</v>
      </c>
      <c r="W356" s="104">
        <f t="shared" si="831"/>
        <v>0</v>
      </c>
      <c r="X356" s="104">
        <f t="shared" si="737"/>
        <v>0</v>
      </c>
      <c r="Y356" s="104">
        <f t="shared" si="737"/>
        <v>9.9999999999999995E-8</v>
      </c>
      <c r="Z356" s="104">
        <f t="shared" si="737"/>
        <v>9.9999999999999995E-8</v>
      </c>
      <c r="AA356" s="105">
        <f t="shared" si="737"/>
        <v>9.9999999999999995E-8</v>
      </c>
      <c r="AB356" s="101" t="e">
        <f>$DT356*HLOOKUP($J356,'Construction Costs (timber)'!$B$1:$V$32,'Construction Planner'!$L356+2,FALSE)</f>
        <v>#N/A</v>
      </c>
      <c r="AC356" s="14" t="e">
        <f>$DT356*HLOOKUP($J356,'Construction Costs (clay)'!$B$1:$V$32,'Construction Planner'!$L356+2,FALSE)</f>
        <v>#N/A</v>
      </c>
      <c r="AD356" s="14" t="e">
        <f>$DT356*HLOOKUP($J356,'Construction Costs (iron)'!$B$1:$V$32,'Construction Planner'!$L356+2,FALSE)</f>
        <v>#N/A</v>
      </c>
      <c r="AE356" s="34" t="e">
        <f t="shared" si="843"/>
        <v>#N/A</v>
      </c>
      <c r="AF356" s="33" t="e">
        <f t="shared" si="780"/>
        <v>#N/A</v>
      </c>
      <c r="AG356" s="14" t="e">
        <f t="shared" si="781"/>
        <v>#N/A</v>
      </c>
      <c r="AH356" s="14" t="e">
        <f t="shared" si="782"/>
        <v>#N/A</v>
      </c>
      <c r="AI356" s="34" t="e">
        <f t="shared" si="844"/>
        <v>#N/A</v>
      </c>
      <c r="AJ356" s="49" t="e">
        <f t="shared" si="804"/>
        <v>#N/A</v>
      </c>
      <c r="AK356" s="49" t="e">
        <f t="shared" si="805"/>
        <v>#N/A</v>
      </c>
      <c r="AL356" s="49" t="e">
        <f t="shared" si="806"/>
        <v>#N/A</v>
      </c>
      <c r="AM356" s="25">
        <f t="shared" si="783"/>
        <v>30</v>
      </c>
      <c r="AN356" s="25">
        <f t="shared" si="784"/>
        <v>30</v>
      </c>
      <c r="AO356" s="25">
        <f t="shared" si="785"/>
        <v>30</v>
      </c>
      <c r="AP356" s="52" t="e">
        <f t="shared" si="807"/>
        <v>#N/A</v>
      </c>
      <c r="AQ356" s="53" t="e">
        <f t="shared" si="807"/>
        <v>#N/A</v>
      </c>
      <c r="AR356" s="54" t="e">
        <f t="shared" si="807"/>
        <v>#N/A</v>
      </c>
      <c r="AS356" s="316">
        <f t="shared" ref="AS356:AS371" si="877">AS355</f>
        <v>0</v>
      </c>
      <c r="AT356" s="106">
        <f>_xlfn.IFNA($M356/VLOOKUP($BT356,'Unit information'!$A$2:$K$29,2,FALSE)*R356,0)*(1+$E$9)</f>
        <v>0</v>
      </c>
      <c r="AU356" s="107">
        <f>_xlfn.IFNA($M356/VLOOKUP($BT356,'Unit information'!$A$2:$K$29,3,FALSE)*S356,0)*(1+$E$9)</f>
        <v>0</v>
      </c>
      <c r="AV356" s="107">
        <f>_xlfn.IFNA($M356/VLOOKUP($BT356,'Unit information'!$A$2:$K$29,4,FALSE)*T356,0)*(1+$E$9)</f>
        <v>0</v>
      </c>
      <c r="AW356" s="107">
        <f>_xlfn.IFNA($M356/VLOOKUP($BT356,'Unit information'!$A$2:$K$29,5,FALSE)*U356,0)*(1+$E$9)</f>
        <v>0</v>
      </c>
      <c r="AX356" s="107">
        <f>_xlfn.IFNA($M356/VLOOKUP($BU356,'Unit information'!$A$2:$K$29,6,FALSE)*V356,0)*(1+$E$9)</f>
        <v>0</v>
      </c>
      <c r="AY356" s="107">
        <f>_xlfn.IFNA($M356/VLOOKUP($BU356,'Unit information'!$A$2:$K$29,7,FALSE)*W356,0)*(1+$E$9)</f>
        <v>0</v>
      </c>
      <c r="AZ356" s="107">
        <f>_xlfn.IFNA($M356/VLOOKUP($BU356,'Unit information'!$A$2:$K$29,8,FALSE)*X356,0)*(1+$E$9)</f>
        <v>0</v>
      </c>
      <c r="BA356" s="107">
        <f>_xlfn.IFNA($M356/VLOOKUP($BU356,'Unit information'!$A$2:$K$29,9,FALSE)*Y356,0)*(1+$E$9)</f>
        <v>0</v>
      </c>
      <c r="BB356" s="107">
        <f>_xlfn.IFNA($M356/VLOOKUP($BV356,'Unit information'!$A$2:$K$29,10,FALSE)*Z356,0)*(1+$E$9)</f>
        <v>0</v>
      </c>
      <c r="BC356" s="108">
        <f>_xlfn.IFNA($M356/VLOOKUP($BV356,'Unit information'!$A$2:$K$29,11,FALSE)*AA356,0)*(1+$E$9)</f>
        <v>0</v>
      </c>
      <c r="BD356" s="106">
        <f t="shared" si="786"/>
        <v>0</v>
      </c>
      <c r="BE356" s="107">
        <f t="shared" si="787"/>
        <v>0</v>
      </c>
      <c r="BF356" s="108">
        <f t="shared" si="788"/>
        <v>0</v>
      </c>
      <c r="BG356" s="25" t="e">
        <f t="shared" si="789"/>
        <v>#N/A</v>
      </c>
      <c r="BH356" s="25" t="e">
        <f t="shared" si="790"/>
        <v>#N/A</v>
      </c>
      <c r="BI356" s="25" t="e">
        <f t="shared" si="791"/>
        <v>#N/A</v>
      </c>
      <c r="BJ356" s="27" t="e">
        <f t="shared" si="792"/>
        <v>#N/A</v>
      </c>
      <c r="BK356" s="18" t="e">
        <f t="shared" si="793"/>
        <v>#N/A</v>
      </c>
      <c r="BL356" s="18" t="e">
        <f t="shared" si="794"/>
        <v>#N/A</v>
      </c>
      <c r="BM356" s="28" t="e">
        <f t="shared" si="846"/>
        <v>#N/A</v>
      </c>
      <c r="BN356" s="33">
        <f>HLOOKUP("maximum population",Miscelaneous!$C$1:$C$33,CH356+3,FALSE)</f>
        <v>240</v>
      </c>
      <c r="BO356" s="14">
        <f t="shared" si="808"/>
        <v>32</v>
      </c>
      <c r="BP356" s="14">
        <f t="shared" si="809"/>
        <v>0</v>
      </c>
      <c r="BQ356" s="14">
        <f t="shared" si="810"/>
        <v>208</v>
      </c>
      <c r="BR356" s="34" t="e">
        <f>HLOOKUP(J356,Villagers!$B$1:$V$33,L356+3,FALSE)-HLOOKUP(J356,Villagers!$B$1:$V$33,L356+2,FALSE)</f>
        <v>#N/A</v>
      </c>
      <c r="BS356" s="49">
        <f t="shared" si="811"/>
        <v>1</v>
      </c>
      <c r="BT356" s="50">
        <f t="shared" si="812"/>
        <v>0</v>
      </c>
      <c r="BU356" s="50">
        <f t="shared" si="813"/>
        <v>0</v>
      </c>
      <c r="BV356" s="50">
        <f t="shared" si="814"/>
        <v>0</v>
      </c>
      <c r="BW356" s="50">
        <f t="shared" si="872"/>
        <v>0</v>
      </c>
      <c r="BX356" s="50">
        <f t="shared" si="872"/>
        <v>0</v>
      </c>
      <c r="BY356" s="50">
        <f t="shared" si="872"/>
        <v>0</v>
      </c>
      <c r="BZ356" s="50">
        <f t="shared" si="860"/>
        <v>0</v>
      </c>
      <c r="CA356" s="50">
        <f t="shared" si="861"/>
        <v>0</v>
      </c>
      <c r="CB356" s="50">
        <f t="shared" si="862"/>
        <v>1</v>
      </c>
      <c r="CC356" s="50">
        <f t="shared" si="863"/>
        <v>0</v>
      </c>
      <c r="CD356" s="50">
        <f t="shared" si="864"/>
        <v>0</v>
      </c>
      <c r="CE356" s="50">
        <f t="shared" si="865"/>
        <v>1</v>
      </c>
      <c r="CF356" s="50">
        <f t="shared" si="866"/>
        <v>1</v>
      </c>
      <c r="CG356" s="50">
        <f t="shared" si="867"/>
        <v>1</v>
      </c>
      <c r="CH356" s="50">
        <f t="shared" si="868"/>
        <v>1</v>
      </c>
      <c r="CI356" s="50">
        <f t="shared" si="869"/>
        <v>1</v>
      </c>
      <c r="CJ356" s="50">
        <f t="shared" si="870"/>
        <v>1</v>
      </c>
      <c r="CK356" s="50">
        <f t="shared" si="870"/>
        <v>0</v>
      </c>
      <c r="CL356" s="50">
        <f t="shared" si="870"/>
        <v>0</v>
      </c>
      <c r="CM356" s="51">
        <f t="shared" si="795"/>
        <v>0</v>
      </c>
      <c r="CN356" s="33">
        <f>ROUND(IF(BS356=0,0,HLOOKUP(BS$14,Villagers!$B$1:$V$33,BS356+3,FALSE)),)</f>
        <v>5</v>
      </c>
      <c r="CO356" s="14">
        <f>ROUND(IF(BT356=0,0,HLOOKUP(BT$14,Villagers!$B$1:$V$33,BT356+3,FALSE)),)</f>
        <v>0</v>
      </c>
      <c r="CP356" s="14">
        <f>ROUND(IF(BU356=0,0,HLOOKUP(BU$14,Villagers!$B$1:$V$33,BU356+3,FALSE)),)</f>
        <v>0</v>
      </c>
      <c r="CQ356" s="14">
        <f>ROUND(IF(BV356=0,0,HLOOKUP(BV$14,Villagers!$B$1:$V$33,BV356+3,FALSE)),)</f>
        <v>0</v>
      </c>
      <c r="CR356" s="14">
        <f>ROUND(IF(BW356=0,0,HLOOKUP(BW$14,Villagers!$B$1:$V$33,BW356+3,FALSE)),)</f>
        <v>0</v>
      </c>
      <c r="CS356" s="14">
        <f>ROUND(IF(BX356=0,0,HLOOKUP(BX$14,Villagers!$B$1:$V$33,BX356+3,FALSE)),)</f>
        <v>0</v>
      </c>
      <c r="CT356" s="14">
        <f>ROUND(IF(BY356=0,0,HLOOKUP(BY$14,Villagers!$B$1:$V$33,BY356+3,FALSE)),)</f>
        <v>0</v>
      </c>
      <c r="CU356" s="14">
        <f>ROUND(IF(BZ356=0,0,HLOOKUP(BZ$14,Villagers!$B$1:$V$33,BZ356+3,FALSE)),)</f>
        <v>0</v>
      </c>
      <c r="CV356" s="14">
        <f>ROUND(IF(CA356=0,0,HLOOKUP(CA$14,Villagers!$B$1:$V$33,CA356+3,FALSE)),)</f>
        <v>0</v>
      </c>
      <c r="CW356" s="14">
        <f>ROUND(IF(CB356=0,0,HLOOKUP(CB$14,Villagers!$B$1:$V$33,CB356+3,FALSE)),)</f>
        <v>0</v>
      </c>
      <c r="CX356" s="14">
        <f>ROUND(IF(CC356=0,0,HLOOKUP(CC$14,Villagers!$B$1:$V$33,CC356+3,FALSE)),)</f>
        <v>0</v>
      </c>
      <c r="CY356" s="14">
        <f>ROUND(IF(CD356=0,0,HLOOKUP(CD$14,Villagers!$B$1:$V$33,CD356+3,FALSE)),)</f>
        <v>0</v>
      </c>
      <c r="CZ356" s="14">
        <f>ROUND(IF(CE356=0,0,HLOOKUP(CE$14,Villagers!$B$1:$V$33,CE356+3,FALSE)),)</f>
        <v>5</v>
      </c>
      <c r="DA356" s="14">
        <f>ROUND(IF(CF356=0,0,HLOOKUP(CF$14,Villagers!$B$1:$V$33,CF356+3,FALSE)),)</f>
        <v>10</v>
      </c>
      <c r="DB356" s="14">
        <f>ROUND(IF(CG356=0,0,HLOOKUP(CG$14,Villagers!$B$1:$V$33,CG356+3,FALSE)),)</f>
        <v>10</v>
      </c>
      <c r="DC356" s="14">
        <f>ROUND(IF(CH356=0,0,HLOOKUP(CH$14,Villagers!$B$1:$V$33,CH356+3,FALSE)),)</f>
        <v>0</v>
      </c>
      <c r="DD356" s="14">
        <f>ROUND(IF(CI356=0,0,HLOOKUP(CI$14,Villagers!$B$1:$V$33,CI356+3,FALSE)),)</f>
        <v>0</v>
      </c>
      <c r="DE356" s="14">
        <f>ROUND(IF(CJ356=0,0,HLOOKUP(CJ$14,Villagers!$B$1:$V$33,CJ356+3,FALSE)),)</f>
        <v>2</v>
      </c>
      <c r="DF356" s="370">
        <f>ROUND(IF(CK356=0,0,HLOOKUP(CK$14,Villagers!$B$1:$V$33,CK356+3,FALSE)),)</f>
        <v>0</v>
      </c>
      <c r="DG356" s="370">
        <f>ROUND(IF(CL356=0,0,HLOOKUP(CL$14,Villagers!$B$1:$V$33,CL356+3,FALSE)),)</f>
        <v>0</v>
      </c>
      <c r="DH356" s="34">
        <f>ROUND(IF(CM356=0,0,HLOOKUP(CM$14,Villagers!$B$1:$V$33,CM356+3,FALSE)),)</f>
        <v>0</v>
      </c>
      <c r="DI356" s="109">
        <f t="shared" si="832"/>
        <v>0</v>
      </c>
      <c r="DJ356" s="50">
        <f t="shared" si="833"/>
        <v>0</v>
      </c>
      <c r="DK356" s="50">
        <f t="shared" si="834"/>
        <v>0</v>
      </c>
      <c r="DL356" s="50">
        <f t="shared" si="835"/>
        <v>0</v>
      </c>
      <c r="DM356" s="50">
        <f t="shared" si="836"/>
        <v>0</v>
      </c>
      <c r="DN356" s="50">
        <f t="shared" si="837"/>
        <v>0</v>
      </c>
      <c r="DO356" s="50">
        <f t="shared" si="838"/>
        <v>0</v>
      </c>
      <c r="DP356" s="50">
        <f t="shared" si="839"/>
        <v>0</v>
      </c>
      <c r="DQ356" s="50">
        <f t="shared" si="816"/>
        <v>0</v>
      </c>
      <c r="DR356" s="50">
        <f t="shared" si="817"/>
        <v>0</v>
      </c>
      <c r="DS356" s="96">
        <f>Miscelaneous!$D$4*Miscelaneous!$D$2^($CI356-1)</f>
        <v>1000</v>
      </c>
      <c r="DT356" s="333">
        <f t="shared" si="796"/>
        <v>1</v>
      </c>
      <c r="DU356" s="81">
        <v>1</v>
      </c>
      <c r="DV356" s="79">
        <f t="shared" si="818"/>
        <v>0</v>
      </c>
      <c r="DW356" s="79">
        <f t="shared" si="819"/>
        <v>0</v>
      </c>
      <c r="DX356" s="79">
        <f t="shared" si="820"/>
        <v>0</v>
      </c>
      <c r="DY356" s="79">
        <v>1</v>
      </c>
      <c r="DZ356" s="79">
        <f t="shared" si="821"/>
        <v>0</v>
      </c>
      <c r="EA356" s="79">
        <f t="shared" si="822"/>
        <v>0</v>
      </c>
      <c r="EB356" s="79">
        <f t="shared" si="823"/>
        <v>0</v>
      </c>
      <c r="EC356" s="79">
        <f t="shared" si="824"/>
        <v>0</v>
      </c>
      <c r="ED356" s="79">
        <v>1</v>
      </c>
      <c r="EE356" s="79">
        <v>1</v>
      </c>
      <c r="EF356" s="79">
        <f t="shared" si="825"/>
        <v>0</v>
      </c>
      <c r="EG356" s="79">
        <v>1</v>
      </c>
      <c r="EH356" s="79">
        <v>1</v>
      </c>
      <c r="EI356" s="79">
        <v>1</v>
      </c>
      <c r="EJ356" s="79">
        <v>1</v>
      </c>
      <c r="EK356" s="79">
        <v>1</v>
      </c>
      <c r="EL356" s="79">
        <v>1</v>
      </c>
      <c r="EM356" s="143">
        <f t="shared" si="826"/>
        <v>0</v>
      </c>
      <c r="EN356" s="143">
        <f t="shared" si="827"/>
        <v>0</v>
      </c>
      <c r="EO356" s="82">
        <f t="shared" si="828"/>
        <v>0</v>
      </c>
    </row>
    <row r="357" spans="1:145" x14ac:dyDescent="0.25">
      <c r="A357">
        <v>343</v>
      </c>
      <c r="B357" s="172" t="e">
        <f t="shared" si="797"/>
        <v>#N/A</v>
      </c>
      <c r="C357" s="121" t="e">
        <f t="shared" ref="C357:E357" si="878">AJ357-SUM(AB357:AB361)</f>
        <v>#N/A</v>
      </c>
      <c r="D357" s="122" t="e">
        <f t="shared" si="878"/>
        <v>#N/A</v>
      </c>
      <c r="E357" s="122" t="e">
        <f t="shared" si="878"/>
        <v>#N/A</v>
      </c>
      <c r="F357" s="176" t="e">
        <f t="shared" si="778"/>
        <v>#N/A</v>
      </c>
      <c r="G357" s="121">
        <f t="shared" si="799"/>
        <v>208</v>
      </c>
      <c r="H357" s="176" t="e">
        <f t="shared" si="800"/>
        <v>#N/A</v>
      </c>
      <c r="I357" s="48">
        <v>1</v>
      </c>
      <c r="J357" s="39"/>
      <c r="K357" s="350">
        <v>1</v>
      </c>
      <c r="L357" s="34" t="e">
        <f t="shared" si="779"/>
        <v>#N/A</v>
      </c>
      <c r="M357" s="38" t="e">
        <f>(HLOOKUP(J357,'Construction Times'!$B$3:$W$34,L357+2,FALSE)*HLOOKUP("hq modifier",'Construction Times'!$W$3:$W$34,BS357+2,FALSE))*(1-$H$9)</f>
        <v>#N/A</v>
      </c>
      <c r="N357" s="426" t="e">
        <f t="shared" si="801"/>
        <v>#N/A</v>
      </c>
      <c r="O357" s="427"/>
      <c r="P357" s="430" t="e">
        <f t="shared" si="802"/>
        <v>#N/A</v>
      </c>
      <c r="Q357" s="431"/>
      <c r="R357" s="103">
        <f t="shared" si="830"/>
        <v>0</v>
      </c>
      <c r="S357" s="104">
        <f t="shared" si="830"/>
        <v>0</v>
      </c>
      <c r="T357" s="104">
        <f t="shared" si="831"/>
        <v>0</v>
      </c>
      <c r="U357" s="104">
        <f t="shared" si="831"/>
        <v>0</v>
      </c>
      <c r="V357" s="104">
        <f t="shared" si="831"/>
        <v>9.9999999999999995E-8</v>
      </c>
      <c r="W357" s="104">
        <f t="shared" si="831"/>
        <v>0</v>
      </c>
      <c r="X357" s="104">
        <f t="shared" si="737"/>
        <v>0</v>
      </c>
      <c r="Y357" s="104">
        <f t="shared" si="737"/>
        <v>9.9999999999999995E-8</v>
      </c>
      <c r="Z357" s="104">
        <f t="shared" si="737"/>
        <v>9.9999999999999995E-8</v>
      </c>
      <c r="AA357" s="105">
        <f t="shared" si="737"/>
        <v>9.9999999999999995E-8</v>
      </c>
      <c r="AB357" s="101" t="e">
        <f>$DT357*HLOOKUP($J357,'Construction Costs (timber)'!$B$1:$V$32,'Construction Planner'!$L357+2,FALSE)</f>
        <v>#N/A</v>
      </c>
      <c r="AC357" s="14" t="e">
        <f>$DT357*HLOOKUP($J357,'Construction Costs (clay)'!$B$1:$V$32,'Construction Planner'!$L357+2,FALSE)</f>
        <v>#N/A</v>
      </c>
      <c r="AD357" s="14" t="e">
        <f>$DT357*HLOOKUP($J357,'Construction Costs (iron)'!$B$1:$V$32,'Construction Planner'!$L357+2,FALSE)</f>
        <v>#N/A</v>
      </c>
      <c r="AE357" s="34" t="e">
        <f t="shared" si="843"/>
        <v>#N/A</v>
      </c>
      <c r="AF357" s="33" t="e">
        <f t="shared" si="780"/>
        <v>#N/A</v>
      </c>
      <c r="AG357" s="14" t="e">
        <f t="shared" si="781"/>
        <v>#N/A</v>
      </c>
      <c r="AH357" s="14" t="e">
        <f t="shared" si="782"/>
        <v>#N/A</v>
      </c>
      <c r="AI357" s="34" t="e">
        <f t="shared" si="844"/>
        <v>#N/A</v>
      </c>
      <c r="AJ357" s="49" t="e">
        <f t="shared" si="804"/>
        <v>#N/A</v>
      </c>
      <c r="AK357" s="49" t="e">
        <f t="shared" si="805"/>
        <v>#N/A</v>
      </c>
      <c r="AL357" s="49" t="e">
        <f t="shared" si="806"/>
        <v>#N/A</v>
      </c>
      <c r="AM357" s="25">
        <f t="shared" si="783"/>
        <v>30</v>
      </c>
      <c r="AN357" s="25">
        <f t="shared" si="784"/>
        <v>30</v>
      </c>
      <c r="AO357" s="25">
        <f t="shared" si="785"/>
        <v>30</v>
      </c>
      <c r="AP357" s="52" t="e">
        <f t="shared" si="807"/>
        <v>#N/A</v>
      </c>
      <c r="AQ357" s="53" t="e">
        <f t="shared" si="807"/>
        <v>#N/A</v>
      </c>
      <c r="AR357" s="54" t="e">
        <f t="shared" si="807"/>
        <v>#N/A</v>
      </c>
      <c r="AS357" s="316">
        <f t="shared" si="877"/>
        <v>0</v>
      </c>
      <c r="AT357" s="106">
        <f>_xlfn.IFNA($M357/VLOOKUP($BT357,'Unit information'!$A$2:$K$29,2,FALSE)*R357,0)*(1+$E$9)</f>
        <v>0</v>
      </c>
      <c r="AU357" s="107">
        <f>_xlfn.IFNA($M357/VLOOKUP($BT357,'Unit information'!$A$2:$K$29,3,FALSE)*S357,0)*(1+$E$9)</f>
        <v>0</v>
      </c>
      <c r="AV357" s="107">
        <f>_xlfn.IFNA($M357/VLOOKUP($BT357,'Unit information'!$A$2:$K$29,4,FALSE)*T357,0)*(1+$E$9)</f>
        <v>0</v>
      </c>
      <c r="AW357" s="107">
        <f>_xlfn.IFNA($M357/VLOOKUP($BT357,'Unit information'!$A$2:$K$29,5,FALSE)*U357,0)*(1+$E$9)</f>
        <v>0</v>
      </c>
      <c r="AX357" s="107">
        <f>_xlfn.IFNA($M357/VLOOKUP($BU357,'Unit information'!$A$2:$K$29,6,FALSE)*V357,0)*(1+$E$9)</f>
        <v>0</v>
      </c>
      <c r="AY357" s="107">
        <f>_xlfn.IFNA($M357/VLOOKUP($BU357,'Unit information'!$A$2:$K$29,7,FALSE)*W357,0)*(1+$E$9)</f>
        <v>0</v>
      </c>
      <c r="AZ357" s="107">
        <f>_xlfn.IFNA($M357/VLOOKUP($BU357,'Unit information'!$A$2:$K$29,8,FALSE)*X357,0)*(1+$E$9)</f>
        <v>0</v>
      </c>
      <c r="BA357" s="107">
        <f>_xlfn.IFNA($M357/VLOOKUP($BU357,'Unit information'!$A$2:$K$29,9,FALSE)*Y357,0)*(1+$E$9)</f>
        <v>0</v>
      </c>
      <c r="BB357" s="107">
        <f>_xlfn.IFNA($M357/VLOOKUP($BV357,'Unit information'!$A$2:$K$29,10,FALSE)*Z357,0)*(1+$E$9)</f>
        <v>0</v>
      </c>
      <c r="BC357" s="108">
        <f>_xlfn.IFNA($M357/VLOOKUP($BV357,'Unit information'!$A$2:$K$29,11,FALSE)*AA357,0)*(1+$E$9)</f>
        <v>0</v>
      </c>
      <c r="BD357" s="106">
        <f t="shared" si="786"/>
        <v>0</v>
      </c>
      <c r="BE357" s="107">
        <f t="shared" si="787"/>
        <v>0</v>
      </c>
      <c r="BF357" s="108">
        <f t="shared" si="788"/>
        <v>0</v>
      </c>
      <c r="BG357" s="25" t="e">
        <f t="shared" si="789"/>
        <v>#N/A</v>
      </c>
      <c r="BH357" s="25" t="e">
        <f t="shared" si="790"/>
        <v>#N/A</v>
      </c>
      <c r="BI357" s="25" t="e">
        <f t="shared" si="791"/>
        <v>#N/A</v>
      </c>
      <c r="BJ357" s="27" t="e">
        <f t="shared" si="792"/>
        <v>#N/A</v>
      </c>
      <c r="BK357" s="18" t="e">
        <f t="shared" si="793"/>
        <v>#N/A</v>
      </c>
      <c r="BL357" s="18" t="e">
        <f t="shared" si="794"/>
        <v>#N/A</v>
      </c>
      <c r="BM357" s="28" t="e">
        <f t="shared" si="846"/>
        <v>#N/A</v>
      </c>
      <c r="BN357" s="33">
        <f>HLOOKUP("maximum population",Miscelaneous!$C$1:$C$33,CH357+3,FALSE)</f>
        <v>240</v>
      </c>
      <c r="BO357" s="14">
        <f t="shared" si="808"/>
        <v>32</v>
      </c>
      <c r="BP357" s="14">
        <f t="shared" si="809"/>
        <v>0</v>
      </c>
      <c r="BQ357" s="14">
        <f t="shared" si="810"/>
        <v>208</v>
      </c>
      <c r="BR357" s="34" t="e">
        <f>HLOOKUP(J357,Villagers!$B$1:$V$33,L357+3,FALSE)-HLOOKUP(J357,Villagers!$B$1:$V$33,L357+2,FALSE)</f>
        <v>#N/A</v>
      </c>
      <c r="BS357" s="49">
        <f t="shared" si="811"/>
        <v>1</v>
      </c>
      <c r="BT357" s="50">
        <f t="shared" si="812"/>
        <v>0</v>
      </c>
      <c r="BU357" s="50">
        <f t="shared" si="813"/>
        <v>0</v>
      </c>
      <c r="BV357" s="50">
        <f t="shared" si="814"/>
        <v>0</v>
      </c>
      <c r="BW357" s="50">
        <f t="shared" si="872"/>
        <v>0</v>
      </c>
      <c r="BX357" s="50">
        <f t="shared" si="872"/>
        <v>0</v>
      </c>
      <c r="BY357" s="50">
        <f t="shared" si="872"/>
        <v>0</v>
      </c>
      <c r="BZ357" s="50">
        <f t="shared" si="860"/>
        <v>0</v>
      </c>
      <c r="CA357" s="50">
        <f t="shared" si="861"/>
        <v>0</v>
      </c>
      <c r="CB357" s="50">
        <f t="shared" si="862"/>
        <v>1</v>
      </c>
      <c r="CC357" s="50">
        <f t="shared" si="863"/>
        <v>0</v>
      </c>
      <c r="CD357" s="50">
        <f t="shared" si="864"/>
        <v>0</v>
      </c>
      <c r="CE357" s="50">
        <f t="shared" si="865"/>
        <v>1</v>
      </c>
      <c r="CF357" s="50">
        <f t="shared" si="866"/>
        <v>1</v>
      </c>
      <c r="CG357" s="50">
        <f t="shared" si="867"/>
        <v>1</v>
      </c>
      <c r="CH357" s="50">
        <f t="shared" si="868"/>
        <v>1</v>
      </c>
      <c r="CI357" s="50">
        <f t="shared" si="869"/>
        <v>1</v>
      </c>
      <c r="CJ357" s="50">
        <f t="shared" si="870"/>
        <v>1</v>
      </c>
      <c r="CK357" s="50">
        <f t="shared" si="870"/>
        <v>0</v>
      </c>
      <c r="CL357" s="50">
        <f t="shared" si="870"/>
        <v>0</v>
      </c>
      <c r="CM357" s="51">
        <f t="shared" si="795"/>
        <v>0</v>
      </c>
      <c r="CN357" s="33">
        <f>ROUND(IF(BS357=0,0,HLOOKUP(BS$14,Villagers!$B$1:$V$33,BS357+3,FALSE)),)</f>
        <v>5</v>
      </c>
      <c r="CO357" s="14">
        <f>ROUND(IF(BT357=0,0,HLOOKUP(BT$14,Villagers!$B$1:$V$33,BT357+3,FALSE)),)</f>
        <v>0</v>
      </c>
      <c r="CP357" s="14">
        <f>ROUND(IF(BU357=0,0,HLOOKUP(BU$14,Villagers!$B$1:$V$33,BU357+3,FALSE)),)</f>
        <v>0</v>
      </c>
      <c r="CQ357" s="14">
        <f>ROUND(IF(BV357=0,0,HLOOKUP(BV$14,Villagers!$B$1:$V$33,BV357+3,FALSE)),)</f>
        <v>0</v>
      </c>
      <c r="CR357" s="14">
        <f>ROUND(IF(BW357=0,0,HLOOKUP(BW$14,Villagers!$B$1:$V$33,BW357+3,FALSE)),)</f>
        <v>0</v>
      </c>
      <c r="CS357" s="14">
        <f>ROUND(IF(BX357=0,0,HLOOKUP(BX$14,Villagers!$B$1:$V$33,BX357+3,FALSE)),)</f>
        <v>0</v>
      </c>
      <c r="CT357" s="14">
        <f>ROUND(IF(BY357=0,0,HLOOKUP(BY$14,Villagers!$B$1:$V$33,BY357+3,FALSE)),)</f>
        <v>0</v>
      </c>
      <c r="CU357" s="14">
        <f>ROUND(IF(BZ357=0,0,HLOOKUP(BZ$14,Villagers!$B$1:$V$33,BZ357+3,FALSE)),)</f>
        <v>0</v>
      </c>
      <c r="CV357" s="14">
        <f>ROUND(IF(CA357=0,0,HLOOKUP(CA$14,Villagers!$B$1:$V$33,CA357+3,FALSE)),)</f>
        <v>0</v>
      </c>
      <c r="CW357" s="14">
        <f>ROUND(IF(CB357=0,0,HLOOKUP(CB$14,Villagers!$B$1:$V$33,CB357+3,FALSE)),)</f>
        <v>0</v>
      </c>
      <c r="CX357" s="14">
        <f>ROUND(IF(CC357=0,0,HLOOKUP(CC$14,Villagers!$B$1:$V$33,CC357+3,FALSE)),)</f>
        <v>0</v>
      </c>
      <c r="CY357" s="14">
        <f>ROUND(IF(CD357=0,0,HLOOKUP(CD$14,Villagers!$B$1:$V$33,CD357+3,FALSE)),)</f>
        <v>0</v>
      </c>
      <c r="CZ357" s="14">
        <f>ROUND(IF(CE357=0,0,HLOOKUP(CE$14,Villagers!$B$1:$V$33,CE357+3,FALSE)),)</f>
        <v>5</v>
      </c>
      <c r="DA357" s="14">
        <f>ROUND(IF(CF357=0,0,HLOOKUP(CF$14,Villagers!$B$1:$V$33,CF357+3,FALSE)),)</f>
        <v>10</v>
      </c>
      <c r="DB357" s="14">
        <f>ROUND(IF(CG357=0,0,HLOOKUP(CG$14,Villagers!$B$1:$V$33,CG357+3,FALSE)),)</f>
        <v>10</v>
      </c>
      <c r="DC357" s="14">
        <f>ROUND(IF(CH357=0,0,HLOOKUP(CH$14,Villagers!$B$1:$V$33,CH357+3,FALSE)),)</f>
        <v>0</v>
      </c>
      <c r="DD357" s="14">
        <f>ROUND(IF(CI357=0,0,HLOOKUP(CI$14,Villagers!$B$1:$V$33,CI357+3,FALSE)),)</f>
        <v>0</v>
      </c>
      <c r="DE357" s="14">
        <f>ROUND(IF(CJ357=0,0,HLOOKUP(CJ$14,Villagers!$B$1:$V$33,CJ357+3,FALSE)),)</f>
        <v>2</v>
      </c>
      <c r="DF357" s="370">
        <f>ROUND(IF(CK357=0,0,HLOOKUP(CK$14,Villagers!$B$1:$V$33,CK357+3,FALSE)),)</f>
        <v>0</v>
      </c>
      <c r="DG357" s="370">
        <f>ROUND(IF(CL357=0,0,HLOOKUP(CL$14,Villagers!$B$1:$V$33,CL357+3,FALSE)),)</f>
        <v>0</v>
      </c>
      <c r="DH357" s="34">
        <f>ROUND(IF(CM357=0,0,HLOOKUP(CM$14,Villagers!$B$1:$V$33,CM357+3,FALSE)),)</f>
        <v>0</v>
      </c>
      <c r="DI357" s="109">
        <f t="shared" si="832"/>
        <v>0</v>
      </c>
      <c r="DJ357" s="50">
        <f t="shared" si="833"/>
        <v>0</v>
      </c>
      <c r="DK357" s="50">
        <f t="shared" si="834"/>
        <v>0</v>
      </c>
      <c r="DL357" s="50">
        <f t="shared" si="835"/>
        <v>0</v>
      </c>
      <c r="DM357" s="50">
        <f t="shared" si="836"/>
        <v>0</v>
      </c>
      <c r="DN357" s="50">
        <f t="shared" si="837"/>
        <v>0</v>
      </c>
      <c r="DO357" s="50">
        <f t="shared" si="838"/>
        <v>0</v>
      </c>
      <c r="DP357" s="50">
        <f t="shared" si="839"/>
        <v>0</v>
      </c>
      <c r="DQ357" s="50">
        <f t="shared" si="816"/>
        <v>0</v>
      </c>
      <c r="DR357" s="50">
        <f t="shared" si="817"/>
        <v>0</v>
      </c>
      <c r="DS357" s="96">
        <f>Miscelaneous!$D$4*Miscelaneous!$D$2^($CI357-1)</f>
        <v>1000</v>
      </c>
      <c r="DT357" s="333">
        <f t="shared" si="796"/>
        <v>1</v>
      </c>
      <c r="DU357" s="81">
        <v>1</v>
      </c>
      <c r="DV357" s="79">
        <f t="shared" si="818"/>
        <v>0</v>
      </c>
      <c r="DW357" s="79">
        <f t="shared" si="819"/>
        <v>0</v>
      </c>
      <c r="DX357" s="79">
        <f t="shared" si="820"/>
        <v>0</v>
      </c>
      <c r="DY357" s="79">
        <v>1</v>
      </c>
      <c r="DZ357" s="79">
        <f t="shared" si="821"/>
        <v>0</v>
      </c>
      <c r="EA357" s="79">
        <f t="shared" si="822"/>
        <v>0</v>
      </c>
      <c r="EB357" s="79">
        <f t="shared" si="823"/>
        <v>0</v>
      </c>
      <c r="EC357" s="79">
        <f t="shared" si="824"/>
        <v>0</v>
      </c>
      <c r="ED357" s="79">
        <v>1</v>
      </c>
      <c r="EE357" s="79">
        <v>1</v>
      </c>
      <c r="EF357" s="79">
        <f t="shared" si="825"/>
        <v>0</v>
      </c>
      <c r="EG357" s="79">
        <v>1</v>
      </c>
      <c r="EH357" s="79">
        <v>1</v>
      </c>
      <c r="EI357" s="79">
        <v>1</v>
      </c>
      <c r="EJ357" s="79">
        <v>1</v>
      </c>
      <c r="EK357" s="79">
        <v>1</v>
      </c>
      <c r="EL357" s="79">
        <v>1</v>
      </c>
      <c r="EM357" s="143">
        <f t="shared" si="826"/>
        <v>0</v>
      </c>
      <c r="EN357" s="143">
        <f t="shared" si="827"/>
        <v>0</v>
      </c>
      <c r="EO357" s="82">
        <f t="shared" si="828"/>
        <v>0</v>
      </c>
    </row>
    <row r="358" spans="1:145" x14ac:dyDescent="0.25">
      <c r="A358">
        <v>344</v>
      </c>
      <c r="B358" s="172" t="e">
        <f t="shared" si="797"/>
        <v>#N/A</v>
      </c>
      <c r="C358" s="121" t="e">
        <f t="shared" ref="C358:E358" si="879">AJ358-SUM(AB358:AB362)</f>
        <v>#N/A</v>
      </c>
      <c r="D358" s="122" t="e">
        <f t="shared" si="879"/>
        <v>#N/A</v>
      </c>
      <c r="E358" s="122" t="e">
        <f t="shared" si="879"/>
        <v>#N/A</v>
      </c>
      <c r="F358" s="176" t="e">
        <f t="shared" si="778"/>
        <v>#N/A</v>
      </c>
      <c r="G358" s="121">
        <f t="shared" si="799"/>
        <v>208</v>
      </c>
      <c r="H358" s="176" t="e">
        <f t="shared" si="800"/>
        <v>#N/A</v>
      </c>
      <c r="I358" s="48">
        <v>1</v>
      </c>
      <c r="J358" s="39"/>
      <c r="K358" s="350">
        <v>1</v>
      </c>
      <c r="L358" s="34" t="e">
        <f t="shared" si="779"/>
        <v>#N/A</v>
      </c>
      <c r="M358" s="38" t="e">
        <f>(HLOOKUP(J358,'Construction Times'!$B$3:$W$34,L358+2,FALSE)*HLOOKUP("hq modifier",'Construction Times'!$W$3:$W$34,BS358+2,FALSE))*(1-$H$9)</f>
        <v>#N/A</v>
      </c>
      <c r="N358" s="426" t="e">
        <f t="shared" si="801"/>
        <v>#N/A</v>
      </c>
      <c r="O358" s="427"/>
      <c r="P358" s="430" t="e">
        <f t="shared" si="802"/>
        <v>#N/A</v>
      </c>
      <c r="Q358" s="431"/>
      <c r="R358" s="103">
        <f t="shared" si="830"/>
        <v>0</v>
      </c>
      <c r="S358" s="104">
        <f t="shared" si="830"/>
        <v>0</v>
      </c>
      <c r="T358" s="104">
        <f t="shared" si="831"/>
        <v>0</v>
      </c>
      <c r="U358" s="104">
        <f t="shared" si="831"/>
        <v>0</v>
      </c>
      <c r="V358" s="104">
        <f t="shared" si="831"/>
        <v>9.9999999999999995E-8</v>
      </c>
      <c r="W358" s="104">
        <f t="shared" si="831"/>
        <v>0</v>
      </c>
      <c r="X358" s="104">
        <f t="shared" si="737"/>
        <v>0</v>
      </c>
      <c r="Y358" s="104">
        <f t="shared" si="737"/>
        <v>9.9999999999999995E-8</v>
      </c>
      <c r="Z358" s="104">
        <f t="shared" si="737"/>
        <v>9.9999999999999995E-8</v>
      </c>
      <c r="AA358" s="105">
        <f t="shared" si="737"/>
        <v>9.9999999999999995E-8</v>
      </c>
      <c r="AB358" s="101" t="e">
        <f>$DT358*HLOOKUP($J358,'Construction Costs (timber)'!$B$1:$V$32,'Construction Planner'!$L358+2,FALSE)</f>
        <v>#N/A</v>
      </c>
      <c r="AC358" s="14" t="e">
        <f>$DT358*HLOOKUP($J358,'Construction Costs (clay)'!$B$1:$V$32,'Construction Planner'!$L358+2,FALSE)</f>
        <v>#N/A</v>
      </c>
      <c r="AD358" s="14" t="e">
        <f>$DT358*HLOOKUP($J358,'Construction Costs (iron)'!$B$1:$V$32,'Construction Planner'!$L358+2,FALSE)</f>
        <v>#N/A</v>
      </c>
      <c r="AE358" s="34" t="e">
        <f t="shared" si="843"/>
        <v>#N/A</v>
      </c>
      <c r="AF358" s="33" t="e">
        <f t="shared" si="780"/>
        <v>#N/A</v>
      </c>
      <c r="AG358" s="14" t="e">
        <f t="shared" si="781"/>
        <v>#N/A</v>
      </c>
      <c r="AH358" s="14" t="e">
        <f t="shared" si="782"/>
        <v>#N/A</v>
      </c>
      <c r="AI358" s="34" t="e">
        <f t="shared" si="844"/>
        <v>#N/A</v>
      </c>
      <c r="AJ358" s="49" t="e">
        <f t="shared" si="804"/>
        <v>#N/A</v>
      </c>
      <c r="AK358" s="49" t="e">
        <f t="shared" si="805"/>
        <v>#N/A</v>
      </c>
      <c r="AL358" s="49" t="e">
        <f t="shared" si="806"/>
        <v>#N/A</v>
      </c>
      <c r="AM358" s="25">
        <f t="shared" si="783"/>
        <v>30</v>
      </c>
      <c r="AN358" s="25">
        <f t="shared" si="784"/>
        <v>30</v>
      </c>
      <c r="AO358" s="25">
        <f t="shared" si="785"/>
        <v>30</v>
      </c>
      <c r="AP358" s="52" t="e">
        <f t="shared" si="807"/>
        <v>#N/A</v>
      </c>
      <c r="AQ358" s="53" t="e">
        <f t="shared" si="807"/>
        <v>#N/A</v>
      </c>
      <c r="AR358" s="54" t="e">
        <f t="shared" si="807"/>
        <v>#N/A</v>
      </c>
      <c r="AS358" s="316">
        <f t="shared" si="877"/>
        <v>0</v>
      </c>
      <c r="AT358" s="106">
        <f>_xlfn.IFNA($M358/VLOOKUP($BT358,'Unit information'!$A$2:$K$29,2,FALSE)*R358,0)*(1+$E$9)</f>
        <v>0</v>
      </c>
      <c r="AU358" s="107">
        <f>_xlfn.IFNA($M358/VLOOKUP($BT358,'Unit information'!$A$2:$K$29,3,FALSE)*S358,0)*(1+$E$9)</f>
        <v>0</v>
      </c>
      <c r="AV358" s="107">
        <f>_xlfn.IFNA($M358/VLOOKUP($BT358,'Unit information'!$A$2:$K$29,4,FALSE)*T358,0)*(1+$E$9)</f>
        <v>0</v>
      </c>
      <c r="AW358" s="107">
        <f>_xlfn.IFNA($M358/VLOOKUP($BT358,'Unit information'!$A$2:$K$29,5,FALSE)*U358,0)*(1+$E$9)</f>
        <v>0</v>
      </c>
      <c r="AX358" s="107">
        <f>_xlfn.IFNA($M358/VLOOKUP($BU358,'Unit information'!$A$2:$K$29,6,FALSE)*V358,0)*(1+$E$9)</f>
        <v>0</v>
      </c>
      <c r="AY358" s="107">
        <f>_xlfn.IFNA($M358/VLOOKUP($BU358,'Unit information'!$A$2:$K$29,7,FALSE)*W358,0)*(1+$E$9)</f>
        <v>0</v>
      </c>
      <c r="AZ358" s="107">
        <f>_xlfn.IFNA($M358/VLOOKUP($BU358,'Unit information'!$A$2:$K$29,8,FALSE)*X358,0)*(1+$E$9)</f>
        <v>0</v>
      </c>
      <c r="BA358" s="107">
        <f>_xlfn.IFNA($M358/VLOOKUP($BU358,'Unit information'!$A$2:$K$29,9,FALSE)*Y358,0)*(1+$E$9)</f>
        <v>0</v>
      </c>
      <c r="BB358" s="107">
        <f>_xlfn.IFNA($M358/VLOOKUP($BV358,'Unit information'!$A$2:$K$29,10,FALSE)*Z358,0)*(1+$E$9)</f>
        <v>0</v>
      </c>
      <c r="BC358" s="108">
        <f>_xlfn.IFNA($M358/VLOOKUP($BV358,'Unit information'!$A$2:$K$29,11,FALSE)*AA358,0)*(1+$E$9)</f>
        <v>0</v>
      </c>
      <c r="BD358" s="106">
        <f t="shared" si="786"/>
        <v>0</v>
      </c>
      <c r="BE358" s="107">
        <f t="shared" si="787"/>
        <v>0</v>
      </c>
      <c r="BF358" s="108">
        <f t="shared" si="788"/>
        <v>0</v>
      </c>
      <c r="BG358" s="25" t="e">
        <f t="shared" si="789"/>
        <v>#N/A</v>
      </c>
      <c r="BH358" s="25" t="e">
        <f t="shared" si="790"/>
        <v>#N/A</v>
      </c>
      <c r="BI358" s="25" t="e">
        <f t="shared" si="791"/>
        <v>#N/A</v>
      </c>
      <c r="BJ358" s="27" t="e">
        <f t="shared" si="792"/>
        <v>#N/A</v>
      </c>
      <c r="BK358" s="18" t="e">
        <f t="shared" si="793"/>
        <v>#N/A</v>
      </c>
      <c r="BL358" s="18" t="e">
        <f t="shared" si="794"/>
        <v>#N/A</v>
      </c>
      <c r="BM358" s="28" t="e">
        <f t="shared" si="846"/>
        <v>#N/A</v>
      </c>
      <c r="BN358" s="33">
        <f>HLOOKUP("maximum population",Miscelaneous!$C$1:$C$33,CH358+3,FALSE)</f>
        <v>240</v>
      </c>
      <c r="BO358" s="14">
        <f t="shared" si="808"/>
        <v>32</v>
      </c>
      <c r="BP358" s="14">
        <f t="shared" si="809"/>
        <v>0</v>
      </c>
      <c r="BQ358" s="14">
        <f t="shared" si="810"/>
        <v>208</v>
      </c>
      <c r="BR358" s="34" t="e">
        <f>HLOOKUP(J358,Villagers!$B$1:$V$33,L358+3,FALSE)-HLOOKUP(J358,Villagers!$B$1:$V$33,L358+2,FALSE)</f>
        <v>#N/A</v>
      </c>
      <c r="BS358" s="49">
        <f t="shared" si="811"/>
        <v>1</v>
      </c>
      <c r="BT358" s="50">
        <f t="shared" si="812"/>
        <v>0</v>
      </c>
      <c r="BU358" s="50">
        <f t="shared" si="813"/>
        <v>0</v>
      </c>
      <c r="BV358" s="50">
        <f t="shared" si="814"/>
        <v>0</v>
      </c>
      <c r="BW358" s="50">
        <f t="shared" si="872"/>
        <v>0</v>
      </c>
      <c r="BX358" s="50">
        <f t="shared" si="872"/>
        <v>0</v>
      </c>
      <c r="BY358" s="50">
        <f t="shared" si="872"/>
        <v>0</v>
      </c>
      <c r="BZ358" s="50">
        <f t="shared" si="860"/>
        <v>0</v>
      </c>
      <c r="CA358" s="50">
        <f t="shared" si="861"/>
        <v>0</v>
      </c>
      <c r="CB358" s="50">
        <f t="shared" si="862"/>
        <v>1</v>
      </c>
      <c r="CC358" s="50">
        <f t="shared" si="863"/>
        <v>0</v>
      </c>
      <c r="CD358" s="50">
        <f t="shared" si="864"/>
        <v>0</v>
      </c>
      <c r="CE358" s="50">
        <f t="shared" si="865"/>
        <v>1</v>
      </c>
      <c r="CF358" s="50">
        <f t="shared" si="866"/>
        <v>1</v>
      </c>
      <c r="CG358" s="50">
        <f t="shared" si="867"/>
        <v>1</v>
      </c>
      <c r="CH358" s="50">
        <f t="shared" si="868"/>
        <v>1</v>
      </c>
      <c r="CI358" s="50">
        <f t="shared" si="869"/>
        <v>1</v>
      </c>
      <c r="CJ358" s="50">
        <f t="shared" si="870"/>
        <v>1</v>
      </c>
      <c r="CK358" s="50">
        <f t="shared" si="870"/>
        <v>0</v>
      </c>
      <c r="CL358" s="50">
        <f t="shared" si="870"/>
        <v>0</v>
      </c>
      <c r="CM358" s="51">
        <f t="shared" si="795"/>
        <v>0</v>
      </c>
      <c r="CN358" s="33">
        <f>ROUND(IF(BS358=0,0,HLOOKUP(BS$14,Villagers!$B$1:$V$33,BS358+3,FALSE)),)</f>
        <v>5</v>
      </c>
      <c r="CO358" s="14">
        <f>ROUND(IF(BT358=0,0,HLOOKUP(BT$14,Villagers!$B$1:$V$33,BT358+3,FALSE)),)</f>
        <v>0</v>
      </c>
      <c r="CP358" s="14">
        <f>ROUND(IF(BU358=0,0,HLOOKUP(BU$14,Villagers!$B$1:$V$33,BU358+3,FALSE)),)</f>
        <v>0</v>
      </c>
      <c r="CQ358" s="14">
        <f>ROUND(IF(BV358=0,0,HLOOKUP(BV$14,Villagers!$B$1:$V$33,BV358+3,FALSE)),)</f>
        <v>0</v>
      </c>
      <c r="CR358" s="14">
        <f>ROUND(IF(BW358=0,0,HLOOKUP(BW$14,Villagers!$B$1:$V$33,BW358+3,FALSE)),)</f>
        <v>0</v>
      </c>
      <c r="CS358" s="14">
        <f>ROUND(IF(BX358=0,0,HLOOKUP(BX$14,Villagers!$B$1:$V$33,BX358+3,FALSE)),)</f>
        <v>0</v>
      </c>
      <c r="CT358" s="14">
        <f>ROUND(IF(BY358=0,0,HLOOKUP(BY$14,Villagers!$B$1:$V$33,BY358+3,FALSE)),)</f>
        <v>0</v>
      </c>
      <c r="CU358" s="14">
        <f>ROUND(IF(BZ358=0,0,HLOOKUP(BZ$14,Villagers!$B$1:$V$33,BZ358+3,FALSE)),)</f>
        <v>0</v>
      </c>
      <c r="CV358" s="14">
        <f>ROUND(IF(CA358=0,0,HLOOKUP(CA$14,Villagers!$B$1:$V$33,CA358+3,FALSE)),)</f>
        <v>0</v>
      </c>
      <c r="CW358" s="14">
        <f>ROUND(IF(CB358=0,0,HLOOKUP(CB$14,Villagers!$B$1:$V$33,CB358+3,FALSE)),)</f>
        <v>0</v>
      </c>
      <c r="CX358" s="14">
        <f>ROUND(IF(CC358=0,0,HLOOKUP(CC$14,Villagers!$B$1:$V$33,CC358+3,FALSE)),)</f>
        <v>0</v>
      </c>
      <c r="CY358" s="14">
        <f>ROUND(IF(CD358=0,0,HLOOKUP(CD$14,Villagers!$B$1:$V$33,CD358+3,FALSE)),)</f>
        <v>0</v>
      </c>
      <c r="CZ358" s="14">
        <f>ROUND(IF(CE358=0,0,HLOOKUP(CE$14,Villagers!$B$1:$V$33,CE358+3,FALSE)),)</f>
        <v>5</v>
      </c>
      <c r="DA358" s="14">
        <f>ROUND(IF(CF358=0,0,HLOOKUP(CF$14,Villagers!$B$1:$V$33,CF358+3,FALSE)),)</f>
        <v>10</v>
      </c>
      <c r="DB358" s="14">
        <f>ROUND(IF(CG358=0,0,HLOOKUP(CG$14,Villagers!$B$1:$V$33,CG358+3,FALSE)),)</f>
        <v>10</v>
      </c>
      <c r="DC358" s="14">
        <f>ROUND(IF(CH358=0,0,HLOOKUP(CH$14,Villagers!$B$1:$V$33,CH358+3,FALSE)),)</f>
        <v>0</v>
      </c>
      <c r="DD358" s="14">
        <f>ROUND(IF(CI358=0,0,HLOOKUP(CI$14,Villagers!$B$1:$V$33,CI358+3,FALSE)),)</f>
        <v>0</v>
      </c>
      <c r="DE358" s="14">
        <f>ROUND(IF(CJ358=0,0,HLOOKUP(CJ$14,Villagers!$B$1:$V$33,CJ358+3,FALSE)),)</f>
        <v>2</v>
      </c>
      <c r="DF358" s="370">
        <f>ROUND(IF(CK358=0,0,HLOOKUP(CK$14,Villagers!$B$1:$V$33,CK358+3,FALSE)),)</f>
        <v>0</v>
      </c>
      <c r="DG358" s="370">
        <f>ROUND(IF(CL358=0,0,HLOOKUP(CL$14,Villagers!$B$1:$V$33,CL358+3,FALSE)),)</f>
        <v>0</v>
      </c>
      <c r="DH358" s="34">
        <f>ROUND(IF(CM358=0,0,HLOOKUP(CM$14,Villagers!$B$1:$V$33,CM358+3,FALSE)),)</f>
        <v>0</v>
      </c>
      <c r="DI358" s="109">
        <f t="shared" si="832"/>
        <v>0</v>
      </c>
      <c r="DJ358" s="50">
        <f t="shared" si="833"/>
        <v>0</v>
      </c>
      <c r="DK358" s="50">
        <f t="shared" si="834"/>
        <v>0</v>
      </c>
      <c r="DL358" s="50">
        <f t="shared" si="835"/>
        <v>0</v>
      </c>
      <c r="DM358" s="50">
        <f t="shared" si="836"/>
        <v>0</v>
      </c>
      <c r="DN358" s="50">
        <f t="shared" si="837"/>
        <v>0</v>
      </c>
      <c r="DO358" s="50">
        <f t="shared" si="838"/>
        <v>0</v>
      </c>
      <c r="DP358" s="50">
        <f t="shared" si="839"/>
        <v>0</v>
      </c>
      <c r="DQ358" s="50">
        <f t="shared" si="816"/>
        <v>0</v>
      </c>
      <c r="DR358" s="50">
        <f t="shared" si="817"/>
        <v>0</v>
      </c>
      <c r="DS358" s="96">
        <f>Miscelaneous!$D$4*Miscelaneous!$D$2^($CI358-1)</f>
        <v>1000</v>
      </c>
      <c r="DT358" s="333">
        <f t="shared" si="796"/>
        <v>1</v>
      </c>
      <c r="DU358" s="81">
        <v>1</v>
      </c>
      <c r="DV358" s="79">
        <f t="shared" si="818"/>
        <v>0</v>
      </c>
      <c r="DW358" s="79">
        <f t="shared" si="819"/>
        <v>0</v>
      </c>
      <c r="DX358" s="79">
        <f t="shared" si="820"/>
        <v>0</v>
      </c>
      <c r="DY358" s="79">
        <v>1</v>
      </c>
      <c r="DZ358" s="79">
        <f t="shared" si="821"/>
        <v>0</v>
      </c>
      <c r="EA358" s="79">
        <f t="shared" si="822"/>
        <v>0</v>
      </c>
      <c r="EB358" s="79">
        <f t="shared" si="823"/>
        <v>0</v>
      </c>
      <c r="EC358" s="79">
        <f t="shared" si="824"/>
        <v>0</v>
      </c>
      <c r="ED358" s="79">
        <v>1</v>
      </c>
      <c r="EE358" s="79">
        <v>1</v>
      </c>
      <c r="EF358" s="79">
        <f t="shared" si="825"/>
        <v>0</v>
      </c>
      <c r="EG358" s="79">
        <v>1</v>
      </c>
      <c r="EH358" s="79">
        <v>1</v>
      </c>
      <c r="EI358" s="79">
        <v>1</v>
      </c>
      <c r="EJ358" s="79">
        <v>1</v>
      </c>
      <c r="EK358" s="79">
        <v>1</v>
      </c>
      <c r="EL358" s="79">
        <v>1</v>
      </c>
      <c r="EM358" s="143">
        <f t="shared" si="826"/>
        <v>0</v>
      </c>
      <c r="EN358" s="143">
        <f t="shared" si="827"/>
        <v>0</v>
      </c>
      <c r="EO358" s="82">
        <f t="shared" si="828"/>
        <v>0</v>
      </c>
    </row>
    <row r="359" spans="1:145" x14ac:dyDescent="0.25">
      <c r="A359">
        <v>345</v>
      </c>
      <c r="B359" s="172" t="e">
        <f t="shared" si="797"/>
        <v>#N/A</v>
      </c>
      <c r="C359" s="121" t="e">
        <f t="shared" ref="C359:E359" si="880">AJ359-SUM(AB359:AB363)</f>
        <v>#N/A</v>
      </c>
      <c r="D359" s="122" t="e">
        <f t="shared" si="880"/>
        <v>#N/A</v>
      </c>
      <c r="E359" s="122" t="e">
        <f t="shared" si="880"/>
        <v>#N/A</v>
      </c>
      <c r="F359" s="176" t="e">
        <f t="shared" si="778"/>
        <v>#N/A</v>
      </c>
      <c r="G359" s="121">
        <f t="shared" si="799"/>
        <v>208</v>
      </c>
      <c r="H359" s="176" t="e">
        <f t="shared" si="800"/>
        <v>#N/A</v>
      </c>
      <c r="I359" s="48">
        <v>1</v>
      </c>
      <c r="J359" s="39"/>
      <c r="K359" s="350">
        <v>1</v>
      </c>
      <c r="L359" s="34" t="e">
        <f t="shared" si="779"/>
        <v>#N/A</v>
      </c>
      <c r="M359" s="38" t="e">
        <f>(HLOOKUP(J359,'Construction Times'!$B$3:$W$34,L359+2,FALSE)*HLOOKUP("hq modifier",'Construction Times'!$W$3:$W$34,BS359+2,FALSE))*(1-$H$9)</f>
        <v>#N/A</v>
      </c>
      <c r="N359" s="426" t="e">
        <f t="shared" si="801"/>
        <v>#N/A</v>
      </c>
      <c r="O359" s="427"/>
      <c r="P359" s="430" t="e">
        <f t="shared" si="802"/>
        <v>#N/A</v>
      </c>
      <c r="Q359" s="431"/>
      <c r="R359" s="103">
        <f t="shared" si="830"/>
        <v>0</v>
      </c>
      <c r="S359" s="104">
        <f t="shared" si="830"/>
        <v>0</v>
      </c>
      <c r="T359" s="104">
        <f t="shared" si="831"/>
        <v>0</v>
      </c>
      <c r="U359" s="104">
        <f t="shared" si="831"/>
        <v>0</v>
      </c>
      <c r="V359" s="104">
        <f t="shared" si="831"/>
        <v>9.9999999999999995E-8</v>
      </c>
      <c r="W359" s="104">
        <f t="shared" si="831"/>
        <v>0</v>
      </c>
      <c r="X359" s="104">
        <f t="shared" si="737"/>
        <v>0</v>
      </c>
      <c r="Y359" s="104">
        <f t="shared" si="737"/>
        <v>9.9999999999999995E-8</v>
      </c>
      <c r="Z359" s="104">
        <f t="shared" si="737"/>
        <v>9.9999999999999995E-8</v>
      </c>
      <c r="AA359" s="105">
        <f t="shared" si="737"/>
        <v>9.9999999999999995E-8</v>
      </c>
      <c r="AB359" s="101" t="e">
        <f>$DT359*HLOOKUP($J359,'Construction Costs (timber)'!$B$1:$V$32,'Construction Planner'!$L359+2,FALSE)</f>
        <v>#N/A</v>
      </c>
      <c r="AC359" s="14" t="e">
        <f>$DT359*HLOOKUP($J359,'Construction Costs (clay)'!$B$1:$V$32,'Construction Planner'!$L359+2,FALSE)</f>
        <v>#N/A</v>
      </c>
      <c r="AD359" s="14" t="e">
        <f>$DT359*HLOOKUP($J359,'Construction Costs (iron)'!$B$1:$V$32,'Construction Planner'!$L359+2,FALSE)</f>
        <v>#N/A</v>
      </c>
      <c r="AE359" s="34" t="e">
        <f t="shared" si="843"/>
        <v>#N/A</v>
      </c>
      <c r="AF359" s="33" t="e">
        <f t="shared" si="780"/>
        <v>#N/A</v>
      </c>
      <c r="AG359" s="14" t="e">
        <f t="shared" si="781"/>
        <v>#N/A</v>
      </c>
      <c r="AH359" s="14" t="e">
        <f t="shared" si="782"/>
        <v>#N/A</v>
      </c>
      <c r="AI359" s="34" t="e">
        <f t="shared" si="844"/>
        <v>#N/A</v>
      </c>
      <c r="AJ359" s="49" t="e">
        <f t="shared" si="804"/>
        <v>#N/A</v>
      </c>
      <c r="AK359" s="49" t="e">
        <f t="shared" si="805"/>
        <v>#N/A</v>
      </c>
      <c r="AL359" s="49" t="e">
        <f t="shared" si="806"/>
        <v>#N/A</v>
      </c>
      <c r="AM359" s="25">
        <f t="shared" si="783"/>
        <v>30</v>
      </c>
      <c r="AN359" s="25">
        <f t="shared" si="784"/>
        <v>30</v>
      </c>
      <c r="AO359" s="25">
        <f t="shared" si="785"/>
        <v>30</v>
      </c>
      <c r="AP359" s="52" t="e">
        <f t="shared" si="807"/>
        <v>#N/A</v>
      </c>
      <c r="AQ359" s="53" t="e">
        <f t="shared" si="807"/>
        <v>#N/A</v>
      </c>
      <c r="AR359" s="54" t="e">
        <f t="shared" si="807"/>
        <v>#N/A</v>
      </c>
      <c r="AS359" s="316">
        <f t="shared" si="877"/>
        <v>0</v>
      </c>
      <c r="AT359" s="106">
        <f>_xlfn.IFNA($M359/VLOOKUP($BT359,'Unit information'!$A$2:$K$29,2,FALSE)*R359,0)*(1+$E$9)</f>
        <v>0</v>
      </c>
      <c r="AU359" s="107">
        <f>_xlfn.IFNA($M359/VLOOKUP($BT359,'Unit information'!$A$2:$K$29,3,FALSE)*S359,0)*(1+$E$9)</f>
        <v>0</v>
      </c>
      <c r="AV359" s="107">
        <f>_xlfn.IFNA($M359/VLOOKUP($BT359,'Unit information'!$A$2:$K$29,4,FALSE)*T359,0)*(1+$E$9)</f>
        <v>0</v>
      </c>
      <c r="AW359" s="107">
        <f>_xlfn.IFNA($M359/VLOOKUP($BT359,'Unit information'!$A$2:$K$29,5,FALSE)*U359,0)*(1+$E$9)</f>
        <v>0</v>
      </c>
      <c r="AX359" s="107">
        <f>_xlfn.IFNA($M359/VLOOKUP($BU359,'Unit information'!$A$2:$K$29,6,FALSE)*V359,0)*(1+$E$9)</f>
        <v>0</v>
      </c>
      <c r="AY359" s="107">
        <f>_xlfn.IFNA($M359/VLOOKUP($BU359,'Unit information'!$A$2:$K$29,7,FALSE)*W359,0)*(1+$E$9)</f>
        <v>0</v>
      </c>
      <c r="AZ359" s="107">
        <f>_xlfn.IFNA($M359/VLOOKUP($BU359,'Unit information'!$A$2:$K$29,8,FALSE)*X359,0)*(1+$E$9)</f>
        <v>0</v>
      </c>
      <c r="BA359" s="107">
        <f>_xlfn.IFNA($M359/VLOOKUP($BU359,'Unit information'!$A$2:$K$29,9,FALSE)*Y359,0)*(1+$E$9)</f>
        <v>0</v>
      </c>
      <c r="BB359" s="107">
        <f>_xlfn.IFNA($M359/VLOOKUP($BV359,'Unit information'!$A$2:$K$29,10,FALSE)*Z359,0)*(1+$E$9)</f>
        <v>0</v>
      </c>
      <c r="BC359" s="108">
        <f>_xlfn.IFNA($M359/VLOOKUP($BV359,'Unit information'!$A$2:$K$29,11,FALSE)*AA359,0)*(1+$E$9)</f>
        <v>0</v>
      </c>
      <c r="BD359" s="106">
        <f t="shared" si="786"/>
        <v>0</v>
      </c>
      <c r="BE359" s="107">
        <f t="shared" si="787"/>
        <v>0</v>
      </c>
      <c r="BF359" s="108">
        <f t="shared" si="788"/>
        <v>0</v>
      </c>
      <c r="BG359" s="25" t="e">
        <f t="shared" si="789"/>
        <v>#N/A</v>
      </c>
      <c r="BH359" s="25" t="e">
        <f t="shared" si="790"/>
        <v>#N/A</v>
      </c>
      <c r="BI359" s="25" t="e">
        <f t="shared" si="791"/>
        <v>#N/A</v>
      </c>
      <c r="BJ359" s="27" t="e">
        <f t="shared" si="792"/>
        <v>#N/A</v>
      </c>
      <c r="BK359" s="18" t="e">
        <f t="shared" si="793"/>
        <v>#N/A</v>
      </c>
      <c r="BL359" s="18" t="e">
        <f t="shared" si="794"/>
        <v>#N/A</v>
      </c>
      <c r="BM359" s="28" t="e">
        <f t="shared" si="846"/>
        <v>#N/A</v>
      </c>
      <c r="BN359" s="33">
        <f>HLOOKUP("maximum population",Miscelaneous!$C$1:$C$33,CH359+3,FALSE)</f>
        <v>240</v>
      </c>
      <c r="BO359" s="14">
        <f t="shared" si="808"/>
        <v>32</v>
      </c>
      <c r="BP359" s="14">
        <f t="shared" si="809"/>
        <v>0</v>
      </c>
      <c r="BQ359" s="14">
        <f t="shared" si="810"/>
        <v>208</v>
      </c>
      <c r="BR359" s="34" t="e">
        <f>HLOOKUP(J359,Villagers!$B$1:$V$33,L359+3,FALSE)-HLOOKUP(J359,Villagers!$B$1:$V$33,L359+2,FALSE)</f>
        <v>#N/A</v>
      </c>
      <c r="BS359" s="49">
        <f t="shared" si="811"/>
        <v>1</v>
      </c>
      <c r="BT359" s="50">
        <f t="shared" si="812"/>
        <v>0</v>
      </c>
      <c r="BU359" s="50">
        <f t="shared" si="813"/>
        <v>0</v>
      </c>
      <c r="BV359" s="50">
        <f t="shared" si="814"/>
        <v>0</v>
      </c>
      <c r="BW359" s="50">
        <f>IF($J358=BW$14,$L358,BW358)</f>
        <v>0</v>
      </c>
      <c r="BX359" s="50">
        <f t="shared" ref="BX359:BY367" si="881">IF($J358=BX$14,$L358,BX358)</f>
        <v>0</v>
      </c>
      <c r="BY359" s="50">
        <f t="shared" si="881"/>
        <v>0</v>
      </c>
      <c r="BZ359" s="50">
        <f t="shared" si="860"/>
        <v>0</v>
      </c>
      <c r="CA359" s="50">
        <f t="shared" si="861"/>
        <v>0</v>
      </c>
      <c r="CB359" s="50">
        <f t="shared" si="862"/>
        <v>1</v>
      </c>
      <c r="CC359" s="50">
        <f t="shared" si="863"/>
        <v>0</v>
      </c>
      <c r="CD359" s="50">
        <f t="shared" si="864"/>
        <v>0</v>
      </c>
      <c r="CE359" s="50">
        <f t="shared" si="865"/>
        <v>1</v>
      </c>
      <c r="CF359" s="50">
        <f t="shared" si="866"/>
        <v>1</v>
      </c>
      <c r="CG359" s="50">
        <f t="shared" si="867"/>
        <v>1</v>
      </c>
      <c r="CH359" s="50">
        <f t="shared" si="868"/>
        <v>1</v>
      </c>
      <c r="CI359" s="50">
        <f t="shared" si="869"/>
        <v>1</v>
      </c>
      <c r="CJ359" s="50">
        <f t="shared" si="870"/>
        <v>1</v>
      </c>
      <c r="CK359" s="50">
        <f t="shared" si="870"/>
        <v>0</v>
      </c>
      <c r="CL359" s="50">
        <f t="shared" si="870"/>
        <v>0</v>
      </c>
      <c r="CM359" s="51">
        <f t="shared" si="795"/>
        <v>0</v>
      </c>
      <c r="CN359" s="33">
        <f>ROUND(IF(BS359=0,0,HLOOKUP(BS$14,Villagers!$B$1:$V$33,BS359+3,FALSE)),)</f>
        <v>5</v>
      </c>
      <c r="CO359" s="14">
        <f>ROUND(IF(BT359=0,0,HLOOKUP(BT$14,Villagers!$B$1:$V$33,BT359+3,FALSE)),)</f>
        <v>0</v>
      </c>
      <c r="CP359" s="14">
        <f>ROUND(IF(BU359=0,0,HLOOKUP(BU$14,Villagers!$B$1:$V$33,BU359+3,FALSE)),)</f>
        <v>0</v>
      </c>
      <c r="CQ359" s="14">
        <f>ROUND(IF(BV359=0,0,HLOOKUP(BV$14,Villagers!$B$1:$V$33,BV359+3,FALSE)),)</f>
        <v>0</v>
      </c>
      <c r="CR359" s="14">
        <f>ROUND(IF(BW359=0,0,HLOOKUP(BW$14,Villagers!$B$1:$V$33,BW359+3,FALSE)),)</f>
        <v>0</v>
      </c>
      <c r="CS359" s="14">
        <f>ROUND(IF(BX359=0,0,HLOOKUP(BX$14,Villagers!$B$1:$V$33,BX359+3,FALSE)),)</f>
        <v>0</v>
      </c>
      <c r="CT359" s="14">
        <f>ROUND(IF(BY359=0,0,HLOOKUP(BY$14,Villagers!$B$1:$V$33,BY359+3,FALSE)),)</f>
        <v>0</v>
      </c>
      <c r="CU359" s="14">
        <f>ROUND(IF(BZ359=0,0,HLOOKUP(BZ$14,Villagers!$B$1:$V$33,BZ359+3,FALSE)),)</f>
        <v>0</v>
      </c>
      <c r="CV359" s="14">
        <f>ROUND(IF(CA359=0,0,HLOOKUP(CA$14,Villagers!$B$1:$V$33,CA359+3,FALSE)),)</f>
        <v>0</v>
      </c>
      <c r="CW359" s="14">
        <f>ROUND(IF(CB359=0,0,HLOOKUP(CB$14,Villagers!$B$1:$V$33,CB359+3,FALSE)),)</f>
        <v>0</v>
      </c>
      <c r="CX359" s="14">
        <f>ROUND(IF(CC359=0,0,HLOOKUP(CC$14,Villagers!$B$1:$V$33,CC359+3,FALSE)),)</f>
        <v>0</v>
      </c>
      <c r="CY359" s="14">
        <f>ROUND(IF(CD359=0,0,HLOOKUP(CD$14,Villagers!$B$1:$V$33,CD359+3,FALSE)),)</f>
        <v>0</v>
      </c>
      <c r="CZ359" s="14">
        <f>ROUND(IF(CE359=0,0,HLOOKUP(CE$14,Villagers!$B$1:$V$33,CE359+3,FALSE)),)</f>
        <v>5</v>
      </c>
      <c r="DA359" s="14">
        <f>ROUND(IF(CF359=0,0,HLOOKUP(CF$14,Villagers!$B$1:$V$33,CF359+3,FALSE)),)</f>
        <v>10</v>
      </c>
      <c r="DB359" s="14">
        <f>ROUND(IF(CG359=0,0,HLOOKUP(CG$14,Villagers!$B$1:$V$33,CG359+3,FALSE)),)</f>
        <v>10</v>
      </c>
      <c r="DC359" s="14">
        <f>ROUND(IF(CH359=0,0,HLOOKUP(CH$14,Villagers!$B$1:$V$33,CH359+3,FALSE)),)</f>
        <v>0</v>
      </c>
      <c r="DD359" s="14">
        <f>ROUND(IF(CI359=0,0,HLOOKUP(CI$14,Villagers!$B$1:$V$33,CI359+3,FALSE)),)</f>
        <v>0</v>
      </c>
      <c r="DE359" s="14">
        <f>ROUND(IF(CJ359=0,0,HLOOKUP(CJ$14,Villagers!$B$1:$V$33,CJ359+3,FALSE)),)</f>
        <v>2</v>
      </c>
      <c r="DF359" s="370">
        <f>ROUND(IF(CK359=0,0,HLOOKUP(CK$14,Villagers!$B$1:$V$33,CK359+3,FALSE)),)</f>
        <v>0</v>
      </c>
      <c r="DG359" s="370">
        <f>ROUND(IF(CL359=0,0,HLOOKUP(CL$14,Villagers!$B$1:$V$33,CL359+3,FALSE)),)</f>
        <v>0</v>
      </c>
      <c r="DH359" s="34">
        <f>ROUND(IF(CM359=0,0,HLOOKUP(CM$14,Villagers!$B$1:$V$33,CM359+3,FALSE)),)</f>
        <v>0</v>
      </c>
      <c r="DI359" s="109">
        <f t="shared" si="832"/>
        <v>0</v>
      </c>
      <c r="DJ359" s="50">
        <f t="shared" si="833"/>
        <v>0</v>
      </c>
      <c r="DK359" s="50">
        <f t="shared" si="834"/>
        <v>0</v>
      </c>
      <c r="DL359" s="50">
        <f t="shared" si="835"/>
        <v>0</v>
      </c>
      <c r="DM359" s="50">
        <f t="shared" si="836"/>
        <v>0</v>
      </c>
      <c r="DN359" s="50">
        <f t="shared" si="837"/>
        <v>0</v>
      </c>
      <c r="DO359" s="50">
        <f t="shared" si="838"/>
        <v>0</v>
      </c>
      <c r="DP359" s="50">
        <f t="shared" si="839"/>
        <v>0</v>
      </c>
      <c r="DQ359" s="50">
        <f t="shared" si="816"/>
        <v>0</v>
      </c>
      <c r="DR359" s="50">
        <f t="shared" si="817"/>
        <v>0</v>
      </c>
      <c r="DS359" s="96">
        <f>Miscelaneous!$D$4*Miscelaneous!$D$2^($CI359-1)</f>
        <v>1000</v>
      </c>
      <c r="DT359" s="333">
        <f t="shared" si="796"/>
        <v>1</v>
      </c>
      <c r="DU359" s="81">
        <v>1</v>
      </c>
      <c r="DV359" s="79">
        <f t="shared" si="818"/>
        <v>0</v>
      </c>
      <c r="DW359" s="79">
        <f t="shared" si="819"/>
        <v>0</v>
      </c>
      <c r="DX359" s="79">
        <f t="shared" si="820"/>
        <v>0</v>
      </c>
      <c r="DY359" s="79">
        <v>1</v>
      </c>
      <c r="DZ359" s="79">
        <f t="shared" si="821"/>
        <v>0</v>
      </c>
      <c r="EA359" s="79">
        <f t="shared" si="822"/>
        <v>0</v>
      </c>
      <c r="EB359" s="79">
        <f t="shared" si="823"/>
        <v>0</v>
      </c>
      <c r="EC359" s="79">
        <f t="shared" si="824"/>
        <v>0</v>
      </c>
      <c r="ED359" s="79">
        <v>1</v>
      </c>
      <c r="EE359" s="79">
        <v>1</v>
      </c>
      <c r="EF359" s="79">
        <f t="shared" si="825"/>
        <v>0</v>
      </c>
      <c r="EG359" s="79">
        <v>1</v>
      </c>
      <c r="EH359" s="79">
        <v>1</v>
      </c>
      <c r="EI359" s="79">
        <v>1</v>
      </c>
      <c r="EJ359" s="79">
        <v>1</v>
      </c>
      <c r="EK359" s="79">
        <v>1</v>
      </c>
      <c r="EL359" s="79">
        <v>1</v>
      </c>
      <c r="EM359" s="143">
        <f t="shared" si="826"/>
        <v>0</v>
      </c>
      <c r="EN359" s="143">
        <f t="shared" si="827"/>
        <v>0</v>
      </c>
      <c r="EO359" s="82">
        <f t="shared" si="828"/>
        <v>0</v>
      </c>
    </row>
    <row r="360" spans="1:145" x14ac:dyDescent="0.25">
      <c r="A360">
        <v>346</v>
      </c>
      <c r="B360" s="172" t="e">
        <f t="shared" si="797"/>
        <v>#N/A</v>
      </c>
      <c r="C360" s="121" t="e">
        <f t="shared" ref="C360:E360" si="882">AJ360-SUM(AB360:AB364)</f>
        <v>#N/A</v>
      </c>
      <c r="D360" s="122" t="e">
        <f t="shared" si="882"/>
        <v>#N/A</v>
      </c>
      <c r="E360" s="122" t="e">
        <f t="shared" si="882"/>
        <v>#N/A</v>
      </c>
      <c r="F360" s="176" t="e">
        <f t="shared" si="778"/>
        <v>#N/A</v>
      </c>
      <c r="G360" s="121">
        <f t="shared" si="799"/>
        <v>208</v>
      </c>
      <c r="H360" s="176" t="e">
        <f t="shared" si="800"/>
        <v>#N/A</v>
      </c>
      <c r="I360" s="48">
        <v>1</v>
      </c>
      <c r="J360" s="39"/>
      <c r="K360" s="350">
        <v>1</v>
      </c>
      <c r="L360" s="34" t="e">
        <f t="shared" si="779"/>
        <v>#N/A</v>
      </c>
      <c r="M360" s="38" t="e">
        <f>(HLOOKUP(J360,'Construction Times'!$B$3:$W$34,L360+2,FALSE)*HLOOKUP("hq modifier",'Construction Times'!$W$3:$W$34,BS360+2,FALSE))*(1-$H$9)</f>
        <v>#N/A</v>
      </c>
      <c r="N360" s="426" t="e">
        <f t="shared" si="801"/>
        <v>#N/A</v>
      </c>
      <c r="O360" s="427"/>
      <c r="P360" s="430" t="e">
        <f t="shared" si="802"/>
        <v>#N/A</v>
      </c>
      <c r="Q360" s="431"/>
      <c r="R360" s="103">
        <f t="shared" si="830"/>
        <v>0</v>
      </c>
      <c r="S360" s="104">
        <f t="shared" si="830"/>
        <v>0</v>
      </c>
      <c r="T360" s="104">
        <f t="shared" si="831"/>
        <v>0</v>
      </c>
      <c r="U360" s="104">
        <f t="shared" si="831"/>
        <v>0</v>
      </c>
      <c r="V360" s="104">
        <f t="shared" si="831"/>
        <v>9.9999999999999995E-8</v>
      </c>
      <c r="W360" s="104">
        <f t="shared" si="831"/>
        <v>0</v>
      </c>
      <c r="X360" s="104">
        <f t="shared" si="737"/>
        <v>0</v>
      </c>
      <c r="Y360" s="104">
        <f t="shared" si="737"/>
        <v>9.9999999999999995E-8</v>
      </c>
      <c r="Z360" s="104">
        <f t="shared" si="737"/>
        <v>9.9999999999999995E-8</v>
      </c>
      <c r="AA360" s="105">
        <f t="shared" si="737"/>
        <v>9.9999999999999995E-8</v>
      </c>
      <c r="AB360" s="101" t="e">
        <f>$DT360*HLOOKUP($J360,'Construction Costs (timber)'!$B$1:$V$32,'Construction Planner'!$L360+2,FALSE)</f>
        <v>#N/A</v>
      </c>
      <c r="AC360" s="14" t="e">
        <f>$DT360*HLOOKUP($J360,'Construction Costs (clay)'!$B$1:$V$32,'Construction Planner'!$L360+2,FALSE)</f>
        <v>#N/A</v>
      </c>
      <c r="AD360" s="14" t="e">
        <f>$DT360*HLOOKUP($J360,'Construction Costs (iron)'!$B$1:$V$32,'Construction Planner'!$L360+2,FALSE)</f>
        <v>#N/A</v>
      </c>
      <c r="AE360" s="34" t="e">
        <f t="shared" si="843"/>
        <v>#N/A</v>
      </c>
      <c r="AF360" s="33" t="e">
        <f t="shared" si="780"/>
        <v>#N/A</v>
      </c>
      <c r="AG360" s="14" t="e">
        <f t="shared" si="781"/>
        <v>#N/A</v>
      </c>
      <c r="AH360" s="14" t="e">
        <f t="shared" si="782"/>
        <v>#N/A</v>
      </c>
      <c r="AI360" s="34" t="e">
        <f t="shared" si="844"/>
        <v>#N/A</v>
      </c>
      <c r="AJ360" s="49" t="e">
        <f t="shared" si="804"/>
        <v>#N/A</v>
      </c>
      <c r="AK360" s="49" t="e">
        <f t="shared" si="805"/>
        <v>#N/A</v>
      </c>
      <c r="AL360" s="49" t="e">
        <f t="shared" si="806"/>
        <v>#N/A</v>
      </c>
      <c r="AM360" s="25">
        <f t="shared" si="783"/>
        <v>30</v>
      </c>
      <c r="AN360" s="25">
        <f t="shared" si="784"/>
        <v>30</v>
      </c>
      <c r="AO360" s="25">
        <f t="shared" si="785"/>
        <v>30</v>
      </c>
      <c r="AP360" s="52" t="e">
        <f t="shared" si="807"/>
        <v>#N/A</v>
      </c>
      <c r="AQ360" s="53" t="e">
        <f t="shared" si="807"/>
        <v>#N/A</v>
      </c>
      <c r="AR360" s="54" t="e">
        <f t="shared" si="807"/>
        <v>#N/A</v>
      </c>
      <c r="AS360" s="316">
        <f t="shared" si="877"/>
        <v>0</v>
      </c>
      <c r="AT360" s="106">
        <f>_xlfn.IFNA($M360/VLOOKUP($BT360,'Unit information'!$A$2:$K$29,2,FALSE)*R360,0)*(1+$E$9)</f>
        <v>0</v>
      </c>
      <c r="AU360" s="107">
        <f>_xlfn.IFNA($M360/VLOOKUP($BT360,'Unit information'!$A$2:$K$29,3,FALSE)*S360,0)*(1+$E$9)</f>
        <v>0</v>
      </c>
      <c r="AV360" s="107">
        <f>_xlfn.IFNA($M360/VLOOKUP($BT360,'Unit information'!$A$2:$K$29,4,FALSE)*T360,0)*(1+$E$9)</f>
        <v>0</v>
      </c>
      <c r="AW360" s="107">
        <f>_xlfn.IFNA($M360/VLOOKUP($BT360,'Unit information'!$A$2:$K$29,5,FALSE)*U360,0)*(1+$E$9)</f>
        <v>0</v>
      </c>
      <c r="AX360" s="107">
        <f>_xlfn.IFNA($M360/VLOOKUP($BU360,'Unit information'!$A$2:$K$29,6,FALSE)*V360,0)*(1+$E$9)</f>
        <v>0</v>
      </c>
      <c r="AY360" s="107">
        <f>_xlfn.IFNA($M360/VLOOKUP($BU360,'Unit information'!$A$2:$K$29,7,FALSE)*W360,0)*(1+$E$9)</f>
        <v>0</v>
      </c>
      <c r="AZ360" s="107">
        <f>_xlfn.IFNA($M360/VLOOKUP($BU360,'Unit information'!$A$2:$K$29,8,FALSE)*X360,0)*(1+$E$9)</f>
        <v>0</v>
      </c>
      <c r="BA360" s="107">
        <f>_xlfn.IFNA($M360/VLOOKUP($BU360,'Unit information'!$A$2:$K$29,9,FALSE)*Y360,0)*(1+$E$9)</f>
        <v>0</v>
      </c>
      <c r="BB360" s="107">
        <f>_xlfn.IFNA($M360/VLOOKUP($BV360,'Unit information'!$A$2:$K$29,10,FALSE)*Z360,0)*(1+$E$9)</f>
        <v>0</v>
      </c>
      <c r="BC360" s="108">
        <f>_xlfn.IFNA($M360/VLOOKUP($BV360,'Unit information'!$A$2:$K$29,11,FALSE)*AA360,0)*(1+$E$9)</f>
        <v>0</v>
      </c>
      <c r="BD360" s="106">
        <f t="shared" si="786"/>
        <v>0</v>
      </c>
      <c r="BE360" s="107">
        <f t="shared" si="787"/>
        <v>0</v>
      </c>
      <c r="BF360" s="108">
        <f t="shared" si="788"/>
        <v>0</v>
      </c>
      <c r="BG360" s="25" t="e">
        <f t="shared" si="789"/>
        <v>#N/A</v>
      </c>
      <c r="BH360" s="25" t="e">
        <f t="shared" si="790"/>
        <v>#N/A</v>
      </c>
      <c r="BI360" s="25" t="e">
        <f t="shared" si="791"/>
        <v>#N/A</v>
      </c>
      <c r="BJ360" s="27" t="e">
        <f t="shared" si="792"/>
        <v>#N/A</v>
      </c>
      <c r="BK360" s="18" t="e">
        <f t="shared" si="793"/>
        <v>#N/A</v>
      </c>
      <c r="BL360" s="18" t="e">
        <f t="shared" si="794"/>
        <v>#N/A</v>
      </c>
      <c r="BM360" s="28" t="e">
        <f t="shared" si="846"/>
        <v>#N/A</v>
      </c>
      <c r="BN360" s="33">
        <f>HLOOKUP("maximum population",Miscelaneous!$C$1:$C$33,CH360+3,FALSE)</f>
        <v>240</v>
      </c>
      <c r="BO360" s="14">
        <f t="shared" si="808"/>
        <v>32</v>
      </c>
      <c r="BP360" s="14">
        <f t="shared" si="809"/>
        <v>0</v>
      </c>
      <c r="BQ360" s="14">
        <f t="shared" si="810"/>
        <v>208</v>
      </c>
      <c r="BR360" s="34" t="e">
        <f>HLOOKUP(J360,Villagers!$B$1:$V$33,L360+3,FALSE)-HLOOKUP(J360,Villagers!$B$1:$V$33,L360+2,FALSE)</f>
        <v>#N/A</v>
      </c>
      <c r="BS360" s="49">
        <f t="shared" si="811"/>
        <v>1</v>
      </c>
      <c r="BT360" s="50">
        <f t="shared" si="812"/>
        <v>0</v>
      </c>
      <c r="BU360" s="50">
        <f t="shared" si="813"/>
        <v>0</v>
      </c>
      <c r="BV360" s="50">
        <f t="shared" si="814"/>
        <v>0</v>
      </c>
      <c r="BW360" s="50">
        <f t="shared" ref="BW360:BW367" si="883">IF($J359=BW$14,$L359,BW359)</f>
        <v>0</v>
      </c>
      <c r="BX360" s="50">
        <f t="shared" si="881"/>
        <v>0</v>
      </c>
      <c r="BY360" s="50">
        <f t="shared" si="881"/>
        <v>0</v>
      </c>
      <c r="BZ360" s="50">
        <f t="shared" si="860"/>
        <v>0</v>
      </c>
      <c r="CA360" s="50">
        <f t="shared" si="861"/>
        <v>0</v>
      </c>
      <c r="CB360" s="50">
        <f t="shared" si="862"/>
        <v>1</v>
      </c>
      <c r="CC360" s="50">
        <f t="shared" si="863"/>
        <v>0</v>
      </c>
      <c r="CD360" s="50">
        <f t="shared" si="864"/>
        <v>0</v>
      </c>
      <c r="CE360" s="50">
        <f t="shared" si="865"/>
        <v>1</v>
      </c>
      <c r="CF360" s="50">
        <f t="shared" si="866"/>
        <v>1</v>
      </c>
      <c r="CG360" s="50">
        <f t="shared" si="867"/>
        <v>1</v>
      </c>
      <c r="CH360" s="50">
        <f t="shared" si="868"/>
        <v>1</v>
      </c>
      <c r="CI360" s="50">
        <f t="shared" si="869"/>
        <v>1</v>
      </c>
      <c r="CJ360" s="50">
        <f t="shared" si="870"/>
        <v>1</v>
      </c>
      <c r="CK360" s="50">
        <f t="shared" si="870"/>
        <v>0</v>
      </c>
      <c r="CL360" s="50">
        <f t="shared" si="870"/>
        <v>0</v>
      </c>
      <c r="CM360" s="51">
        <f t="shared" si="795"/>
        <v>0</v>
      </c>
      <c r="CN360" s="33">
        <f>ROUND(IF(BS360=0,0,HLOOKUP(BS$14,Villagers!$B$1:$V$33,BS360+3,FALSE)),)</f>
        <v>5</v>
      </c>
      <c r="CO360" s="14">
        <f>ROUND(IF(BT360=0,0,HLOOKUP(BT$14,Villagers!$B$1:$V$33,BT360+3,FALSE)),)</f>
        <v>0</v>
      </c>
      <c r="CP360" s="14">
        <f>ROUND(IF(BU360=0,0,HLOOKUP(BU$14,Villagers!$B$1:$V$33,BU360+3,FALSE)),)</f>
        <v>0</v>
      </c>
      <c r="CQ360" s="14">
        <f>ROUND(IF(BV360=0,0,HLOOKUP(BV$14,Villagers!$B$1:$V$33,BV360+3,FALSE)),)</f>
        <v>0</v>
      </c>
      <c r="CR360" s="14">
        <f>ROUND(IF(BW360=0,0,HLOOKUP(BW$14,Villagers!$B$1:$V$33,BW360+3,FALSE)),)</f>
        <v>0</v>
      </c>
      <c r="CS360" s="14">
        <f>ROUND(IF(BX360=0,0,HLOOKUP(BX$14,Villagers!$B$1:$V$33,BX360+3,FALSE)),)</f>
        <v>0</v>
      </c>
      <c r="CT360" s="14">
        <f>ROUND(IF(BY360=0,0,HLOOKUP(BY$14,Villagers!$B$1:$V$33,BY360+3,FALSE)),)</f>
        <v>0</v>
      </c>
      <c r="CU360" s="14">
        <f>ROUND(IF(BZ360=0,0,HLOOKUP(BZ$14,Villagers!$B$1:$V$33,BZ360+3,FALSE)),)</f>
        <v>0</v>
      </c>
      <c r="CV360" s="14">
        <f>ROUND(IF(CA360=0,0,HLOOKUP(CA$14,Villagers!$B$1:$V$33,CA360+3,FALSE)),)</f>
        <v>0</v>
      </c>
      <c r="CW360" s="14">
        <f>ROUND(IF(CB360=0,0,HLOOKUP(CB$14,Villagers!$B$1:$V$33,CB360+3,FALSE)),)</f>
        <v>0</v>
      </c>
      <c r="CX360" s="14">
        <f>ROUND(IF(CC360=0,0,HLOOKUP(CC$14,Villagers!$B$1:$V$33,CC360+3,FALSE)),)</f>
        <v>0</v>
      </c>
      <c r="CY360" s="14">
        <f>ROUND(IF(CD360=0,0,HLOOKUP(CD$14,Villagers!$B$1:$V$33,CD360+3,FALSE)),)</f>
        <v>0</v>
      </c>
      <c r="CZ360" s="14">
        <f>ROUND(IF(CE360=0,0,HLOOKUP(CE$14,Villagers!$B$1:$V$33,CE360+3,FALSE)),)</f>
        <v>5</v>
      </c>
      <c r="DA360" s="14">
        <f>ROUND(IF(CF360=0,0,HLOOKUP(CF$14,Villagers!$B$1:$V$33,CF360+3,FALSE)),)</f>
        <v>10</v>
      </c>
      <c r="DB360" s="14">
        <f>ROUND(IF(CG360=0,0,HLOOKUP(CG$14,Villagers!$B$1:$V$33,CG360+3,FALSE)),)</f>
        <v>10</v>
      </c>
      <c r="DC360" s="14">
        <f>ROUND(IF(CH360=0,0,HLOOKUP(CH$14,Villagers!$B$1:$V$33,CH360+3,FALSE)),)</f>
        <v>0</v>
      </c>
      <c r="DD360" s="14">
        <f>ROUND(IF(CI360=0,0,HLOOKUP(CI$14,Villagers!$B$1:$V$33,CI360+3,FALSE)),)</f>
        <v>0</v>
      </c>
      <c r="DE360" s="14">
        <f>ROUND(IF(CJ360=0,0,HLOOKUP(CJ$14,Villagers!$B$1:$V$33,CJ360+3,FALSE)),)</f>
        <v>2</v>
      </c>
      <c r="DF360" s="370">
        <f>ROUND(IF(CK360=0,0,HLOOKUP(CK$14,Villagers!$B$1:$V$33,CK360+3,FALSE)),)</f>
        <v>0</v>
      </c>
      <c r="DG360" s="370">
        <f>ROUND(IF(CL360=0,0,HLOOKUP(CL$14,Villagers!$B$1:$V$33,CL360+3,FALSE)),)</f>
        <v>0</v>
      </c>
      <c r="DH360" s="34">
        <f>ROUND(IF(CM360=0,0,HLOOKUP(CM$14,Villagers!$B$1:$V$33,CM360+3,FALSE)),)</f>
        <v>0</v>
      </c>
      <c r="DI360" s="109">
        <f t="shared" si="832"/>
        <v>0</v>
      </c>
      <c r="DJ360" s="50">
        <f t="shared" si="833"/>
        <v>0</v>
      </c>
      <c r="DK360" s="50">
        <f t="shared" si="834"/>
        <v>0</v>
      </c>
      <c r="DL360" s="50">
        <f t="shared" si="835"/>
        <v>0</v>
      </c>
      <c r="DM360" s="50">
        <f t="shared" si="836"/>
        <v>0</v>
      </c>
      <c r="DN360" s="50">
        <f t="shared" si="837"/>
        <v>0</v>
      </c>
      <c r="DO360" s="50">
        <f t="shared" si="838"/>
        <v>0</v>
      </c>
      <c r="DP360" s="50">
        <f t="shared" si="839"/>
        <v>0</v>
      </c>
      <c r="DQ360" s="50">
        <f t="shared" si="816"/>
        <v>0</v>
      </c>
      <c r="DR360" s="50">
        <f t="shared" si="817"/>
        <v>0</v>
      </c>
      <c r="DS360" s="96">
        <f>Miscelaneous!$D$4*Miscelaneous!$D$2^($CI360-1)</f>
        <v>1000</v>
      </c>
      <c r="DT360" s="333">
        <f t="shared" si="796"/>
        <v>1</v>
      </c>
      <c r="DU360" s="81">
        <v>1</v>
      </c>
      <c r="DV360" s="79">
        <f t="shared" si="818"/>
        <v>0</v>
      </c>
      <c r="DW360" s="79">
        <f t="shared" si="819"/>
        <v>0</v>
      </c>
      <c r="DX360" s="79">
        <f t="shared" si="820"/>
        <v>0</v>
      </c>
      <c r="DY360" s="79">
        <v>1</v>
      </c>
      <c r="DZ360" s="79">
        <f t="shared" si="821"/>
        <v>0</v>
      </c>
      <c r="EA360" s="79">
        <f t="shared" si="822"/>
        <v>0</v>
      </c>
      <c r="EB360" s="79">
        <f t="shared" si="823"/>
        <v>0</v>
      </c>
      <c r="EC360" s="79">
        <f t="shared" si="824"/>
        <v>0</v>
      </c>
      <c r="ED360" s="79">
        <v>1</v>
      </c>
      <c r="EE360" s="79">
        <v>1</v>
      </c>
      <c r="EF360" s="79">
        <f t="shared" si="825"/>
        <v>0</v>
      </c>
      <c r="EG360" s="79">
        <v>1</v>
      </c>
      <c r="EH360" s="79">
        <v>1</v>
      </c>
      <c r="EI360" s="79">
        <v>1</v>
      </c>
      <c r="EJ360" s="79">
        <v>1</v>
      </c>
      <c r="EK360" s="79">
        <v>1</v>
      </c>
      <c r="EL360" s="79">
        <v>1</v>
      </c>
      <c r="EM360" s="143">
        <f t="shared" si="826"/>
        <v>0</v>
      </c>
      <c r="EN360" s="143">
        <f t="shared" si="827"/>
        <v>0</v>
      </c>
      <c r="EO360" s="82">
        <f t="shared" si="828"/>
        <v>0</v>
      </c>
    </row>
    <row r="361" spans="1:145" x14ac:dyDescent="0.25">
      <c r="A361">
        <v>347</v>
      </c>
      <c r="B361" s="172" t="e">
        <f t="shared" si="797"/>
        <v>#N/A</v>
      </c>
      <c r="C361" s="121" t="e">
        <f t="shared" ref="C361:E361" si="884">AJ361-SUM(AB361:AB365)</f>
        <v>#N/A</v>
      </c>
      <c r="D361" s="122" t="e">
        <f t="shared" si="884"/>
        <v>#N/A</v>
      </c>
      <c r="E361" s="122" t="e">
        <f t="shared" si="884"/>
        <v>#N/A</v>
      </c>
      <c r="F361" s="176" t="e">
        <f t="shared" si="778"/>
        <v>#N/A</v>
      </c>
      <c r="G361" s="121">
        <f t="shared" si="799"/>
        <v>208</v>
      </c>
      <c r="H361" s="176" t="e">
        <f t="shared" si="800"/>
        <v>#N/A</v>
      </c>
      <c r="I361" s="48">
        <v>1</v>
      </c>
      <c r="J361" s="39"/>
      <c r="K361" s="350">
        <v>1</v>
      </c>
      <c r="L361" s="34" t="e">
        <f t="shared" si="779"/>
        <v>#N/A</v>
      </c>
      <c r="M361" s="38" t="e">
        <f>(HLOOKUP(J361,'Construction Times'!$B$3:$W$34,L361+2,FALSE)*HLOOKUP("hq modifier",'Construction Times'!$W$3:$W$34,BS361+2,FALSE))*(1-$H$9)</f>
        <v>#N/A</v>
      </c>
      <c r="N361" s="426" t="e">
        <f t="shared" si="801"/>
        <v>#N/A</v>
      </c>
      <c r="O361" s="427"/>
      <c r="P361" s="430" t="e">
        <f t="shared" si="802"/>
        <v>#N/A</v>
      </c>
      <c r="Q361" s="431"/>
      <c r="R361" s="103">
        <f t="shared" si="830"/>
        <v>0</v>
      </c>
      <c r="S361" s="104">
        <f t="shared" si="830"/>
        <v>0</v>
      </c>
      <c r="T361" s="104">
        <f t="shared" si="831"/>
        <v>0</v>
      </c>
      <c r="U361" s="104">
        <f t="shared" si="831"/>
        <v>0</v>
      </c>
      <c r="V361" s="104">
        <f t="shared" si="831"/>
        <v>9.9999999999999995E-8</v>
      </c>
      <c r="W361" s="104">
        <f t="shared" si="831"/>
        <v>0</v>
      </c>
      <c r="X361" s="104">
        <f t="shared" si="737"/>
        <v>0</v>
      </c>
      <c r="Y361" s="104">
        <f t="shared" si="737"/>
        <v>9.9999999999999995E-8</v>
      </c>
      <c r="Z361" s="104">
        <f t="shared" si="737"/>
        <v>9.9999999999999995E-8</v>
      </c>
      <c r="AA361" s="105">
        <f t="shared" si="737"/>
        <v>9.9999999999999995E-8</v>
      </c>
      <c r="AB361" s="101" t="e">
        <f>$DT361*HLOOKUP($J361,'Construction Costs (timber)'!$B$1:$V$32,'Construction Planner'!$L361+2,FALSE)</f>
        <v>#N/A</v>
      </c>
      <c r="AC361" s="14" t="e">
        <f>$DT361*HLOOKUP($J361,'Construction Costs (clay)'!$B$1:$V$32,'Construction Planner'!$L361+2,FALSE)</f>
        <v>#N/A</v>
      </c>
      <c r="AD361" s="14" t="e">
        <f>$DT361*HLOOKUP($J361,'Construction Costs (iron)'!$B$1:$V$32,'Construction Planner'!$L361+2,FALSE)</f>
        <v>#N/A</v>
      </c>
      <c r="AE361" s="34" t="e">
        <f t="shared" si="843"/>
        <v>#N/A</v>
      </c>
      <c r="AF361" s="33" t="e">
        <f t="shared" si="780"/>
        <v>#N/A</v>
      </c>
      <c r="AG361" s="14" t="e">
        <f t="shared" si="781"/>
        <v>#N/A</v>
      </c>
      <c r="AH361" s="14" t="e">
        <f t="shared" si="782"/>
        <v>#N/A</v>
      </c>
      <c r="AI361" s="34" t="e">
        <f t="shared" si="844"/>
        <v>#N/A</v>
      </c>
      <c r="AJ361" s="49" t="e">
        <f t="shared" si="804"/>
        <v>#N/A</v>
      </c>
      <c r="AK361" s="49" t="e">
        <f t="shared" si="805"/>
        <v>#N/A</v>
      </c>
      <c r="AL361" s="49" t="e">
        <f t="shared" si="806"/>
        <v>#N/A</v>
      </c>
      <c r="AM361" s="25">
        <f t="shared" si="783"/>
        <v>30</v>
      </c>
      <c r="AN361" s="25">
        <f t="shared" si="784"/>
        <v>30</v>
      </c>
      <c r="AO361" s="25">
        <f t="shared" si="785"/>
        <v>30</v>
      </c>
      <c r="AP361" s="52" t="e">
        <f t="shared" si="807"/>
        <v>#N/A</v>
      </c>
      <c r="AQ361" s="53" t="e">
        <f t="shared" si="807"/>
        <v>#N/A</v>
      </c>
      <c r="AR361" s="54" t="e">
        <f t="shared" si="807"/>
        <v>#N/A</v>
      </c>
      <c r="AS361" s="316">
        <f t="shared" si="877"/>
        <v>0</v>
      </c>
      <c r="AT361" s="106">
        <f>_xlfn.IFNA($M361/VLOOKUP($BT361,'Unit information'!$A$2:$K$29,2,FALSE)*R361,0)*(1+$E$9)</f>
        <v>0</v>
      </c>
      <c r="AU361" s="107">
        <f>_xlfn.IFNA($M361/VLOOKUP($BT361,'Unit information'!$A$2:$K$29,3,FALSE)*S361,0)*(1+$E$9)</f>
        <v>0</v>
      </c>
      <c r="AV361" s="107">
        <f>_xlfn.IFNA($M361/VLOOKUP($BT361,'Unit information'!$A$2:$K$29,4,FALSE)*T361,0)*(1+$E$9)</f>
        <v>0</v>
      </c>
      <c r="AW361" s="107">
        <f>_xlfn.IFNA($M361/VLOOKUP($BT361,'Unit information'!$A$2:$K$29,5,FALSE)*U361,0)*(1+$E$9)</f>
        <v>0</v>
      </c>
      <c r="AX361" s="107">
        <f>_xlfn.IFNA($M361/VLOOKUP($BU361,'Unit information'!$A$2:$K$29,6,FALSE)*V361,0)*(1+$E$9)</f>
        <v>0</v>
      </c>
      <c r="AY361" s="107">
        <f>_xlfn.IFNA($M361/VLOOKUP($BU361,'Unit information'!$A$2:$K$29,7,FALSE)*W361,0)*(1+$E$9)</f>
        <v>0</v>
      </c>
      <c r="AZ361" s="107">
        <f>_xlfn.IFNA($M361/VLOOKUP($BU361,'Unit information'!$A$2:$K$29,8,FALSE)*X361,0)*(1+$E$9)</f>
        <v>0</v>
      </c>
      <c r="BA361" s="107">
        <f>_xlfn.IFNA($M361/VLOOKUP($BU361,'Unit information'!$A$2:$K$29,9,FALSE)*Y361,0)*(1+$E$9)</f>
        <v>0</v>
      </c>
      <c r="BB361" s="107">
        <f>_xlfn.IFNA($M361/VLOOKUP($BV361,'Unit information'!$A$2:$K$29,10,FALSE)*Z361,0)*(1+$E$9)</f>
        <v>0</v>
      </c>
      <c r="BC361" s="108">
        <f>_xlfn.IFNA($M361/VLOOKUP($BV361,'Unit information'!$A$2:$K$29,11,FALSE)*AA361,0)*(1+$E$9)</f>
        <v>0</v>
      </c>
      <c r="BD361" s="106">
        <f t="shared" si="786"/>
        <v>0</v>
      </c>
      <c r="BE361" s="107">
        <f t="shared" si="787"/>
        <v>0</v>
      </c>
      <c r="BF361" s="108">
        <f t="shared" si="788"/>
        <v>0</v>
      </c>
      <c r="BG361" s="25" t="e">
        <f t="shared" si="789"/>
        <v>#N/A</v>
      </c>
      <c r="BH361" s="25" t="e">
        <f t="shared" si="790"/>
        <v>#N/A</v>
      </c>
      <c r="BI361" s="25" t="e">
        <f t="shared" si="791"/>
        <v>#N/A</v>
      </c>
      <c r="BJ361" s="27" t="e">
        <f t="shared" si="792"/>
        <v>#N/A</v>
      </c>
      <c r="BK361" s="18" t="e">
        <f t="shared" si="793"/>
        <v>#N/A</v>
      </c>
      <c r="BL361" s="18" t="e">
        <f t="shared" si="794"/>
        <v>#N/A</v>
      </c>
      <c r="BM361" s="28" t="e">
        <f t="shared" si="846"/>
        <v>#N/A</v>
      </c>
      <c r="BN361" s="33">
        <f>HLOOKUP("maximum population",Miscelaneous!$C$1:$C$33,CH361+3,FALSE)</f>
        <v>240</v>
      </c>
      <c r="BO361" s="14">
        <f t="shared" si="808"/>
        <v>32</v>
      </c>
      <c r="BP361" s="14">
        <f t="shared" si="809"/>
        <v>0</v>
      </c>
      <c r="BQ361" s="14">
        <f t="shared" si="810"/>
        <v>208</v>
      </c>
      <c r="BR361" s="34" t="e">
        <f>HLOOKUP(J361,Villagers!$B$1:$V$33,L361+3,FALSE)-HLOOKUP(J361,Villagers!$B$1:$V$33,L361+2,FALSE)</f>
        <v>#N/A</v>
      </c>
      <c r="BS361" s="49">
        <f t="shared" si="811"/>
        <v>1</v>
      </c>
      <c r="BT361" s="50">
        <f t="shared" si="812"/>
        <v>0</v>
      </c>
      <c r="BU361" s="50">
        <f t="shared" si="813"/>
        <v>0</v>
      </c>
      <c r="BV361" s="50">
        <f t="shared" si="814"/>
        <v>0</v>
      </c>
      <c r="BW361" s="50">
        <f t="shared" si="883"/>
        <v>0</v>
      </c>
      <c r="BX361" s="50">
        <f t="shared" si="881"/>
        <v>0</v>
      </c>
      <c r="BY361" s="50">
        <f t="shared" si="881"/>
        <v>0</v>
      </c>
      <c r="BZ361" s="50">
        <f t="shared" si="860"/>
        <v>0</v>
      </c>
      <c r="CA361" s="50">
        <f t="shared" si="861"/>
        <v>0</v>
      </c>
      <c r="CB361" s="50">
        <f t="shared" si="862"/>
        <v>1</v>
      </c>
      <c r="CC361" s="50">
        <f t="shared" si="863"/>
        <v>0</v>
      </c>
      <c r="CD361" s="50">
        <f t="shared" si="864"/>
        <v>0</v>
      </c>
      <c r="CE361" s="50">
        <f t="shared" si="865"/>
        <v>1</v>
      </c>
      <c r="CF361" s="50">
        <f t="shared" si="866"/>
        <v>1</v>
      </c>
      <c r="CG361" s="50">
        <f t="shared" si="867"/>
        <v>1</v>
      </c>
      <c r="CH361" s="50">
        <f t="shared" si="868"/>
        <v>1</v>
      </c>
      <c r="CI361" s="50">
        <f t="shared" si="869"/>
        <v>1</v>
      </c>
      <c r="CJ361" s="50">
        <f t="shared" si="870"/>
        <v>1</v>
      </c>
      <c r="CK361" s="50">
        <f t="shared" si="870"/>
        <v>0</v>
      </c>
      <c r="CL361" s="50">
        <f t="shared" si="870"/>
        <v>0</v>
      </c>
      <c r="CM361" s="51">
        <f t="shared" si="795"/>
        <v>0</v>
      </c>
      <c r="CN361" s="33">
        <f>ROUND(IF(BS361=0,0,HLOOKUP(BS$14,Villagers!$B$1:$V$33,BS361+3,FALSE)),)</f>
        <v>5</v>
      </c>
      <c r="CO361" s="14">
        <f>ROUND(IF(BT361=0,0,HLOOKUP(BT$14,Villagers!$B$1:$V$33,BT361+3,FALSE)),)</f>
        <v>0</v>
      </c>
      <c r="CP361" s="14">
        <f>ROUND(IF(BU361=0,0,HLOOKUP(BU$14,Villagers!$B$1:$V$33,BU361+3,FALSE)),)</f>
        <v>0</v>
      </c>
      <c r="CQ361" s="14">
        <f>ROUND(IF(BV361=0,0,HLOOKUP(BV$14,Villagers!$B$1:$V$33,BV361+3,FALSE)),)</f>
        <v>0</v>
      </c>
      <c r="CR361" s="14">
        <f>ROUND(IF(BW361=0,0,HLOOKUP(BW$14,Villagers!$B$1:$V$33,BW361+3,FALSE)),)</f>
        <v>0</v>
      </c>
      <c r="CS361" s="14">
        <f>ROUND(IF(BX361=0,0,HLOOKUP(BX$14,Villagers!$B$1:$V$33,BX361+3,FALSE)),)</f>
        <v>0</v>
      </c>
      <c r="CT361" s="14">
        <f>ROUND(IF(BY361=0,0,HLOOKUP(BY$14,Villagers!$B$1:$V$33,BY361+3,FALSE)),)</f>
        <v>0</v>
      </c>
      <c r="CU361" s="14">
        <f>ROUND(IF(BZ361=0,0,HLOOKUP(BZ$14,Villagers!$B$1:$V$33,BZ361+3,FALSE)),)</f>
        <v>0</v>
      </c>
      <c r="CV361" s="14">
        <f>ROUND(IF(CA361=0,0,HLOOKUP(CA$14,Villagers!$B$1:$V$33,CA361+3,FALSE)),)</f>
        <v>0</v>
      </c>
      <c r="CW361" s="14">
        <f>ROUND(IF(CB361=0,0,HLOOKUP(CB$14,Villagers!$B$1:$V$33,CB361+3,FALSE)),)</f>
        <v>0</v>
      </c>
      <c r="CX361" s="14">
        <f>ROUND(IF(CC361=0,0,HLOOKUP(CC$14,Villagers!$B$1:$V$33,CC361+3,FALSE)),)</f>
        <v>0</v>
      </c>
      <c r="CY361" s="14">
        <f>ROUND(IF(CD361=0,0,HLOOKUP(CD$14,Villagers!$B$1:$V$33,CD361+3,FALSE)),)</f>
        <v>0</v>
      </c>
      <c r="CZ361" s="14">
        <f>ROUND(IF(CE361=0,0,HLOOKUP(CE$14,Villagers!$B$1:$V$33,CE361+3,FALSE)),)</f>
        <v>5</v>
      </c>
      <c r="DA361" s="14">
        <f>ROUND(IF(CF361=0,0,HLOOKUP(CF$14,Villagers!$B$1:$V$33,CF361+3,FALSE)),)</f>
        <v>10</v>
      </c>
      <c r="DB361" s="14">
        <f>ROUND(IF(CG361=0,0,HLOOKUP(CG$14,Villagers!$B$1:$V$33,CG361+3,FALSE)),)</f>
        <v>10</v>
      </c>
      <c r="DC361" s="14">
        <f>ROUND(IF(CH361=0,0,HLOOKUP(CH$14,Villagers!$B$1:$V$33,CH361+3,FALSE)),)</f>
        <v>0</v>
      </c>
      <c r="DD361" s="14">
        <f>ROUND(IF(CI361=0,0,HLOOKUP(CI$14,Villagers!$B$1:$V$33,CI361+3,FALSE)),)</f>
        <v>0</v>
      </c>
      <c r="DE361" s="14">
        <f>ROUND(IF(CJ361=0,0,HLOOKUP(CJ$14,Villagers!$B$1:$V$33,CJ361+3,FALSE)),)</f>
        <v>2</v>
      </c>
      <c r="DF361" s="370">
        <f>ROUND(IF(CK361=0,0,HLOOKUP(CK$14,Villagers!$B$1:$V$33,CK361+3,FALSE)),)</f>
        <v>0</v>
      </c>
      <c r="DG361" s="370">
        <f>ROUND(IF(CL361=0,0,HLOOKUP(CL$14,Villagers!$B$1:$V$33,CL361+3,FALSE)),)</f>
        <v>0</v>
      </c>
      <c r="DH361" s="34">
        <f>ROUND(IF(CM361=0,0,HLOOKUP(CM$14,Villagers!$B$1:$V$33,CM361+3,FALSE)),)</f>
        <v>0</v>
      </c>
      <c r="DI361" s="109">
        <f t="shared" si="832"/>
        <v>0</v>
      </c>
      <c r="DJ361" s="50">
        <f t="shared" si="833"/>
        <v>0</v>
      </c>
      <c r="DK361" s="50">
        <f t="shared" si="834"/>
        <v>0</v>
      </c>
      <c r="DL361" s="50">
        <f t="shared" si="835"/>
        <v>0</v>
      </c>
      <c r="DM361" s="50">
        <f t="shared" si="836"/>
        <v>0</v>
      </c>
      <c r="DN361" s="50">
        <f t="shared" si="837"/>
        <v>0</v>
      </c>
      <c r="DO361" s="50">
        <f t="shared" si="838"/>
        <v>0</v>
      </c>
      <c r="DP361" s="50">
        <f t="shared" si="839"/>
        <v>0</v>
      </c>
      <c r="DQ361" s="50">
        <f t="shared" si="816"/>
        <v>0</v>
      </c>
      <c r="DR361" s="50">
        <f t="shared" si="817"/>
        <v>0</v>
      </c>
      <c r="DS361" s="96">
        <f>Miscelaneous!$D$4*Miscelaneous!$D$2^($CI361-1)</f>
        <v>1000</v>
      </c>
      <c r="DT361" s="333">
        <f t="shared" si="796"/>
        <v>1</v>
      </c>
      <c r="DU361" s="81">
        <v>1</v>
      </c>
      <c r="DV361" s="79">
        <f t="shared" si="818"/>
        <v>0</v>
      </c>
      <c r="DW361" s="79">
        <f t="shared" si="819"/>
        <v>0</v>
      </c>
      <c r="DX361" s="79">
        <f t="shared" si="820"/>
        <v>0</v>
      </c>
      <c r="DY361" s="79">
        <v>1</v>
      </c>
      <c r="DZ361" s="79">
        <f t="shared" si="821"/>
        <v>0</v>
      </c>
      <c r="EA361" s="79">
        <f t="shared" si="822"/>
        <v>0</v>
      </c>
      <c r="EB361" s="79">
        <f t="shared" si="823"/>
        <v>0</v>
      </c>
      <c r="EC361" s="79">
        <f t="shared" si="824"/>
        <v>0</v>
      </c>
      <c r="ED361" s="79">
        <v>1</v>
      </c>
      <c r="EE361" s="79">
        <v>1</v>
      </c>
      <c r="EF361" s="79">
        <f t="shared" si="825"/>
        <v>0</v>
      </c>
      <c r="EG361" s="79">
        <v>1</v>
      </c>
      <c r="EH361" s="79">
        <v>1</v>
      </c>
      <c r="EI361" s="79">
        <v>1</v>
      </c>
      <c r="EJ361" s="79">
        <v>1</v>
      </c>
      <c r="EK361" s="79">
        <v>1</v>
      </c>
      <c r="EL361" s="79">
        <v>1</v>
      </c>
      <c r="EM361" s="143">
        <f t="shared" si="826"/>
        <v>0</v>
      </c>
      <c r="EN361" s="143">
        <f t="shared" si="827"/>
        <v>0</v>
      </c>
      <c r="EO361" s="82">
        <f t="shared" si="828"/>
        <v>0</v>
      </c>
    </row>
    <row r="362" spans="1:145" x14ac:dyDescent="0.25">
      <c r="A362">
        <v>348</v>
      </c>
      <c r="B362" s="172" t="e">
        <f t="shared" si="797"/>
        <v>#N/A</v>
      </c>
      <c r="C362" s="121" t="e">
        <f t="shared" ref="C362:E362" si="885">AJ362-SUM(AB362:AB366)</f>
        <v>#N/A</v>
      </c>
      <c r="D362" s="122" t="e">
        <f t="shared" si="885"/>
        <v>#N/A</v>
      </c>
      <c r="E362" s="122" t="e">
        <f t="shared" si="885"/>
        <v>#N/A</v>
      </c>
      <c r="F362" s="176" t="e">
        <f t="shared" si="778"/>
        <v>#N/A</v>
      </c>
      <c r="G362" s="121">
        <f t="shared" si="799"/>
        <v>208</v>
      </c>
      <c r="H362" s="176" t="e">
        <f t="shared" si="800"/>
        <v>#N/A</v>
      </c>
      <c r="I362" s="48">
        <v>1</v>
      </c>
      <c r="J362" s="39"/>
      <c r="K362" s="350">
        <v>1</v>
      </c>
      <c r="L362" s="34" t="e">
        <f t="shared" si="779"/>
        <v>#N/A</v>
      </c>
      <c r="M362" s="38" t="e">
        <f>(HLOOKUP(J362,'Construction Times'!$B$3:$W$34,L362+2,FALSE)*HLOOKUP("hq modifier",'Construction Times'!$W$3:$W$34,BS362+2,FALSE))*(1-$H$9)</f>
        <v>#N/A</v>
      </c>
      <c r="N362" s="426" t="e">
        <f t="shared" si="801"/>
        <v>#N/A</v>
      </c>
      <c r="O362" s="427"/>
      <c r="P362" s="430" t="e">
        <f t="shared" si="802"/>
        <v>#N/A</v>
      </c>
      <c r="Q362" s="431"/>
      <c r="R362" s="103">
        <f t="shared" si="830"/>
        <v>0</v>
      </c>
      <c r="S362" s="104">
        <f t="shared" si="830"/>
        <v>0</v>
      </c>
      <c r="T362" s="104">
        <f t="shared" si="831"/>
        <v>0</v>
      </c>
      <c r="U362" s="104">
        <f t="shared" si="831"/>
        <v>0</v>
      </c>
      <c r="V362" s="104">
        <f t="shared" si="831"/>
        <v>9.9999999999999995E-8</v>
      </c>
      <c r="W362" s="104">
        <f t="shared" si="831"/>
        <v>0</v>
      </c>
      <c r="X362" s="104">
        <f t="shared" si="737"/>
        <v>0</v>
      </c>
      <c r="Y362" s="104">
        <f t="shared" si="737"/>
        <v>9.9999999999999995E-8</v>
      </c>
      <c r="Z362" s="104">
        <f t="shared" si="737"/>
        <v>9.9999999999999995E-8</v>
      </c>
      <c r="AA362" s="105">
        <f t="shared" si="737"/>
        <v>9.9999999999999995E-8</v>
      </c>
      <c r="AB362" s="101" t="e">
        <f>$DT362*HLOOKUP($J362,'Construction Costs (timber)'!$B$1:$V$32,'Construction Planner'!$L362+2,FALSE)</f>
        <v>#N/A</v>
      </c>
      <c r="AC362" s="14" t="e">
        <f>$DT362*HLOOKUP($J362,'Construction Costs (clay)'!$B$1:$V$32,'Construction Planner'!$L362+2,FALSE)</f>
        <v>#N/A</v>
      </c>
      <c r="AD362" s="14" t="e">
        <f>$DT362*HLOOKUP($J362,'Construction Costs (iron)'!$B$1:$V$32,'Construction Planner'!$L362+2,FALSE)</f>
        <v>#N/A</v>
      </c>
      <c r="AE362" s="34" t="e">
        <f t="shared" si="843"/>
        <v>#N/A</v>
      </c>
      <c r="AF362" s="33" t="e">
        <f t="shared" si="780"/>
        <v>#N/A</v>
      </c>
      <c r="AG362" s="14" t="e">
        <f t="shared" si="781"/>
        <v>#N/A</v>
      </c>
      <c r="AH362" s="14" t="e">
        <f t="shared" si="782"/>
        <v>#N/A</v>
      </c>
      <c r="AI362" s="34" t="e">
        <f t="shared" si="844"/>
        <v>#N/A</v>
      </c>
      <c r="AJ362" s="49" t="e">
        <f t="shared" si="804"/>
        <v>#N/A</v>
      </c>
      <c r="AK362" s="49" t="e">
        <f t="shared" si="805"/>
        <v>#N/A</v>
      </c>
      <c r="AL362" s="49" t="e">
        <f t="shared" si="806"/>
        <v>#N/A</v>
      </c>
      <c r="AM362" s="25">
        <f t="shared" si="783"/>
        <v>30</v>
      </c>
      <c r="AN362" s="25">
        <f t="shared" si="784"/>
        <v>30</v>
      </c>
      <c r="AO362" s="25">
        <f t="shared" si="785"/>
        <v>30</v>
      </c>
      <c r="AP362" s="52" t="e">
        <f t="shared" si="807"/>
        <v>#N/A</v>
      </c>
      <c r="AQ362" s="53" t="e">
        <f t="shared" si="807"/>
        <v>#N/A</v>
      </c>
      <c r="AR362" s="54" t="e">
        <f t="shared" si="807"/>
        <v>#N/A</v>
      </c>
      <c r="AS362" s="316">
        <f t="shared" si="877"/>
        <v>0</v>
      </c>
      <c r="AT362" s="106">
        <f>_xlfn.IFNA($M362/VLOOKUP($BT362,'Unit information'!$A$2:$K$29,2,FALSE)*R362,0)*(1+$E$9)</f>
        <v>0</v>
      </c>
      <c r="AU362" s="107">
        <f>_xlfn.IFNA($M362/VLOOKUP($BT362,'Unit information'!$A$2:$K$29,3,FALSE)*S362,0)*(1+$E$9)</f>
        <v>0</v>
      </c>
      <c r="AV362" s="107">
        <f>_xlfn.IFNA($M362/VLOOKUP($BT362,'Unit information'!$A$2:$K$29,4,FALSE)*T362,0)*(1+$E$9)</f>
        <v>0</v>
      </c>
      <c r="AW362" s="107">
        <f>_xlfn.IFNA($M362/VLOOKUP($BT362,'Unit information'!$A$2:$K$29,5,FALSE)*U362,0)*(1+$E$9)</f>
        <v>0</v>
      </c>
      <c r="AX362" s="107">
        <f>_xlfn.IFNA($M362/VLOOKUP($BU362,'Unit information'!$A$2:$K$29,6,FALSE)*V362,0)*(1+$E$9)</f>
        <v>0</v>
      </c>
      <c r="AY362" s="107">
        <f>_xlfn.IFNA($M362/VLOOKUP($BU362,'Unit information'!$A$2:$K$29,7,FALSE)*W362,0)*(1+$E$9)</f>
        <v>0</v>
      </c>
      <c r="AZ362" s="107">
        <f>_xlfn.IFNA($M362/VLOOKUP($BU362,'Unit information'!$A$2:$K$29,8,FALSE)*X362,0)*(1+$E$9)</f>
        <v>0</v>
      </c>
      <c r="BA362" s="107">
        <f>_xlfn.IFNA($M362/VLOOKUP($BU362,'Unit information'!$A$2:$K$29,9,FALSE)*Y362,0)*(1+$E$9)</f>
        <v>0</v>
      </c>
      <c r="BB362" s="107">
        <f>_xlfn.IFNA($M362/VLOOKUP($BV362,'Unit information'!$A$2:$K$29,10,FALSE)*Z362,0)*(1+$E$9)</f>
        <v>0</v>
      </c>
      <c r="BC362" s="108">
        <f>_xlfn.IFNA($M362/VLOOKUP($BV362,'Unit information'!$A$2:$K$29,11,FALSE)*AA362,0)*(1+$E$9)</f>
        <v>0</v>
      </c>
      <c r="BD362" s="106">
        <f t="shared" si="786"/>
        <v>0</v>
      </c>
      <c r="BE362" s="107">
        <f t="shared" si="787"/>
        <v>0</v>
      </c>
      <c r="BF362" s="108">
        <f t="shared" si="788"/>
        <v>0</v>
      </c>
      <c r="BG362" s="25" t="e">
        <f t="shared" si="789"/>
        <v>#N/A</v>
      </c>
      <c r="BH362" s="25" t="e">
        <f t="shared" si="790"/>
        <v>#N/A</v>
      </c>
      <c r="BI362" s="25" t="e">
        <f t="shared" si="791"/>
        <v>#N/A</v>
      </c>
      <c r="BJ362" s="27" t="e">
        <f t="shared" si="792"/>
        <v>#N/A</v>
      </c>
      <c r="BK362" s="18" t="e">
        <f t="shared" si="793"/>
        <v>#N/A</v>
      </c>
      <c r="BL362" s="18" t="e">
        <f t="shared" si="794"/>
        <v>#N/A</v>
      </c>
      <c r="BM362" s="28" t="e">
        <f t="shared" si="846"/>
        <v>#N/A</v>
      </c>
      <c r="BN362" s="33">
        <f>HLOOKUP("maximum population",Miscelaneous!$C$1:$C$33,CH362+3,FALSE)</f>
        <v>240</v>
      </c>
      <c r="BO362" s="14">
        <f t="shared" si="808"/>
        <v>32</v>
      </c>
      <c r="BP362" s="14">
        <f t="shared" si="809"/>
        <v>0</v>
      </c>
      <c r="BQ362" s="14">
        <f t="shared" si="810"/>
        <v>208</v>
      </c>
      <c r="BR362" s="34" t="e">
        <f>HLOOKUP(J362,Villagers!$B$1:$V$33,L362+3,FALSE)-HLOOKUP(J362,Villagers!$B$1:$V$33,L362+2,FALSE)</f>
        <v>#N/A</v>
      </c>
      <c r="BS362" s="49">
        <f t="shared" si="811"/>
        <v>1</v>
      </c>
      <c r="BT362" s="50">
        <f t="shared" si="812"/>
        <v>0</v>
      </c>
      <c r="BU362" s="50">
        <f t="shared" si="813"/>
        <v>0</v>
      </c>
      <c r="BV362" s="50">
        <f t="shared" si="814"/>
        <v>0</v>
      </c>
      <c r="BW362" s="50">
        <f t="shared" si="883"/>
        <v>0</v>
      </c>
      <c r="BX362" s="50">
        <f t="shared" si="881"/>
        <v>0</v>
      </c>
      <c r="BY362" s="50">
        <f t="shared" si="881"/>
        <v>0</v>
      </c>
      <c r="BZ362" s="50">
        <f t="shared" si="860"/>
        <v>0</v>
      </c>
      <c r="CA362" s="50">
        <f t="shared" si="861"/>
        <v>0</v>
      </c>
      <c r="CB362" s="50">
        <f t="shared" si="862"/>
        <v>1</v>
      </c>
      <c r="CC362" s="50">
        <f t="shared" si="863"/>
        <v>0</v>
      </c>
      <c r="CD362" s="50">
        <f t="shared" si="864"/>
        <v>0</v>
      </c>
      <c r="CE362" s="50">
        <f t="shared" si="865"/>
        <v>1</v>
      </c>
      <c r="CF362" s="50">
        <f t="shared" si="866"/>
        <v>1</v>
      </c>
      <c r="CG362" s="50">
        <f t="shared" si="867"/>
        <v>1</v>
      </c>
      <c r="CH362" s="50">
        <f t="shared" si="868"/>
        <v>1</v>
      </c>
      <c r="CI362" s="50">
        <f t="shared" si="869"/>
        <v>1</v>
      </c>
      <c r="CJ362" s="50">
        <f t="shared" si="870"/>
        <v>1</v>
      </c>
      <c r="CK362" s="50">
        <f t="shared" si="870"/>
        <v>0</v>
      </c>
      <c r="CL362" s="50">
        <f t="shared" si="870"/>
        <v>0</v>
      </c>
      <c r="CM362" s="51">
        <f t="shared" si="795"/>
        <v>0</v>
      </c>
      <c r="CN362" s="33">
        <f>ROUND(IF(BS362=0,0,HLOOKUP(BS$14,Villagers!$B$1:$V$33,BS362+3,FALSE)),)</f>
        <v>5</v>
      </c>
      <c r="CO362" s="14">
        <f>ROUND(IF(BT362=0,0,HLOOKUP(BT$14,Villagers!$B$1:$V$33,BT362+3,FALSE)),)</f>
        <v>0</v>
      </c>
      <c r="CP362" s="14">
        <f>ROUND(IF(BU362=0,0,HLOOKUP(BU$14,Villagers!$B$1:$V$33,BU362+3,FALSE)),)</f>
        <v>0</v>
      </c>
      <c r="CQ362" s="14">
        <f>ROUND(IF(BV362=0,0,HLOOKUP(BV$14,Villagers!$B$1:$V$33,BV362+3,FALSE)),)</f>
        <v>0</v>
      </c>
      <c r="CR362" s="14">
        <f>ROUND(IF(BW362=0,0,HLOOKUP(BW$14,Villagers!$B$1:$V$33,BW362+3,FALSE)),)</f>
        <v>0</v>
      </c>
      <c r="CS362" s="14">
        <f>ROUND(IF(BX362=0,0,HLOOKUP(BX$14,Villagers!$B$1:$V$33,BX362+3,FALSE)),)</f>
        <v>0</v>
      </c>
      <c r="CT362" s="14">
        <f>ROUND(IF(BY362=0,0,HLOOKUP(BY$14,Villagers!$B$1:$V$33,BY362+3,FALSE)),)</f>
        <v>0</v>
      </c>
      <c r="CU362" s="14">
        <f>ROUND(IF(BZ362=0,0,HLOOKUP(BZ$14,Villagers!$B$1:$V$33,BZ362+3,FALSE)),)</f>
        <v>0</v>
      </c>
      <c r="CV362" s="14">
        <f>ROUND(IF(CA362=0,0,HLOOKUP(CA$14,Villagers!$B$1:$V$33,CA362+3,FALSE)),)</f>
        <v>0</v>
      </c>
      <c r="CW362" s="14">
        <f>ROUND(IF(CB362=0,0,HLOOKUP(CB$14,Villagers!$B$1:$V$33,CB362+3,FALSE)),)</f>
        <v>0</v>
      </c>
      <c r="CX362" s="14">
        <f>ROUND(IF(CC362=0,0,HLOOKUP(CC$14,Villagers!$B$1:$V$33,CC362+3,FALSE)),)</f>
        <v>0</v>
      </c>
      <c r="CY362" s="14">
        <f>ROUND(IF(CD362=0,0,HLOOKUP(CD$14,Villagers!$B$1:$V$33,CD362+3,FALSE)),)</f>
        <v>0</v>
      </c>
      <c r="CZ362" s="14">
        <f>ROUND(IF(CE362=0,0,HLOOKUP(CE$14,Villagers!$B$1:$V$33,CE362+3,FALSE)),)</f>
        <v>5</v>
      </c>
      <c r="DA362" s="14">
        <f>ROUND(IF(CF362=0,0,HLOOKUP(CF$14,Villagers!$B$1:$V$33,CF362+3,FALSE)),)</f>
        <v>10</v>
      </c>
      <c r="DB362" s="14">
        <f>ROUND(IF(CG362=0,0,HLOOKUP(CG$14,Villagers!$B$1:$V$33,CG362+3,FALSE)),)</f>
        <v>10</v>
      </c>
      <c r="DC362" s="14">
        <f>ROUND(IF(CH362=0,0,HLOOKUP(CH$14,Villagers!$B$1:$V$33,CH362+3,FALSE)),)</f>
        <v>0</v>
      </c>
      <c r="DD362" s="14">
        <f>ROUND(IF(CI362=0,0,HLOOKUP(CI$14,Villagers!$B$1:$V$33,CI362+3,FALSE)),)</f>
        <v>0</v>
      </c>
      <c r="DE362" s="14">
        <f>ROUND(IF(CJ362=0,0,HLOOKUP(CJ$14,Villagers!$B$1:$V$33,CJ362+3,FALSE)),)</f>
        <v>2</v>
      </c>
      <c r="DF362" s="370">
        <f>ROUND(IF(CK362=0,0,HLOOKUP(CK$14,Villagers!$B$1:$V$33,CK362+3,FALSE)),)</f>
        <v>0</v>
      </c>
      <c r="DG362" s="370">
        <f>ROUND(IF(CL362=0,0,HLOOKUP(CL$14,Villagers!$B$1:$V$33,CL362+3,FALSE)),)</f>
        <v>0</v>
      </c>
      <c r="DH362" s="34">
        <f>ROUND(IF(CM362=0,0,HLOOKUP(CM$14,Villagers!$B$1:$V$33,CM362+3,FALSE)),)</f>
        <v>0</v>
      </c>
      <c r="DI362" s="109">
        <f t="shared" si="832"/>
        <v>0</v>
      </c>
      <c r="DJ362" s="50">
        <f t="shared" si="833"/>
        <v>0</v>
      </c>
      <c r="DK362" s="50">
        <f t="shared" si="834"/>
        <v>0</v>
      </c>
      <c r="DL362" s="50">
        <f t="shared" si="835"/>
        <v>0</v>
      </c>
      <c r="DM362" s="50">
        <f t="shared" si="836"/>
        <v>0</v>
      </c>
      <c r="DN362" s="50">
        <f t="shared" si="837"/>
        <v>0</v>
      </c>
      <c r="DO362" s="50">
        <f t="shared" si="838"/>
        <v>0</v>
      </c>
      <c r="DP362" s="50">
        <f t="shared" si="839"/>
        <v>0</v>
      </c>
      <c r="DQ362" s="50">
        <f t="shared" si="816"/>
        <v>0</v>
      </c>
      <c r="DR362" s="50">
        <f t="shared" si="817"/>
        <v>0</v>
      </c>
      <c r="DS362" s="96">
        <f>Miscelaneous!$D$4*Miscelaneous!$D$2^($CI362-1)</f>
        <v>1000</v>
      </c>
      <c r="DT362" s="333">
        <f t="shared" si="796"/>
        <v>1</v>
      </c>
      <c r="DU362" s="81">
        <v>1</v>
      </c>
      <c r="DV362" s="79">
        <f t="shared" si="818"/>
        <v>0</v>
      </c>
      <c r="DW362" s="79">
        <f t="shared" si="819"/>
        <v>0</v>
      </c>
      <c r="DX362" s="79">
        <f t="shared" si="820"/>
        <v>0</v>
      </c>
      <c r="DY362" s="79">
        <v>1</v>
      </c>
      <c r="DZ362" s="79">
        <f t="shared" si="821"/>
        <v>0</v>
      </c>
      <c r="EA362" s="79">
        <f t="shared" si="822"/>
        <v>0</v>
      </c>
      <c r="EB362" s="79">
        <f t="shared" si="823"/>
        <v>0</v>
      </c>
      <c r="EC362" s="79">
        <f t="shared" si="824"/>
        <v>0</v>
      </c>
      <c r="ED362" s="79">
        <v>1</v>
      </c>
      <c r="EE362" s="79">
        <v>1</v>
      </c>
      <c r="EF362" s="79">
        <f t="shared" si="825"/>
        <v>0</v>
      </c>
      <c r="EG362" s="79">
        <v>1</v>
      </c>
      <c r="EH362" s="79">
        <v>1</v>
      </c>
      <c r="EI362" s="79">
        <v>1</v>
      </c>
      <c r="EJ362" s="79">
        <v>1</v>
      </c>
      <c r="EK362" s="79">
        <v>1</v>
      </c>
      <c r="EL362" s="79">
        <v>1</v>
      </c>
      <c r="EM362" s="143">
        <f t="shared" si="826"/>
        <v>0</v>
      </c>
      <c r="EN362" s="143">
        <f t="shared" si="827"/>
        <v>0</v>
      </c>
      <c r="EO362" s="82">
        <f t="shared" si="828"/>
        <v>0</v>
      </c>
    </row>
    <row r="363" spans="1:145" x14ac:dyDescent="0.25">
      <c r="A363">
        <v>349</v>
      </c>
      <c r="B363" s="172" t="e">
        <f t="shared" si="797"/>
        <v>#N/A</v>
      </c>
      <c r="C363" s="121" t="e">
        <f t="shared" ref="C363:E363" si="886">AJ363-SUM(AB363:AB367)</f>
        <v>#N/A</v>
      </c>
      <c r="D363" s="122" t="e">
        <f t="shared" si="886"/>
        <v>#N/A</v>
      </c>
      <c r="E363" s="122" t="e">
        <f t="shared" si="886"/>
        <v>#N/A</v>
      </c>
      <c r="F363" s="176" t="e">
        <f t="shared" si="778"/>
        <v>#N/A</v>
      </c>
      <c r="G363" s="121">
        <f t="shared" si="799"/>
        <v>208</v>
      </c>
      <c r="H363" s="176" t="e">
        <f t="shared" si="800"/>
        <v>#N/A</v>
      </c>
      <c r="I363" s="48">
        <v>1</v>
      </c>
      <c r="J363" s="39"/>
      <c r="K363" s="350">
        <v>1</v>
      </c>
      <c r="L363" s="34" t="e">
        <f t="shared" si="779"/>
        <v>#N/A</v>
      </c>
      <c r="M363" s="38" t="e">
        <f>(HLOOKUP(J363,'Construction Times'!$B$3:$W$34,L363+2,FALSE)*HLOOKUP("hq modifier",'Construction Times'!$W$3:$W$34,BS363+2,FALSE))*(1-$H$9)</f>
        <v>#N/A</v>
      </c>
      <c r="N363" s="426" t="e">
        <f t="shared" si="801"/>
        <v>#N/A</v>
      </c>
      <c r="O363" s="427"/>
      <c r="P363" s="430" t="e">
        <f t="shared" si="802"/>
        <v>#N/A</v>
      </c>
      <c r="Q363" s="431"/>
      <c r="R363" s="103">
        <f t="shared" si="830"/>
        <v>0</v>
      </c>
      <c r="S363" s="104">
        <f t="shared" si="830"/>
        <v>0</v>
      </c>
      <c r="T363" s="104">
        <f t="shared" si="831"/>
        <v>0</v>
      </c>
      <c r="U363" s="104">
        <f t="shared" si="831"/>
        <v>0</v>
      </c>
      <c r="V363" s="104">
        <f t="shared" si="831"/>
        <v>9.9999999999999995E-8</v>
      </c>
      <c r="W363" s="104">
        <f t="shared" si="831"/>
        <v>0</v>
      </c>
      <c r="X363" s="104">
        <f t="shared" si="737"/>
        <v>0</v>
      </c>
      <c r="Y363" s="104">
        <f t="shared" si="737"/>
        <v>9.9999999999999995E-8</v>
      </c>
      <c r="Z363" s="104">
        <f t="shared" si="737"/>
        <v>9.9999999999999995E-8</v>
      </c>
      <c r="AA363" s="105">
        <f t="shared" si="737"/>
        <v>9.9999999999999995E-8</v>
      </c>
      <c r="AB363" s="101" t="e">
        <f>$DT363*HLOOKUP($J363,'Construction Costs (timber)'!$B$1:$V$32,'Construction Planner'!$L363+2,FALSE)</f>
        <v>#N/A</v>
      </c>
      <c r="AC363" s="14" t="e">
        <f>$DT363*HLOOKUP($J363,'Construction Costs (clay)'!$B$1:$V$32,'Construction Planner'!$L363+2,FALSE)</f>
        <v>#N/A</v>
      </c>
      <c r="AD363" s="14" t="e">
        <f>$DT363*HLOOKUP($J363,'Construction Costs (iron)'!$B$1:$V$32,'Construction Planner'!$L363+2,FALSE)</f>
        <v>#N/A</v>
      </c>
      <c r="AE363" s="34" t="e">
        <f t="shared" si="843"/>
        <v>#N/A</v>
      </c>
      <c r="AF363" s="33" t="e">
        <f t="shared" si="780"/>
        <v>#N/A</v>
      </c>
      <c r="AG363" s="14" t="e">
        <f t="shared" si="781"/>
        <v>#N/A</v>
      </c>
      <c r="AH363" s="14" t="e">
        <f t="shared" si="782"/>
        <v>#N/A</v>
      </c>
      <c r="AI363" s="34" t="e">
        <f t="shared" si="844"/>
        <v>#N/A</v>
      </c>
      <c r="AJ363" s="49" t="e">
        <f t="shared" si="804"/>
        <v>#N/A</v>
      </c>
      <c r="AK363" s="49" t="e">
        <f t="shared" si="805"/>
        <v>#N/A</v>
      </c>
      <c r="AL363" s="49" t="e">
        <f t="shared" si="806"/>
        <v>#N/A</v>
      </c>
      <c r="AM363" s="25">
        <f t="shared" si="783"/>
        <v>30</v>
      </c>
      <c r="AN363" s="25">
        <f t="shared" si="784"/>
        <v>30</v>
      </c>
      <c r="AO363" s="25">
        <f t="shared" si="785"/>
        <v>30</v>
      </c>
      <c r="AP363" s="52" t="e">
        <f t="shared" si="807"/>
        <v>#N/A</v>
      </c>
      <c r="AQ363" s="53" t="e">
        <f t="shared" si="807"/>
        <v>#N/A</v>
      </c>
      <c r="AR363" s="54" t="e">
        <f t="shared" si="807"/>
        <v>#N/A</v>
      </c>
      <c r="AS363" s="316">
        <f t="shared" si="877"/>
        <v>0</v>
      </c>
      <c r="AT363" s="106">
        <f>_xlfn.IFNA($M363/VLOOKUP($BT363,'Unit information'!$A$2:$K$29,2,FALSE)*R363,0)*(1+$E$9)</f>
        <v>0</v>
      </c>
      <c r="AU363" s="107">
        <f>_xlfn.IFNA($M363/VLOOKUP($BT363,'Unit information'!$A$2:$K$29,3,FALSE)*S363,0)*(1+$E$9)</f>
        <v>0</v>
      </c>
      <c r="AV363" s="107">
        <f>_xlfn.IFNA($M363/VLOOKUP($BT363,'Unit information'!$A$2:$K$29,4,FALSE)*T363,0)*(1+$E$9)</f>
        <v>0</v>
      </c>
      <c r="AW363" s="107">
        <f>_xlfn.IFNA($M363/VLOOKUP($BT363,'Unit information'!$A$2:$K$29,5,FALSE)*U363,0)*(1+$E$9)</f>
        <v>0</v>
      </c>
      <c r="AX363" s="107">
        <f>_xlfn.IFNA($M363/VLOOKUP($BU363,'Unit information'!$A$2:$K$29,6,FALSE)*V363,0)*(1+$E$9)</f>
        <v>0</v>
      </c>
      <c r="AY363" s="107">
        <f>_xlfn.IFNA($M363/VLOOKUP($BU363,'Unit information'!$A$2:$K$29,7,FALSE)*W363,0)*(1+$E$9)</f>
        <v>0</v>
      </c>
      <c r="AZ363" s="107">
        <f>_xlfn.IFNA($M363/VLOOKUP($BU363,'Unit information'!$A$2:$K$29,8,FALSE)*X363,0)*(1+$E$9)</f>
        <v>0</v>
      </c>
      <c r="BA363" s="107">
        <f>_xlfn.IFNA($M363/VLOOKUP($BU363,'Unit information'!$A$2:$K$29,9,FALSE)*Y363,0)*(1+$E$9)</f>
        <v>0</v>
      </c>
      <c r="BB363" s="107">
        <f>_xlfn.IFNA($M363/VLOOKUP($BV363,'Unit information'!$A$2:$K$29,10,FALSE)*Z363,0)*(1+$E$9)</f>
        <v>0</v>
      </c>
      <c r="BC363" s="108">
        <f>_xlfn.IFNA($M363/VLOOKUP($BV363,'Unit information'!$A$2:$K$29,11,FALSE)*AA363,0)*(1+$E$9)</f>
        <v>0</v>
      </c>
      <c r="BD363" s="106">
        <f t="shared" si="786"/>
        <v>0</v>
      </c>
      <c r="BE363" s="107">
        <f t="shared" si="787"/>
        <v>0</v>
      </c>
      <c r="BF363" s="108">
        <f t="shared" si="788"/>
        <v>0</v>
      </c>
      <c r="BG363" s="25" t="e">
        <f t="shared" si="789"/>
        <v>#N/A</v>
      </c>
      <c r="BH363" s="25" t="e">
        <f t="shared" si="790"/>
        <v>#N/A</v>
      </c>
      <c r="BI363" s="25" t="e">
        <f t="shared" si="791"/>
        <v>#N/A</v>
      </c>
      <c r="BJ363" s="27" t="e">
        <f t="shared" si="792"/>
        <v>#N/A</v>
      </c>
      <c r="BK363" s="18" t="e">
        <f t="shared" si="793"/>
        <v>#N/A</v>
      </c>
      <c r="BL363" s="18" t="e">
        <f t="shared" si="794"/>
        <v>#N/A</v>
      </c>
      <c r="BM363" s="28" t="e">
        <f t="shared" si="846"/>
        <v>#N/A</v>
      </c>
      <c r="BN363" s="33">
        <f>HLOOKUP("maximum population",Miscelaneous!$C$1:$C$33,CH363+3,FALSE)</f>
        <v>240</v>
      </c>
      <c r="BO363" s="14">
        <f t="shared" si="808"/>
        <v>32</v>
      </c>
      <c r="BP363" s="14">
        <f t="shared" si="809"/>
        <v>0</v>
      </c>
      <c r="BQ363" s="14">
        <f t="shared" si="810"/>
        <v>208</v>
      </c>
      <c r="BR363" s="34" t="e">
        <f>HLOOKUP(J363,Villagers!$B$1:$V$33,L363+3,FALSE)-HLOOKUP(J363,Villagers!$B$1:$V$33,L363+2,FALSE)</f>
        <v>#N/A</v>
      </c>
      <c r="BS363" s="49">
        <f t="shared" si="811"/>
        <v>1</v>
      </c>
      <c r="BT363" s="50">
        <f t="shared" si="812"/>
        <v>0</v>
      </c>
      <c r="BU363" s="50">
        <f t="shared" si="813"/>
        <v>0</v>
      </c>
      <c r="BV363" s="50">
        <f t="shared" si="814"/>
        <v>0</v>
      </c>
      <c r="BW363" s="50">
        <f t="shared" si="883"/>
        <v>0</v>
      </c>
      <c r="BX363" s="50">
        <f t="shared" si="881"/>
        <v>0</v>
      </c>
      <c r="BY363" s="50">
        <f t="shared" si="881"/>
        <v>0</v>
      </c>
      <c r="BZ363" s="50">
        <f t="shared" si="860"/>
        <v>0</v>
      </c>
      <c r="CA363" s="50">
        <f t="shared" si="861"/>
        <v>0</v>
      </c>
      <c r="CB363" s="50">
        <f t="shared" si="862"/>
        <v>1</v>
      </c>
      <c r="CC363" s="50">
        <f t="shared" si="863"/>
        <v>0</v>
      </c>
      <c r="CD363" s="50">
        <f t="shared" si="864"/>
        <v>0</v>
      </c>
      <c r="CE363" s="50">
        <f t="shared" si="865"/>
        <v>1</v>
      </c>
      <c r="CF363" s="50">
        <f t="shared" si="866"/>
        <v>1</v>
      </c>
      <c r="CG363" s="50">
        <f t="shared" si="867"/>
        <v>1</v>
      </c>
      <c r="CH363" s="50">
        <f t="shared" si="868"/>
        <v>1</v>
      </c>
      <c r="CI363" s="50">
        <f t="shared" si="869"/>
        <v>1</v>
      </c>
      <c r="CJ363" s="50">
        <f t="shared" si="870"/>
        <v>1</v>
      </c>
      <c r="CK363" s="50">
        <f t="shared" si="870"/>
        <v>0</v>
      </c>
      <c r="CL363" s="50">
        <f t="shared" si="870"/>
        <v>0</v>
      </c>
      <c r="CM363" s="51">
        <f t="shared" si="795"/>
        <v>0</v>
      </c>
      <c r="CN363" s="33">
        <f>ROUND(IF(BS363=0,0,HLOOKUP(BS$14,Villagers!$B$1:$V$33,BS363+3,FALSE)),)</f>
        <v>5</v>
      </c>
      <c r="CO363" s="14">
        <f>ROUND(IF(BT363=0,0,HLOOKUP(BT$14,Villagers!$B$1:$V$33,BT363+3,FALSE)),)</f>
        <v>0</v>
      </c>
      <c r="CP363" s="14">
        <f>ROUND(IF(BU363=0,0,HLOOKUP(BU$14,Villagers!$B$1:$V$33,BU363+3,FALSE)),)</f>
        <v>0</v>
      </c>
      <c r="CQ363" s="14">
        <f>ROUND(IF(BV363=0,0,HLOOKUP(BV$14,Villagers!$B$1:$V$33,BV363+3,FALSE)),)</f>
        <v>0</v>
      </c>
      <c r="CR363" s="14">
        <f>ROUND(IF(BW363=0,0,HLOOKUP(BW$14,Villagers!$B$1:$V$33,BW363+3,FALSE)),)</f>
        <v>0</v>
      </c>
      <c r="CS363" s="14">
        <f>ROUND(IF(BX363=0,0,HLOOKUP(BX$14,Villagers!$B$1:$V$33,BX363+3,FALSE)),)</f>
        <v>0</v>
      </c>
      <c r="CT363" s="14">
        <f>ROUND(IF(BY363=0,0,HLOOKUP(BY$14,Villagers!$B$1:$V$33,BY363+3,FALSE)),)</f>
        <v>0</v>
      </c>
      <c r="CU363" s="14">
        <f>ROUND(IF(BZ363=0,0,HLOOKUP(BZ$14,Villagers!$B$1:$V$33,BZ363+3,FALSE)),)</f>
        <v>0</v>
      </c>
      <c r="CV363" s="14">
        <f>ROUND(IF(CA363=0,0,HLOOKUP(CA$14,Villagers!$B$1:$V$33,CA363+3,FALSE)),)</f>
        <v>0</v>
      </c>
      <c r="CW363" s="14">
        <f>ROUND(IF(CB363=0,0,HLOOKUP(CB$14,Villagers!$B$1:$V$33,CB363+3,FALSE)),)</f>
        <v>0</v>
      </c>
      <c r="CX363" s="14">
        <f>ROUND(IF(CC363=0,0,HLOOKUP(CC$14,Villagers!$B$1:$V$33,CC363+3,FALSE)),)</f>
        <v>0</v>
      </c>
      <c r="CY363" s="14">
        <f>ROUND(IF(CD363=0,0,HLOOKUP(CD$14,Villagers!$B$1:$V$33,CD363+3,FALSE)),)</f>
        <v>0</v>
      </c>
      <c r="CZ363" s="14">
        <f>ROUND(IF(CE363=0,0,HLOOKUP(CE$14,Villagers!$B$1:$V$33,CE363+3,FALSE)),)</f>
        <v>5</v>
      </c>
      <c r="DA363" s="14">
        <f>ROUND(IF(CF363=0,0,HLOOKUP(CF$14,Villagers!$B$1:$V$33,CF363+3,FALSE)),)</f>
        <v>10</v>
      </c>
      <c r="DB363" s="14">
        <f>ROUND(IF(CG363=0,0,HLOOKUP(CG$14,Villagers!$B$1:$V$33,CG363+3,FALSE)),)</f>
        <v>10</v>
      </c>
      <c r="DC363" s="14">
        <f>ROUND(IF(CH363=0,0,HLOOKUP(CH$14,Villagers!$B$1:$V$33,CH363+3,FALSE)),)</f>
        <v>0</v>
      </c>
      <c r="DD363" s="14">
        <f>ROUND(IF(CI363=0,0,HLOOKUP(CI$14,Villagers!$B$1:$V$33,CI363+3,FALSE)),)</f>
        <v>0</v>
      </c>
      <c r="DE363" s="14">
        <f>ROUND(IF(CJ363=0,0,HLOOKUP(CJ$14,Villagers!$B$1:$V$33,CJ363+3,FALSE)),)</f>
        <v>2</v>
      </c>
      <c r="DF363" s="370">
        <f>ROUND(IF(CK363=0,0,HLOOKUP(CK$14,Villagers!$B$1:$V$33,CK363+3,FALSE)),)</f>
        <v>0</v>
      </c>
      <c r="DG363" s="370">
        <f>ROUND(IF(CL363=0,0,HLOOKUP(CL$14,Villagers!$B$1:$V$33,CL363+3,FALSE)),)</f>
        <v>0</v>
      </c>
      <c r="DH363" s="34">
        <f>ROUND(IF(CM363=0,0,HLOOKUP(CM$14,Villagers!$B$1:$V$33,CM363+3,FALSE)),)</f>
        <v>0</v>
      </c>
      <c r="DI363" s="109">
        <f t="shared" si="832"/>
        <v>0</v>
      </c>
      <c r="DJ363" s="50">
        <f t="shared" si="833"/>
        <v>0</v>
      </c>
      <c r="DK363" s="50">
        <f t="shared" si="834"/>
        <v>0</v>
      </c>
      <c r="DL363" s="50">
        <f t="shared" si="835"/>
        <v>0</v>
      </c>
      <c r="DM363" s="50">
        <f t="shared" si="836"/>
        <v>0</v>
      </c>
      <c r="DN363" s="50">
        <f t="shared" si="837"/>
        <v>0</v>
      </c>
      <c r="DO363" s="50">
        <f t="shared" si="838"/>
        <v>0</v>
      </c>
      <c r="DP363" s="50">
        <f t="shared" si="839"/>
        <v>0</v>
      </c>
      <c r="DQ363" s="50">
        <f t="shared" si="816"/>
        <v>0</v>
      </c>
      <c r="DR363" s="50">
        <f t="shared" si="817"/>
        <v>0</v>
      </c>
      <c r="DS363" s="96">
        <f>Miscelaneous!$D$4*Miscelaneous!$D$2^($CI363-1)</f>
        <v>1000</v>
      </c>
      <c r="DT363" s="333">
        <f t="shared" si="796"/>
        <v>1</v>
      </c>
      <c r="DU363" s="81">
        <v>1</v>
      </c>
      <c r="DV363" s="79">
        <f t="shared" si="818"/>
        <v>0</v>
      </c>
      <c r="DW363" s="79">
        <f t="shared" si="819"/>
        <v>0</v>
      </c>
      <c r="DX363" s="79">
        <f t="shared" si="820"/>
        <v>0</v>
      </c>
      <c r="DY363" s="79">
        <v>1</v>
      </c>
      <c r="DZ363" s="79">
        <f t="shared" si="821"/>
        <v>0</v>
      </c>
      <c r="EA363" s="79">
        <f t="shared" si="822"/>
        <v>0</v>
      </c>
      <c r="EB363" s="79">
        <f t="shared" si="823"/>
        <v>0</v>
      </c>
      <c r="EC363" s="79">
        <f t="shared" si="824"/>
        <v>0</v>
      </c>
      <c r="ED363" s="79">
        <v>1</v>
      </c>
      <c r="EE363" s="79">
        <v>1</v>
      </c>
      <c r="EF363" s="79">
        <f t="shared" si="825"/>
        <v>0</v>
      </c>
      <c r="EG363" s="79">
        <v>1</v>
      </c>
      <c r="EH363" s="79">
        <v>1</v>
      </c>
      <c r="EI363" s="79">
        <v>1</v>
      </c>
      <c r="EJ363" s="79">
        <v>1</v>
      </c>
      <c r="EK363" s="79">
        <v>1</v>
      </c>
      <c r="EL363" s="79">
        <v>1</v>
      </c>
      <c r="EM363" s="143">
        <f t="shared" si="826"/>
        <v>0</v>
      </c>
      <c r="EN363" s="143">
        <f t="shared" si="827"/>
        <v>0</v>
      </c>
      <c r="EO363" s="82">
        <f t="shared" si="828"/>
        <v>0</v>
      </c>
    </row>
    <row r="364" spans="1:145" x14ac:dyDescent="0.25">
      <c r="A364">
        <v>350</v>
      </c>
      <c r="B364" s="172" t="e">
        <f t="shared" si="797"/>
        <v>#N/A</v>
      </c>
      <c r="C364" s="121" t="e">
        <f t="shared" ref="C364:E364" si="887">AJ364-SUM(AB364:AB368)</f>
        <v>#N/A</v>
      </c>
      <c r="D364" s="122" t="e">
        <f t="shared" si="887"/>
        <v>#N/A</v>
      </c>
      <c r="E364" s="122" t="e">
        <f t="shared" si="887"/>
        <v>#N/A</v>
      </c>
      <c r="F364" s="176" t="e">
        <f t="shared" si="778"/>
        <v>#N/A</v>
      </c>
      <c r="G364" s="121">
        <f t="shared" si="799"/>
        <v>208</v>
      </c>
      <c r="H364" s="176" t="e">
        <f t="shared" si="800"/>
        <v>#N/A</v>
      </c>
      <c r="I364" s="48">
        <v>1</v>
      </c>
      <c r="J364" s="39"/>
      <c r="K364" s="350">
        <v>1</v>
      </c>
      <c r="L364" s="34" t="e">
        <f t="shared" si="779"/>
        <v>#N/A</v>
      </c>
      <c r="M364" s="38" t="e">
        <f>(HLOOKUP(J364,'Construction Times'!$B$3:$W$34,L364+2,FALSE)*HLOOKUP("hq modifier",'Construction Times'!$W$3:$W$34,BS364+2,FALSE))*(1-$H$9)</f>
        <v>#N/A</v>
      </c>
      <c r="N364" s="426" t="e">
        <f t="shared" si="801"/>
        <v>#N/A</v>
      </c>
      <c r="O364" s="427"/>
      <c r="P364" s="430" t="e">
        <f t="shared" si="802"/>
        <v>#N/A</v>
      </c>
      <c r="Q364" s="431"/>
      <c r="R364" s="103">
        <f t="shared" si="830"/>
        <v>0</v>
      </c>
      <c r="S364" s="104">
        <f t="shared" si="830"/>
        <v>0</v>
      </c>
      <c r="T364" s="104">
        <f t="shared" si="831"/>
        <v>0</v>
      </c>
      <c r="U364" s="104">
        <f t="shared" si="831"/>
        <v>0</v>
      </c>
      <c r="V364" s="104">
        <f t="shared" si="831"/>
        <v>9.9999999999999995E-8</v>
      </c>
      <c r="W364" s="104">
        <f t="shared" si="831"/>
        <v>0</v>
      </c>
      <c r="X364" s="104">
        <f t="shared" si="737"/>
        <v>0</v>
      </c>
      <c r="Y364" s="104">
        <f t="shared" si="737"/>
        <v>9.9999999999999995E-8</v>
      </c>
      <c r="Z364" s="104">
        <f t="shared" si="737"/>
        <v>9.9999999999999995E-8</v>
      </c>
      <c r="AA364" s="105">
        <f t="shared" ref="AA364" si="888">AA363</f>
        <v>9.9999999999999995E-8</v>
      </c>
      <c r="AB364" s="101" t="e">
        <f>$DT364*HLOOKUP($J364,'Construction Costs (timber)'!$B$1:$V$32,'Construction Planner'!$L364+2,FALSE)</f>
        <v>#N/A</v>
      </c>
      <c r="AC364" s="14" t="e">
        <f>$DT364*HLOOKUP($J364,'Construction Costs (clay)'!$B$1:$V$32,'Construction Planner'!$L364+2,FALSE)</f>
        <v>#N/A</v>
      </c>
      <c r="AD364" s="14" t="e">
        <f>$DT364*HLOOKUP($J364,'Construction Costs (iron)'!$B$1:$V$32,'Construction Planner'!$L364+2,FALSE)</f>
        <v>#N/A</v>
      </c>
      <c r="AE364" s="34" t="e">
        <f t="shared" si="843"/>
        <v>#N/A</v>
      </c>
      <c r="AF364" s="33" t="e">
        <f t="shared" si="780"/>
        <v>#N/A</v>
      </c>
      <c r="AG364" s="14" t="e">
        <f t="shared" si="781"/>
        <v>#N/A</v>
      </c>
      <c r="AH364" s="14" t="e">
        <f t="shared" si="782"/>
        <v>#N/A</v>
      </c>
      <c r="AI364" s="34" t="e">
        <f t="shared" si="844"/>
        <v>#N/A</v>
      </c>
      <c r="AJ364" s="49" t="e">
        <f t="shared" si="804"/>
        <v>#N/A</v>
      </c>
      <c r="AK364" s="49" t="e">
        <f t="shared" si="805"/>
        <v>#N/A</v>
      </c>
      <c r="AL364" s="49" t="e">
        <f t="shared" si="806"/>
        <v>#N/A</v>
      </c>
      <c r="AM364" s="25">
        <f t="shared" si="783"/>
        <v>30</v>
      </c>
      <c r="AN364" s="25">
        <f t="shared" si="784"/>
        <v>30</v>
      </c>
      <c r="AO364" s="25">
        <f t="shared" si="785"/>
        <v>30</v>
      </c>
      <c r="AP364" s="52" t="e">
        <f t="shared" si="807"/>
        <v>#N/A</v>
      </c>
      <c r="AQ364" s="53" t="e">
        <f t="shared" si="807"/>
        <v>#N/A</v>
      </c>
      <c r="AR364" s="54" t="e">
        <f t="shared" si="807"/>
        <v>#N/A</v>
      </c>
      <c r="AS364" s="316">
        <f t="shared" si="877"/>
        <v>0</v>
      </c>
      <c r="AT364" s="106">
        <f>_xlfn.IFNA($M364/VLOOKUP($BT364,'Unit information'!$A$2:$K$29,2,FALSE)*R364,0)*(1+$E$9)</f>
        <v>0</v>
      </c>
      <c r="AU364" s="107">
        <f>_xlfn.IFNA($M364/VLOOKUP($BT364,'Unit information'!$A$2:$K$29,3,FALSE)*S364,0)*(1+$E$9)</f>
        <v>0</v>
      </c>
      <c r="AV364" s="107">
        <f>_xlfn.IFNA($M364/VLOOKUP($BT364,'Unit information'!$A$2:$K$29,4,FALSE)*T364,0)*(1+$E$9)</f>
        <v>0</v>
      </c>
      <c r="AW364" s="107">
        <f>_xlfn.IFNA($M364/VLOOKUP($BT364,'Unit information'!$A$2:$K$29,5,FALSE)*U364,0)*(1+$E$9)</f>
        <v>0</v>
      </c>
      <c r="AX364" s="107">
        <f>_xlfn.IFNA($M364/VLOOKUP($BU364,'Unit information'!$A$2:$K$29,6,FALSE)*V364,0)*(1+$E$9)</f>
        <v>0</v>
      </c>
      <c r="AY364" s="107">
        <f>_xlfn.IFNA($M364/VLOOKUP($BU364,'Unit information'!$A$2:$K$29,7,FALSE)*W364,0)*(1+$E$9)</f>
        <v>0</v>
      </c>
      <c r="AZ364" s="107">
        <f>_xlfn.IFNA($M364/VLOOKUP($BU364,'Unit information'!$A$2:$K$29,8,FALSE)*X364,0)*(1+$E$9)</f>
        <v>0</v>
      </c>
      <c r="BA364" s="107">
        <f>_xlfn.IFNA($M364/VLOOKUP($BU364,'Unit information'!$A$2:$K$29,9,FALSE)*Y364,0)*(1+$E$9)</f>
        <v>0</v>
      </c>
      <c r="BB364" s="107">
        <f>_xlfn.IFNA($M364/VLOOKUP($BV364,'Unit information'!$A$2:$K$29,10,FALSE)*Z364,0)*(1+$E$9)</f>
        <v>0</v>
      </c>
      <c r="BC364" s="108">
        <f>_xlfn.IFNA($M364/VLOOKUP($BV364,'Unit information'!$A$2:$K$29,11,FALSE)*AA364,0)*(1+$E$9)</f>
        <v>0</v>
      </c>
      <c r="BD364" s="106">
        <f t="shared" si="786"/>
        <v>0</v>
      </c>
      <c r="BE364" s="107">
        <f t="shared" si="787"/>
        <v>0</v>
      </c>
      <c r="BF364" s="108">
        <f t="shared" si="788"/>
        <v>0</v>
      </c>
      <c r="BG364" s="25" t="e">
        <f t="shared" si="789"/>
        <v>#N/A</v>
      </c>
      <c r="BH364" s="25" t="e">
        <f t="shared" si="790"/>
        <v>#N/A</v>
      </c>
      <c r="BI364" s="25" t="e">
        <f t="shared" si="791"/>
        <v>#N/A</v>
      </c>
      <c r="BJ364" s="27" t="e">
        <f t="shared" si="792"/>
        <v>#N/A</v>
      </c>
      <c r="BK364" s="18" t="e">
        <f t="shared" si="793"/>
        <v>#N/A</v>
      </c>
      <c r="BL364" s="18" t="e">
        <f t="shared" si="794"/>
        <v>#N/A</v>
      </c>
      <c r="BM364" s="28" t="e">
        <f t="shared" si="846"/>
        <v>#N/A</v>
      </c>
      <c r="BN364" s="33">
        <f>HLOOKUP("maximum population",Miscelaneous!$C$1:$C$33,CH364+3,FALSE)</f>
        <v>240</v>
      </c>
      <c r="BO364" s="14">
        <f t="shared" si="808"/>
        <v>32</v>
      </c>
      <c r="BP364" s="14">
        <f t="shared" si="809"/>
        <v>0</v>
      </c>
      <c r="BQ364" s="14">
        <f t="shared" si="810"/>
        <v>208</v>
      </c>
      <c r="BR364" s="34" t="e">
        <f>HLOOKUP(J364,Villagers!$B$1:$V$33,L364+3,FALSE)-HLOOKUP(J364,Villagers!$B$1:$V$33,L364+2,FALSE)</f>
        <v>#N/A</v>
      </c>
      <c r="BS364" s="49">
        <f t="shared" si="811"/>
        <v>1</v>
      </c>
      <c r="BT364" s="50">
        <f t="shared" si="812"/>
        <v>0</v>
      </c>
      <c r="BU364" s="50">
        <f t="shared" si="813"/>
        <v>0</v>
      </c>
      <c r="BV364" s="50">
        <f t="shared" si="814"/>
        <v>0</v>
      </c>
      <c r="BW364" s="50">
        <f t="shared" si="883"/>
        <v>0</v>
      </c>
      <c r="BX364" s="50">
        <f t="shared" si="881"/>
        <v>0</v>
      </c>
      <c r="BY364" s="50">
        <f t="shared" si="881"/>
        <v>0</v>
      </c>
      <c r="BZ364" s="50">
        <f t="shared" si="860"/>
        <v>0</v>
      </c>
      <c r="CA364" s="50">
        <f t="shared" si="861"/>
        <v>0</v>
      </c>
      <c r="CB364" s="50">
        <f t="shared" si="862"/>
        <v>1</v>
      </c>
      <c r="CC364" s="50">
        <f t="shared" si="863"/>
        <v>0</v>
      </c>
      <c r="CD364" s="50">
        <f t="shared" si="864"/>
        <v>0</v>
      </c>
      <c r="CE364" s="50">
        <f t="shared" si="865"/>
        <v>1</v>
      </c>
      <c r="CF364" s="50">
        <f t="shared" si="866"/>
        <v>1</v>
      </c>
      <c r="CG364" s="50">
        <f t="shared" si="867"/>
        <v>1</v>
      </c>
      <c r="CH364" s="50">
        <f t="shared" si="868"/>
        <v>1</v>
      </c>
      <c r="CI364" s="50">
        <f t="shared" si="869"/>
        <v>1</v>
      </c>
      <c r="CJ364" s="50">
        <f t="shared" si="870"/>
        <v>1</v>
      </c>
      <c r="CK364" s="50">
        <f t="shared" si="870"/>
        <v>0</v>
      </c>
      <c r="CL364" s="50">
        <f t="shared" si="870"/>
        <v>0</v>
      </c>
      <c r="CM364" s="51">
        <f t="shared" si="795"/>
        <v>0</v>
      </c>
      <c r="CN364" s="33">
        <f>ROUND(IF(BS364=0,0,HLOOKUP(BS$14,Villagers!$B$1:$V$33,BS364+3,FALSE)),)</f>
        <v>5</v>
      </c>
      <c r="CO364" s="14">
        <f>ROUND(IF(BT364=0,0,HLOOKUP(BT$14,Villagers!$B$1:$V$33,BT364+3,FALSE)),)</f>
        <v>0</v>
      </c>
      <c r="CP364" s="14">
        <f>ROUND(IF(BU364=0,0,HLOOKUP(BU$14,Villagers!$B$1:$V$33,BU364+3,FALSE)),)</f>
        <v>0</v>
      </c>
      <c r="CQ364" s="14">
        <f>ROUND(IF(BV364=0,0,HLOOKUP(BV$14,Villagers!$B$1:$V$33,BV364+3,FALSE)),)</f>
        <v>0</v>
      </c>
      <c r="CR364" s="14">
        <f>ROUND(IF(BW364=0,0,HLOOKUP(BW$14,Villagers!$B$1:$V$33,BW364+3,FALSE)),)</f>
        <v>0</v>
      </c>
      <c r="CS364" s="14">
        <f>ROUND(IF(BX364=0,0,HLOOKUP(BX$14,Villagers!$B$1:$V$33,BX364+3,FALSE)),)</f>
        <v>0</v>
      </c>
      <c r="CT364" s="14">
        <f>ROUND(IF(BY364=0,0,HLOOKUP(BY$14,Villagers!$B$1:$V$33,BY364+3,FALSE)),)</f>
        <v>0</v>
      </c>
      <c r="CU364" s="14">
        <f>ROUND(IF(BZ364=0,0,HLOOKUP(BZ$14,Villagers!$B$1:$V$33,BZ364+3,FALSE)),)</f>
        <v>0</v>
      </c>
      <c r="CV364" s="14">
        <f>ROUND(IF(CA364=0,0,HLOOKUP(CA$14,Villagers!$B$1:$V$33,CA364+3,FALSE)),)</f>
        <v>0</v>
      </c>
      <c r="CW364" s="14">
        <f>ROUND(IF(CB364=0,0,HLOOKUP(CB$14,Villagers!$B$1:$V$33,CB364+3,FALSE)),)</f>
        <v>0</v>
      </c>
      <c r="CX364" s="14">
        <f>ROUND(IF(CC364=0,0,HLOOKUP(CC$14,Villagers!$B$1:$V$33,CC364+3,FALSE)),)</f>
        <v>0</v>
      </c>
      <c r="CY364" s="14">
        <f>ROUND(IF(CD364=0,0,HLOOKUP(CD$14,Villagers!$B$1:$V$33,CD364+3,FALSE)),)</f>
        <v>0</v>
      </c>
      <c r="CZ364" s="14">
        <f>ROUND(IF(CE364=0,0,HLOOKUP(CE$14,Villagers!$B$1:$V$33,CE364+3,FALSE)),)</f>
        <v>5</v>
      </c>
      <c r="DA364" s="14">
        <f>ROUND(IF(CF364=0,0,HLOOKUP(CF$14,Villagers!$B$1:$V$33,CF364+3,FALSE)),)</f>
        <v>10</v>
      </c>
      <c r="DB364" s="14">
        <f>ROUND(IF(CG364=0,0,HLOOKUP(CG$14,Villagers!$B$1:$V$33,CG364+3,FALSE)),)</f>
        <v>10</v>
      </c>
      <c r="DC364" s="14">
        <f>ROUND(IF(CH364=0,0,HLOOKUP(CH$14,Villagers!$B$1:$V$33,CH364+3,FALSE)),)</f>
        <v>0</v>
      </c>
      <c r="DD364" s="14">
        <f>ROUND(IF(CI364=0,0,HLOOKUP(CI$14,Villagers!$B$1:$V$33,CI364+3,FALSE)),)</f>
        <v>0</v>
      </c>
      <c r="DE364" s="14">
        <f>ROUND(IF(CJ364=0,0,HLOOKUP(CJ$14,Villagers!$B$1:$V$33,CJ364+3,FALSE)),)</f>
        <v>2</v>
      </c>
      <c r="DF364" s="370">
        <f>ROUND(IF(CK364=0,0,HLOOKUP(CK$14,Villagers!$B$1:$V$33,CK364+3,FALSE)),)</f>
        <v>0</v>
      </c>
      <c r="DG364" s="370">
        <f>ROUND(IF(CL364=0,0,HLOOKUP(CL$14,Villagers!$B$1:$V$33,CL364+3,FALSE)),)</f>
        <v>0</v>
      </c>
      <c r="DH364" s="34">
        <f>ROUND(IF(CM364=0,0,HLOOKUP(CM$14,Villagers!$B$1:$V$33,CM364+3,FALSE)),)</f>
        <v>0</v>
      </c>
      <c r="DI364" s="109">
        <f t="shared" si="832"/>
        <v>0</v>
      </c>
      <c r="DJ364" s="50">
        <f t="shared" si="833"/>
        <v>0</v>
      </c>
      <c r="DK364" s="50">
        <f t="shared" si="834"/>
        <v>0</v>
      </c>
      <c r="DL364" s="50">
        <f t="shared" si="835"/>
        <v>0</v>
      </c>
      <c r="DM364" s="50">
        <f t="shared" si="836"/>
        <v>0</v>
      </c>
      <c r="DN364" s="50">
        <f t="shared" si="837"/>
        <v>0</v>
      </c>
      <c r="DO364" s="50">
        <f t="shared" si="838"/>
        <v>0</v>
      </c>
      <c r="DP364" s="50">
        <f t="shared" si="839"/>
        <v>0</v>
      </c>
      <c r="DQ364" s="50">
        <f t="shared" si="816"/>
        <v>0</v>
      </c>
      <c r="DR364" s="50">
        <f t="shared" si="817"/>
        <v>0</v>
      </c>
      <c r="DS364" s="96">
        <f>Miscelaneous!$D$4*Miscelaneous!$D$2^($CI364-1)</f>
        <v>1000</v>
      </c>
      <c r="DT364" s="333">
        <f t="shared" si="796"/>
        <v>1</v>
      </c>
      <c r="DU364" s="81">
        <v>1</v>
      </c>
      <c r="DV364" s="79">
        <f t="shared" si="818"/>
        <v>0</v>
      </c>
      <c r="DW364" s="79">
        <f t="shared" si="819"/>
        <v>0</v>
      </c>
      <c r="DX364" s="79">
        <f t="shared" si="820"/>
        <v>0</v>
      </c>
      <c r="DY364" s="79">
        <v>1</v>
      </c>
      <c r="DZ364" s="79">
        <f t="shared" si="821"/>
        <v>0</v>
      </c>
      <c r="EA364" s="79">
        <f t="shared" si="822"/>
        <v>0</v>
      </c>
      <c r="EB364" s="79">
        <f t="shared" si="823"/>
        <v>0</v>
      </c>
      <c r="EC364" s="79">
        <f t="shared" si="824"/>
        <v>0</v>
      </c>
      <c r="ED364" s="79">
        <v>1</v>
      </c>
      <c r="EE364" s="79">
        <v>1</v>
      </c>
      <c r="EF364" s="79">
        <f t="shared" si="825"/>
        <v>0</v>
      </c>
      <c r="EG364" s="79">
        <v>1</v>
      </c>
      <c r="EH364" s="79">
        <v>1</v>
      </c>
      <c r="EI364" s="79">
        <v>1</v>
      </c>
      <c r="EJ364" s="79">
        <v>1</v>
      </c>
      <c r="EK364" s="79">
        <v>1</v>
      </c>
      <c r="EL364" s="79">
        <v>1</v>
      </c>
      <c r="EM364" s="143">
        <f t="shared" si="826"/>
        <v>0</v>
      </c>
      <c r="EN364" s="143">
        <f t="shared" si="827"/>
        <v>0</v>
      </c>
      <c r="EO364" s="82">
        <f t="shared" si="828"/>
        <v>0</v>
      </c>
    </row>
    <row r="365" spans="1:145" x14ac:dyDescent="0.25">
      <c r="A365">
        <v>351</v>
      </c>
      <c r="B365" s="172" t="e">
        <f t="shared" si="797"/>
        <v>#N/A</v>
      </c>
      <c r="C365" s="121" t="e">
        <f t="shared" ref="C365:E365" si="889">AJ365-SUM(AB365:AB369)</f>
        <v>#N/A</v>
      </c>
      <c r="D365" s="122" t="e">
        <f t="shared" si="889"/>
        <v>#N/A</v>
      </c>
      <c r="E365" s="122" t="e">
        <f t="shared" si="889"/>
        <v>#N/A</v>
      </c>
      <c r="F365" s="176" t="e">
        <f t="shared" si="778"/>
        <v>#N/A</v>
      </c>
      <c r="G365" s="121">
        <f t="shared" si="799"/>
        <v>208</v>
      </c>
      <c r="H365" s="176" t="e">
        <f t="shared" si="800"/>
        <v>#N/A</v>
      </c>
      <c r="I365" s="48">
        <v>1</v>
      </c>
      <c r="J365" s="39"/>
      <c r="K365" s="350">
        <v>1</v>
      </c>
      <c r="L365" s="34" t="e">
        <f t="shared" si="779"/>
        <v>#N/A</v>
      </c>
      <c r="M365" s="38" t="e">
        <f>(HLOOKUP(J365,'Construction Times'!$B$3:$W$34,L365+2,FALSE)*HLOOKUP("hq modifier",'Construction Times'!$W$3:$W$34,BS365+2,FALSE))*(1-$H$9)</f>
        <v>#N/A</v>
      </c>
      <c r="N365" s="426" t="e">
        <f t="shared" si="801"/>
        <v>#N/A</v>
      </c>
      <c r="O365" s="427"/>
      <c r="P365" s="430" t="e">
        <f t="shared" si="802"/>
        <v>#N/A</v>
      </c>
      <c r="Q365" s="431"/>
      <c r="R365" s="103">
        <f t="shared" si="830"/>
        <v>0</v>
      </c>
      <c r="S365" s="104">
        <f t="shared" si="830"/>
        <v>0</v>
      </c>
      <c r="T365" s="104">
        <f t="shared" si="831"/>
        <v>0</v>
      </c>
      <c r="U365" s="104">
        <f t="shared" si="831"/>
        <v>0</v>
      </c>
      <c r="V365" s="104">
        <f t="shared" si="831"/>
        <v>9.9999999999999995E-8</v>
      </c>
      <c r="W365" s="104">
        <f t="shared" si="831"/>
        <v>0</v>
      </c>
      <c r="X365" s="104">
        <f t="shared" ref="X365:AA396" si="890">X364</f>
        <v>0</v>
      </c>
      <c r="Y365" s="104">
        <f t="shared" si="890"/>
        <v>9.9999999999999995E-8</v>
      </c>
      <c r="Z365" s="104">
        <f t="shared" si="890"/>
        <v>9.9999999999999995E-8</v>
      </c>
      <c r="AA365" s="105">
        <f t="shared" si="890"/>
        <v>9.9999999999999995E-8</v>
      </c>
      <c r="AB365" s="101" t="e">
        <f>$DT365*HLOOKUP($J365,'Construction Costs (timber)'!$B$1:$V$32,'Construction Planner'!$L365+2,FALSE)</f>
        <v>#N/A</v>
      </c>
      <c r="AC365" s="14" t="e">
        <f>$DT365*HLOOKUP($J365,'Construction Costs (clay)'!$B$1:$V$32,'Construction Planner'!$L365+2,FALSE)</f>
        <v>#N/A</v>
      </c>
      <c r="AD365" s="14" t="e">
        <f>$DT365*HLOOKUP($J365,'Construction Costs (iron)'!$B$1:$V$32,'Construction Planner'!$L365+2,FALSE)</f>
        <v>#N/A</v>
      </c>
      <c r="AE365" s="34" t="e">
        <f t="shared" si="843"/>
        <v>#N/A</v>
      </c>
      <c r="AF365" s="33" t="e">
        <f t="shared" si="780"/>
        <v>#N/A</v>
      </c>
      <c r="AG365" s="14" t="e">
        <f t="shared" si="781"/>
        <v>#N/A</v>
      </c>
      <c r="AH365" s="14" t="e">
        <f t="shared" si="782"/>
        <v>#N/A</v>
      </c>
      <c r="AI365" s="34" t="e">
        <f t="shared" si="844"/>
        <v>#N/A</v>
      </c>
      <c r="AJ365" s="49" t="e">
        <f t="shared" si="804"/>
        <v>#N/A</v>
      </c>
      <c r="AK365" s="49" t="e">
        <f t="shared" si="805"/>
        <v>#N/A</v>
      </c>
      <c r="AL365" s="49" t="e">
        <f t="shared" si="806"/>
        <v>#N/A</v>
      </c>
      <c r="AM365" s="25">
        <f t="shared" si="783"/>
        <v>30</v>
      </c>
      <c r="AN365" s="25">
        <f t="shared" si="784"/>
        <v>30</v>
      </c>
      <c r="AO365" s="25">
        <f t="shared" si="785"/>
        <v>30</v>
      </c>
      <c r="AP365" s="52" t="e">
        <f t="shared" si="807"/>
        <v>#N/A</v>
      </c>
      <c r="AQ365" s="53" t="e">
        <f t="shared" si="807"/>
        <v>#N/A</v>
      </c>
      <c r="AR365" s="54" t="e">
        <f t="shared" si="807"/>
        <v>#N/A</v>
      </c>
      <c r="AS365" s="316">
        <f t="shared" si="877"/>
        <v>0</v>
      </c>
      <c r="AT365" s="106">
        <f>_xlfn.IFNA($M365/VLOOKUP($BT365,'Unit information'!$A$2:$K$29,2,FALSE)*R365,0)*(1+$E$9)</f>
        <v>0</v>
      </c>
      <c r="AU365" s="107">
        <f>_xlfn.IFNA($M365/VLOOKUP($BT365,'Unit information'!$A$2:$K$29,3,FALSE)*S365,0)*(1+$E$9)</f>
        <v>0</v>
      </c>
      <c r="AV365" s="107">
        <f>_xlfn.IFNA($M365/VLOOKUP($BT365,'Unit information'!$A$2:$K$29,4,FALSE)*T365,0)*(1+$E$9)</f>
        <v>0</v>
      </c>
      <c r="AW365" s="107">
        <f>_xlfn.IFNA($M365/VLOOKUP($BT365,'Unit information'!$A$2:$K$29,5,FALSE)*U365,0)*(1+$E$9)</f>
        <v>0</v>
      </c>
      <c r="AX365" s="107">
        <f>_xlfn.IFNA($M365/VLOOKUP($BU365,'Unit information'!$A$2:$K$29,6,FALSE)*V365,0)*(1+$E$9)</f>
        <v>0</v>
      </c>
      <c r="AY365" s="107">
        <f>_xlfn.IFNA($M365/VLOOKUP($BU365,'Unit information'!$A$2:$K$29,7,FALSE)*W365,0)*(1+$E$9)</f>
        <v>0</v>
      </c>
      <c r="AZ365" s="107">
        <f>_xlfn.IFNA($M365/VLOOKUP($BU365,'Unit information'!$A$2:$K$29,8,FALSE)*X365,0)*(1+$E$9)</f>
        <v>0</v>
      </c>
      <c r="BA365" s="107">
        <f>_xlfn.IFNA($M365/VLOOKUP($BU365,'Unit information'!$A$2:$K$29,9,FALSE)*Y365,0)*(1+$E$9)</f>
        <v>0</v>
      </c>
      <c r="BB365" s="107">
        <f>_xlfn.IFNA($M365/VLOOKUP($BV365,'Unit information'!$A$2:$K$29,10,FALSE)*Z365,0)*(1+$E$9)</f>
        <v>0</v>
      </c>
      <c r="BC365" s="108">
        <f>_xlfn.IFNA($M365/VLOOKUP($BV365,'Unit information'!$A$2:$K$29,11,FALSE)*AA365,0)*(1+$E$9)</f>
        <v>0</v>
      </c>
      <c r="BD365" s="106">
        <f t="shared" si="786"/>
        <v>0</v>
      </c>
      <c r="BE365" s="107">
        <f t="shared" si="787"/>
        <v>0</v>
      </c>
      <c r="BF365" s="108">
        <f t="shared" si="788"/>
        <v>0</v>
      </c>
      <c r="BG365" s="25" t="e">
        <f t="shared" si="789"/>
        <v>#N/A</v>
      </c>
      <c r="BH365" s="25" t="e">
        <f t="shared" si="790"/>
        <v>#N/A</v>
      </c>
      <c r="BI365" s="25" t="e">
        <f t="shared" si="791"/>
        <v>#N/A</v>
      </c>
      <c r="BJ365" s="27" t="e">
        <f t="shared" si="792"/>
        <v>#N/A</v>
      </c>
      <c r="BK365" s="18" t="e">
        <f t="shared" si="793"/>
        <v>#N/A</v>
      </c>
      <c r="BL365" s="18" t="e">
        <f t="shared" si="794"/>
        <v>#N/A</v>
      </c>
      <c r="BM365" s="28" t="e">
        <f t="shared" si="846"/>
        <v>#N/A</v>
      </c>
      <c r="BN365" s="33">
        <f>HLOOKUP("maximum population",Miscelaneous!$C$1:$C$33,CH365+3,FALSE)</f>
        <v>240</v>
      </c>
      <c r="BO365" s="14">
        <f t="shared" si="808"/>
        <v>32</v>
      </c>
      <c r="BP365" s="14">
        <f t="shared" si="809"/>
        <v>0</v>
      </c>
      <c r="BQ365" s="14">
        <f t="shared" si="810"/>
        <v>208</v>
      </c>
      <c r="BR365" s="34" t="e">
        <f>HLOOKUP(J365,Villagers!$B$1:$V$33,L365+3,FALSE)-HLOOKUP(J365,Villagers!$B$1:$V$33,L365+2,FALSE)</f>
        <v>#N/A</v>
      </c>
      <c r="BS365" s="49">
        <f t="shared" si="811"/>
        <v>1</v>
      </c>
      <c r="BT365" s="50">
        <f t="shared" si="812"/>
        <v>0</v>
      </c>
      <c r="BU365" s="50">
        <f t="shared" si="813"/>
        <v>0</v>
      </c>
      <c r="BV365" s="50">
        <f t="shared" si="814"/>
        <v>0</v>
      </c>
      <c r="BW365" s="50">
        <f t="shared" si="883"/>
        <v>0</v>
      </c>
      <c r="BX365" s="50">
        <f t="shared" si="881"/>
        <v>0</v>
      </c>
      <c r="BY365" s="50">
        <f t="shared" si="881"/>
        <v>0</v>
      </c>
      <c r="BZ365" s="50">
        <f t="shared" si="860"/>
        <v>0</v>
      </c>
      <c r="CA365" s="50">
        <f t="shared" si="861"/>
        <v>0</v>
      </c>
      <c r="CB365" s="50">
        <f t="shared" si="862"/>
        <v>1</v>
      </c>
      <c r="CC365" s="50">
        <f t="shared" si="863"/>
        <v>0</v>
      </c>
      <c r="CD365" s="50">
        <f t="shared" si="864"/>
        <v>0</v>
      </c>
      <c r="CE365" s="50">
        <f t="shared" si="865"/>
        <v>1</v>
      </c>
      <c r="CF365" s="50">
        <f t="shared" si="866"/>
        <v>1</v>
      </c>
      <c r="CG365" s="50">
        <f t="shared" si="867"/>
        <v>1</v>
      </c>
      <c r="CH365" s="50">
        <f t="shared" si="868"/>
        <v>1</v>
      </c>
      <c r="CI365" s="50">
        <f t="shared" si="869"/>
        <v>1</v>
      </c>
      <c r="CJ365" s="50">
        <f t="shared" si="870"/>
        <v>1</v>
      </c>
      <c r="CK365" s="50">
        <f t="shared" si="870"/>
        <v>0</v>
      </c>
      <c r="CL365" s="50">
        <f t="shared" si="870"/>
        <v>0</v>
      </c>
      <c r="CM365" s="51">
        <f t="shared" si="795"/>
        <v>0</v>
      </c>
      <c r="CN365" s="33">
        <f>ROUND(IF(BS365=0,0,HLOOKUP(BS$14,Villagers!$B$1:$V$33,BS365+3,FALSE)),)</f>
        <v>5</v>
      </c>
      <c r="CO365" s="14">
        <f>ROUND(IF(BT365=0,0,HLOOKUP(BT$14,Villagers!$B$1:$V$33,BT365+3,FALSE)),)</f>
        <v>0</v>
      </c>
      <c r="CP365" s="14">
        <f>ROUND(IF(BU365=0,0,HLOOKUP(BU$14,Villagers!$B$1:$V$33,BU365+3,FALSE)),)</f>
        <v>0</v>
      </c>
      <c r="CQ365" s="14">
        <f>ROUND(IF(BV365=0,0,HLOOKUP(BV$14,Villagers!$B$1:$V$33,BV365+3,FALSE)),)</f>
        <v>0</v>
      </c>
      <c r="CR365" s="14">
        <f>ROUND(IF(BW365=0,0,HLOOKUP(BW$14,Villagers!$B$1:$V$33,BW365+3,FALSE)),)</f>
        <v>0</v>
      </c>
      <c r="CS365" s="14">
        <f>ROUND(IF(BX365=0,0,HLOOKUP(BX$14,Villagers!$B$1:$V$33,BX365+3,FALSE)),)</f>
        <v>0</v>
      </c>
      <c r="CT365" s="14">
        <f>ROUND(IF(BY365=0,0,HLOOKUP(BY$14,Villagers!$B$1:$V$33,BY365+3,FALSE)),)</f>
        <v>0</v>
      </c>
      <c r="CU365" s="14">
        <f>ROUND(IF(BZ365=0,0,HLOOKUP(BZ$14,Villagers!$B$1:$V$33,BZ365+3,FALSE)),)</f>
        <v>0</v>
      </c>
      <c r="CV365" s="14">
        <f>ROUND(IF(CA365=0,0,HLOOKUP(CA$14,Villagers!$B$1:$V$33,CA365+3,FALSE)),)</f>
        <v>0</v>
      </c>
      <c r="CW365" s="14">
        <f>ROUND(IF(CB365=0,0,HLOOKUP(CB$14,Villagers!$B$1:$V$33,CB365+3,FALSE)),)</f>
        <v>0</v>
      </c>
      <c r="CX365" s="14">
        <f>ROUND(IF(CC365=0,0,HLOOKUP(CC$14,Villagers!$B$1:$V$33,CC365+3,FALSE)),)</f>
        <v>0</v>
      </c>
      <c r="CY365" s="14">
        <f>ROUND(IF(CD365=0,0,HLOOKUP(CD$14,Villagers!$B$1:$V$33,CD365+3,FALSE)),)</f>
        <v>0</v>
      </c>
      <c r="CZ365" s="14">
        <f>ROUND(IF(CE365=0,0,HLOOKUP(CE$14,Villagers!$B$1:$V$33,CE365+3,FALSE)),)</f>
        <v>5</v>
      </c>
      <c r="DA365" s="14">
        <f>ROUND(IF(CF365=0,0,HLOOKUP(CF$14,Villagers!$B$1:$V$33,CF365+3,FALSE)),)</f>
        <v>10</v>
      </c>
      <c r="DB365" s="14">
        <f>ROUND(IF(CG365=0,0,HLOOKUP(CG$14,Villagers!$B$1:$V$33,CG365+3,FALSE)),)</f>
        <v>10</v>
      </c>
      <c r="DC365" s="14">
        <f>ROUND(IF(CH365=0,0,HLOOKUP(CH$14,Villagers!$B$1:$V$33,CH365+3,FALSE)),)</f>
        <v>0</v>
      </c>
      <c r="DD365" s="14">
        <f>ROUND(IF(CI365=0,0,HLOOKUP(CI$14,Villagers!$B$1:$V$33,CI365+3,FALSE)),)</f>
        <v>0</v>
      </c>
      <c r="DE365" s="14">
        <f>ROUND(IF(CJ365=0,0,HLOOKUP(CJ$14,Villagers!$B$1:$V$33,CJ365+3,FALSE)),)</f>
        <v>2</v>
      </c>
      <c r="DF365" s="370">
        <f>ROUND(IF(CK365=0,0,HLOOKUP(CK$14,Villagers!$B$1:$V$33,CK365+3,FALSE)),)</f>
        <v>0</v>
      </c>
      <c r="DG365" s="370">
        <f>ROUND(IF(CL365=0,0,HLOOKUP(CL$14,Villagers!$B$1:$V$33,CL365+3,FALSE)),)</f>
        <v>0</v>
      </c>
      <c r="DH365" s="34">
        <f>ROUND(IF(CM365=0,0,HLOOKUP(CM$14,Villagers!$B$1:$V$33,CM365+3,FALSE)),)</f>
        <v>0</v>
      </c>
      <c r="DI365" s="109">
        <f t="shared" si="832"/>
        <v>0</v>
      </c>
      <c r="DJ365" s="50">
        <f t="shared" si="833"/>
        <v>0</v>
      </c>
      <c r="DK365" s="50">
        <f t="shared" si="834"/>
        <v>0</v>
      </c>
      <c r="DL365" s="50">
        <f t="shared" si="835"/>
        <v>0</v>
      </c>
      <c r="DM365" s="50">
        <f t="shared" si="836"/>
        <v>0</v>
      </c>
      <c r="DN365" s="50">
        <f t="shared" si="837"/>
        <v>0</v>
      </c>
      <c r="DO365" s="50">
        <f t="shared" si="838"/>
        <v>0</v>
      </c>
      <c r="DP365" s="50">
        <f t="shared" si="839"/>
        <v>0</v>
      </c>
      <c r="DQ365" s="50">
        <f t="shared" si="816"/>
        <v>0</v>
      </c>
      <c r="DR365" s="50">
        <f t="shared" si="817"/>
        <v>0</v>
      </c>
      <c r="DS365" s="96">
        <f>Miscelaneous!$D$4*Miscelaneous!$D$2^($CI365-1)</f>
        <v>1000</v>
      </c>
      <c r="DT365" s="333">
        <f t="shared" si="796"/>
        <v>1</v>
      </c>
      <c r="DU365" s="81">
        <v>1</v>
      </c>
      <c r="DV365" s="79">
        <f t="shared" si="818"/>
        <v>0</v>
      </c>
      <c r="DW365" s="79">
        <f t="shared" si="819"/>
        <v>0</v>
      </c>
      <c r="DX365" s="79">
        <f t="shared" si="820"/>
        <v>0</v>
      </c>
      <c r="DY365" s="79">
        <v>1</v>
      </c>
      <c r="DZ365" s="79">
        <f t="shared" si="821"/>
        <v>0</v>
      </c>
      <c r="EA365" s="79">
        <f t="shared" si="822"/>
        <v>0</v>
      </c>
      <c r="EB365" s="79">
        <f t="shared" si="823"/>
        <v>0</v>
      </c>
      <c r="EC365" s="79">
        <f t="shared" si="824"/>
        <v>0</v>
      </c>
      <c r="ED365" s="79">
        <v>1</v>
      </c>
      <c r="EE365" s="79">
        <v>1</v>
      </c>
      <c r="EF365" s="79">
        <f t="shared" si="825"/>
        <v>0</v>
      </c>
      <c r="EG365" s="79">
        <v>1</v>
      </c>
      <c r="EH365" s="79">
        <v>1</v>
      </c>
      <c r="EI365" s="79">
        <v>1</v>
      </c>
      <c r="EJ365" s="79">
        <v>1</v>
      </c>
      <c r="EK365" s="79">
        <v>1</v>
      </c>
      <c r="EL365" s="79">
        <v>1</v>
      </c>
      <c r="EM365" s="143">
        <f t="shared" si="826"/>
        <v>0</v>
      </c>
      <c r="EN365" s="143">
        <f t="shared" si="827"/>
        <v>0</v>
      </c>
      <c r="EO365" s="82">
        <f t="shared" si="828"/>
        <v>0</v>
      </c>
    </row>
    <row r="366" spans="1:145" x14ac:dyDescent="0.25">
      <c r="A366">
        <v>352</v>
      </c>
      <c r="B366" s="172" t="e">
        <f t="shared" si="797"/>
        <v>#N/A</v>
      </c>
      <c r="C366" s="121" t="e">
        <f t="shared" ref="C366:E366" si="891">AJ366-SUM(AB366:AB370)</f>
        <v>#N/A</v>
      </c>
      <c r="D366" s="122" t="e">
        <f t="shared" si="891"/>
        <v>#N/A</v>
      </c>
      <c r="E366" s="122" t="e">
        <f t="shared" si="891"/>
        <v>#N/A</v>
      </c>
      <c r="F366" s="176" t="e">
        <f t="shared" si="778"/>
        <v>#N/A</v>
      </c>
      <c r="G366" s="121">
        <f t="shared" si="799"/>
        <v>208</v>
      </c>
      <c r="H366" s="176" t="e">
        <f t="shared" si="800"/>
        <v>#N/A</v>
      </c>
      <c r="I366" s="48">
        <v>1</v>
      </c>
      <c r="J366" s="39"/>
      <c r="K366" s="350">
        <v>1</v>
      </c>
      <c r="L366" s="34" t="e">
        <f t="shared" si="779"/>
        <v>#N/A</v>
      </c>
      <c r="M366" s="38" t="e">
        <f>(HLOOKUP(J366,'Construction Times'!$B$3:$W$34,L366+2,FALSE)*HLOOKUP("hq modifier",'Construction Times'!$W$3:$W$34,BS366+2,FALSE))*(1-$H$9)</f>
        <v>#N/A</v>
      </c>
      <c r="N366" s="426" t="e">
        <f t="shared" si="801"/>
        <v>#N/A</v>
      </c>
      <c r="O366" s="427"/>
      <c r="P366" s="430" t="e">
        <f t="shared" si="802"/>
        <v>#N/A</v>
      </c>
      <c r="Q366" s="431"/>
      <c r="R366" s="103">
        <f t="shared" si="830"/>
        <v>0</v>
      </c>
      <c r="S366" s="104">
        <f t="shared" si="830"/>
        <v>0</v>
      </c>
      <c r="T366" s="104">
        <f t="shared" si="831"/>
        <v>0</v>
      </c>
      <c r="U366" s="104">
        <f t="shared" si="831"/>
        <v>0</v>
      </c>
      <c r="V366" s="104">
        <f t="shared" si="831"/>
        <v>9.9999999999999995E-8</v>
      </c>
      <c r="W366" s="104">
        <f t="shared" si="831"/>
        <v>0</v>
      </c>
      <c r="X366" s="104">
        <f t="shared" si="890"/>
        <v>0</v>
      </c>
      <c r="Y366" s="104">
        <f t="shared" si="890"/>
        <v>9.9999999999999995E-8</v>
      </c>
      <c r="Z366" s="104">
        <f t="shared" si="890"/>
        <v>9.9999999999999995E-8</v>
      </c>
      <c r="AA366" s="105">
        <f t="shared" si="890"/>
        <v>9.9999999999999995E-8</v>
      </c>
      <c r="AB366" s="101" t="e">
        <f>$DT366*HLOOKUP($J366,'Construction Costs (timber)'!$B$1:$V$32,'Construction Planner'!$L366+2,FALSE)</f>
        <v>#N/A</v>
      </c>
      <c r="AC366" s="14" t="e">
        <f>$DT366*HLOOKUP($J366,'Construction Costs (clay)'!$B$1:$V$32,'Construction Planner'!$L366+2,FALSE)</f>
        <v>#N/A</v>
      </c>
      <c r="AD366" s="14" t="e">
        <f>$DT366*HLOOKUP($J366,'Construction Costs (iron)'!$B$1:$V$32,'Construction Planner'!$L366+2,FALSE)</f>
        <v>#N/A</v>
      </c>
      <c r="AE366" s="34" t="e">
        <f t="shared" si="843"/>
        <v>#N/A</v>
      </c>
      <c r="AF366" s="33" t="e">
        <f t="shared" si="780"/>
        <v>#N/A</v>
      </c>
      <c r="AG366" s="14" t="e">
        <f t="shared" si="781"/>
        <v>#N/A</v>
      </c>
      <c r="AH366" s="14" t="e">
        <f t="shared" si="782"/>
        <v>#N/A</v>
      </c>
      <c r="AI366" s="34" t="e">
        <f t="shared" si="844"/>
        <v>#N/A</v>
      </c>
      <c r="AJ366" s="49" t="e">
        <f t="shared" si="804"/>
        <v>#N/A</v>
      </c>
      <c r="AK366" s="49" t="e">
        <f t="shared" si="805"/>
        <v>#N/A</v>
      </c>
      <c r="AL366" s="49" t="e">
        <f t="shared" si="806"/>
        <v>#N/A</v>
      </c>
      <c r="AM366" s="25">
        <f t="shared" si="783"/>
        <v>30</v>
      </c>
      <c r="AN366" s="25">
        <f t="shared" si="784"/>
        <v>30</v>
      </c>
      <c r="AO366" s="25">
        <f t="shared" si="785"/>
        <v>30</v>
      </c>
      <c r="AP366" s="52" t="e">
        <f t="shared" si="807"/>
        <v>#N/A</v>
      </c>
      <c r="AQ366" s="53" t="e">
        <f t="shared" si="807"/>
        <v>#N/A</v>
      </c>
      <c r="AR366" s="54" t="e">
        <f t="shared" si="807"/>
        <v>#N/A</v>
      </c>
      <c r="AS366" s="316">
        <f t="shared" si="877"/>
        <v>0</v>
      </c>
      <c r="AT366" s="106">
        <f>_xlfn.IFNA($M366/VLOOKUP($BT366,'Unit information'!$A$2:$K$29,2,FALSE)*R366,0)*(1+$E$9)</f>
        <v>0</v>
      </c>
      <c r="AU366" s="107">
        <f>_xlfn.IFNA($M366/VLOOKUP($BT366,'Unit information'!$A$2:$K$29,3,FALSE)*S366,0)*(1+$E$9)</f>
        <v>0</v>
      </c>
      <c r="AV366" s="107">
        <f>_xlfn.IFNA($M366/VLOOKUP($BT366,'Unit information'!$A$2:$K$29,4,FALSE)*T366,0)*(1+$E$9)</f>
        <v>0</v>
      </c>
      <c r="AW366" s="107">
        <f>_xlfn.IFNA($M366/VLOOKUP($BT366,'Unit information'!$A$2:$K$29,5,FALSE)*U366,0)*(1+$E$9)</f>
        <v>0</v>
      </c>
      <c r="AX366" s="107">
        <f>_xlfn.IFNA($M366/VLOOKUP($BU366,'Unit information'!$A$2:$K$29,6,FALSE)*V366,0)*(1+$E$9)</f>
        <v>0</v>
      </c>
      <c r="AY366" s="107">
        <f>_xlfn.IFNA($M366/VLOOKUP($BU366,'Unit information'!$A$2:$K$29,7,FALSE)*W366,0)*(1+$E$9)</f>
        <v>0</v>
      </c>
      <c r="AZ366" s="107">
        <f>_xlfn.IFNA($M366/VLOOKUP($BU366,'Unit information'!$A$2:$K$29,8,FALSE)*X366,0)*(1+$E$9)</f>
        <v>0</v>
      </c>
      <c r="BA366" s="107">
        <f>_xlfn.IFNA($M366/VLOOKUP($BU366,'Unit information'!$A$2:$K$29,9,FALSE)*Y366,0)*(1+$E$9)</f>
        <v>0</v>
      </c>
      <c r="BB366" s="107">
        <f>_xlfn.IFNA($M366/VLOOKUP($BV366,'Unit information'!$A$2:$K$29,10,FALSE)*Z366,0)*(1+$E$9)</f>
        <v>0</v>
      </c>
      <c r="BC366" s="108">
        <f>_xlfn.IFNA($M366/VLOOKUP($BV366,'Unit information'!$A$2:$K$29,11,FALSE)*AA366,0)*(1+$E$9)</f>
        <v>0</v>
      </c>
      <c r="BD366" s="106">
        <f t="shared" si="786"/>
        <v>0</v>
      </c>
      <c r="BE366" s="107">
        <f t="shared" si="787"/>
        <v>0</v>
      </c>
      <c r="BF366" s="108">
        <f t="shared" si="788"/>
        <v>0</v>
      </c>
      <c r="BG366" s="25" t="e">
        <f t="shared" si="789"/>
        <v>#N/A</v>
      </c>
      <c r="BH366" s="25" t="e">
        <f t="shared" si="790"/>
        <v>#N/A</v>
      </c>
      <c r="BI366" s="25" t="e">
        <f t="shared" si="791"/>
        <v>#N/A</v>
      </c>
      <c r="BJ366" s="27" t="e">
        <f t="shared" si="792"/>
        <v>#N/A</v>
      </c>
      <c r="BK366" s="18" t="e">
        <f t="shared" si="793"/>
        <v>#N/A</v>
      </c>
      <c r="BL366" s="18" t="e">
        <f t="shared" si="794"/>
        <v>#N/A</v>
      </c>
      <c r="BM366" s="28" t="e">
        <f t="shared" si="846"/>
        <v>#N/A</v>
      </c>
      <c r="BN366" s="33">
        <f>HLOOKUP("maximum population",Miscelaneous!$C$1:$C$33,CH366+3,FALSE)</f>
        <v>240</v>
      </c>
      <c r="BO366" s="14">
        <f t="shared" si="808"/>
        <v>32</v>
      </c>
      <c r="BP366" s="14">
        <f t="shared" si="809"/>
        <v>0</v>
      </c>
      <c r="BQ366" s="14">
        <f t="shared" si="810"/>
        <v>208</v>
      </c>
      <c r="BR366" s="34" t="e">
        <f>HLOOKUP(J366,Villagers!$B$1:$V$33,L366+3,FALSE)-HLOOKUP(J366,Villagers!$B$1:$V$33,L366+2,FALSE)</f>
        <v>#N/A</v>
      </c>
      <c r="BS366" s="49">
        <f t="shared" si="811"/>
        <v>1</v>
      </c>
      <c r="BT366" s="50">
        <f t="shared" si="812"/>
        <v>0</v>
      </c>
      <c r="BU366" s="50">
        <f t="shared" si="813"/>
        <v>0</v>
      </c>
      <c r="BV366" s="50">
        <f t="shared" si="814"/>
        <v>0</v>
      </c>
      <c r="BW366" s="50">
        <f t="shared" si="883"/>
        <v>0</v>
      </c>
      <c r="BX366" s="50">
        <f t="shared" si="881"/>
        <v>0</v>
      </c>
      <c r="BY366" s="50">
        <f t="shared" si="881"/>
        <v>0</v>
      </c>
      <c r="BZ366" s="50">
        <f t="shared" si="860"/>
        <v>0</v>
      </c>
      <c r="CA366" s="50">
        <f t="shared" si="861"/>
        <v>0</v>
      </c>
      <c r="CB366" s="50">
        <f t="shared" si="862"/>
        <v>1</v>
      </c>
      <c r="CC366" s="50">
        <f t="shared" si="863"/>
        <v>0</v>
      </c>
      <c r="CD366" s="50">
        <f t="shared" si="864"/>
        <v>0</v>
      </c>
      <c r="CE366" s="50">
        <f t="shared" si="865"/>
        <v>1</v>
      </c>
      <c r="CF366" s="50">
        <f t="shared" si="866"/>
        <v>1</v>
      </c>
      <c r="CG366" s="50">
        <f t="shared" si="867"/>
        <v>1</v>
      </c>
      <c r="CH366" s="50">
        <f t="shared" si="868"/>
        <v>1</v>
      </c>
      <c r="CI366" s="50">
        <f t="shared" si="869"/>
        <v>1</v>
      </c>
      <c r="CJ366" s="50">
        <f t="shared" si="870"/>
        <v>1</v>
      </c>
      <c r="CK366" s="50">
        <f t="shared" si="870"/>
        <v>0</v>
      </c>
      <c r="CL366" s="50">
        <f t="shared" si="870"/>
        <v>0</v>
      </c>
      <c r="CM366" s="51">
        <f t="shared" si="795"/>
        <v>0</v>
      </c>
      <c r="CN366" s="33">
        <f>ROUND(IF(BS366=0,0,HLOOKUP(BS$14,Villagers!$B$1:$V$33,BS366+3,FALSE)),)</f>
        <v>5</v>
      </c>
      <c r="CO366" s="14">
        <f>ROUND(IF(BT366=0,0,HLOOKUP(BT$14,Villagers!$B$1:$V$33,BT366+3,FALSE)),)</f>
        <v>0</v>
      </c>
      <c r="CP366" s="14">
        <f>ROUND(IF(BU366=0,0,HLOOKUP(BU$14,Villagers!$B$1:$V$33,BU366+3,FALSE)),)</f>
        <v>0</v>
      </c>
      <c r="CQ366" s="14">
        <f>ROUND(IF(BV366=0,0,HLOOKUP(BV$14,Villagers!$B$1:$V$33,BV366+3,FALSE)),)</f>
        <v>0</v>
      </c>
      <c r="CR366" s="14">
        <f>ROUND(IF(BW366=0,0,HLOOKUP(BW$14,Villagers!$B$1:$V$33,BW366+3,FALSE)),)</f>
        <v>0</v>
      </c>
      <c r="CS366" s="14">
        <f>ROUND(IF(BX366=0,0,HLOOKUP(BX$14,Villagers!$B$1:$V$33,BX366+3,FALSE)),)</f>
        <v>0</v>
      </c>
      <c r="CT366" s="14">
        <f>ROUND(IF(BY366=0,0,HLOOKUP(BY$14,Villagers!$B$1:$V$33,BY366+3,FALSE)),)</f>
        <v>0</v>
      </c>
      <c r="CU366" s="14">
        <f>ROUND(IF(BZ366=0,0,HLOOKUP(BZ$14,Villagers!$B$1:$V$33,BZ366+3,FALSE)),)</f>
        <v>0</v>
      </c>
      <c r="CV366" s="14">
        <f>ROUND(IF(CA366=0,0,HLOOKUP(CA$14,Villagers!$B$1:$V$33,CA366+3,FALSE)),)</f>
        <v>0</v>
      </c>
      <c r="CW366" s="14">
        <f>ROUND(IF(CB366=0,0,HLOOKUP(CB$14,Villagers!$B$1:$V$33,CB366+3,FALSE)),)</f>
        <v>0</v>
      </c>
      <c r="CX366" s="14">
        <f>ROUND(IF(CC366=0,0,HLOOKUP(CC$14,Villagers!$B$1:$V$33,CC366+3,FALSE)),)</f>
        <v>0</v>
      </c>
      <c r="CY366" s="14">
        <f>ROUND(IF(CD366=0,0,HLOOKUP(CD$14,Villagers!$B$1:$V$33,CD366+3,FALSE)),)</f>
        <v>0</v>
      </c>
      <c r="CZ366" s="14">
        <f>ROUND(IF(CE366=0,0,HLOOKUP(CE$14,Villagers!$B$1:$V$33,CE366+3,FALSE)),)</f>
        <v>5</v>
      </c>
      <c r="DA366" s="14">
        <f>ROUND(IF(CF366=0,0,HLOOKUP(CF$14,Villagers!$B$1:$V$33,CF366+3,FALSE)),)</f>
        <v>10</v>
      </c>
      <c r="DB366" s="14">
        <f>ROUND(IF(CG366=0,0,HLOOKUP(CG$14,Villagers!$B$1:$V$33,CG366+3,FALSE)),)</f>
        <v>10</v>
      </c>
      <c r="DC366" s="14">
        <f>ROUND(IF(CH366=0,0,HLOOKUP(CH$14,Villagers!$B$1:$V$33,CH366+3,FALSE)),)</f>
        <v>0</v>
      </c>
      <c r="DD366" s="14">
        <f>ROUND(IF(CI366=0,0,HLOOKUP(CI$14,Villagers!$B$1:$V$33,CI366+3,FALSE)),)</f>
        <v>0</v>
      </c>
      <c r="DE366" s="14">
        <f>ROUND(IF(CJ366=0,0,HLOOKUP(CJ$14,Villagers!$B$1:$V$33,CJ366+3,FALSE)),)</f>
        <v>2</v>
      </c>
      <c r="DF366" s="370">
        <f>ROUND(IF(CK366=0,0,HLOOKUP(CK$14,Villagers!$B$1:$V$33,CK366+3,FALSE)),)</f>
        <v>0</v>
      </c>
      <c r="DG366" s="370">
        <f>ROUND(IF(CL366=0,0,HLOOKUP(CL$14,Villagers!$B$1:$V$33,CL366+3,FALSE)),)</f>
        <v>0</v>
      </c>
      <c r="DH366" s="34">
        <f>ROUND(IF(CM366=0,0,HLOOKUP(CM$14,Villagers!$B$1:$V$33,CM366+3,FALSE)),)</f>
        <v>0</v>
      </c>
      <c r="DI366" s="109">
        <f t="shared" si="832"/>
        <v>0</v>
      </c>
      <c r="DJ366" s="50">
        <f t="shared" si="833"/>
        <v>0</v>
      </c>
      <c r="DK366" s="50">
        <f t="shared" si="834"/>
        <v>0</v>
      </c>
      <c r="DL366" s="50">
        <f t="shared" si="835"/>
        <v>0</v>
      </c>
      <c r="DM366" s="50">
        <f t="shared" si="836"/>
        <v>0</v>
      </c>
      <c r="DN366" s="50">
        <f t="shared" si="837"/>
        <v>0</v>
      </c>
      <c r="DO366" s="50">
        <f t="shared" si="838"/>
        <v>0</v>
      </c>
      <c r="DP366" s="50">
        <f t="shared" si="839"/>
        <v>0</v>
      </c>
      <c r="DQ366" s="50">
        <f t="shared" si="816"/>
        <v>0</v>
      </c>
      <c r="DR366" s="50">
        <f t="shared" si="817"/>
        <v>0</v>
      </c>
      <c r="DS366" s="96">
        <f>Miscelaneous!$D$4*Miscelaneous!$D$2^($CI366-1)</f>
        <v>1000</v>
      </c>
      <c r="DT366" s="333">
        <f t="shared" si="796"/>
        <v>1</v>
      </c>
      <c r="DU366" s="81">
        <v>1</v>
      </c>
      <c r="DV366" s="79">
        <f t="shared" si="818"/>
        <v>0</v>
      </c>
      <c r="DW366" s="79">
        <f t="shared" si="819"/>
        <v>0</v>
      </c>
      <c r="DX366" s="79">
        <f t="shared" si="820"/>
        <v>0</v>
      </c>
      <c r="DY366" s="79">
        <v>1</v>
      </c>
      <c r="DZ366" s="79">
        <f t="shared" si="821"/>
        <v>0</v>
      </c>
      <c r="EA366" s="79">
        <f t="shared" si="822"/>
        <v>0</v>
      </c>
      <c r="EB366" s="79">
        <f t="shared" si="823"/>
        <v>0</v>
      </c>
      <c r="EC366" s="79">
        <f t="shared" si="824"/>
        <v>0</v>
      </c>
      <c r="ED366" s="79">
        <v>1</v>
      </c>
      <c r="EE366" s="79">
        <v>1</v>
      </c>
      <c r="EF366" s="79">
        <f t="shared" si="825"/>
        <v>0</v>
      </c>
      <c r="EG366" s="79">
        <v>1</v>
      </c>
      <c r="EH366" s="79">
        <v>1</v>
      </c>
      <c r="EI366" s="79">
        <v>1</v>
      </c>
      <c r="EJ366" s="79">
        <v>1</v>
      </c>
      <c r="EK366" s="79">
        <v>1</v>
      </c>
      <c r="EL366" s="79">
        <v>1</v>
      </c>
      <c r="EM366" s="143">
        <f t="shared" si="826"/>
        <v>0</v>
      </c>
      <c r="EN366" s="143">
        <f t="shared" si="827"/>
        <v>0</v>
      </c>
      <c r="EO366" s="82">
        <f t="shared" si="828"/>
        <v>0</v>
      </c>
    </row>
    <row r="367" spans="1:145" x14ac:dyDescent="0.25">
      <c r="A367">
        <v>353</v>
      </c>
      <c r="B367" s="172" t="e">
        <f t="shared" si="797"/>
        <v>#N/A</v>
      </c>
      <c r="C367" s="121" t="e">
        <f t="shared" ref="C367:E367" si="892">AJ367-SUM(AB367:AB371)</f>
        <v>#N/A</v>
      </c>
      <c r="D367" s="122" t="e">
        <f t="shared" si="892"/>
        <v>#N/A</v>
      </c>
      <c r="E367" s="122" t="e">
        <f t="shared" si="892"/>
        <v>#N/A</v>
      </c>
      <c r="F367" s="176" t="e">
        <f t="shared" si="778"/>
        <v>#N/A</v>
      </c>
      <c r="G367" s="121">
        <f t="shared" si="799"/>
        <v>208</v>
      </c>
      <c r="H367" s="176" t="e">
        <f t="shared" si="800"/>
        <v>#N/A</v>
      </c>
      <c r="I367" s="48">
        <v>1</v>
      </c>
      <c r="J367" s="39"/>
      <c r="K367" s="350">
        <v>1</v>
      </c>
      <c r="L367" s="34" t="e">
        <f t="shared" si="779"/>
        <v>#N/A</v>
      </c>
      <c r="M367" s="38" t="e">
        <f>(HLOOKUP(J367,'Construction Times'!$B$3:$W$34,L367+2,FALSE)*HLOOKUP("hq modifier",'Construction Times'!$W$3:$W$34,BS367+2,FALSE))*(1-$H$9)</f>
        <v>#N/A</v>
      </c>
      <c r="N367" s="426" t="e">
        <f t="shared" si="801"/>
        <v>#N/A</v>
      </c>
      <c r="O367" s="427"/>
      <c r="P367" s="430" t="e">
        <f t="shared" si="802"/>
        <v>#N/A</v>
      </c>
      <c r="Q367" s="431"/>
      <c r="R367" s="103">
        <f t="shared" si="830"/>
        <v>0</v>
      </c>
      <c r="S367" s="104">
        <f t="shared" si="830"/>
        <v>0</v>
      </c>
      <c r="T367" s="104">
        <f t="shared" si="831"/>
        <v>0</v>
      </c>
      <c r="U367" s="104">
        <f t="shared" si="831"/>
        <v>0</v>
      </c>
      <c r="V367" s="104">
        <f t="shared" si="831"/>
        <v>9.9999999999999995E-8</v>
      </c>
      <c r="W367" s="104">
        <f t="shared" si="831"/>
        <v>0</v>
      </c>
      <c r="X367" s="104">
        <f t="shared" si="890"/>
        <v>0</v>
      </c>
      <c r="Y367" s="104">
        <f t="shared" si="890"/>
        <v>9.9999999999999995E-8</v>
      </c>
      <c r="Z367" s="104">
        <f t="shared" si="890"/>
        <v>9.9999999999999995E-8</v>
      </c>
      <c r="AA367" s="105">
        <f t="shared" si="890"/>
        <v>9.9999999999999995E-8</v>
      </c>
      <c r="AB367" s="101" t="e">
        <f>$DT367*HLOOKUP($J367,'Construction Costs (timber)'!$B$1:$V$32,'Construction Planner'!$L367+2,FALSE)</f>
        <v>#N/A</v>
      </c>
      <c r="AC367" s="14" t="e">
        <f>$DT367*HLOOKUP($J367,'Construction Costs (clay)'!$B$1:$V$32,'Construction Planner'!$L367+2,FALSE)</f>
        <v>#N/A</v>
      </c>
      <c r="AD367" s="14" t="e">
        <f>$DT367*HLOOKUP($J367,'Construction Costs (iron)'!$B$1:$V$32,'Construction Planner'!$L367+2,FALSE)</f>
        <v>#N/A</v>
      </c>
      <c r="AE367" s="34" t="e">
        <f t="shared" si="843"/>
        <v>#N/A</v>
      </c>
      <c r="AF367" s="33" t="e">
        <f t="shared" si="780"/>
        <v>#N/A</v>
      </c>
      <c r="AG367" s="14" t="e">
        <f t="shared" si="781"/>
        <v>#N/A</v>
      </c>
      <c r="AH367" s="14" t="e">
        <f t="shared" si="782"/>
        <v>#N/A</v>
      </c>
      <c r="AI367" s="34" t="e">
        <f t="shared" si="844"/>
        <v>#N/A</v>
      </c>
      <c r="AJ367" s="49" t="e">
        <f t="shared" si="804"/>
        <v>#N/A</v>
      </c>
      <c r="AK367" s="49" t="e">
        <f t="shared" si="805"/>
        <v>#N/A</v>
      </c>
      <c r="AL367" s="49" t="e">
        <f t="shared" si="806"/>
        <v>#N/A</v>
      </c>
      <c r="AM367" s="25">
        <f t="shared" si="783"/>
        <v>30</v>
      </c>
      <c r="AN367" s="25">
        <f t="shared" si="784"/>
        <v>30</v>
      </c>
      <c r="AO367" s="25">
        <f t="shared" si="785"/>
        <v>30</v>
      </c>
      <c r="AP367" s="52" t="e">
        <f t="shared" si="807"/>
        <v>#N/A</v>
      </c>
      <c r="AQ367" s="53" t="e">
        <f t="shared" si="807"/>
        <v>#N/A</v>
      </c>
      <c r="AR367" s="54" t="e">
        <f t="shared" si="807"/>
        <v>#N/A</v>
      </c>
      <c r="AS367" s="316">
        <f t="shared" si="877"/>
        <v>0</v>
      </c>
      <c r="AT367" s="106">
        <f>_xlfn.IFNA($M367/VLOOKUP($BT367,'Unit information'!$A$2:$K$29,2,FALSE)*R367,0)*(1+$E$9)</f>
        <v>0</v>
      </c>
      <c r="AU367" s="107">
        <f>_xlfn.IFNA($M367/VLOOKUP($BT367,'Unit information'!$A$2:$K$29,3,FALSE)*S367,0)*(1+$E$9)</f>
        <v>0</v>
      </c>
      <c r="AV367" s="107">
        <f>_xlfn.IFNA($M367/VLOOKUP($BT367,'Unit information'!$A$2:$K$29,4,FALSE)*T367,0)*(1+$E$9)</f>
        <v>0</v>
      </c>
      <c r="AW367" s="107">
        <f>_xlfn.IFNA($M367/VLOOKUP($BT367,'Unit information'!$A$2:$K$29,5,FALSE)*U367,0)*(1+$E$9)</f>
        <v>0</v>
      </c>
      <c r="AX367" s="107">
        <f>_xlfn.IFNA($M367/VLOOKUP($BU367,'Unit information'!$A$2:$K$29,6,FALSE)*V367,0)*(1+$E$9)</f>
        <v>0</v>
      </c>
      <c r="AY367" s="107">
        <f>_xlfn.IFNA($M367/VLOOKUP($BU367,'Unit information'!$A$2:$K$29,7,FALSE)*W367,0)*(1+$E$9)</f>
        <v>0</v>
      </c>
      <c r="AZ367" s="107">
        <f>_xlfn.IFNA($M367/VLOOKUP($BU367,'Unit information'!$A$2:$K$29,8,FALSE)*X367,0)*(1+$E$9)</f>
        <v>0</v>
      </c>
      <c r="BA367" s="107">
        <f>_xlfn.IFNA($M367/VLOOKUP($BU367,'Unit information'!$A$2:$K$29,9,FALSE)*Y367,0)*(1+$E$9)</f>
        <v>0</v>
      </c>
      <c r="BB367" s="107">
        <f>_xlfn.IFNA($M367/VLOOKUP($BV367,'Unit information'!$A$2:$K$29,10,FALSE)*Z367,0)*(1+$E$9)</f>
        <v>0</v>
      </c>
      <c r="BC367" s="108">
        <f>_xlfn.IFNA($M367/VLOOKUP($BV367,'Unit information'!$A$2:$K$29,11,FALSE)*AA367,0)*(1+$E$9)</f>
        <v>0</v>
      </c>
      <c r="BD367" s="106">
        <f t="shared" si="786"/>
        <v>0</v>
      </c>
      <c r="BE367" s="107">
        <f t="shared" si="787"/>
        <v>0</v>
      </c>
      <c r="BF367" s="108">
        <f t="shared" si="788"/>
        <v>0</v>
      </c>
      <c r="BG367" s="25" t="e">
        <f t="shared" si="789"/>
        <v>#N/A</v>
      </c>
      <c r="BH367" s="25" t="e">
        <f t="shared" si="790"/>
        <v>#N/A</v>
      </c>
      <c r="BI367" s="25" t="e">
        <f t="shared" si="791"/>
        <v>#N/A</v>
      </c>
      <c r="BJ367" s="27" t="e">
        <f t="shared" si="792"/>
        <v>#N/A</v>
      </c>
      <c r="BK367" s="18" t="e">
        <f t="shared" si="793"/>
        <v>#N/A</v>
      </c>
      <c r="BL367" s="18" t="e">
        <f t="shared" si="794"/>
        <v>#N/A</v>
      </c>
      <c r="BM367" s="28" t="e">
        <f t="shared" si="846"/>
        <v>#N/A</v>
      </c>
      <c r="BN367" s="33">
        <f>HLOOKUP("maximum population",Miscelaneous!$C$1:$C$33,CH367+3,FALSE)</f>
        <v>240</v>
      </c>
      <c r="BO367" s="14">
        <f t="shared" si="808"/>
        <v>32</v>
      </c>
      <c r="BP367" s="14">
        <f t="shared" si="809"/>
        <v>0</v>
      </c>
      <c r="BQ367" s="14">
        <f t="shared" si="810"/>
        <v>208</v>
      </c>
      <c r="BR367" s="34" t="e">
        <f>HLOOKUP(J367,Villagers!$B$1:$V$33,L367+3,FALSE)-HLOOKUP(J367,Villagers!$B$1:$V$33,L367+2,FALSE)</f>
        <v>#N/A</v>
      </c>
      <c r="BS367" s="49">
        <f t="shared" si="811"/>
        <v>1</v>
      </c>
      <c r="BT367" s="50">
        <f t="shared" si="812"/>
        <v>0</v>
      </c>
      <c r="BU367" s="50">
        <f t="shared" si="813"/>
        <v>0</v>
      </c>
      <c r="BV367" s="50">
        <f t="shared" si="814"/>
        <v>0</v>
      </c>
      <c r="BW367" s="50">
        <f t="shared" si="883"/>
        <v>0</v>
      </c>
      <c r="BX367" s="50">
        <f t="shared" si="881"/>
        <v>0</v>
      </c>
      <c r="BY367" s="50">
        <f t="shared" si="881"/>
        <v>0</v>
      </c>
      <c r="BZ367" s="50">
        <f t="shared" si="860"/>
        <v>0</v>
      </c>
      <c r="CA367" s="50">
        <f t="shared" si="861"/>
        <v>0</v>
      </c>
      <c r="CB367" s="50">
        <f t="shared" si="862"/>
        <v>1</v>
      </c>
      <c r="CC367" s="50">
        <f t="shared" si="863"/>
        <v>0</v>
      </c>
      <c r="CD367" s="50">
        <f t="shared" si="864"/>
        <v>0</v>
      </c>
      <c r="CE367" s="50">
        <f t="shared" si="865"/>
        <v>1</v>
      </c>
      <c r="CF367" s="50">
        <f t="shared" si="866"/>
        <v>1</v>
      </c>
      <c r="CG367" s="50">
        <f t="shared" si="867"/>
        <v>1</v>
      </c>
      <c r="CH367" s="50">
        <f t="shared" si="868"/>
        <v>1</v>
      </c>
      <c r="CI367" s="50">
        <f t="shared" si="869"/>
        <v>1</v>
      </c>
      <c r="CJ367" s="50">
        <f t="shared" si="870"/>
        <v>1</v>
      </c>
      <c r="CK367" s="50">
        <f t="shared" si="870"/>
        <v>0</v>
      </c>
      <c r="CL367" s="50">
        <f t="shared" si="870"/>
        <v>0</v>
      </c>
      <c r="CM367" s="51">
        <f t="shared" si="795"/>
        <v>0</v>
      </c>
      <c r="CN367" s="33">
        <f>ROUND(IF(BS367=0,0,HLOOKUP(BS$14,Villagers!$B$1:$V$33,BS367+3,FALSE)),)</f>
        <v>5</v>
      </c>
      <c r="CO367" s="14">
        <f>ROUND(IF(BT367=0,0,HLOOKUP(BT$14,Villagers!$B$1:$V$33,BT367+3,FALSE)),)</f>
        <v>0</v>
      </c>
      <c r="CP367" s="14">
        <f>ROUND(IF(BU367=0,0,HLOOKUP(BU$14,Villagers!$B$1:$V$33,BU367+3,FALSE)),)</f>
        <v>0</v>
      </c>
      <c r="CQ367" s="14">
        <f>ROUND(IF(BV367=0,0,HLOOKUP(BV$14,Villagers!$B$1:$V$33,BV367+3,FALSE)),)</f>
        <v>0</v>
      </c>
      <c r="CR367" s="14">
        <f>ROUND(IF(BW367=0,0,HLOOKUP(BW$14,Villagers!$B$1:$V$33,BW367+3,FALSE)),)</f>
        <v>0</v>
      </c>
      <c r="CS367" s="14">
        <f>ROUND(IF(BX367=0,0,HLOOKUP(BX$14,Villagers!$B$1:$V$33,BX367+3,FALSE)),)</f>
        <v>0</v>
      </c>
      <c r="CT367" s="14">
        <f>ROUND(IF(BY367=0,0,HLOOKUP(BY$14,Villagers!$B$1:$V$33,BY367+3,FALSE)),)</f>
        <v>0</v>
      </c>
      <c r="CU367" s="14">
        <f>ROUND(IF(BZ367=0,0,HLOOKUP(BZ$14,Villagers!$B$1:$V$33,BZ367+3,FALSE)),)</f>
        <v>0</v>
      </c>
      <c r="CV367" s="14">
        <f>ROUND(IF(CA367=0,0,HLOOKUP(CA$14,Villagers!$B$1:$V$33,CA367+3,FALSE)),)</f>
        <v>0</v>
      </c>
      <c r="CW367" s="14">
        <f>ROUND(IF(CB367=0,0,HLOOKUP(CB$14,Villagers!$B$1:$V$33,CB367+3,FALSE)),)</f>
        <v>0</v>
      </c>
      <c r="CX367" s="14">
        <f>ROUND(IF(CC367=0,0,HLOOKUP(CC$14,Villagers!$B$1:$V$33,CC367+3,FALSE)),)</f>
        <v>0</v>
      </c>
      <c r="CY367" s="14">
        <f>ROUND(IF(CD367=0,0,HLOOKUP(CD$14,Villagers!$B$1:$V$33,CD367+3,FALSE)),)</f>
        <v>0</v>
      </c>
      <c r="CZ367" s="14">
        <f>ROUND(IF(CE367=0,0,HLOOKUP(CE$14,Villagers!$B$1:$V$33,CE367+3,FALSE)),)</f>
        <v>5</v>
      </c>
      <c r="DA367" s="14">
        <f>ROUND(IF(CF367=0,0,HLOOKUP(CF$14,Villagers!$B$1:$V$33,CF367+3,FALSE)),)</f>
        <v>10</v>
      </c>
      <c r="DB367" s="14">
        <f>ROUND(IF(CG367=0,0,HLOOKUP(CG$14,Villagers!$B$1:$V$33,CG367+3,FALSE)),)</f>
        <v>10</v>
      </c>
      <c r="DC367" s="14">
        <f>ROUND(IF(CH367=0,0,HLOOKUP(CH$14,Villagers!$B$1:$V$33,CH367+3,FALSE)),)</f>
        <v>0</v>
      </c>
      <c r="DD367" s="14">
        <f>ROUND(IF(CI367=0,0,HLOOKUP(CI$14,Villagers!$B$1:$V$33,CI367+3,FALSE)),)</f>
        <v>0</v>
      </c>
      <c r="DE367" s="14">
        <f>ROUND(IF(CJ367=0,0,HLOOKUP(CJ$14,Villagers!$B$1:$V$33,CJ367+3,FALSE)),)</f>
        <v>2</v>
      </c>
      <c r="DF367" s="370">
        <f>ROUND(IF(CK367=0,0,HLOOKUP(CK$14,Villagers!$B$1:$V$33,CK367+3,FALSE)),)</f>
        <v>0</v>
      </c>
      <c r="DG367" s="370">
        <f>ROUND(IF(CL367=0,0,HLOOKUP(CL$14,Villagers!$B$1:$V$33,CL367+3,FALSE)),)</f>
        <v>0</v>
      </c>
      <c r="DH367" s="34">
        <f>ROUND(IF(CM367=0,0,HLOOKUP(CM$14,Villagers!$B$1:$V$33,CM367+3,FALSE)),)</f>
        <v>0</v>
      </c>
      <c r="DI367" s="109">
        <f t="shared" si="832"/>
        <v>0</v>
      </c>
      <c r="DJ367" s="50">
        <f t="shared" si="833"/>
        <v>0</v>
      </c>
      <c r="DK367" s="50">
        <f t="shared" si="834"/>
        <v>0</v>
      </c>
      <c r="DL367" s="50">
        <f t="shared" si="835"/>
        <v>0</v>
      </c>
      <c r="DM367" s="50">
        <f t="shared" si="836"/>
        <v>0</v>
      </c>
      <c r="DN367" s="50">
        <f t="shared" si="837"/>
        <v>0</v>
      </c>
      <c r="DO367" s="50">
        <f t="shared" si="838"/>
        <v>0</v>
      </c>
      <c r="DP367" s="50">
        <f t="shared" si="839"/>
        <v>0</v>
      </c>
      <c r="DQ367" s="50">
        <f t="shared" si="816"/>
        <v>0</v>
      </c>
      <c r="DR367" s="50">
        <f t="shared" si="817"/>
        <v>0</v>
      </c>
      <c r="DS367" s="96">
        <f>Miscelaneous!$D$4*Miscelaneous!$D$2^($CI367-1)</f>
        <v>1000</v>
      </c>
      <c r="DT367" s="333">
        <f t="shared" si="796"/>
        <v>1</v>
      </c>
      <c r="DU367" s="81">
        <v>1</v>
      </c>
      <c r="DV367" s="79">
        <f t="shared" si="818"/>
        <v>0</v>
      </c>
      <c r="DW367" s="79">
        <f t="shared" si="819"/>
        <v>0</v>
      </c>
      <c r="DX367" s="79">
        <f t="shared" si="820"/>
        <v>0</v>
      </c>
      <c r="DY367" s="79">
        <v>1</v>
      </c>
      <c r="DZ367" s="79">
        <f t="shared" si="821"/>
        <v>0</v>
      </c>
      <c r="EA367" s="79">
        <f t="shared" si="822"/>
        <v>0</v>
      </c>
      <c r="EB367" s="79">
        <f t="shared" si="823"/>
        <v>0</v>
      </c>
      <c r="EC367" s="79">
        <f t="shared" si="824"/>
        <v>0</v>
      </c>
      <c r="ED367" s="79">
        <v>1</v>
      </c>
      <c r="EE367" s="79">
        <v>1</v>
      </c>
      <c r="EF367" s="79">
        <f t="shared" si="825"/>
        <v>0</v>
      </c>
      <c r="EG367" s="79">
        <v>1</v>
      </c>
      <c r="EH367" s="79">
        <v>1</v>
      </c>
      <c r="EI367" s="79">
        <v>1</v>
      </c>
      <c r="EJ367" s="79">
        <v>1</v>
      </c>
      <c r="EK367" s="79">
        <v>1</v>
      </c>
      <c r="EL367" s="79">
        <v>1</v>
      </c>
      <c r="EM367" s="143">
        <f t="shared" si="826"/>
        <v>0</v>
      </c>
      <c r="EN367" s="143">
        <f t="shared" si="827"/>
        <v>0</v>
      </c>
      <c r="EO367" s="82">
        <f t="shared" si="828"/>
        <v>0</v>
      </c>
    </row>
    <row r="368" spans="1:145" x14ac:dyDescent="0.25">
      <c r="A368">
        <v>354</v>
      </c>
      <c r="B368" s="172" t="e">
        <f t="shared" si="797"/>
        <v>#N/A</v>
      </c>
      <c r="C368" s="121" t="e">
        <f t="shared" ref="C368:E368" si="893">AJ368-SUM(AB368:AB372)</f>
        <v>#N/A</v>
      </c>
      <c r="D368" s="122" t="e">
        <f t="shared" si="893"/>
        <v>#N/A</v>
      </c>
      <c r="E368" s="122" t="e">
        <f t="shared" si="893"/>
        <v>#N/A</v>
      </c>
      <c r="F368" s="176" t="e">
        <f t="shared" si="778"/>
        <v>#N/A</v>
      </c>
      <c r="G368" s="121">
        <f t="shared" si="799"/>
        <v>208</v>
      </c>
      <c r="H368" s="176" t="e">
        <f t="shared" si="800"/>
        <v>#N/A</v>
      </c>
      <c r="I368" s="48">
        <v>1</v>
      </c>
      <c r="J368" s="39"/>
      <c r="K368" s="350">
        <v>1</v>
      </c>
      <c r="L368" s="34" t="e">
        <f t="shared" si="779"/>
        <v>#N/A</v>
      </c>
      <c r="M368" s="38" t="e">
        <f>(HLOOKUP(J368,'Construction Times'!$B$3:$W$34,L368+2,FALSE)*HLOOKUP("hq modifier",'Construction Times'!$W$3:$W$34,BS368+2,FALSE))*(1-$H$9)</f>
        <v>#N/A</v>
      </c>
      <c r="N368" s="426" t="e">
        <f t="shared" si="801"/>
        <v>#N/A</v>
      </c>
      <c r="O368" s="427"/>
      <c r="P368" s="430" t="e">
        <f t="shared" si="802"/>
        <v>#N/A</v>
      </c>
      <c r="Q368" s="431"/>
      <c r="R368" s="103">
        <f t="shared" si="830"/>
        <v>0</v>
      </c>
      <c r="S368" s="104">
        <f t="shared" si="830"/>
        <v>0</v>
      </c>
      <c r="T368" s="104">
        <f t="shared" si="831"/>
        <v>0</v>
      </c>
      <c r="U368" s="104">
        <f t="shared" si="831"/>
        <v>0</v>
      </c>
      <c r="V368" s="104">
        <f t="shared" si="831"/>
        <v>9.9999999999999995E-8</v>
      </c>
      <c r="W368" s="104">
        <f t="shared" si="831"/>
        <v>0</v>
      </c>
      <c r="X368" s="104">
        <f t="shared" si="890"/>
        <v>0</v>
      </c>
      <c r="Y368" s="104">
        <f t="shared" si="890"/>
        <v>9.9999999999999995E-8</v>
      </c>
      <c r="Z368" s="104">
        <f t="shared" si="890"/>
        <v>9.9999999999999995E-8</v>
      </c>
      <c r="AA368" s="105">
        <f t="shared" si="890"/>
        <v>9.9999999999999995E-8</v>
      </c>
      <c r="AB368" s="101" t="e">
        <f>$DT368*HLOOKUP($J368,'Construction Costs (timber)'!$B$1:$V$32,'Construction Planner'!$L368+2,FALSE)</f>
        <v>#N/A</v>
      </c>
      <c r="AC368" s="14" t="e">
        <f>$DT368*HLOOKUP($J368,'Construction Costs (clay)'!$B$1:$V$32,'Construction Planner'!$L368+2,FALSE)</f>
        <v>#N/A</v>
      </c>
      <c r="AD368" s="14" t="e">
        <f>$DT368*HLOOKUP($J368,'Construction Costs (iron)'!$B$1:$V$32,'Construction Planner'!$L368+2,FALSE)</f>
        <v>#N/A</v>
      </c>
      <c r="AE368" s="34" t="e">
        <f t="shared" si="843"/>
        <v>#N/A</v>
      </c>
      <c r="AF368" s="33" t="e">
        <f t="shared" si="780"/>
        <v>#N/A</v>
      </c>
      <c r="AG368" s="14" t="e">
        <f t="shared" si="781"/>
        <v>#N/A</v>
      </c>
      <c r="AH368" s="14" t="e">
        <f t="shared" si="782"/>
        <v>#N/A</v>
      </c>
      <c r="AI368" s="34" t="e">
        <f t="shared" si="844"/>
        <v>#N/A</v>
      </c>
      <c r="AJ368" s="49" t="e">
        <f t="shared" si="804"/>
        <v>#N/A</v>
      </c>
      <c r="AK368" s="49" t="e">
        <f t="shared" si="805"/>
        <v>#N/A</v>
      </c>
      <c r="AL368" s="49" t="e">
        <f t="shared" si="806"/>
        <v>#N/A</v>
      </c>
      <c r="AM368" s="25">
        <f t="shared" si="783"/>
        <v>30</v>
      </c>
      <c r="AN368" s="25">
        <f t="shared" si="784"/>
        <v>30</v>
      </c>
      <c r="AO368" s="25">
        <f t="shared" si="785"/>
        <v>30</v>
      </c>
      <c r="AP368" s="52" t="e">
        <f t="shared" ref="AP368:AR399" si="894">($N368-$AK$6+$AK$9+1)*$AK$5/24/3*$AS368</f>
        <v>#N/A</v>
      </c>
      <c r="AQ368" s="53" t="e">
        <f t="shared" si="894"/>
        <v>#N/A</v>
      </c>
      <c r="AR368" s="54" t="e">
        <f t="shared" si="894"/>
        <v>#N/A</v>
      </c>
      <c r="AS368" s="316">
        <f t="shared" si="877"/>
        <v>0</v>
      </c>
      <c r="AT368" s="106">
        <f>_xlfn.IFNA($M368/VLOOKUP($BT368,'Unit information'!$A$2:$K$29,2,FALSE)*R368,0)*(1+$E$9)</f>
        <v>0</v>
      </c>
      <c r="AU368" s="107">
        <f>_xlfn.IFNA($M368/VLOOKUP($BT368,'Unit information'!$A$2:$K$29,3,FALSE)*S368,0)*(1+$E$9)</f>
        <v>0</v>
      </c>
      <c r="AV368" s="107">
        <f>_xlfn.IFNA($M368/VLOOKUP($BT368,'Unit information'!$A$2:$K$29,4,FALSE)*T368,0)*(1+$E$9)</f>
        <v>0</v>
      </c>
      <c r="AW368" s="107">
        <f>_xlfn.IFNA($M368/VLOOKUP($BT368,'Unit information'!$A$2:$K$29,5,FALSE)*U368,0)*(1+$E$9)</f>
        <v>0</v>
      </c>
      <c r="AX368" s="107">
        <f>_xlfn.IFNA($M368/VLOOKUP($BU368,'Unit information'!$A$2:$K$29,6,FALSE)*V368,0)*(1+$E$9)</f>
        <v>0</v>
      </c>
      <c r="AY368" s="107">
        <f>_xlfn.IFNA($M368/VLOOKUP($BU368,'Unit information'!$A$2:$K$29,7,FALSE)*W368,0)*(1+$E$9)</f>
        <v>0</v>
      </c>
      <c r="AZ368" s="107">
        <f>_xlfn.IFNA($M368/VLOOKUP($BU368,'Unit information'!$A$2:$K$29,8,FALSE)*X368,0)*(1+$E$9)</f>
        <v>0</v>
      </c>
      <c r="BA368" s="107">
        <f>_xlfn.IFNA($M368/VLOOKUP($BU368,'Unit information'!$A$2:$K$29,9,FALSE)*Y368,0)*(1+$E$9)</f>
        <v>0</v>
      </c>
      <c r="BB368" s="107">
        <f>_xlfn.IFNA($M368/VLOOKUP($BV368,'Unit information'!$A$2:$K$29,10,FALSE)*Z368,0)*(1+$E$9)</f>
        <v>0</v>
      </c>
      <c r="BC368" s="108">
        <f>_xlfn.IFNA($M368/VLOOKUP($BV368,'Unit information'!$A$2:$K$29,11,FALSE)*AA368,0)*(1+$E$9)</f>
        <v>0</v>
      </c>
      <c r="BD368" s="106">
        <f t="shared" si="786"/>
        <v>0</v>
      </c>
      <c r="BE368" s="107">
        <f t="shared" si="787"/>
        <v>0</v>
      </c>
      <c r="BF368" s="108">
        <f t="shared" si="788"/>
        <v>0</v>
      </c>
      <c r="BG368" s="25" t="e">
        <f t="shared" si="789"/>
        <v>#N/A</v>
      </c>
      <c r="BH368" s="25" t="e">
        <f t="shared" si="790"/>
        <v>#N/A</v>
      </c>
      <c r="BI368" s="25" t="e">
        <f t="shared" si="791"/>
        <v>#N/A</v>
      </c>
      <c r="BJ368" s="27" t="e">
        <f t="shared" si="792"/>
        <v>#N/A</v>
      </c>
      <c r="BK368" s="18" t="e">
        <f t="shared" si="793"/>
        <v>#N/A</v>
      </c>
      <c r="BL368" s="18" t="e">
        <f t="shared" si="794"/>
        <v>#N/A</v>
      </c>
      <c r="BM368" s="28" t="e">
        <f t="shared" si="846"/>
        <v>#N/A</v>
      </c>
      <c r="BN368" s="33">
        <f>HLOOKUP("maximum population",Miscelaneous!$C$1:$C$33,CH368+3,FALSE)</f>
        <v>240</v>
      </c>
      <c r="BO368" s="14">
        <f t="shared" si="808"/>
        <v>32</v>
      </c>
      <c r="BP368" s="14">
        <f t="shared" si="809"/>
        <v>0</v>
      </c>
      <c r="BQ368" s="14">
        <f t="shared" si="810"/>
        <v>208</v>
      </c>
      <c r="BR368" s="34" t="e">
        <f>HLOOKUP(J368,Villagers!$B$1:$V$33,L368+3,FALSE)-HLOOKUP(J368,Villagers!$B$1:$V$33,L368+2,FALSE)</f>
        <v>#N/A</v>
      </c>
      <c r="BS368" s="49">
        <f t="shared" si="811"/>
        <v>1</v>
      </c>
      <c r="BT368" s="50">
        <f t="shared" si="812"/>
        <v>0</v>
      </c>
      <c r="BU368" s="50">
        <f t="shared" si="813"/>
        <v>0</v>
      </c>
      <c r="BV368" s="50">
        <f t="shared" si="814"/>
        <v>0</v>
      </c>
      <c r="BW368" s="50">
        <f t="shared" ref="BW368:BY374" si="895">IF($J367=BW$14,$L367,BW367)</f>
        <v>0</v>
      </c>
      <c r="BX368" s="50">
        <f t="shared" si="895"/>
        <v>0</v>
      </c>
      <c r="BY368" s="50">
        <f t="shared" si="895"/>
        <v>0</v>
      </c>
      <c r="BZ368" s="50">
        <f t="shared" si="860"/>
        <v>0</v>
      </c>
      <c r="CA368" s="50">
        <f t="shared" si="861"/>
        <v>0</v>
      </c>
      <c r="CB368" s="50">
        <f t="shared" si="862"/>
        <v>1</v>
      </c>
      <c r="CC368" s="50">
        <f t="shared" si="863"/>
        <v>0</v>
      </c>
      <c r="CD368" s="50">
        <f t="shared" si="864"/>
        <v>0</v>
      </c>
      <c r="CE368" s="50">
        <f t="shared" si="865"/>
        <v>1</v>
      </c>
      <c r="CF368" s="50">
        <f t="shared" si="866"/>
        <v>1</v>
      </c>
      <c r="CG368" s="50">
        <f t="shared" si="867"/>
        <v>1</v>
      </c>
      <c r="CH368" s="50">
        <f t="shared" si="868"/>
        <v>1</v>
      </c>
      <c r="CI368" s="50">
        <f t="shared" si="869"/>
        <v>1</v>
      </c>
      <c r="CJ368" s="50">
        <f t="shared" si="870"/>
        <v>1</v>
      </c>
      <c r="CK368" s="50">
        <f t="shared" si="870"/>
        <v>0</v>
      </c>
      <c r="CL368" s="50">
        <f t="shared" si="870"/>
        <v>0</v>
      </c>
      <c r="CM368" s="51">
        <f t="shared" si="795"/>
        <v>0</v>
      </c>
      <c r="CN368" s="33">
        <f>ROUND(IF(BS368=0,0,HLOOKUP(BS$14,Villagers!$B$1:$V$33,BS368+3,FALSE)),)</f>
        <v>5</v>
      </c>
      <c r="CO368" s="14">
        <f>ROUND(IF(BT368=0,0,HLOOKUP(BT$14,Villagers!$B$1:$V$33,BT368+3,FALSE)),)</f>
        <v>0</v>
      </c>
      <c r="CP368" s="14">
        <f>ROUND(IF(BU368=0,0,HLOOKUP(BU$14,Villagers!$B$1:$V$33,BU368+3,FALSE)),)</f>
        <v>0</v>
      </c>
      <c r="CQ368" s="14">
        <f>ROUND(IF(BV368=0,0,HLOOKUP(BV$14,Villagers!$B$1:$V$33,BV368+3,FALSE)),)</f>
        <v>0</v>
      </c>
      <c r="CR368" s="14">
        <f>ROUND(IF(BW368=0,0,HLOOKUP(BW$14,Villagers!$B$1:$V$33,BW368+3,FALSE)),)</f>
        <v>0</v>
      </c>
      <c r="CS368" s="14">
        <f>ROUND(IF(BX368=0,0,HLOOKUP(BX$14,Villagers!$B$1:$V$33,BX368+3,FALSE)),)</f>
        <v>0</v>
      </c>
      <c r="CT368" s="14">
        <f>ROUND(IF(BY368=0,0,HLOOKUP(BY$14,Villagers!$B$1:$V$33,BY368+3,FALSE)),)</f>
        <v>0</v>
      </c>
      <c r="CU368" s="14">
        <f>ROUND(IF(BZ368=0,0,HLOOKUP(BZ$14,Villagers!$B$1:$V$33,BZ368+3,FALSE)),)</f>
        <v>0</v>
      </c>
      <c r="CV368" s="14">
        <f>ROUND(IF(CA368=0,0,HLOOKUP(CA$14,Villagers!$B$1:$V$33,CA368+3,FALSE)),)</f>
        <v>0</v>
      </c>
      <c r="CW368" s="14">
        <f>ROUND(IF(CB368=0,0,HLOOKUP(CB$14,Villagers!$B$1:$V$33,CB368+3,FALSE)),)</f>
        <v>0</v>
      </c>
      <c r="CX368" s="14">
        <f>ROUND(IF(CC368=0,0,HLOOKUP(CC$14,Villagers!$B$1:$V$33,CC368+3,FALSE)),)</f>
        <v>0</v>
      </c>
      <c r="CY368" s="14">
        <f>ROUND(IF(CD368=0,0,HLOOKUP(CD$14,Villagers!$B$1:$V$33,CD368+3,FALSE)),)</f>
        <v>0</v>
      </c>
      <c r="CZ368" s="14">
        <f>ROUND(IF(CE368=0,0,HLOOKUP(CE$14,Villagers!$B$1:$V$33,CE368+3,FALSE)),)</f>
        <v>5</v>
      </c>
      <c r="DA368" s="14">
        <f>ROUND(IF(CF368=0,0,HLOOKUP(CF$14,Villagers!$B$1:$V$33,CF368+3,FALSE)),)</f>
        <v>10</v>
      </c>
      <c r="DB368" s="14">
        <f>ROUND(IF(CG368=0,0,HLOOKUP(CG$14,Villagers!$B$1:$V$33,CG368+3,FALSE)),)</f>
        <v>10</v>
      </c>
      <c r="DC368" s="14">
        <f>ROUND(IF(CH368=0,0,HLOOKUP(CH$14,Villagers!$B$1:$V$33,CH368+3,FALSE)),)</f>
        <v>0</v>
      </c>
      <c r="DD368" s="14">
        <f>ROUND(IF(CI368=0,0,HLOOKUP(CI$14,Villagers!$B$1:$V$33,CI368+3,FALSE)),)</f>
        <v>0</v>
      </c>
      <c r="DE368" s="14">
        <f>ROUND(IF(CJ368=0,0,HLOOKUP(CJ$14,Villagers!$B$1:$V$33,CJ368+3,FALSE)),)</f>
        <v>2</v>
      </c>
      <c r="DF368" s="370">
        <f>ROUND(IF(CK368=0,0,HLOOKUP(CK$14,Villagers!$B$1:$V$33,CK368+3,FALSE)),)</f>
        <v>0</v>
      </c>
      <c r="DG368" s="370">
        <f>ROUND(IF(CL368=0,0,HLOOKUP(CL$14,Villagers!$B$1:$V$33,CL368+3,FALSE)),)</f>
        <v>0</v>
      </c>
      <c r="DH368" s="34">
        <f>ROUND(IF(CM368=0,0,HLOOKUP(CM$14,Villagers!$B$1:$V$33,CM368+3,FALSE)),)</f>
        <v>0</v>
      </c>
      <c r="DI368" s="109">
        <f t="shared" si="832"/>
        <v>0</v>
      </c>
      <c r="DJ368" s="50">
        <f t="shared" si="833"/>
        <v>0</v>
      </c>
      <c r="DK368" s="50">
        <f t="shared" si="834"/>
        <v>0</v>
      </c>
      <c r="DL368" s="50">
        <f t="shared" si="835"/>
        <v>0</v>
      </c>
      <c r="DM368" s="50">
        <f t="shared" si="836"/>
        <v>0</v>
      </c>
      <c r="DN368" s="50">
        <f t="shared" si="837"/>
        <v>0</v>
      </c>
      <c r="DO368" s="50">
        <f t="shared" si="838"/>
        <v>0</v>
      </c>
      <c r="DP368" s="50">
        <f t="shared" si="839"/>
        <v>0</v>
      </c>
      <c r="DQ368" s="50">
        <f t="shared" si="816"/>
        <v>0</v>
      </c>
      <c r="DR368" s="50">
        <f t="shared" si="817"/>
        <v>0</v>
      </c>
      <c r="DS368" s="96">
        <f>Miscelaneous!$D$4*Miscelaneous!$D$2^($CI368-1)</f>
        <v>1000</v>
      </c>
      <c r="DT368" s="333">
        <f t="shared" si="796"/>
        <v>1</v>
      </c>
      <c r="DU368" s="81">
        <v>1</v>
      </c>
      <c r="DV368" s="79">
        <f t="shared" si="818"/>
        <v>0</v>
      </c>
      <c r="DW368" s="79">
        <f t="shared" si="819"/>
        <v>0</v>
      </c>
      <c r="DX368" s="79">
        <f t="shared" si="820"/>
        <v>0</v>
      </c>
      <c r="DY368" s="79">
        <v>1</v>
      </c>
      <c r="DZ368" s="79">
        <f t="shared" si="821"/>
        <v>0</v>
      </c>
      <c r="EA368" s="79">
        <f t="shared" si="822"/>
        <v>0</v>
      </c>
      <c r="EB368" s="79">
        <f t="shared" si="823"/>
        <v>0</v>
      </c>
      <c r="EC368" s="79">
        <f t="shared" si="824"/>
        <v>0</v>
      </c>
      <c r="ED368" s="79">
        <v>1</v>
      </c>
      <c r="EE368" s="79">
        <v>1</v>
      </c>
      <c r="EF368" s="79">
        <f t="shared" si="825"/>
        <v>0</v>
      </c>
      <c r="EG368" s="79">
        <v>1</v>
      </c>
      <c r="EH368" s="79">
        <v>1</v>
      </c>
      <c r="EI368" s="79">
        <v>1</v>
      </c>
      <c r="EJ368" s="79">
        <v>1</v>
      </c>
      <c r="EK368" s="79">
        <v>1</v>
      </c>
      <c r="EL368" s="79">
        <v>1</v>
      </c>
      <c r="EM368" s="143">
        <f t="shared" si="826"/>
        <v>0</v>
      </c>
      <c r="EN368" s="143">
        <f t="shared" si="827"/>
        <v>0</v>
      </c>
      <c r="EO368" s="82">
        <f t="shared" si="828"/>
        <v>0</v>
      </c>
    </row>
    <row r="369" spans="1:145" x14ac:dyDescent="0.25">
      <c r="A369">
        <v>355</v>
      </c>
      <c r="B369" s="172" t="e">
        <f t="shared" si="797"/>
        <v>#N/A</v>
      </c>
      <c r="C369" s="121" t="e">
        <f t="shared" ref="C369:E369" si="896">AJ369-SUM(AB369:AB373)</f>
        <v>#N/A</v>
      </c>
      <c r="D369" s="122" t="e">
        <f t="shared" si="896"/>
        <v>#N/A</v>
      </c>
      <c r="E369" s="122" t="e">
        <f t="shared" si="896"/>
        <v>#N/A</v>
      </c>
      <c r="F369" s="176" t="e">
        <f t="shared" si="778"/>
        <v>#N/A</v>
      </c>
      <c r="G369" s="121">
        <f t="shared" si="799"/>
        <v>208</v>
      </c>
      <c r="H369" s="176" t="e">
        <f t="shared" si="800"/>
        <v>#N/A</v>
      </c>
      <c r="I369" s="48">
        <v>1</v>
      </c>
      <c r="J369" s="39"/>
      <c r="K369" s="350">
        <v>1</v>
      </c>
      <c r="L369" s="34" t="e">
        <f t="shared" si="779"/>
        <v>#N/A</v>
      </c>
      <c r="M369" s="38" t="e">
        <f>(HLOOKUP(J369,'Construction Times'!$B$3:$W$34,L369+2,FALSE)*HLOOKUP("hq modifier",'Construction Times'!$W$3:$W$34,BS369+2,FALSE))*(1-$H$9)</f>
        <v>#N/A</v>
      </c>
      <c r="N369" s="426" t="e">
        <f t="shared" si="801"/>
        <v>#N/A</v>
      </c>
      <c r="O369" s="427"/>
      <c r="P369" s="430" t="e">
        <f t="shared" si="802"/>
        <v>#N/A</v>
      </c>
      <c r="Q369" s="431"/>
      <c r="R369" s="103">
        <f t="shared" ref="R369:S400" si="897">R368</f>
        <v>0</v>
      </c>
      <c r="S369" s="104">
        <f t="shared" si="897"/>
        <v>0</v>
      </c>
      <c r="T369" s="104">
        <f t="shared" ref="T369:W400" si="898">T368</f>
        <v>0</v>
      </c>
      <c r="U369" s="104">
        <f t="shared" si="898"/>
        <v>0</v>
      </c>
      <c r="V369" s="104">
        <f t="shared" si="898"/>
        <v>9.9999999999999995E-8</v>
      </c>
      <c r="W369" s="104">
        <f t="shared" si="898"/>
        <v>0</v>
      </c>
      <c r="X369" s="104">
        <f t="shared" si="890"/>
        <v>0</v>
      </c>
      <c r="Y369" s="104">
        <f t="shared" si="890"/>
        <v>9.9999999999999995E-8</v>
      </c>
      <c r="Z369" s="104">
        <f t="shared" si="890"/>
        <v>9.9999999999999995E-8</v>
      </c>
      <c r="AA369" s="105">
        <f t="shared" si="890"/>
        <v>9.9999999999999995E-8</v>
      </c>
      <c r="AB369" s="101" t="e">
        <f>$DT369*HLOOKUP($J369,'Construction Costs (timber)'!$B$1:$V$32,'Construction Planner'!$L369+2,FALSE)</f>
        <v>#N/A</v>
      </c>
      <c r="AC369" s="14" t="e">
        <f>$DT369*HLOOKUP($J369,'Construction Costs (clay)'!$B$1:$V$32,'Construction Planner'!$L369+2,FALSE)</f>
        <v>#N/A</v>
      </c>
      <c r="AD369" s="14" t="e">
        <f>$DT369*HLOOKUP($J369,'Construction Costs (iron)'!$B$1:$V$32,'Construction Planner'!$L369+2,FALSE)</f>
        <v>#N/A</v>
      </c>
      <c r="AE369" s="34" t="e">
        <f t="shared" si="843"/>
        <v>#N/A</v>
      </c>
      <c r="AF369" s="33" t="e">
        <f t="shared" si="780"/>
        <v>#N/A</v>
      </c>
      <c r="AG369" s="14" t="e">
        <f t="shared" si="781"/>
        <v>#N/A</v>
      </c>
      <c r="AH369" s="14" t="e">
        <f t="shared" si="782"/>
        <v>#N/A</v>
      </c>
      <c r="AI369" s="34" t="e">
        <f t="shared" si="844"/>
        <v>#N/A</v>
      </c>
      <c r="AJ369" s="49" t="e">
        <f t="shared" si="804"/>
        <v>#N/A</v>
      </c>
      <c r="AK369" s="49" t="e">
        <f t="shared" si="805"/>
        <v>#N/A</v>
      </c>
      <c r="AL369" s="49" t="e">
        <f t="shared" si="806"/>
        <v>#N/A</v>
      </c>
      <c r="AM369" s="25">
        <f t="shared" si="783"/>
        <v>30</v>
      </c>
      <c r="AN369" s="25">
        <f t="shared" si="784"/>
        <v>30</v>
      </c>
      <c r="AO369" s="25">
        <f t="shared" si="785"/>
        <v>30</v>
      </c>
      <c r="AP369" s="52" t="e">
        <f t="shared" si="894"/>
        <v>#N/A</v>
      </c>
      <c r="AQ369" s="53" t="e">
        <f t="shared" si="894"/>
        <v>#N/A</v>
      </c>
      <c r="AR369" s="54" t="e">
        <f t="shared" si="894"/>
        <v>#N/A</v>
      </c>
      <c r="AS369" s="316">
        <f t="shared" si="877"/>
        <v>0</v>
      </c>
      <c r="AT369" s="106">
        <f>_xlfn.IFNA($M369/VLOOKUP($BT369,'Unit information'!$A$2:$K$29,2,FALSE)*R369,0)*(1+$E$9)</f>
        <v>0</v>
      </c>
      <c r="AU369" s="107">
        <f>_xlfn.IFNA($M369/VLOOKUP($BT369,'Unit information'!$A$2:$K$29,3,FALSE)*S369,0)*(1+$E$9)</f>
        <v>0</v>
      </c>
      <c r="AV369" s="107">
        <f>_xlfn.IFNA($M369/VLOOKUP($BT369,'Unit information'!$A$2:$K$29,4,FALSE)*T369,0)*(1+$E$9)</f>
        <v>0</v>
      </c>
      <c r="AW369" s="107">
        <f>_xlfn.IFNA($M369/VLOOKUP($BT369,'Unit information'!$A$2:$K$29,5,FALSE)*U369,0)*(1+$E$9)</f>
        <v>0</v>
      </c>
      <c r="AX369" s="107">
        <f>_xlfn.IFNA($M369/VLOOKUP($BU369,'Unit information'!$A$2:$K$29,6,FALSE)*V369,0)*(1+$E$9)</f>
        <v>0</v>
      </c>
      <c r="AY369" s="107">
        <f>_xlfn.IFNA($M369/VLOOKUP($BU369,'Unit information'!$A$2:$K$29,7,FALSE)*W369,0)*(1+$E$9)</f>
        <v>0</v>
      </c>
      <c r="AZ369" s="107">
        <f>_xlfn.IFNA($M369/VLOOKUP($BU369,'Unit information'!$A$2:$K$29,8,FALSE)*X369,0)*(1+$E$9)</f>
        <v>0</v>
      </c>
      <c r="BA369" s="107">
        <f>_xlfn.IFNA($M369/VLOOKUP($BU369,'Unit information'!$A$2:$K$29,9,FALSE)*Y369,0)*(1+$E$9)</f>
        <v>0</v>
      </c>
      <c r="BB369" s="107">
        <f>_xlfn.IFNA($M369/VLOOKUP($BV369,'Unit information'!$A$2:$K$29,10,FALSE)*Z369,0)*(1+$E$9)</f>
        <v>0</v>
      </c>
      <c r="BC369" s="108">
        <f>_xlfn.IFNA($M369/VLOOKUP($BV369,'Unit information'!$A$2:$K$29,11,FALSE)*AA369,0)*(1+$E$9)</f>
        <v>0</v>
      </c>
      <c r="BD369" s="106">
        <f t="shared" si="786"/>
        <v>0</v>
      </c>
      <c r="BE369" s="107">
        <f t="shared" si="787"/>
        <v>0</v>
      </c>
      <c r="BF369" s="108">
        <f t="shared" si="788"/>
        <v>0</v>
      </c>
      <c r="BG369" s="25" t="e">
        <f t="shared" si="789"/>
        <v>#N/A</v>
      </c>
      <c r="BH369" s="25" t="e">
        <f t="shared" si="790"/>
        <v>#N/A</v>
      </c>
      <c r="BI369" s="25" t="e">
        <f t="shared" si="791"/>
        <v>#N/A</v>
      </c>
      <c r="BJ369" s="27" t="e">
        <f t="shared" si="792"/>
        <v>#N/A</v>
      </c>
      <c r="BK369" s="18" t="e">
        <f t="shared" si="793"/>
        <v>#N/A</v>
      </c>
      <c r="BL369" s="18" t="e">
        <f t="shared" si="794"/>
        <v>#N/A</v>
      </c>
      <c r="BM369" s="28" t="e">
        <f t="shared" si="846"/>
        <v>#N/A</v>
      </c>
      <c r="BN369" s="33">
        <f>HLOOKUP("maximum population",Miscelaneous!$C$1:$C$33,CH369+3,FALSE)</f>
        <v>240</v>
      </c>
      <c r="BO369" s="14">
        <f t="shared" si="808"/>
        <v>32</v>
      </c>
      <c r="BP369" s="14">
        <f t="shared" si="809"/>
        <v>0</v>
      </c>
      <c r="BQ369" s="14">
        <f t="shared" si="810"/>
        <v>208</v>
      </c>
      <c r="BR369" s="34" t="e">
        <f>HLOOKUP(J369,Villagers!$B$1:$V$33,L369+3,FALSE)-HLOOKUP(J369,Villagers!$B$1:$V$33,L369+2,FALSE)</f>
        <v>#N/A</v>
      </c>
      <c r="BS369" s="49">
        <f t="shared" si="811"/>
        <v>1</v>
      </c>
      <c r="BT369" s="50">
        <f t="shared" si="812"/>
        <v>0</v>
      </c>
      <c r="BU369" s="50">
        <f t="shared" si="813"/>
        <v>0</v>
      </c>
      <c r="BV369" s="50">
        <f t="shared" si="814"/>
        <v>0</v>
      </c>
      <c r="BW369" s="50">
        <f t="shared" si="895"/>
        <v>0</v>
      </c>
      <c r="BX369" s="50">
        <f t="shared" si="895"/>
        <v>0</v>
      </c>
      <c r="BY369" s="50">
        <f t="shared" si="895"/>
        <v>0</v>
      </c>
      <c r="BZ369" s="50">
        <f t="shared" si="860"/>
        <v>0</v>
      </c>
      <c r="CA369" s="50">
        <f t="shared" si="861"/>
        <v>0</v>
      </c>
      <c r="CB369" s="50">
        <f t="shared" si="862"/>
        <v>1</v>
      </c>
      <c r="CC369" s="50">
        <f t="shared" si="863"/>
        <v>0</v>
      </c>
      <c r="CD369" s="50">
        <f t="shared" si="864"/>
        <v>0</v>
      </c>
      <c r="CE369" s="50">
        <f t="shared" si="865"/>
        <v>1</v>
      </c>
      <c r="CF369" s="50">
        <f t="shared" si="866"/>
        <v>1</v>
      </c>
      <c r="CG369" s="50">
        <f t="shared" si="867"/>
        <v>1</v>
      </c>
      <c r="CH369" s="50">
        <f t="shared" si="868"/>
        <v>1</v>
      </c>
      <c r="CI369" s="50">
        <f t="shared" si="869"/>
        <v>1</v>
      </c>
      <c r="CJ369" s="50">
        <f t="shared" si="870"/>
        <v>1</v>
      </c>
      <c r="CK369" s="50">
        <f t="shared" si="870"/>
        <v>0</v>
      </c>
      <c r="CL369" s="50">
        <f t="shared" si="870"/>
        <v>0</v>
      </c>
      <c r="CM369" s="51">
        <f t="shared" si="795"/>
        <v>0</v>
      </c>
      <c r="CN369" s="33">
        <f>ROUND(IF(BS369=0,0,HLOOKUP(BS$14,Villagers!$B$1:$V$33,BS369+3,FALSE)),)</f>
        <v>5</v>
      </c>
      <c r="CO369" s="14">
        <f>ROUND(IF(BT369=0,0,HLOOKUP(BT$14,Villagers!$B$1:$V$33,BT369+3,FALSE)),)</f>
        <v>0</v>
      </c>
      <c r="CP369" s="14">
        <f>ROUND(IF(BU369=0,0,HLOOKUP(BU$14,Villagers!$B$1:$V$33,BU369+3,FALSE)),)</f>
        <v>0</v>
      </c>
      <c r="CQ369" s="14">
        <f>ROUND(IF(BV369=0,0,HLOOKUP(BV$14,Villagers!$B$1:$V$33,BV369+3,FALSE)),)</f>
        <v>0</v>
      </c>
      <c r="CR369" s="14">
        <f>ROUND(IF(BW369=0,0,HLOOKUP(BW$14,Villagers!$B$1:$V$33,BW369+3,FALSE)),)</f>
        <v>0</v>
      </c>
      <c r="CS369" s="14">
        <f>ROUND(IF(BX369=0,0,HLOOKUP(BX$14,Villagers!$B$1:$V$33,BX369+3,FALSE)),)</f>
        <v>0</v>
      </c>
      <c r="CT369" s="14">
        <f>ROUND(IF(BY369=0,0,HLOOKUP(BY$14,Villagers!$B$1:$V$33,BY369+3,FALSE)),)</f>
        <v>0</v>
      </c>
      <c r="CU369" s="14">
        <f>ROUND(IF(BZ369=0,0,HLOOKUP(BZ$14,Villagers!$B$1:$V$33,BZ369+3,FALSE)),)</f>
        <v>0</v>
      </c>
      <c r="CV369" s="14">
        <f>ROUND(IF(CA369=0,0,HLOOKUP(CA$14,Villagers!$B$1:$V$33,CA369+3,FALSE)),)</f>
        <v>0</v>
      </c>
      <c r="CW369" s="14">
        <f>ROUND(IF(CB369=0,0,HLOOKUP(CB$14,Villagers!$B$1:$V$33,CB369+3,FALSE)),)</f>
        <v>0</v>
      </c>
      <c r="CX369" s="14">
        <f>ROUND(IF(CC369=0,0,HLOOKUP(CC$14,Villagers!$B$1:$V$33,CC369+3,FALSE)),)</f>
        <v>0</v>
      </c>
      <c r="CY369" s="14">
        <f>ROUND(IF(CD369=0,0,HLOOKUP(CD$14,Villagers!$B$1:$V$33,CD369+3,FALSE)),)</f>
        <v>0</v>
      </c>
      <c r="CZ369" s="14">
        <f>ROUND(IF(CE369=0,0,HLOOKUP(CE$14,Villagers!$B$1:$V$33,CE369+3,FALSE)),)</f>
        <v>5</v>
      </c>
      <c r="DA369" s="14">
        <f>ROUND(IF(CF369=0,0,HLOOKUP(CF$14,Villagers!$B$1:$V$33,CF369+3,FALSE)),)</f>
        <v>10</v>
      </c>
      <c r="DB369" s="14">
        <f>ROUND(IF(CG369=0,0,HLOOKUP(CG$14,Villagers!$B$1:$V$33,CG369+3,FALSE)),)</f>
        <v>10</v>
      </c>
      <c r="DC369" s="14">
        <f>ROUND(IF(CH369=0,0,HLOOKUP(CH$14,Villagers!$B$1:$V$33,CH369+3,FALSE)),)</f>
        <v>0</v>
      </c>
      <c r="DD369" s="14">
        <f>ROUND(IF(CI369=0,0,HLOOKUP(CI$14,Villagers!$B$1:$V$33,CI369+3,FALSE)),)</f>
        <v>0</v>
      </c>
      <c r="DE369" s="14">
        <f>ROUND(IF(CJ369=0,0,HLOOKUP(CJ$14,Villagers!$B$1:$V$33,CJ369+3,FALSE)),)</f>
        <v>2</v>
      </c>
      <c r="DF369" s="370">
        <f>ROUND(IF(CK369=0,0,HLOOKUP(CK$14,Villagers!$B$1:$V$33,CK369+3,FALSE)),)</f>
        <v>0</v>
      </c>
      <c r="DG369" s="370">
        <f>ROUND(IF(CL369=0,0,HLOOKUP(CL$14,Villagers!$B$1:$V$33,CL369+3,FALSE)),)</f>
        <v>0</v>
      </c>
      <c r="DH369" s="34">
        <f>ROUND(IF(CM369=0,0,HLOOKUP(CM$14,Villagers!$B$1:$V$33,CM369+3,FALSE)),)</f>
        <v>0</v>
      </c>
      <c r="DI369" s="109">
        <f t="shared" si="832"/>
        <v>0</v>
      </c>
      <c r="DJ369" s="50">
        <f t="shared" si="833"/>
        <v>0</v>
      </c>
      <c r="DK369" s="50">
        <f t="shared" si="834"/>
        <v>0</v>
      </c>
      <c r="DL369" s="50">
        <f t="shared" si="835"/>
        <v>0</v>
      </c>
      <c r="DM369" s="50">
        <f t="shared" si="836"/>
        <v>0</v>
      </c>
      <c r="DN369" s="50">
        <f t="shared" si="837"/>
        <v>0</v>
      </c>
      <c r="DO369" s="50">
        <f t="shared" si="838"/>
        <v>0</v>
      </c>
      <c r="DP369" s="50">
        <f t="shared" si="839"/>
        <v>0</v>
      </c>
      <c r="DQ369" s="50">
        <f t="shared" si="816"/>
        <v>0</v>
      </c>
      <c r="DR369" s="50">
        <f t="shared" si="817"/>
        <v>0</v>
      </c>
      <c r="DS369" s="96">
        <f>Miscelaneous!$D$4*Miscelaneous!$D$2^($CI369-1)</f>
        <v>1000</v>
      </c>
      <c r="DT369" s="333">
        <f t="shared" si="796"/>
        <v>1</v>
      </c>
      <c r="DU369" s="81">
        <v>1</v>
      </c>
      <c r="DV369" s="79">
        <f t="shared" si="818"/>
        <v>0</v>
      </c>
      <c r="DW369" s="79">
        <f t="shared" si="819"/>
        <v>0</v>
      </c>
      <c r="DX369" s="79">
        <f t="shared" si="820"/>
        <v>0</v>
      </c>
      <c r="DY369" s="79">
        <v>1</v>
      </c>
      <c r="DZ369" s="79">
        <f t="shared" si="821"/>
        <v>0</v>
      </c>
      <c r="EA369" s="79">
        <f t="shared" si="822"/>
        <v>0</v>
      </c>
      <c r="EB369" s="79">
        <f t="shared" si="823"/>
        <v>0</v>
      </c>
      <c r="EC369" s="79">
        <f t="shared" si="824"/>
        <v>0</v>
      </c>
      <c r="ED369" s="79">
        <v>1</v>
      </c>
      <c r="EE369" s="79">
        <v>1</v>
      </c>
      <c r="EF369" s="79">
        <f t="shared" si="825"/>
        <v>0</v>
      </c>
      <c r="EG369" s="79">
        <v>1</v>
      </c>
      <c r="EH369" s="79">
        <v>1</v>
      </c>
      <c r="EI369" s="79">
        <v>1</v>
      </c>
      <c r="EJ369" s="79">
        <v>1</v>
      </c>
      <c r="EK369" s="79">
        <v>1</v>
      </c>
      <c r="EL369" s="79">
        <v>1</v>
      </c>
      <c r="EM369" s="143">
        <f t="shared" si="826"/>
        <v>0</v>
      </c>
      <c r="EN369" s="143">
        <f t="shared" si="827"/>
        <v>0</v>
      </c>
      <c r="EO369" s="82">
        <f t="shared" si="828"/>
        <v>0</v>
      </c>
    </row>
    <row r="370" spans="1:145" x14ac:dyDescent="0.25">
      <c r="A370">
        <v>356</v>
      </c>
      <c r="B370" s="172" t="e">
        <f t="shared" si="797"/>
        <v>#N/A</v>
      </c>
      <c r="C370" s="121" t="e">
        <f t="shared" ref="C370:E370" si="899">AJ370-SUM(AB370:AB374)</f>
        <v>#N/A</v>
      </c>
      <c r="D370" s="122" t="e">
        <f t="shared" si="899"/>
        <v>#N/A</v>
      </c>
      <c r="E370" s="122" t="e">
        <f t="shared" si="899"/>
        <v>#N/A</v>
      </c>
      <c r="F370" s="176" t="e">
        <f t="shared" si="778"/>
        <v>#N/A</v>
      </c>
      <c r="G370" s="121">
        <f t="shared" si="799"/>
        <v>208</v>
      </c>
      <c r="H370" s="176" t="e">
        <f t="shared" si="800"/>
        <v>#N/A</v>
      </c>
      <c r="I370" s="48">
        <v>1</v>
      </c>
      <c r="J370" s="39"/>
      <c r="K370" s="350">
        <v>1</v>
      </c>
      <c r="L370" s="34" t="e">
        <f t="shared" si="779"/>
        <v>#N/A</v>
      </c>
      <c r="M370" s="38" t="e">
        <f>(HLOOKUP(J370,'Construction Times'!$B$3:$W$34,L370+2,FALSE)*HLOOKUP("hq modifier",'Construction Times'!$W$3:$W$34,BS370+2,FALSE))*(1-$H$9)</f>
        <v>#N/A</v>
      </c>
      <c r="N370" s="426" t="e">
        <f t="shared" si="801"/>
        <v>#N/A</v>
      </c>
      <c r="O370" s="427"/>
      <c r="P370" s="430" t="e">
        <f t="shared" si="802"/>
        <v>#N/A</v>
      </c>
      <c r="Q370" s="431"/>
      <c r="R370" s="103">
        <f t="shared" si="897"/>
        <v>0</v>
      </c>
      <c r="S370" s="104">
        <f t="shared" si="897"/>
        <v>0</v>
      </c>
      <c r="T370" s="104">
        <f t="shared" si="898"/>
        <v>0</v>
      </c>
      <c r="U370" s="104">
        <f t="shared" si="898"/>
        <v>0</v>
      </c>
      <c r="V370" s="104">
        <f t="shared" si="898"/>
        <v>9.9999999999999995E-8</v>
      </c>
      <c r="W370" s="104">
        <f t="shared" si="898"/>
        <v>0</v>
      </c>
      <c r="X370" s="104">
        <f t="shared" si="890"/>
        <v>0</v>
      </c>
      <c r="Y370" s="104">
        <f t="shared" si="890"/>
        <v>9.9999999999999995E-8</v>
      </c>
      <c r="Z370" s="104">
        <f t="shared" si="890"/>
        <v>9.9999999999999995E-8</v>
      </c>
      <c r="AA370" s="105">
        <f t="shared" si="890"/>
        <v>9.9999999999999995E-8</v>
      </c>
      <c r="AB370" s="101" t="e">
        <f>$DT370*HLOOKUP($J370,'Construction Costs (timber)'!$B$1:$V$32,'Construction Planner'!$L370+2,FALSE)</f>
        <v>#N/A</v>
      </c>
      <c r="AC370" s="14" t="e">
        <f>$DT370*HLOOKUP($J370,'Construction Costs (clay)'!$B$1:$V$32,'Construction Planner'!$L370+2,FALSE)</f>
        <v>#N/A</v>
      </c>
      <c r="AD370" s="14" t="e">
        <f>$DT370*HLOOKUP($J370,'Construction Costs (iron)'!$B$1:$V$32,'Construction Planner'!$L370+2,FALSE)</f>
        <v>#N/A</v>
      </c>
      <c r="AE370" s="34" t="e">
        <f t="shared" si="843"/>
        <v>#N/A</v>
      </c>
      <c r="AF370" s="33" t="e">
        <f t="shared" si="780"/>
        <v>#N/A</v>
      </c>
      <c r="AG370" s="14" t="e">
        <f t="shared" si="781"/>
        <v>#N/A</v>
      </c>
      <c r="AH370" s="14" t="e">
        <f t="shared" si="782"/>
        <v>#N/A</v>
      </c>
      <c r="AI370" s="34" t="e">
        <f t="shared" si="844"/>
        <v>#N/A</v>
      </c>
      <c r="AJ370" s="49" t="e">
        <f t="shared" si="804"/>
        <v>#N/A</v>
      </c>
      <c r="AK370" s="49" t="e">
        <f t="shared" si="805"/>
        <v>#N/A</v>
      </c>
      <c r="AL370" s="49" t="e">
        <f t="shared" si="806"/>
        <v>#N/A</v>
      </c>
      <c r="AM370" s="25">
        <f t="shared" si="783"/>
        <v>30</v>
      </c>
      <c r="AN370" s="25">
        <f t="shared" si="784"/>
        <v>30</v>
      </c>
      <c r="AO370" s="25">
        <f t="shared" si="785"/>
        <v>30</v>
      </c>
      <c r="AP370" s="52" t="e">
        <f t="shared" si="894"/>
        <v>#N/A</v>
      </c>
      <c r="AQ370" s="53" t="e">
        <f t="shared" si="894"/>
        <v>#N/A</v>
      </c>
      <c r="AR370" s="54" t="e">
        <f t="shared" si="894"/>
        <v>#N/A</v>
      </c>
      <c r="AS370" s="316">
        <f t="shared" si="877"/>
        <v>0</v>
      </c>
      <c r="AT370" s="106">
        <f>_xlfn.IFNA($M370/VLOOKUP($BT370,'Unit information'!$A$2:$K$29,2,FALSE)*R370,0)*(1+$E$9)</f>
        <v>0</v>
      </c>
      <c r="AU370" s="107">
        <f>_xlfn.IFNA($M370/VLOOKUP($BT370,'Unit information'!$A$2:$K$29,3,FALSE)*S370,0)*(1+$E$9)</f>
        <v>0</v>
      </c>
      <c r="AV370" s="107">
        <f>_xlfn.IFNA($M370/VLOOKUP($BT370,'Unit information'!$A$2:$K$29,4,FALSE)*T370,0)*(1+$E$9)</f>
        <v>0</v>
      </c>
      <c r="AW370" s="107">
        <f>_xlfn.IFNA($M370/VLOOKUP($BT370,'Unit information'!$A$2:$K$29,5,FALSE)*U370,0)*(1+$E$9)</f>
        <v>0</v>
      </c>
      <c r="AX370" s="107">
        <f>_xlfn.IFNA($M370/VLOOKUP($BU370,'Unit information'!$A$2:$K$29,6,FALSE)*V370,0)*(1+$E$9)</f>
        <v>0</v>
      </c>
      <c r="AY370" s="107">
        <f>_xlfn.IFNA($M370/VLOOKUP($BU370,'Unit information'!$A$2:$K$29,7,FALSE)*W370,0)*(1+$E$9)</f>
        <v>0</v>
      </c>
      <c r="AZ370" s="107">
        <f>_xlfn.IFNA($M370/VLOOKUP($BU370,'Unit information'!$A$2:$K$29,8,FALSE)*X370,0)*(1+$E$9)</f>
        <v>0</v>
      </c>
      <c r="BA370" s="107">
        <f>_xlfn.IFNA($M370/VLOOKUP($BU370,'Unit information'!$A$2:$K$29,9,FALSE)*Y370,0)*(1+$E$9)</f>
        <v>0</v>
      </c>
      <c r="BB370" s="107">
        <f>_xlfn.IFNA($M370/VLOOKUP($BV370,'Unit information'!$A$2:$K$29,10,FALSE)*Z370,0)*(1+$E$9)</f>
        <v>0</v>
      </c>
      <c r="BC370" s="108">
        <f>_xlfn.IFNA($M370/VLOOKUP($BV370,'Unit information'!$A$2:$K$29,11,FALSE)*AA370,0)*(1+$E$9)</f>
        <v>0</v>
      </c>
      <c r="BD370" s="106">
        <f t="shared" si="786"/>
        <v>0</v>
      </c>
      <c r="BE370" s="107">
        <f t="shared" si="787"/>
        <v>0</v>
      </c>
      <c r="BF370" s="108">
        <f t="shared" si="788"/>
        <v>0</v>
      </c>
      <c r="BG370" s="25" t="e">
        <f t="shared" si="789"/>
        <v>#N/A</v>
      </c>
      <c r="BH370" s="25" t="e">
        <f t="shared" si="790"/>
        <v>#N/A</v>
      </c>
      <c r="BI370" s="25" t="e">
        <f t="shared" si="791"/>
        <v>#N/A</v>
      </c>
      <c r="BJ370" s="27" t="e">
        <f t="shared" si="792"/>
        <v>#N/A</v>
      </c>
      <c r="BK370" s="18" t="e">
        <f t="shared" si="793"/>
        <v>#N/A</v>
      </c>
      <c r="BL370" s="18" t="e">
        <f t="shared" si="794"/>
        <v>#N/A</v>
      </c>
      <c r="BM370" s="28" t="e">
        <f t="shared" si="846"/>
        <v>#N/A</v>
      </c>
      <c r="BN370" s="33">
        <f>HLOOKUP("maximum population",Miscelaneous!$C$1:$C$33,CH370+3,FALSE)</f>
        <v>240</v>
      </c>
      <c r="BO370" s="14">
        <f t="shared" si="808"/>
        <v>32</v>
      </c>
      <c r="BP370" s="14">
        <f t="shared" si="809"/>
        <v>0</v>
      </c>
      <c r="BQ370" s="14">
        <f t="shared" si="810"/>
        <v>208</v>
      </c>
      <c r="BR370" s="34" t="e">
        <f>HLOOKUP(J370,Villagers!$B$1:$V$33,L370+3,FALSE)-HLOOKUP(J370,Villagers!$B$1:$V$33,L370+2,FALSE)</f>
        <v>#N/A</v>
      </c>
      <c r="BS370" s="49">
        <f t="shared" si="811"/>
        <v>1</v>
      </c>
      <c r="BT370" s="50">
        <f t="shared" si="812"/>
        <v>0</v>
      </c>
      <c r="BU370" s="50">
        <f t="shared" si="813"/>
        <v>0</v>
      </c>
      <c r="BV370" s="50">
        <f t="shared" si="814"/>
        <v>0</v>
      </c>
      <c r="BW370" s="50">
        <f t="shared" si="895"/>
        <v>0</v>
      </c>
      <c r="BX370" s="50">
        <f t="shared" si="895"/>
        <v>0</v>
      </c>
      <c r="BY370" s="50">
        <f t="shared" si="895"/>
        <v>0</v>
      </c>
      <c r="BZ370" s="50">
        <f t="shared" si="860"/>
        <v>0</v>
      </c>
      <c r="CA370" s="50">
        <f t="shared" si="861"/>
        <v>0</v>
      </c>
      <c r="CB370" s="50">
        <f t="shared" si="862"/>
        <v>1</v>
      </c>
      <c r="CC370" s="50">
        <f t="shared" si="863"/>
        <v>0</v>
      </c>
      <c r="CD370" s="50">
        <f t="shared" si="864"/>
        <v>0</v>
      </c>
      <c r="CE370" s="50">
        <f t="shared" si="865"/>
        <v>1</v>
      </c>
      <c r="CF370" s="50">
        <f t="shared" si="866"/>
        <v>1</v>
      </c>
      <c r="CG370" s="50">
        <f t="shared" si="867"/>
        <v>1</v>
      </c>
      <c r="CH370" s="50">
        <f t="shared" si="868"/>
        <v>1</v>
      </c>
      <c r="CI370" s="50">
        <f t="shared" si="869"/>
        <v>1</v>
      </c>
      <c r="CJ370" s="50">
        <f t="shared" si="870"/>
        <v>1</v>
      </c>
      <c r="CK370" s="50">
        <f t="shared" si="870"/>
        <v>0</v>
      </c>
      <c r="CL370" s="50">
        <f t="shared" si="870"/>
        <v>0</v>
      </c>
      <c r="CM370" s="51">
        <f t="shared" si="795"/>
        <v>0</v>
      </c>
      <c r="CN370" s="33">
        <f>ROUND(IF(BS370=0,0,HLOOKUP(BS$14,Villagers!$B$1:$V$33,BS370+3,FALSE)),)</f>
        <v>5</v>
      </c>
      <c r="CO370" s="14">
        <f>ROUND(IF(BT370=0,0,HLOOKUP(BT$14,Villagers!$B$1:$V$33,BT370+3,FALSE)),)</f>
        <v>0</v>
      </c>
      <c r="CP370" s="14">
        <f>ROUND(IF(BU370=0,0,HLOOKUP(BU$14,Villagers!$B$1:$V$33,BU370+3,FALSE)),)</f>
        <v>0</v>
      </c>
      <c r="CQ370" s="14">
        <f>ROUND(IF(BV370=0,0,HLOOKUP(BV$14,Villagers!$B$1:$V$33,BV370+3,FALSE)),)</f>
        <v>0</v>
      </c>
      <c r="CR370" s="14">
        <f>ROUND(IF(BW370=0,0,HLOOKUP(BW$14,Villagers!$B$1:$V$33,BW370+3,FALSE)),)</f>
        <v>0</v>
      </c>
      <c r="CS370" s="14">
        <f>ROUND(IF(BX370=0,0,HLOOKUP(BX$14,Villagers!$B$1:$V$33,BX370+3,FALSE)),)</f>
        <v>0</v>
      </c>
      <c r="CT370" s="14">
        <f>ROUND(IF(BY370=0,0,HLOOKUP(BY$14,Villagers!$B$1:$V$33,BY370+3,FALSE)),)</f>
        <v>0</v>
      </c>
      <c r="CU370" s="14">
        <f>ROUND(IF(BZ370=0,0,HLOOKUP(BZ$14,Villagers!$B$1:$V$33,BZ370+3,FALSE)),)</f>
        <v>0</v>
      </c>
      <c r="CV370" s="14">
        <f>ROUND(IF(CA370=0,0,HLOOKUP(CA$14,Villagers!$B$1:$V$33,CA370+3,FALSE)),)</f>
        <v>0</v>
      </c>
      <c r="CW370" s="14">
        <f>ROUND(IF(CB370=0,0,HLOOKUP(CB$14,Villagers!$B$1:$V$33,CB370+3,FALSE)),)</f>
        <v>0</v>
      </c>
      <c r="CX370" s="14">
        <f>ROUND(IF(CC370=0,0,HLOOKUP(CC$14,Villagers!$B$1:$V$33,CC370+3,FALSE)),)</f>
        <v>0</v>
      </c>
      <c r="CY370" s="14">
        <f>ROUND(IF(CD370=0,0,HLOOKUP(CD$14,Villagers!$B$1:$V$33,CD370+3,FALSE)),)</f>
        <v>0</v>
      </c>
      <c r="CZ370" s="14">
        <f>ROUND(IF(CE370=0,0,HLOOKUP(CE$14,Villagers!$B$1:$V$33,CE370+3,FALSE)),)</f>
        <v>5</v>
      </c>
      <c r="DA370" s="14">
        <f>ROUND(IF(CF370=0,0,HLOOKUP(CF$14,Villagers!$B$1:$V$33,CF370+3,FALSE)),)</f>
        <v>10</v>
      </c>
      <c r="DB370" s="14">
        <f>ROUND(IF(CG370=0,0,HLOOKUP(CG$14,Villagers!$B$1:$V$33,CG370+3,FALSE)),)</f>
        <v>10</v>
      </c>
      <c r="DC370" s="14">
        <f>ROUND(IF(CH370=0,0,HLOOKUP(CH$14,Villagers!$B$1:$V$33,CH370+3,FALSE)),)</f>
        <v>0</v>
      </c>
      <c r="DD370" s="14">
        <f>ROUND(IF(CI370=0,0,HLOOKUP(CI$14,Villagers!$B$1:$V$33,CI370+3,FALSE)),)</f>
        <v>0</v>
      </c>
      <c r="DE370" s="14">
        <f>ROUND(IF(CJ370=0,0,HLOOKUP(CJ$14,Villagers!$B$1:$V$33,CJ370+3,FALSE)),)</f>
        <v>2</v>
      </c>
      <c r="DF370" s="370">
        <f>ROUND(IF(CK370=0,0,HLOOKUP(CK$14,Villagers!$B$1:$V$33,CK370+3,FALSE)),)</f>
        <v>0</v>
      </c>
      <c r="DG370" s="370">
        <f>ROUND(IF(CL370=0,0,HLOOKUP(CL$14,Villagers!$B$1:$V$33,CL370+3,FALSE)),)</f>
        <v>0</v>
      </c>
      <c r="DH370" s="34">
        <f>ROUND(IF(CM370=0,0,HLOOKUP(CM$14,Villagers!$B$1:$V$33,CM370+3,FALSE)),)</f>
        <v>0</v>
      </c>
      <c r="DI370" s="109">
        <f t="shared" si="832"/>
        <v>0</v>
      </c>
      <c r="DJ370" s="50">
        <f t="shared" si="833"/>
        <v>0</v>
      </c>
      <c r="DK370" s="50">
        <f t="shared" si="834"/>
        <v>0</v>
      </c>
      <c r="DL370" s="50">
        <f t="shared" si="835"/>
        <v>0</v>
      </c>
      <c r="DM370" s="50">
        <f t="shared" si="836"/>
        <v>0</v>
      </c>
      <c r="DN370" s="50">
        <f t="shared" si="837"/>
        <v>0</v>
      </c>
      <c r="DO370" s="50">
        <f t="shared" si="838"/>
        <v>0</v>
      </c>
      <c r="DP370" s="50">
        <f t="shared" si="839"/>
        <v>0</v>
      </c>
      <c r="DQ370" s="50">
        <f t="shared" si="816"/>
        <v>0</v>
      </c>
      <c r="DR370" s="50">
        <f t="shared" si="817"/>
        <v>0</v>
      </c>
      <c r="DS370" s="96">
        <f>Miscelaneous!$D$4*Miscelaneous!$D$2^($CI370-1)</f>
        <v>1000</v>
      </c>
      <c r="DT370" s="333">
        <f t="shared" si="796"/>
        <v>1</v>
      </c>
      <c r="DU370" s="81">
        <v>1</v>
      </c>
      <c r="DV370" s="79">
        <f t="shared" si="818"/>
        <v>0</v>
      </c>
      <c r="DW370" s="79">
        <f t="shared" si="819"/>
        <v>0</v>
      </c>
      <c r="DX370" s="79">
        <f t="shared" si="820"/>
        <v>0</v>
      </c>
      <c r="DY370" s="79">
        <v>1</v>
      </c>
      <c r="DZ370" s="79">
        <f t="shared" si="821"/>
        <v>0</v>
      </c>
      <c r="EA370" s="79">
        <f t="shared" si="822"/>
        <v>0</v>
      </c>
      <c r="EB370" s="79">
        <f t="shared" si="823"/>
        <v>0</v>
      </c>
      <c r="EC370" s="79">
        <f t="shared" si="824"/>
        <v>0</v>
      </c>
      <c r="ED370" s="79">
        <v>1</v>
      </c>
      <c r="EE370" s="79">
        <v>1</v>
      </c>
      <c r="EF370" s="79">
        <f t="shared" si="825"/>
        <v>0</v>
      </c>
      <c r="EG370" s="79">
        <v>1</v>
      </c>
      <c r="EH370" s="79">
        <v>1</v>
      </c>
      <c r="EI370" s="79">
        <v>1</v>
      </c>
      <c r="EJ370" s="79">
        <v>1</v>
      </c>
      <c r="EK370" s="79">
        <v>1</v>
      </c>
      <c r="EL370" s="79">
        <v>1</v>
      </c>
      <c r="EM370" s="143">
        <f t="shared" si="826"/>
        <v>0</v>
      </c>
      <c r="EN370" s="143">
        <f t="shared" si="827"/>
        <v>0</v>
      </c>
      <c r="EO370" s="82">
        <f t="shared" si="828"/>
        <v>0</v>
      </c>
    </row>
    <row r="371" spans="1:145" x14ac:dyDescent="0.25">
      <c r="A371">
        <v>357</v>
      </c>
      <c r="B371" s="172" t="e">
        <f t="shared" si="797"/>
        <v>#N/A</v>
      </c>
      <c r="C371" s="121" t="e">
        <f t="shared" ref="C371:E371" si="900">AJ371-SUM(AB371:AB375)</f>
        <v>#N/A</v>
      </c>
      <c r="D371" s="122" t="e">
        <f t="shared" si="900"/>
        <v>#N/A</v>
      </c>
      <c r="E371" s="122" t="e">
        <f t="shared" si="900"/>
        <v>#N/A</v>
      </c>
      <c r="F371" s="176" t="e">
        <f t="shared" si="778"/>
        <v>#N/A</v>
      </c>
      <c r="G371" s="121">
        <f t="shared" si="799"/>
        <v>208</v>
      </c>
      <c r="H371" s="176" t="e">
        <f t="shared" si="800"/>
        <v>#N/A</v>
      </c>
      <c r="I371" s="48">
        <v>1</v>
      </c>
      <c r="J371" s="39"/>
      <c r="K371" s="350">
        <v>1</v>
      </c>
      <c r="L371" s="34" t="e">
        <f t="shared" si="779"/>
        <v>#N/A</v>
      </c>
      <c r="M371" s="38" t="e">
        <f>(HLOOKUP(J371,'Construction Times'!$B$3:$W$34,L371+2,FALSE)*HLOOKUP("hq modifier",'Construction Times'!$W$3:$W$34,BS371+2,FALSE))*(1-$H$9)</f>
        <v>#N/A</v>
      </c>
      <c r="N371" s="426" t="e">
        <f t="shared" si="801"/>
        <v>#N/A</v>
      </c>
      <c r="O371" s="427"/>
      <c r="P371" s="430" t="e">
        <f t="shared" si="802"/>
        <v>#N/A</v>
      </c>
      <c r="Q371" s="431"/>
      <c r="R371" s="103">
        <f t="shared" si="897"/>
        <v>0</v>
      </c>
      <c r="S371" s="104">
        <f t="shared" si="897"/>
        <v>0</v>
      </c>
      <c r="T371" s="104">
        <f t="shared" si="898"/>
        <v>0</v>
      </c>
      <c r="U371" s="104">
        <f t="shared" si="898"/>
        <v>0</v>
      </c>
      <c r="V371" s="104">
        <f t="shared" si="898"/>
        <v>9.9999999999999995E-8</v>
      </c>
      <c r="W371" s="104">
        <f t="shared" si="898"/>
        <v>0</v>
      </c>
      <c r="X371" s="104">
        <f t="shared" si="890"/>
        <v>0</v>
      </c>
      <c r="Y371" s="104">
        <f t="shared" si="890"/>
        <v>9.9999999999999995E-8</v>
      </c>
      <c r="Z371" s="104">
        <f t="shared" si="890"/>
        <v>9.9999999999999995E-8</v>
      </c>
      <c r="AA371" s="105">
        <f t="shared" si="890"/>
        <v>9.9999999999999995E-8</v>
      </c>
      <c r="AB371" s="101" t="e">
        <f>$DT371*HLOOKUP($J371,'Construction Costs (timber)'!$B$1:$V$32,'Construction Planner'!$L371+2,FALSE)</f>
        <v>#N/A</v>
      </c>
      <c r="AC371" s="14" t="e">
        <f>$DT371*HLOOKUP($J371,'Construction Costs (clay)'!$B$1:$V$32,'Construction Planner'!$L371+2,FALSE)</f>
        <v>#N/A</v>
      </c>
      <c r="AD371" s="14" t="e">
        <f>$DT371*HLOOKUP($J371,'Construction Costs (iron)'!$B$1:$V$32,'Construction Planner'!$L371+2,FALSE)</f>
        <v>#N/A</v>
      </c>
      <c r="AE371" s="34" t="e">
        <f t="shared" si="843"/>
        <v>#N/A</v>
      </c>
      <c r="AF371" s="33" t="e">
        <f t="shared" si="780"/>
        <v>#N/A</v>
      </c>
      <c r="AG371" s="14" t="e">
        <f t="shared" si="781"/>
        <v>#N/A</v>
      </c>
      <c r="AH371" s="14" t="e">
        <f t="shared" si="782"/>
        <v>#N/A</v>
      </c>
      <c r="AI371" s="34" t="e">
        <f t="shared" si="844"/>
        <v>#N/A</v>
      </c>
      <c r="AJ371" s="49" t="e">
        <f t="shared" si="804"/>
        <v>#N/A</v>
      </c>
      <c r="AK371" s="49" t="e">
        <f t="shared" si="805"/>
        <v>#N/A</v>
      </c>
      <c r="AL371" s="49" t="e">
        <f t="shared" si="806"/>
        <v>#N/A</v>
      </c>
      <c r="AM371" s="25">
        <f t="shared" si="783"/>
        <v>30</v>
      </c>
      <c r="AN371" s="25">
        <f t="shared" si="784"/>
        <v>30</v>
      </c>
      <c r="AO371" s="25">
        <f t="shared" si="785"/>
        <v>30</v>
      </c>
      <c r="AP371" s="52" t="e">
        <f t="shared" si="894"/>
        <v>#N/A</v>
      </c>
      <c r="AQ371" s="53" t="e">
        <f t="shared" si="894"/>
        <v>#N/A</v>
      </c>
      <c r="AR371" s="54" t="e">
        <f t="shared" si="894"/>
        <v>#N/A</v>
      </c>
      <c r="AS371" s="316">
        <f t="shared" si="877"/>
        <v>0</v>
      </c>
      <c r="AT371" s="106">
        <f>_xlfn.IFNA($M371/VLOOKUP($BT371,'Unit information'!$A$2:$K$29,2,FALSE)*R371,0)*(1+$E$9)</f>
        <v>0</v>
      </c>
      <c r="AU371" s="107">
        <f>_xlfn.IFNA($M371/VLOOKUP($BT371,'Unit information'!$A$2:$K$29,3,FALSE)*S371,0)*(1+$E$9)</f>
        <v>0</v>
      </c>
      <c r="AV371" s="107">
        <f>_xlfn.IFNA($M371/VLOOKUP($BT371,'Unit information'!$A$2:$K$29,4,FALSE)*T371,0)*(1+$E$9)</f>
        <v>0</v>
      </c>
      <c r="AW371" s="107">
        <f>_xlfn.IFNA($M371/VLOOKUP($BT371,'Unit information'!$A$2:$K$29,5,FALSE)*U371,0)*(1+$E$9)</f>
        <v>0</v>
      </c>
      <c r="AX371" s="107">
        <f>_xlfn.IFNA($M371/VLOOKUP($BU371,'Unit information'!$A$2:$K$29,6,FALSE)*V371,0)*(1+$E$9)</f>
        <v>0</v>
      </c>
      <c r="AY371" s="107">
        <f>_xlfn.IFNA($M371/VLOOKUP($BU371,'Unit information'!$A$2:$K$29,7,FALSE)*W371,0)*(1+$E$9)</f>
        <v>0</v>
      </c>
      <c r="AZ371" s="107">
        <f>_xlfn.IFNA($M371/VLOOKUP($BU371,'Unit information'!$A$2:$K$29,8,FALSE)*X371,0)*(1+$E$9)</f>
        <v>0</v>
      </c>
      <c r="BA371" s="107">
        <f>_xlfn.IFNA($M371/VLOOKUP($BU371,'Unit information'!$A$2:$K$29,9,FALSE)*Y371,0)*(1+$E$9)</f>
        <v>0</v>
      </c>
      <c r="BB371" s="107">
        <f>_xlfn.IFNA($M371/VLOOKUP($BV371,'Unit information'!$A$2:$K$29,10,FALSE)*Z371,0)*(1+$E$9)</f>
        <v>0</v>
      </c>
      <c r="BC371" s="108">
        <f>_xlfn.IFNA($M371/VLOOKUP($BV371,'Unit information'!$A$2:$K$29,11,FALSE)*AA371,0)*(1+$E$9)</f>
        <v>0</v>
      </c>
      <c r="BD371" s="106">
        <f t="shared" si="786"/>
        <v>0</v>
      </c>
      <c r="BE371" s="107">
        <f t="shared" si="787"/>
        <v>0</v>
      </c>
      <c r="BF371" s="108">
        <f t="shared" si="788"/>
        <v>0</v>
      </c>
      <c r="BG371" s="25" t="e">
        <f t="shared" si="789"/>
        <v>#N/A</v>
      </c>
      <c r="BH371" s="25" t="e">
        <f t="shared" si="790"/>
        <v>#N/A</v>
      </c>
      <c r="BI371" s="25" t="e">
        <f t="shared" si="791"/>
        <v>#N/A</v>
      </c>
      <c r="BJ371" s="27" t="e">
        <f t="shared" si="792"/>
        <v>#N/A</v>
      </c>
      <c r="BK371" s="18" t="e">
        <f t="shared" si="793"/>
        <v>#N/A</v>
      </c>
      <c r="BL371" s="18" t="e">
        <f t="shared" si="794"/>
        <v>#N/A</v>
      </c>
      <c r="BM371" s="28" t="e">
        <f t="shared" si="846"/>
        <v>#N/A</v>
      </c>
      <c r="BN371" s="33">
        <f>HLOOKUP("maximum population",Miscelaneous!$C$1:$C$33,CH371+3,FALSE)</f>
        <v>240</v>
      </c>
      <c r="BO371" s="14">
        <f t="shared" si="808"/>
        <v>32</v>
      </c>
      <c r="BP371" s="14">
        <f t="shared" si="809"/>
        <v>0</v>
      </c>
      <c r="BQ371" s="14">
        <f t="shared" si="810"/>
        <v>208</v>
      </c>
      <c r="BR371" s="34" t="e">
        <f>HLOOKUP(J371,Villagers!$B$1:$V$33,L371+3,FALSE)-HLOOKUP(J371,Villagers!$B$1:$V$33,L371+2,FALSE)</f>
        <v>#N/A</v>
      </c>
      <c r="BS371" s="49">
        <f t="shared" si="811"/>
        <v>1</v>
      </c>
      <c r="BT371" s="50">
        <f t="shared" si="812"/>
        <v>0</v>
      </c>
      <c r="BU371" s="50">
        <f t="shared" si="813"/>
        <v>0</v>
      </c>
      <c r="BV371" s="50">
        <f t="shared" si="814"/>
        <v>0</v>
      </c>
      <c r="BW371" s="50">
        <f t="shared" si="895"/>
        <v>0</v>
      </c>
      <c r="BX371" s="50">
        <f t="shared" si="895"/>
        <v>0</v>
      </c>
      <c r="BY371" s="50">
        <f t="shared" si="895"/>
        <v>0</v>
      </c>
      <c r="BZ371" s="50">
        <f t="shared" si="860"/>
        <v>0</v>
      </c>
      <c r="CA371" s="50">
        <f t="shared" si="861"/>
        <v>0</v>
      </c>
      <c r="CB371" s="50">
        <f t="shared" si="862"/>
        <v>1</v>
      </c>
      <c r="CC371" s="50">
        <f t="shared" si="863"/>
        <v>0</v>
      </c>
      <c r="CD371" s="50">
        <f t="shared" si="864"/>
        <v>0</v>
      </c>
      <c r="CE371" s="50">
        <f t="shared" si="865"/>
        <v>1</v>
      </c>
      <c r="CF371" s="50">
        <f t="shared" si="866"/>
        <v>1</v>
      </c>
      <c r="CG371" s="50">
        <f t="shared" si="867"/>
        <v>1</v>
      </c>
      <c r="CH371" s="50">
        <f t="shared" si="868"/>
        <v>1</v>
      </c>
      <c r="CI371" s="50">
        <f t="shared" si="869"/>
        <v>1</v>
      </c>
      <c r="CJ371" s="50">
        <f t="shared" si="870"/>
        <v>1</v>
      </c>
      <c r="CK371" s="50">
        <f t="shared" si="870"/>
        <v>0</v>
      </c>
      <c r="CL371" s="50">
        <f t="shared" si="870"/>
        <v>0</v>
      </c>
      <c r="CM371" s="51">
        <f t="shared" si="795"/>
        <v>0</v>
      </c>
      <c r="CN371" s="33">
        <f>ROUND(IF(BS371=0,0,HLOOKUP(BS$14,Villagers!$B$1:$V$33,BS371+3,FALSE)),)</f>
        <v>5</v>
      </c>
      <c r="CO371" s="14">
        <f>ROUND(IF(BT371=0,0,HLOOKUP(BT$14,Villagers!$B$1:$V$33,BT371+3,FALSE)),)</f>
        <v>0</v>
      </c>
      <c r="CP371" s="14">
        <f>ROUND(IF(BU371=0,0,HLOOKUP(BU$14,Villagers!$B$1:$V$33,BU371+3,FALSE)),)</f>
        <v>0</v>
      </c>
      <c r="CQ371" s="14">
        <f>ROUND(IF(BV371=0,0,HLOOKUP(BV$14,Villagers!$B$1:$V$33,BV371+3,FALSE)),)</f>
        <v>0</v>
      </c>
      <c r="CR371" s="14">
        <f>ROUND(IF(BW371=0,0,HLOOKUP(BW$14,Villagers!$B$1:$V$33,BW371+3,FALSE)),)</f>
        <v>0</v>
      </c>
      <c r="CS371" s="14">
        <f>ROUND(IF(BX371=0,0,HLOOKUP(BX$14,Villagers!$B$1:$V$33,BX371+3,FALSE)),)</f>
        <v>0</v>
      </c>
      <c r="CT371" s="14">
        <f>ROUND(IF(BY371=0,0,HLOOKUP(BY$14,Villagers!$B$1:$V$33,BY371+3,FALSE)),)</f>
        <v>0</v>
      </c>
      <c r="CU371" s="14">
        <f>ROUND(IF(BZ371=0,0,HLOOKUP(BZ$14,Villagers!$B$1:$V$33,BZ371+3,FALSE)),)</f>
        <v>0</v>
      </c>
      <c r="CV371" s="14">
        <f>ROUND(IF(CA371=0,0,HLOOKUP(CA$14,Villagers!$B$1:$V$33,CA371+3,FALSE)),)</f>
        <v>0</v>
      </c>
      <c r="CW371" s="14">
        <f>ROUND(IF(CB371=0,0,HLOOKUP(CB$14,Villagers!$B$1:$V$33,CB371+3,FALSE)),)</f>
        <v>0</v>
      </c>
      <c r="CX371" s="14">
        <f>ROUND(IF(CC371=0,0,HLOOKUP(CC$14,Villagers!$B$1:$V$33,CC371+3,FALSE)),)</f>
        <v>0</v>
      </c>
      <c r="CY371" s="14">
        <f>ROUND(IF(CD371=0,0,HLOOKUP(CD$14,Villagers!$B$1:$V$33,CD371+3,FALSE)),)</f>
        <v>0</v>
      </c>
      <c r="CZ371" s="14">
        <f>ROUND(IF(CE371=0,0,HLOOKUP(CE$14,Villagers!$B$1:$V$33,CE371+3,FALSE)),)</f>
        <v>5</v>
      </c>
      <c r="DA371" s="14">
        <f>ROUND(IF(CF371=0,0,HLOOKUP(CF$14,Villagers!$B$1:$V$33,CF371+3,FALSE)),)</f>
        <v>10</v>
      </c>
      <c r="DB371" s="14">
        <f>ROUND(IF(CG371=0,0,HLOOKUP(CG$14,Villagers!$B$1:$V$33,CG371+3,FALSE)),)</f>
        <v>10</v>
      </c>
      <c r="DC371" s="14">
        <f>ROUND(IF(CH371=0,0,HLOOKUP(CH$14,Villagers!$B$1:$V$33,CH371+3,FALSE)),)</f>
        <v>0</v>
      </c>
      <c r="DD371" s="14">
        <f>ROUND(IF(CI371=0,0,HLOOKUP(CI$14,Villagers!$B$1:$V$33,CI371+3,FALSE)),)</f>
        <v>0</v>
      </c>
      <c r="DE371" s="14">
        <f>ROUND(IF(CJ371=0,0,HLOOKUP(CJ$14,Villagers!$B$1:$V$33,CJ371+3,FALSE)),)</f>
        <v>2</v>
      </c>
      <c r="DF371" s="370">
        <f>ROUND(IF(CK371=0,0,HLOOKUP(CK$14,Villagers!$B$1:$V$33,CK371+3,FALSE)),)</f>
        <v>0</v>
      </c>
      <c r="DG371" s="370">
        <f>ROUND(IF(CL371=0,0,HLOOKUP(CL$14,Villagers!$B$1:$V$33,CL371+3,FALSE)),)</f>
        <v>0</v>
      </c>
      <c r="DH371" s="34">
        <f>ROUND(IF(CM371=0,0,HLOOKUP(CM$14,Villagers!$B$1:$V$33,CM371+3,FALSE)),)</f>
        <v>0</v>
      </c>
      <c r="DI371" s="109">
        <f t="shared" si="832"/>
        <v>0</v>
      </c>
      <c r="DJ371" s="50">
        <f t="shared" si="833"/>
        <v>0</v>
      </c>
      <c r="DK371" s="50">
        <f t="shared" si="834"/>
        <v>0</v>
      </c>
      <c r="DL371" s="50">
        <f t="shared" si="835"/>
        <v>0</v>
      </c>
      <c r="DM371" s="50">
        <f t="shared" si="836"/>
        <v>0</v>
      </c>
      <c r="DN371" s="50">
        <f t="shared" si="837"/>
        <v>0</v>
      </c>
      <c r="DO371" s="50">
        <f t="shared" si="838"/>
        <v>0</v>
      </c>
      <c r="DP371" s="50">
        <f t="shared" si="839"/>
        <v>0</v>
      </c>
      <c r="DQ371" s="50">
        <f t="shared" si="816"/>
        <v>0</v>
      </c>
      <c r="DR371" s="50">
        <f t="shared" si="817"/>
        <v>0</v>
      </c>
      <c r="DS371" s="96">
        <f>Miscelaneous!$D$4*Miscelaneous!$D$2^($CI371-1)</f>
        <v>1000</v>
      </c>
      <c r="DT371" s="333">
        <f t="shared" si="796"/>
        <v>1</v>
      </c>
      <c r="DU371" s="81">
        <v>1</v>
      </c>
      <c r="DV371" s="79">
        <f t="shared" si="818"/>
        <v>0</v>
      </c>
      <c r="DW371" s="79">
        <f t="shared" si="819"/>
        <v>0</v>
      </c>
      <c r="DX371" s="79">
        <f t="shared" si="820"/>
        <v>0</v>
      </c>
      <c r="DY371" s="79">
        <v>1</v>
      </c>
      <c r="DZ371" s="79">
        <f t="shared" si="821"/>
        <v>0</v>
      </c>
      <c r="EA371" s="79">
        <f t="shared" si="822"/>
        <v>0</v>
      </c>
      <c r="EB371" s="79">
        <f t="shared" si="823"/>
        <v>0</v>
      </c>
      <c r="EC371" s="79">
        <f t="shared" si="824"/>
        <v>0</v>
      </c>
      <c r="ED371" s="79">
        <v>1</v>
      </c>
      <c r="EE371" s="79">
        <v>1</v>
      </c>
      <c r="EF371" s="79">
        <f t="shared" si="825"/>
        <v>0</v>
      </c>
      <c r="EG371" s="79">
        <v>1</v>
      </c>
      <c r="EH371" s="79">
        <v>1</v>
      </c>
      <c r="EI371" s="79">
        <v>1</v>
      </c>
      <c r="EJ371" s="79">
        <v>1</v>
      </c>
      <c r="EK371" s="79">
        <v>1</v>
      </c>
      <c r="EL371" s="79">
        <v>1</v>
      </c>
      <c r="EM371" s="143">
        <f t="shared" si="826"/>
        <v>0</v>
      </c>
      <c r="EN371" s="143">
        <f t="shared" si="827"/>
        <v>0</v>
      </c>
      <c r="EO371" s="82">
        <f t="shared" si="828"/>
        <v>0</v>
      </c>
    </row>
    <row r="372" spans="1:145" x14ac:dyDescent="0.25">
      <c r="A372">
        <v>358</v>
      </c>
      <c r="B372" s="172" t="e">
        <f t="shared" si="797"/>
        <v>#N/A</v>
      </c>
      <c r="C372" s="121" t="e">
        <f t="shared" ref="C372:E372" si="901">AJ372-SUM(AB372:AB376)</f>
        <v>#N/A</v>
      </c>
      <c r="D372" s="122" t="e">
        <f t="shared" si="901"/>
        <v>#N/A</v>
      </c>
      <c r="E372" s="122" t="e">
        <f t="shared" si="901"/>
        <v>#N/A</v>
      </c>
      <c r="F372" s="176" t="e">
        <f t="shared" si="778"/>
        <v>#N/A</v>
      </c>
      <c r="G372" s="121">
        <f t="shared" si="799"/>
        <v>208</v>
      </c>
      <c r="H372" s="176" t="e">
        <f t="shared" si="800"/>
        <v>#N/A</v>
      </c>
      <c r="I372" s="48">
        <v>1</v>
      </c>
      <c r="J372" s="39"/>
      <c r="K372" s="350">
        <v>1</v>
      </c>
      <c r="L372" s="34" t="e">
        <f t="shared" si="779"/>
        <v>#N/A</v>
      </c>
      <c r="M372" s="38" t="e">
        <f>(HLOOKUP(J372,'Construction Times'!$B$3:$W$34,L372+2,FALSE)*HLOOKUP("hq modifier",'Construction Times'!$W$3:$W$34,BS372+2,FALSE))*(1-$H$9)</f>
        <v>#N/A</v>
      </c>
      <c r="N372" s="426" t="e">
        <f t="shared" si="801"/>
        <v>#N/A</v>
      </c>
      <c r="O372" s="427"/>
      <c r="P372" s="430" t="e">
        <f t="shared" si="802"/>
        <v>#N/A</v>
      </c>
      <c r="Q372" s="431"/>
      <c r="R372" s="103">
        <f t="shared" si="897"/>
        <v>0</v>
      </c>
      <c r="S372" s="104">
        <f t="shared" si="897"/>
        <v>0</v>
      </c>
      <c r="T372" s="104">
        <f t="shared" si="898"/>
        <v>0</v>
      </c>
      <c r="U372" s="104">
        <f t="shared" si="898"/>
        <v>0</v>
      </c>
      <c r="V372" s="104">
        <f t="shared" si="898"/>
        <v>9.9999999999999995E-8</v>
      </c>
      <c r="W372" s="104">
        <f t="shared" si="898"/>
        <v>0</v>
      </c>
      <c r="X372" s="104">
        <f t="shared" si="890"/>
        <v>0</v>
      </c>
      <c r="Y372" s="104">
        <f t="shared" si="890"/>
        <v>9.9999999999999995E-8</v>
      </c>
      <c r="Z372" s="104">
        <f t="shared" si="890"/>
        <v>9.9999999999999995E-8</v>
      </c>
      <c r="AA372" s="105">
        <f t="shared" si="890"/>
        <v>9.9999999999999995E-8</v>
      </c>
      <c r="AB372" s="101" t="e">
        <f>$DT372*HLOOKUP($J372,'Construction Costs (timber)'!$B$1:$V$32,'Construction Planner'!$L372+2,FALSE)</f>
        <v>#N/A</v>
      </c>
      <c r="AC372" s="14" t="e">
        <f>$DT372*HLOOKUP($J372,'Construction Costs (clay)'!$B$1:$V$32,'Construction Planner'!$L372+2,FALSE)</f>
        <v>#N/A</v>
      </c>
      <c r="AD372" s="14" t="e">
        <f>$DT372*HLOOKUP($J372,'Construction Costs (iron)'!$B$1:$V$32,'Construction Planner'!$L372+2,FALSE)</f>
        <v>#N/A</v>
      </c>
      <c r="AE372" s="34" t="e">
        <f t="shared" si="843"/>
        <v>#N/A</v>
      </c>
      <c r="AF372" s="33" t="e">
        <f t="shared" si="780"/>
        <v>#N/A</v>
      </c>
      <c r="AG372" s="14" t="e">
        <f t="shared" si="781"/>
        <v>#N/A</v>
      </c>
      <c r="AH372" s="14" t="e">
        <f t="shared" si="782"/>
        <v>#N/A</v>
      </c>
      <c r="AI372" s="34" t="e">
        <f t="shared" si="844"/>
        <v>#N/A</v>
      </c>
      <c r="AJ372" s="49" t="e">
        <f t="shared" si="804"/>
        <v>#N/A</v>
      </c>
      <c r="AK372" s="49" t="e">
        <f t="shared" si="805"/>
        <v>#N/A</v>
      </c>
      <c r="AL372" s="49" t="e">
        <f t="shared" si="806"/>
        <v>#N/A</v>
      </c>
      <c r="AM372" s="25">
        <f t="shared" si="783"/>
        <v>30</v>
      </c>
      <c r="AN372" s="25">
        <f t="shared" si="784"/>
        <v>30</v>
      </c>
      <c r="AO372" s="25">
        <f t="shared" si="785"/>
        <v>30</v>
      </c>
      <c r="AP372" s="52" t="e">
        <f t="shared" si="894"/>
        <v>#N/A</v>
      </c>
      <c r="AQ372" s="53" t="e">
        <f t="shared" si="894"/>
        <v>#N/A</v>
      </c>
      <c r="AR372" s="54" t="e">
        <f t="shared" si="894"/>
        <v>#N/A</v>
      </c>
      <c r="AS372" s="316">
        <f t="shared" ref="AS372:AS387" si="902">AS371</f>
        <v>0</v>
      </c>
      <c r="AT372" s="106">
        <f>_xlfn.IFNA($M372/VLOOKUP($BT372,'Unit information'!$A$2:$K$29,2,FALSE)*R372,0)*(1+$E$9)</f>
        <v>0</v>
      </c>
      <c r="AU372" s="107">
        <f>_xlfn.IFNA($M372/VLOOKUP($BT372,'Unit information'!$A$2:$K$29,3,FALSE)*S372,0)*(1+$E$9)</f>
        <v>0</v>
      </c>
      <c r="AV372" s="107">
        <f>_xlfn.IFNA($M372/VLOOKUP($BT372,'Unit information'!$A$2:$K$29,4,FALSE)*T372,0)*(1+$E$9)</f>
        <v>0</v>
      </c>
      <c r="AW372" s="107">
        <f>_xlfn.IFNA($M372/VLOOKUP($BT372,'Unit information'!$A$2:$K$29,5,FALSE)*U372,0)*(1+$E$9)</f>
        <v>0</v>
      </c>
      <c r="AX372" s="107">
        <f>_xlfn.IFNA($M372/VLOOKUP($BU372,'Unit information'!$A$2:$K$29,6,FALSE)*V372,0)*(1+$E$9)</f>
        <v>0</v>
      </c>
      <c r="AY372" s="107">
        <f>_xlfn.IFNA($M372/VLOOKUP($BU372,'Unit information'!$A$2:$K$29,7,FALSE)*W372,0)*(1+$E$9)</f>
        <v>0</v>
      </c>
      <c r="AZ372" s="107">
        <f>_xlfn.IFNA($M372/VLOOKUP($BU372,'Unit information'!$A$2:$K$29,8,FALSE)*X372,0)*(1+$E$9)</f>
        <v>0</v>
      </c>
      <c r="BA372" s="107">
        <f>_xlfn.IFNA($M372/VLOOKUP($BU372,'Unit information'!$A$2:$K$29,9,FALSE)*Y372,0)*(1+$E$9)</f>
        <v>0</v>
      </c>
      <c r="BB372" s="107">
        <f>_xlfn.IFNA($M372/VLOOKUP($BV372,'Unit information'!$A$2:$K$29,10,FALSE)*Z372,0)*(1+$E$9)</f>
        <v>0</v>
      </c>
      <c r="BC372" s="108">
        <f>_xlfn.IFNA($M372/VLOOKUP($BV372,'Unit information'!$A$2:$K$29,11,FALSE)*AA372,0)*(1+$E$9)</f>
        <v>0</v>
      </c>
      <c r="BD372" s="106">
        <f t="shared" si="786"/>
        <v>0</v>
      </c>
      <c r="BE372" s="107">
        <f t="shared" si="787"/>
        <v>0</v>
      </c>
      <c r="BF372" s="108">
        <f t="shared" si="788"/>
        <v>0</v>
      </c>
      <c r="BG372" s="25" t="e">
        <f t="shared" si="789"/>
        <v>#N/A</v>
      </c>
      <c r="BH372" s="25" t="e">
        <f t="shared" si="790"/>
        <v>#N/A</v>
      </c>
      <c r="BI372" s="25" t="e">
        <f t="shared" si="791"/>
        <v>#N/A</v>
      </c>
      <c r="BJ372" s="27" t="e">
        <f t="shared" si="792"/>
        <v>#N/A</v>
      </c>
      <c r="BK372" s="18" t="e">
        <f t="shared" si="793"/>
        <v>#N/A</v>
      </c>
      <c r="BL372" s="18" t="e">
        <f t="shared" si="794"/>
        <v>#N/A</v>
      </c>
      <c r="BM372" s="28" t="e">
        <f t="shared" si="846"/>
        <v>#N/A</v>
      </c>
      <c r="BN372" s="33">
        <f>HLOOKUP("maximum population",Miscelaneous!$C$1:$C$33,CH372+3,FALSE)</f>
        <v>240</v>
      </c>
      <c r="BO372" s="14">
        <f t="shared" si="808"/>
        <v>32</v>
      </c>
      <c r="BP372" s="14">
        <f t="shared" si="809"/>
        <v>0</v>
      </c>
      <c r="BQ372" s="14">
        <f t="shared" si="810"/>
        <v>208</v>
      </c>
      <c r="BR372" s="34" t="e">
        <f>HLOOKUP(J372,Villagers!$B$1:$V$33,L372+3,FALSE)-HLOOKUP(J372,Villagers!$B$1:$V$33,L372+2,FALSE)</f>
        <v>#N/A</v>
      </c>
      <c r="BS372" s="49">
        <f t="shared" si="811"/>
        <v>1</v>
      </c>
      <c r="BT372" s="50">
        <f t="shared" si="812"/>
        <v>0</v>
      </c>
      <c r="BU372" s="50">
        <f t="shared" si="813"/>
        <v>0</v>
      </c>
      <c r="BV372" s="50">
        <f t="shared" si="814"/>
        <v>0</v>
      </c>
      <c r="BW372" s="50">
        <f t="shared" si="895"/>
        <v>0</v>
      </c>
      <c r="BX372" s="50">
        <f t="shared" si="895"/>
        <v>0</v>
      </c>
      <c r="BY372" s="50">
        <f t="shared" si="895"/>
        <v>0</v>
      </c>
      <c r="BZ372" s="50">
        <f t="shared" si="860"/>
        <v>0</v>
      </c>
      <c r="CA372" s="50">
        <f t="shared" si="861"/>
        <v>0</v>
      </c>
      <c r="CB372" s="50">
        <f t="shared" si="862"/>
        <v>1</v>
      </c>
      <c r="CC372" s="50">
        <f t="shared" si="863"/>
        <v>0</v>
      </c>
      <c r="CD372" s="50">
        <f t="shared" si="864"/>
        <v>0</v>
      </c>
      <c r="CE372" s="50">
        <f t="shared" si="865"/>
        <v>1</v>
      </c>
      <c r="CF372" s="50">
        <f t="shared" si="866"/>
        <v>1</v>
      </c>
      <c r="CG372" s="50">
        <f t="shared" si="867"/>
        <v>1</v>
      </c>
      <c r="CH372" s="50">
        <f t="shared" si="868"/>
        <v>1</v>
      </c>
      <c r="CI372" s="50">
        <f t="shared" si="869"/>
        <v>1</v>
      </c>
      <c r="CJ372" s="50">
        <f t="shared" si="870"/>
        <v>1</v>
      </c>
      <c r="CK372" s="50">
        <f t="shared" si="870"/>
        <v>0</v>
      </c>
      <c r="CL372" s="50">
        <f t="shared" si="870"/>
        <v>0</v>
      </c>
      <c r="CM372" s="51">
        <f t="shared" si="795"/>
        <v>0</v>
      </c>
      <c r="CN372" s="33">
        <f>ROUND(IF(BS372=0,0,HLOOKUP(BS$14,Villagers!$B$1:$V$33,BS372+3,FALSE)),)</f>
        <v>5</v>
      </c>
      <c r="CO372" s="14">
        <f>ROUND(IF(BT372=0,0,HLOOKUP(BT$14,Villagers!$B$1:$V$33,BT372+3,FALSE)),)</f>
        <v>0</v>
      </c>
      <c r="CP372" s="14">
        <f>ROUND(IF(BU372=0,0,HLOOKUP(BU$14,Villagers!$B$1:$V$33,BU372+3,FALSE)),)</f>
        <v>0</v>
      </c>
      <c r="CQ372" s="14">
        <f>ROUND(IF(BV372=0,0,HLOOKUP(BV$14,Villagers!$B$1:$V$33,BV372+3,FALSE)),)</f>
        <v>0</v>
      </c>
      <c r="CR372" s="14">
        <f>ROUND(IF(BW372=0,0,HLOOKUP(BW$14,Villagers!$B$1:$V$33,BW372+3,FALSE)),)</f>
        <v>0</v>
      </c>
      <c r="CS372" s="14">
        <f>ROUND(IF(BX372=0,0,HLOOKUP(BX$14,Villagers!$B$1:$V$33,BX372+3,FALSE)),)</f>
        <v>0</v>
      </c>
      <c r="CT372" s="14">
        <f>ROUND(IF(BY372=0,0,HLOOKUP(BY$14,Villagers!$B$1:$V$33,BY372+3,FALSE)),)</f>
        <v>0</v>
      </c>
      <c r="CU372" s="14">
        <f>ROUND(IF(BZ372=0,0,HLOOKUP(BZ$14,Villagers!$B$1:$V$33,BZ372+3,FALSE)),)</f>
        <v>0</v>
      </c>
      <c r="CV372" s="14">
        <f>ROUND(IF(CA372=0,0,HLOOKUP(CA$14,Villagers!$B$1:$V$33,CA372+3,FALSE)),)</f>
        <v>0</v>
      </c>
      <c r="CW372" s="14">
        <f>ROUND(IF(CB372=0,0,HLOOKUP(CB$14,Villagers!$B$1:$V$33,CB372+3,FALSE)),)</f>
        <v>0</v>
      </c>
      <c r="CX372" s="14">
        <f>ROUND(IF(CC372=0,0,HLOOKUP(CC$14,Villagers!$B$1:$V$33,CC372+3,FALSE)),)</f>
        <v>0</v>
      </c>
      <c r="CY372" s="14">
        <f>ROUND(IF(CD372=0,0,HLOOKUP(CD$14,Villagers!$B$1:$V$33,CD372+3,FALSE)),)</f>
        <v>0</v>
      </c>
      <c r="CZ372" s="14">
        <f>ROUND(IF(CE372=0,0,HLOOKUP(CE$14,Villagers!$B$1:$V$33,CE372+3,FALSE)),)</f>
        <v>5</v>
      </c>
      <c r="DA372" s="14">
        <f>ROUND(IF(CF372=0,0,HLOOKUP(CF$14,Villagers!$B$1:$V$33,CF372+3,FALSE)),)</f>
        <v>10</v>
      </c>
      <c r="DB372" s="14">
        <f>ROUND(IF(CG372=0,0,HLOOKUP(CG$14,Villagers!$B$1:$V$33,CG372+3,FALSE)),)</f>
        <v>10</v>
      </c>
      <c r="DC372" s="14">
        <f>ROUND(IF(CH372=0,0,HLOOKUP(CH$14,Villagers!$B$1:$V$33,CH372+3,FALSE)),)</f>
        <v>0</v>
      </c>
      <c r="DD372" s="14">
        <f>ROUND(IF(CI372=0,0,HLOOKUP(CI$14,Villagers!$B$1:$V$33,CI372+3,FALSE)),)</f>
        <v>0</v>
      </c>
      <c r="DE372" s="14">
        <f>ROUND(IF(CJ372=0,0,HLOOKUP(CJ$14,Villagers!$B$1:$V$33,CJ372+3,FALSE)),)</f>
        <v>2</v>
      </c>
      <c r="DF372" s="370">
        <f>ROUND(IF(CK372=0,0,HLOOKUP(CK$14,Villagers!$B$1:$V$33,CK372+3,FALSE)),)</f>
        <v>0</v>
      </c>
      <c r="DG372" s="370">
        <f>ROUND(IF(CL372=0,0,HLOOKUP(CL$14,Villagers!$B$1:$V$33,CL372+3,FALSE)),)</f>
        <v>0</v>
      </c>
      <c r="DH372" s="34">
        <f>ROUND(IF(CM372=0,0,HLOOKUP(CM$14,Villagers!$B$1:$V$33,CM372+3,FALSE)),)</f>
        <v>0</v>
      </c>
      <c r="DI372" s="109">
        <f t="shared" si="832"/>
        <v>0</v>
      </c>
      <c r="DJ372" s="50">
        <f t="shared" si="833"/>
        <v>0</v>
      </c>
      <c r="DK372" s="50">
        <f t="shared" si="834"/>
        <v>0</v>
      </c>
      <c r="DL372" s="50">
        <f t="shared" si="835"/>
        <v>0</v>
      </c>
      <c r="DM372" s="50">
        <f t="shared" si="836"/>
        <v>0</v>
      </c>
      <c r="DN372" s="50">
        <f t="shared" si="837"/>
        <v>0</v>
      </c>
      <c r="DO372" s="50">
        <f t="shared" si="838"/>
        <v>0</v>
      </c>
      <c r="DP372" s="50">
        <f t="shared" si="839"/>
        <v>0</v>
      </c>
      <c r="DQ372" s="50">
        <f t="shared" si="816"/>
        <v>0</v>
      </c>
      <c r="DR372" s="50">
        <f t="shared" si="817"/>
        <v>0</v>
      </c>
      <c r="DS372" s="96">
        <f>Miscelaneous!$D$4*Miscelaneous!$D$2^($CI372-1)</f>
        <v>1000</v>
      </c>
      <c r="DT372" s="333">
        <f t="shared" si="796"/>
        <v>1</v>
      </c>
      <c r="DU372" s="81">
        <v>1</v>
      </c>
      <c r="DV372" s="79">
        <f t="shared" si="818"/>
        <v>0</v>
      </c>
      <c r="DW372" s="79">
        <f t="shared" si="819"/>
        <v>0</v>
      </c>
      <c r="DX372" s="79">
        <f t="shared" si="820"/>
        <v>0</v>
      </c>
      <c r="DY372" s="79">
        <v>1</v>
      </c>
      <c r="DZ372" s="79">
        <f t="shared" si="821"/>
        <v>0</v>
      </c>
      <c r="EA372" s="79">
        <f t="shared" si="822"/>
        <v>0</v>
      </c>
      <c r="EB372" s="79">
        <f t="shared" si="823"/>
        <v>0</v>
      </c>
      <c r="EC372" s="79">
        <f t="shared" si="824"/>
        <v>0</v>
      </c>
      <c r="ED372" s="79">
        <v>1</v>
      </c>
      <c r="EE372" s="79">
        <v>1</v>
      </c>
      <c r="EF372" s="79">
        <f t="shared" si="825"/>
        <v>0</v>
      </c>
      <c r="EG372" s="79">
        <v>1</v>
      </c>
      <c r="EH372" s="79">
        <v>1</v>
      </c>
      <c r="EI372" s="79">
        <v>1</v>
      </c>
      <c r="EJ372" s="79">
        <v>1</v>
      </c>
      <c r="EK372" s="79">
        <v>1</v>
      </c>
      <c r="EL372" s="79">
        <v>1</v>
      </c>
      <c r="EM372" s="143">
        <f t="shared" si="826"/>
        <v>0</v>
      </c>
      <c r="EN372" s="143">
        <f t="shared" si="827"/>
        <v>0</v>
      </c>
      <c r="EO372" s="82">
        <f t="shared" si="828"/>
        <v>0</v>
      </c>
    </row>
    <row r="373" spans="1:145" x14ac:dyDescent="0.25">
      <c r="A373">
        <v>359</v>
      </c>
      <c r="B373" s="172" t="e">
        <f t="shared" si="797"/>
        <v>#N/A</v>
      </c>
      <c r="C373" s="121" t="e">
        <f t="shared" ref="C373:E373" si="903">AJ373-SUM(AB373:AB377)</f>
        <v>#N/A</v>
      </c>
      <c r="D373" s="122" t="e">
        <f t="shared" si="903"/>
        <v>#N/A</v>
      </c>
      <c r="E373" s="122" t="e">
        <f t="shared" si="903"/>
        <v>#N/A</v>
      </c>
      <c r="F373" s="176" t="e">
        <f t="shared" si="778"/>
        <v>#N/A</v>
      </c>
      <c r="G373" s="121">
        <f t="shared" si="799"/>
        <v>208</v>
      </c>
      <c r="H373" s="176" t="e">
        <f t="shared" si="800"/>
        <v>#N/A</v>
      </c>
      <c r="I373" s="48">
        <v>1</v>
      </c>
      <c r="J373" s="39"/>
      <c r="K373" s="350">
        <v>1</v>
      </c>
      <c r="L373" s="34" t="e">
        <f t="shared" si="779"/>
        <v>#N/A</v>
      </c>
      <c r="M373" s="38" t="e">
        <f>(HLOOKUP(J373,'Construction Times'!$B$3:$W$34,L373+2,FALSE)*HLOOKUP("hq modifier",'Construction Times'!$W$3:$W$34,BS373+2,FALSE))*(1-$H$9)</f>
        <v>#N/A</v>
      </c>
      <c r="N373" s="426" t="e">
        <f t="shared" si="801"/>
        <v>#N/A</v>
      </c>
      <c r="O373" s="427"/>
      <c r="P373" s="430" t="e">
        <f t="shared" si="802"/>
        <v>#N/A</v>
      </c>
      <c r="Q373" s="431"/>
      <c r="R373" s="103">
        <f t="shared" si="897"/>
        <v>0</v>
      </c>
      <c r="S373" s="104">
        <f t="shared" si="897"/>
        <v>0</v>
      </c>
      <c r="T373" s="104">
        <f t="shared" si="898"/>
        <v>0</v>
      </c>
      <c r="U373" s="104">
        <f t="shared" si="898"/>
        <v>0</v>
      </c>
      <c r="V373" s="104">
        <f t="shared" si="898"/>
        <v>9.9999999999999995E-8</v>
      </c>
      <c r="W373" s="104">
        <f t="shared" si="898"/>
        <v>0</v>
      </c>
      <c r="X373" s="104">
        <f t="shared" si="890"/>
        <v>0</v>
      </c>
      <c r="Y373" s="104">
        <f t="shared" si="890"/>
        <v>9.9999999999999995E-8</v>
      </c>
      <c r="Z373" s="104">
        <f t="shared" si="890"/>
        <v>9.9999999999999995E-8</v>
      </c>
      <c r="AA373" s="105">
        <f t="shared" si="890"/>
        <v>9.9999999999999995E-8</v>
      </c>
      <c r="AB373" s="101" t="e">
        <f>$DT373*HLOOKUP($J373,'Construction Costs (timber)'!$B$1:$V$32,'Construction Planner'!$L373+2,FALSE)</f>
        <v>#N/A</v>
      </c>
      <c r="AC373" s="14" t="e">
        <f>$DT373*HLOOKUP($J373,'Construction Costs (clay)'!$B$1:$V$32,'Construction Planner'!$L373+2,FALSE)</f>
        <v>#N/A</v>
      </c>
      <c r="AD373" s="14" t="e">
        <f>$DT373*HLOOKUP($J373,'Construction Costs (iron)'!$B$1:$V$32,'Construction Planner'!$L373+2,FALSE)</f>
        <v>#N/A</v>
      </c>
      <c r="AE373" s="34" t="e">
        <f t="shared" si="843"/>
        <v>#N/A</v>
      </c>
      <c r="AF373" s="33" t="e">
        <f t="shared" si="780"/>
        <v>#N/A</v>
      </c>
      <c r="AG373" s="14" t="e">
        <f t="shared" si="781"/>
        <v>#N/A</v>
      </c>
      <c r="AH373" s="14" t="e">
        <f t="shared" si="782"/>
        <v>#N/A</v>
      </c>
      <c r="AI373" s="34" t="e">
        <f t="shared" si="844"/>
        <v>#N/A</v>
      </c>
      <c r="AJ373" s="49" t="e">
        <f t="shared" si="804"/>
        <v>#N/A</v>
      </c>
      <c r="AK373" s="49" t="e">
        <f t="shared" si="805"/>
        <v>#N/A</v>
      </c>
      <c r="AL373" s="49" t="e">
        <f t="shared" si="806"/>
        <v>#N/A</v>
      </c>
      <c r="AM373" s="25">
        <f t="shared" si="783"/>
        <v>30</v>
      </c>
      <c r="AN373" s="25">
        <f t="shared" si="784"/>
        <v>30</v>
      </c>
      <c r="AO373" s="25">
        <f t="shared" si="785"/>
        <v>30</v>
      </c>
      <c r="AP373" s="52" t="e">
        <f t="shared" si="894"/>
        <v>#N/A</v>
      </c>
      <c r="AQ373" s="53" t="e">
        <f t="shared" si="894"/>
        <v>#N/A</v>
      </c>
      <c r="AR373" s="54" t="e">
        <f t="shared" si="894"/>
        <v>#N/A</v>
      </c>
      <c r="AS373" s="316">
        <f t="shared" si="902"/>
        <v>0</v>
      </c>
      <c r="AT373" s="106">
        <f>_xlfn.IFNA($M373/VLOOKUP($BT373,'Unit information'!$A$2:$K$29,2,FALSE)*R373,0)*(1+$E$9)</f>
        <v>0</v>
      </c>
      <c r="AU373" s="107">
        <f>_xlfn.IFNA($M373/VLOOKUP($BT373,'Unit information'!$A$2:$K$29,3,FALSE)*S373,0)*(1+$E$9)</f>
        <v>0</v>
      </c>
      <c r="AV373" s="107">
        <f>_xlfn.IFNA($M373/VLOOKUP($BT373,'Unit information'!$A$2:$K$29,4,FALSE)*T373,0)*(1+$E$9)</f>
        <v>0</v>
      </c>
      <c r="AW373" s="107">
        <f>_xlfn.IFNA($M373/VLOOKUP($BT373,'Unit information'!$A$2:$K$29,5,FALSE)*U373,0)*(1+$E$9)</f>
        <v>0</v>
      </c>
      <c r="AX373" s="107">
        <f>_xlfn.IFNA($M373/VLOOKUP($BU373,'Unit information'!$A$2:$K$29,6,FALSE)*V373,0)*(1+$E$9)</f>
        <v>0</v>
      </c>
      <c r="AY373" s="107">
        <f>_xlfn.IFNA($M373/VLOOKUP($BU373,'Unit information'!$A$2:$K$29,7,FALSE)*W373,0)*(1+$E$9)</f>
        <v>0</v>
      </c>
      <c r="AZ373" s="107">
        <f>_xlfn.IFNA($M373/VLOOKUP($BU373,'Unit information'!$A$2:$K$29,8,FALSE)*X373,0)*(1+$E$9)</f>
        <v>0</v>
      </c>
      <c r="BA373" s="107">
        <f>_xlfn.IFNA($M373/VLOOKUP($BU373,'Unit information'!$A$2:$K$29,9,FALSE)*Y373,0)*(1+$E$9)</f>
        <v>0</v>
      </c>
      <c r="BB373" s="107">
        <f>_xlfn.IFNA($M373/VLOOKUP($BV373,'Unit information'!$A$2:$K$29,10,FALSE)*Z373,0)*(1+$E$9)</f>
        <v>0</v>
      </c>
      <c r="BC373" s="108">
        <f>_xlfn.IFNA($M373/VLOOKUP($BV373,'Unit information'!$A$2:$K$29,11,FALSE)*AA373,0)*(1+$E$9)</f>
        <v>0</v>
      </c>
      <c r="BD373" s="106">
        <f t="shared" si="786"/>
        <v>0</v>
      </c>
      <c r="BE373" s="107">
        <f t="shared" si="787"/>
        <v>0</v>
      </c>
      <c r="BF373" s="108">
        <f t="shared" si="788"/>
        <v>0</v>
      </c>
      <c r="BG373" s="25" t="e">
        <f t="shared" si="789"/>
        <v>#N/A</v>
      </c>
      <c r="BH373" s="25" t="e">
        <f t="shared" si="790"/>
        <v>#N/A</v>
      </c>
      <c r="BI373" s="25" t="e">
        <f t="shared" si="791"/>
        <v>#N/A</v>
      </c>
      <c r="BJ373" s="27" t="e">
        <f t="shared" si="792"/>
        <v>#N/A</v>
      </c>
      <c r="BK373" s="18" t="e">
        <f t="shared" si="793"/>
        <v>#N/A</v>
      </c>
      <c r="BL373" s="18" t="e">
        <f t="shared" si="794"/>
        <v>#N/A</v>
      </c>
      <c r="BM373" s="28" t="e">
        <f t="shared" si="846"/>
        <v>#N/A</v>
      </c>
      <c r="BN373" s="33">
        <f>HLOOKUP("maximum population",Miscelaneous!$C$1:$C$33,CH373+3,FALSE)</f>
        <v>240</v>
      </c>
      <c r="BO373" s="14">
        <f t="shared" si="808"/>
        <v>32</v>
      </c>
      <c r="BP373" s="14">
        <f t="shared" si="809"/>
        <v>0</v>
      </c>
      <c r="BQ373" s="14">
        <f t="shared" si="810"/>
        <v>208</v>
      </c>
      <c r="BR373" s="34" t="e">
        <f>HLOOKUP(J373,Villagers!$B$1:$V$33,L373+3,FALSE)-HLOOKUP(J373,Villagers!$B$1:$V$33,L373+2,FALSE)</f>
        <v>#N/A</v>
      </c>
      <c r="BS373" s="49">
        <f t="shared" si="811"/>
        <v>1</v>
      </c>
      <c r="BT373" s="50">
        <f t="shared" si="812"/>
        <v>0</v>
      </c>
      <c r="BU373" s="50">
        <f t="shared" si="813"/>
        <v>0</v>
      </c>
      <c r="BV373" s="50">
        <f t="shared" si="814"/>
        <v>0</v>
      </c>
      <c r="BW373" s="50">
        <f t="shared" si="895"/>
        <v>0</v>
      </c>
      <c r="BX373" s="50">
        <f t="shared" si="895"/>
        <v>0</v>
      </c>
      <c r="BY373" s="50">
        <f t="shared" si="895"/>
        <v>0</v>
      </c>
      <c r="BZ373" s="50">
        <f t="shared" si="860"/>
        <v>0</v>
      </c>
      <c r="CA373" s="50">
        <f t="shared" si="861"/>
        <v>0</v>
      </c>
      <c r="CB373" s="50">
        <f t="shared" si="862"/>
        <v>1</v>
      </c>
      <c r="CC373" s="50">
        <f t="shared" si="863"/>
        <v>0</v>
      </c>
      <c r="CD373" s="50">
        <f t="shared" si="864"/>
        <v>0</v>
      </c>
      <c r="CE373" s="50">
        <f t="shared" si="865"/>
        <v>1</v>
      </c>
      <c r="CF373" s="50">
        <f t="shared" si="866"/>
        <v>1</v>
      </c>
      <c r="CG373" s="50">
        <f t="shared" si="867"/>
        <v>1</v>
      </c>
      <c r="CH373" s="50">
        <f t="shared" si="868"/>
        <v>1</v>
      </c>
      <c r="CI373" s="50">
        <f t="shared" si="869"/>
        <v>1</v>
      </c>
      <c r="CJ373" s="50">
        <f t="shared" si="870"/>
        <v>1</v>
      </c>
      <c r="CK373" s="50">
        <f t="shared" si="870"/>
        <v>0</v>
      </c>
      <c r="CL373" s="50">
        <f t="shared" si="870"/>
        <v>0</v>
      </c>
      <c r="CM373" s="51">
        <f t="shared" si="795"/>
        <v>0</v>
      </c>
      <c r="CN373" s="33">
        <f>ROUND(IF(BS373=0,0,HLOOKUP(BS$14,Villagers!$B$1:$V$33,BS373+3,FALSE)),)</f>
        <v>5</v>
      </c>
      <c r="CO373" s="14">
        <f>ROUND(IF(BT373=0,0,HLOOKUP(BT$14,Villagers!$B$1:$V$33,BT373+3,FALSE)),)</f>
        <v>0</v>
      </c>
      <c r="CP373" s="14">
        <f>ROUND(IF(BU373=0,0,HLOOKUP(BU$14,Villagers!$B$1:$V$33,BU373+3,FALSE)),)</f>
        <v>0</v>
      </c>
      <c r="CQ373" s="14">
        <f>ROUND(IF(BV373=0,0,HLOOKUP(BV$14,Villagers!$B$1:$V$33,BV373+3,FALSE)),)</f>
        <v>0</v>
      </c>
      <c r="CR373" s="14">
        <f>ROUND(IF(BW373=0,0,HLOOKUP(BW$14,Villagers!$B$1:$V$33,BW373+3,FALSE)),)</f>
        <v>0</v>
      </c>
      <c r="CS373" s="14">
        <f>ROUND(IF(BX373=0,0,HLOOKUP(BX$14,Villagers!$B$1:$V$33,BX373+3,FALSE)),)</f>
        <v>0</v>
      </c>
      <c r="CT373" s="14">
        <f>ROUND(IF(BY373=0,0,HLOOKUP(BY$14,Villagers!$B$1:$V$33,BY373+3,FALSE)),)</f>
        <v>0</v>
      </c>
      <c r="CU373" s="14">
        <f>ROUND(IF(BZ373=0,0,HLOOKUP(BZ$14,Villagers!$B$1:$V$33,BZ373+3,FALSE)),)</f>
        <v>0</v>
      </c>
      <c r="CV373" s="14">
        <f>ROUND(IF(CA373=0,0,HLOOKUP(CA$14,Villagers!$B$1:$V$33,CA373+3,FALSE)),)</f>
        <v>0</v>
      </c>
      <c r="CW373" s="14">
        <f>ROUND(IF(CB373=0,0,HLOOKUP(CB$14,Villagers!$B$1:$V$33,CB373+3,FALSE)),)</f>
        <v>0</v>
      </c>
      <c r="CX373" s="14">
        <f>ROUND(IF(CC373=0,0,HLOOKUP(CC$14,Villagers!$B$1:$V$33,CC373+3,FALSE)),)</f>
        <v>0</v>
      </c>
      <c r="CY373" s="14">
        <f>ROUND(IF(CD373=0,0,HLOOKUP(CD$14,Villagers!$B$1:$V$33,CD373+3,FALSE)),)</f>
        <v>0</v>
      </c>
      <c r="CZ373" s="14">
        <f>ROUND(IF(CE373=0,0,HLOOKUP(CE$14,Villagers!$B$1:$V$33,CE373+3,FALSE)),)</f>
        <v>5</v>
      </c>
      <c r="DA373" s="14">
        <f>ROUND(IF(CF373=0,0,HLOOKUP(CF$14,Villagers!$B$1:$V$33,CF373+3,FALSE)),)</f>
        <v>10</v>
      </c>
      <c r="DB373" s="14">
        <f>ROUND(IF(CG373=0,0,HLOOKUP(CG$14,Villagers!$B$1:$V$33,CG373+3,FALSE)),)</f>
        <v>10</v>
      </c>
      <c r="DC373" s="14">
        <f>ROUND(IF(CH373=0,0,HLOOKUP(CH$14,Villagers!$B$1:$V$33,CH373+3,FALSE)),)</f>
        <v>0</v>
      </c>
      <c r="DD373" s="14">
        <f>ROUND(IF(CI373=0,0,HLOOKUP(CI$14,Villagers!$B$1:$V$33,CI373+3,FALSE)),)</f>
        <v>0</v>
      </c>
      <c r="DE373" s="14">
        <f>ROUND(IF(CJ373=0,0,HLOOKUP(CJ$14,Villagers!$B$1:$V$33,CJ373+3,FALSE)),)</f>
        <v>2</v>
      </c>
      <c r="DF373" s="370">
        <f>ROUND(IF(CK373=0,0,HLOOKUP(CK$14,Villagers!$B$1:$V$33,CK373+3,FALSE)),)</f>
        <v>0</v>
      </c>
      <c r="DG373" s="370">
        <f>ROUND(IF(CL373=0,0,HLOOKUP(CL$14,Villagers!$B$1:$V$33,CL373+3,FALSE)),)</f>
        <v>0</v>
      </c>
      <c r="DH373" s="34">
        <f>ROUND(IF(CM373=0,0,HLOOKUP(CM$14,Villagers!$B$1:$V$33,CM373+3,FALSE)),)</f>
        <v>0</v>
      </c>
      <c r="DI373" s="109">
        <f t="shared" si="832"/>
        <v>0</v>
      </c>
      <c r="DJ373" s="50">
        <f t="shared" si="833"/>
        <v>0</v>
      </c>
      <c r="DK373" s="50">
        <f t="shared" si="834"/>
        <v>0</v>
      </c>
      <c r="DL373" s="50">
        <f t="shared" si="835"/>
        <v>0</v>
      </c>
      <c r="DM373" s="50">
        <f t="shared" si="836"/>
        <v>0</v>
      </c>
      <c r="DN373" s="50">
        <f t="shared" si="837"/>
        <v>0</v>
      </c>
      <c r="DO373" s="50">
        <f t="shared" si="838"/>
        <v>0</v>
      </c>
      <c r="DP373" s="50">
        <f t="shared" si="839"/>
        <v>0</v>
      </c>
      <c r="DQ373" s="50">
        <f t="shared" si="816"/>
        <v>0</v>
      </c>
      <c r="DR373" s="50">
        <f t="shared" si="817"/>
        <v>0</v>
      </c>
      <c r="DS373" s="96">
        <f>Miscelaneous!$D$4*Miscelaneous!$D$2^($CI373-1)</f>
        <v>1000</v>
      </c>
      <c r="DT373" s="333">
        <f t="shared" si="796"/>
        <v>1</v>
      </c>
      <c r="DU373" s="81">
        <v>1</v>
      </c>
      <c r="DV373" s="79">
        <f t="shared" si="818"/>
        <v>0</v>
      </c>
      <c r="DW373" s="79">
        <f t="shared" si="819"/>
        <v>0</v>
      </c>
      <c r="DX373" s="79">
        <f t="shared" si="820"/>
        <v>0</v>
      </c>
      <c r="DY373" s="79">
        <v>1</v>
      </c>
      <c r="DZ373" s="79">
        <f t="shared" si="821"/>
        <v>0</v>
      </c>
      <c r="EA373" s="79">
        <f t="shared" si="822"/>
        <v>0</v>
      </c>
      <c r="EB373" s="79">
        <f t="shared" si="823"/>
        <v>0</v>
      </c>
      <c r="EC373" s="79">
        <f t="shared" si="824"/>
        <v>0</v>
      </c>
      <c r="ED373" s="79">
        <v>1</v>
      </c>
      <c r="EE373" s="79">
        <v>1</v>
      </c>
      <c r="EF373" s="79">
        <f t="shared" si="825"/>
        <v>0</v>
      </c>
      <c r="EG373" s="79">
        <v>1</v>
      </c>
      <c r="EH373" s="79">
        <v>1</v>
      </c>
      <c r="EI373" s="79">
        <v>1</v>
      </c>
      <c r="EJ373" s="79">
        <v>1</v>
      </c>
      <c r="EK373" s="79">
        <v>1</v>
      </c>
      <c r="EL373" s="79">
        <v>1</v>
      </c>
      <c r="EM373" s="143">
        <f t="shared" si="826"/>
        <v>0</v>
      </c>
      <c r="EN373" s="143">
        <f t="shared" si="827"/>
        <v>0</v>
      </c>
      <c r="EO373" s="82">
        <f t="shared" si="828"/>
        <v>0</v>
      </c>
    </row>
    <row r="374" spans="1:145" x14ac:dyDescent="0.25">
      <c r="A374">
        <v>360</v>
      </c>
      <c r="B374" s="172" t="e">
        <f t="shared" si="797"/>
        <v>#N/A</v>
      </c>
      <c r="C374" s="121" t="e">
        <f t="shared" ref="C374:E374" si="904">AJ374-SUM(AB374:AB378)</f>
        <v>#N/A</v>
      </c>
      <c r="D374" s="122" t="e">
        <f t="shared" si="904"/>
        <v>#N/A</v>
      </c>
      <c r="E374" s="122" t="e">
        <f t="shared" si="904"/>
        <v>#N/A</v>
      </c>
      <c r="F374" s="176" t="e">
        <f t="shared" si="778"/>
        <v>#N/A</v>
      </c>
      <c r="G374" s="121">
        <f t="shared" si="799"/>
        <v>208</v>
      </c>
      <c r="H374" s="176" t="e">
        <f t="shared" si="800"/>
        <v>#N/A</v>
      </c>
      <c r="I374" s="48">
        <v>1</v>
      </c>
      <c r="J374" s="39"/>
      <c r="K374" s="350">
        <v>1</v>
      </c>
      <c r="L374" s="34" t="e">
        <f t="shared" si="779"/>
        <v>#N/A</v>
      </c>
      <c r="M374" s="38" t="e">
        <f>(HLOOKUP(J374,'Construction Times'!$B$3:$W$34,L374+2,FALSE)*HLOOKUP("hq modifier",'Construction Times'!$W$3:$W$34,BS374+2,FALSE))*(1-$H$9)</f>
        <v>#N/A</v>
      </c>
      <c r="N374" s="426" t="e">
        <f t="shared" si="801"/>
        <v>#N/A</v>
      </c>
      <c r="O374" s="427"/>
      <c r="P374" s="430" t="e">
        <f t="shared" si="802"/>
        <v>#N/A</v>
      </c>
      <c r="Q374" s="431"/>
      <c r="R374" s="103">
        <f t="shared" si="897"/>
        <v>0</v>
      </c>
      <c r="S374" s="104">
        <f t="shared" si="897"/>
        <v>0</v>
      </c>
      <c r="T374" s="104">
        <f t="shared" si="898"/>
        <v>0</v>
      </c>
      <c r="U374" s="104">
        <f t="shared" si="898"/>
        <v>0</v>
      </c>
      <c r="V374" s="104">
        <f t="shared" si="898"/>
        <v>9.9999999999999995E-8</v>
      </c>
      <c r="W374" s="104">
        <f t="shared" si="898"/>
        <v>0</v>
      </c>
      <c r="X374" s="104">
        <f t="shared" si="890"/>
        <v>0</v>
      </c>
      <c r="Y374" s="104">
        <f t="shared" si="890"/>
        <v>9.9999999999999995E-8</v>
      </c>
      <c r="Z374" s="104">
        <f t="shared" si="890"/>
        <v>9.9999999999999995E-8</v>
      </c>
      <c r="AA374" s="105">
        <f t="shared" si="890"/>
        <v>9.9999999999999995E-8</v>
      </c>
      <c r="AB374" s="101" t="e">
        <f>$DT374*HLOOKUP($J374,'Construction Costs (timber)'!$B$1:$V$32,'Construction Planner'!$L374+2,FALSE)</f>
        <v>#N/A</v>
      </c>
      <c r="AC374" s="14" t="e">
        <f>$DT374*HLOOKUP($J374,'Construction Costs (clay)'!$B$1:$V$32,'Construction Planner'!$L374+2,FALSE)</f>
        <v>#N/A</v>
      </c>
      <c r="AD374" s="14" t="e">
        <f>$DT374*HLOOKUP($J374,'Construction Costs (iron)'!$B$1:$V$32,'Construction Planner'!$L374+2,FALSE)</f>
        <v>#N/A</v>
      </c>
      <c r="AE374" s="34" t="e">
        <f t="shared" si="843"/>
        <v>#N/A</v>
      </c>
      <c r="AF374" s="33" t="e">
        <f t="shared" si="780"/>
        <v>#N/A</v>
      </c>
      <c r="AG374" s="14" t="e">
        <f t="shared" si="781"/>
        <v>#N/A</v>
      </c>
      <c r="AH374" s="14" t="e">
        <f t="shared" si="782"/>
        <v>#N/A</v>
      </c>
      <c r="AI374" s="34" t="e">
        <f t="shared" si="844"/>
        <v>#N/A</v>
      </c>
      <c r="AJ374" s="49" t="e">
        <f t="shared" si="804"/>
        <v>#N/A</v>
      </c>
      <c r="AK374" s="49" t="e">
        <f t="shared" si="805"/>
        <v>#N/A</v>
      </c>
      <c r="AL374" s="49" t="e">
        <f t="shared" si="806"/>
        <v>#N/A</v>
      </c>
      <c r="AM374" s="25">
        <f t="shared" si="783"/>
        <v>30</v>
      </c>
      <c r="AN374" s="25">
        <f t="shared" si="784"/>
        <v>30</v>
      </c>
      <c r="AO374" s="25">
        <f t="shared" si="785"/>
        <v>30</v>
      </c>
      <c r="AP374" s="52" t="e">
        <f t="shared" si="894"/>
        <v>#N/A</v>
      </c>
      <c r="AQ374" s="53" t="e">
        <f t="shared" si="894"/>
        <v>#N/A</v>
      </c>
      <c r="AR374" s="54" t="e">
        <f t="shared" si="894"/>
        <v>#N/A</v>
      </c>
      <c r="AS374" s="316">
        <f t="shared" si="902"/>
        <v>0</v>
      </c>
      <c r="AT374" s="106">
        <f>_xlfn.IFNA($M374/VLOOKUP($BT374,'Unit information'!$A$2:$K$29,2,FALSE)*R374,0)*(1+$E$9)</f>
        <v>0</v>
      </c>
      <c r="AU374" s="107">
        <f>_xlfn.IFNA($M374/VLOOKUP($BT374,'Unit information'!$A$2:$K$29,3,FALSE)*S374,0)*(1+$E$9)</f>
        <v>0</v>
      </c>
      <c r="AV374" s="107">
        <f>_xlfn.IFNA($M374/VLOOKUP($BT374,'Unit information'!$A$2:$K$29,4,FALSE)*T374,0)*(1+$E$9)</f>
        <v>0</v>
      </c>
      <c r="AW374" s="107">
        <f>_xlfn.IFNA($M374/VLOOKUP($BT374,'Unit information'!$A$2:$K$29,5,FALSE)*U374,0)*(1+$E$9)</f>
        <v>0</v>
      </c>
      <c r="AX374" s="107">
        <f>_xlfn.IFNA($M374/VLOOKUP($BU374,'Unit information'!$A$2:$K$29,6,FALSE)*V374,0)*(1+$E$9)</f>
        <v>0</v>
      </c>
      <c r="AY374" s="107">
        <f>_xlfn.IFNA($M374/VLOOKUP($BU374,'Unit information'!$A$2:$K$29,7,FALSE)*W374,0)*(1+$E$9)</f>
        <v>0</v>
      </c>
      <c r="AZ374" s="107">
        <f>_xlfn.IFNA($M374/VLOOKUP($BU374,'Unit information'!$A$2:$K$29,8,FALSE)*X374,0)*(1+$E$9)</f>
        <v>0</v>
      </c>
      <c r="BA374" s="107">
        <f>_xlfn.IFNA($M374/VLOOKUP($BU374,'Unit information'!$A$2:$K$29,9,FALSE)*Y374,0)*(1+$E$9)</f>
        <v>0</v>
      </c>
      <c r="BB374" s="107">
        <f>_xlfn.IFNA($M374/VLOOKUP($BV374,'Unit information'!$A$2:$K$29,10,FALSE)*Z374,0)*(1+$E$9)</f>
        <v>0</v>
      </c>
      <c r="BC374" s="108">
        <f>_xlfn.IFNA($M374/VLOOKUP($BV374,'Unit information'!$A$2:$K$29,11,FALSE)*AA374,0)*(1+$E$9)</f>
        <v>0</v>
      </c>
      <c r="BD374" s="106">
        <f t="shared" si="786"/>
        <v>0</v>
      </c>
      <c r="BE374" s="107">
        <f t="shared" si="787"/>
        <v>0</v>
      </c>
      <c r="BF374" s="108">
        <f t="shared" si="788"/>
        <v>0</v>
      </c>
      <c r="BG374" s="25" t="e">
        <f t="shared" si="789"/>
        <v>#N/A</v>
      </c>
      <c r="BH374" s="25" t="e">
        <f t="shared" si="790"/>
        <v>#N/A</v>
      </c>
      <c r="BI374" s="25" t="e">
        <f t="shared" si="791"/>
        <v>#N/A</v>
      </c>
      <c r="BJ374" s="27" t="e">
        <f t="shared" si="792"/>
        <v>#N/A</v>
      </c>
      <c r="BK374" s="18" t="e">
        <f t="shared" si="793"/>
        <v>#N/A</v>
      </c>
      <c r="BL374" s="18" t="e">
        <f t="shared" si="794"/>
        <v>#N/A</v>
      </c>
      <c r="BM374" s="28" t="e">
        <f t="shared" si="846"/>
        <v>#N/A</v>
      </c>
      <c r="BN374" s="33">
        <f>HLOOKUP("maximum population",Miscelaneous!$C$1:$C$33,CH374+3,FALSE)</f>
        <v>240</v>
      </c>
      <c r="BO374" s="14">
        <f t="shared" si="808"/>
        <v>32</v>
      </c>
      <c r="BP374" s="14">
        <f t="shared" si="809"/>
        <v>0</v>
      </c>
      <c r="BQ374" s="14">
        <f t="shared" si="810"/>
        <v>208</v>
      </c>
      <c r="BR374" s="34" t="e">
        <f>HLOOKUP(J374,Villagers!$B$1:$V$33,L374+3,FALSE)-HLOOKUP(J374,Villagers!$B$1:$V$33,L374+2,FALSE)</f>
        <v>#N/A</v>
      </c>
      <c r="BS374" s="49">
        <f t="shared" si="811"/>
        <v>1</v>
      </c>
      <c r="BT374" s="50">
        <f t="shared" si="812"/>
        <v>0</v>
      </c>
      <c r="BU374" s="50">
        <f t="shared" si="813"/>
        <v>0</v>
      </c>
      <c r="BV374" s="50">
        <f t="shared" si="814"/>
        <v>0</v>
      </c>
      <c r="BW374" s="50">
        <f t="shared" si="895"/>
        <v>0</v>
      </c>
      <c r="BX374" s="50">
        <f t="shared" si="895"/>
        <v>0</v>
      </c>
      <c r="BY374" s="50">
        <f t="shared" si="895"/>
        <v>0</v>
      </c>
      <c r="BZ374" s="50">
        <f t="shared" si="860"/>
        <v>0</v>
      </c>
      <c r="CA374" s="50">
        <f t="shared" si="861"/>
        <v>0</v>
      </c>
      <c r="CB374" s="50">
        <f t="shared" si="862"/>
        <v>1</v>
      </c>
      <c r="CC374" s="50">
        <f t="shared" si="863"/>
        <v>0</v>
      </c>
      <c r="CD374" s="50">
        <f t="shared" si="864"/>
        <v>0</v>
      </c>
      <c r="CE374" s="50">
        <f t="shared" si="865"/>
        <v>1</v>
      </c>
      <c r="CF374" s="50">
        <f t="shared" si="866"/>
        <v>1</v>
      </c>
      <c r="CG374" s="50">
        <f t="shared" si="867"/>
        <v>1</v>
      </c>
      <c r="CH374" s="50">
        <f t="shared" si="868"/>
        <v>1</v>
      </c>
      <c r="CI374" s="50">
        <f t="shared" si="869"/>
        <v>1</v>
      </c>
      <c r="CJ374" s="50">
        <f t="shared" si="870"/>
        <v>1</v>
      </c>
      <c r="CK374" s="50">
        <f t="shared" si="870"/>
        <v>0</v>
      </c>
      <c r="CL374" s="50">
        <f t="shared" si="870"/>
        <v>0</v>
      </c>
      <c r="CM374" s="51">
        <f t="shared" si="795"/>
        <v>0</v>
      </c>
      <c r="CN374" s="33">
        <f>ROUND(IF(BS374=0,0,HLOOKUP(BS$14,Villagers!$B$1:$V$33,BS374+3,FALSE)),)</f>
        <v>5</v>
      </c>
      <c r="CO374" s="14">
        <f>ROUND(IF(BT374=0,0,HLOOKUP(BT$14,Villagers!$B$1:$V$33,BT374+3,FALSE)),)</f>
        <v>0</v>
      </c>
      <c r="CP374" s="14">
        <f>ROUND(IF(BU374=0,0,HLOOKUP(BU$14,Villagers!$B$1:$V$33,BU374+3,FALSE)),)</f>
        <v>0</v>
      </c>
      <c r="CQ374" s="14">
        <f>ROUND(IF(BV374=0,0,HLOOKUP(BV$14,Villagers!$B$1:$V$33,BV374+3,FALSE)),)</f>
        <v>0</v>
      </c>
      <c r="CR374" s="14">
        <f>ROUND(IF(BW374=0,0,HLOOKUP(BW$14,Villagers!$B$1:$V$33,BW374+3,FALSE)),)</f>
        <v>0</v>
      </c>
      <c r="CS374" s="14">
        <f>ROUND(IF(BX374=0,0,HLOOKUP(BX$14,Villagers!$B$1:$V$33,BX374+3,FALSE)),)</f>
        <v>0</v>
      </c>
      <c r="CT374" s="14">
        <f>ROUND(IF(BY374=0,0,HLOOKUP(BY$14,Villagers!$B$1:$V$33,BY374+3,FALSE)),)</f>
        <v>0</v>
      </c>
      <c r="CU374" s="14">
        <f>ROUND(IF(BZ374=0,0,HLOOKUP(BZ$14,Villagers!$B$1:$V$33,BZ374+3,FALSE)),)</f>
        <v>0</v>
      </c>
      <c r="CV374" s="14">
        <f>ROUND(IF(CA374=0,0,HLOOKUP(CA$14,Villagers!$B$1:$V$33,CA374+3,FALSE)),)</f>
        <v>0</v>
      </c>
      <c r="CW374" s="14">
        <f>ROUND(IF(CB374=0,0,HLOOKUP(CB$14,Villagers!$B$1:$V$33,CB374+3,FALSE)),)</f>
        <v>0</v>
      </c>
      <c r="CX374" s="14">
        <f>ROUND(IF(CC374=0,0,HLOOKUP(CC$14,Villagers!$B$1:$V$33,CC374+3,FALSE)),)</f>
        <v>0</v>
      </c>
      <c r="CY374" s="14">
        <f>ROUND(IF(CD374=0,0,HLOOKUP(CD$14,Villagers!$B$1:$V$33,CD374+3,FALSE)),)</f>
        <v>0</v>
      </c>
      <c r="CZ374" s="14">
        <f>ROUND(IF(CE374=0,0,HLOOKUP(CE$14,Villagers!$B$1:$V$33,CE374+3,FALSE)),)</f>
        <v>5</v>
      </c>
      <c r="DA374" s="14">
        <f>ROUND(IF(CF374=0,0,HLOOKUP(CF$14,Villagers!$B$1:$V$33,CF374+3,FALSE)),)</f>
        <v>10</v>
      </c>
      <c r="DB374" s="14">
        <f>ROUND(IF(CG374=0,0,HLOOKUP(CG$14,Villagers!$B$1:$V$33,CG374+3,FALSE)),)</f>
        <v>10</v>
      </c>
      <c r="DC374" s="14">
        <f>ROUND(IF(CH374=0,0,HLOOKUP(CH$14,Villagers!$B$1:$V$33,CH374+3,FALSE)),)</f>
        <v>0</v>
      </c>
      <c r="DD374" s="14">
        <f>ROUND(IF(CI374=0,0,HLOOKUP(CI$14,Villagers!$B$1:$V$33,CI374+3,FALSE)),)</f>
        <v>0</v>
      </c>
      <c r="DE374" s="14">
        <f>ROUND(IF(CJ374=0,0,HLOOKUP(CJ$14,Villagers!$B$1:$V$33,CJ374+3,FALSE)),)</f>
        <v>2</v>
      </c>
      <c r="DF374" s="370">
        <f>ROUND(IF(CK374=0,0,HLOOKUP(CK$14,Villagers!$B$1:$V$33,CK374+3,FALSE)),)</f>
        <v>0</v>
      </c>
      <c r="DG374" s="370">
        <f>ROUND(IF(CL374=0,0,HLOOKUP(CL$14,Villagers!$B$1:$V$33,CL374+3,FALSE)),)</f>
        <v>0</v>
      </c>
      <c r="DH374" s="34">
        <f>ROUND(IF(CM374=0,0,HLOOKUP(CM$14,Villagers!$B$1:$V$33,CM374+3,FALSE)),)</f>
        <v>0</v>
      </c>
      <c r="DI374" s="109">
        <f t="shared" si="832"/>
        <v>0</v>
      </c>
      <c r="DJ374" s="50">
        <f t="shared" si="833"/>
        <v>0</v>
      </c>
      <c r="DK374" s="50">
        <f t="shared" si="834"/>
        <v>0</v>
      </c>
      <c r="DL374" s="50">
        <f t="shared" si="835"/>
        <v>0</v>
      </c>
      <c r="DM374" s="50">
        <f t="shared" si="836"/>
        <v>0</v>
      </c>
      <c r="DN374" s="50">
        <f t="shared" si="837"/>
        <v>0</v>
      </c>
      <c r="DO374" s="50">
        <f t="shared" si="838"/>
        <v>0</v>
      </c>
      <c r="DP374" s="50">
        <f t="shared" si="839"/>
        <v>0</v>
      </c>
      <c r="DQ374" s="50">
        <f t="shared" si="816"/>
        <v>0</v>
      </c>
      <c r="DR374" s="50">
        <f t="shared" si="817"/>
        <v>0</v>
      </c>
      <c r="DS374" s="96">
        <f>Miscelaneous!$D$4*Miscelaneous!$D$2^($CI374-1)</f>
        <v>1000</v>
      </c>
      <c r="DT374" s="333">
        <f t="shared" si="796"/>
        <v>1</v>
      </c>
      <c r="DU374" s="81">
        <v>1</v>
      </c>
      <c r="DV374" s="79">
        <f t="shared" si="818"/>
        <v>0</v>
      </c>
      <c r="DW374" s="79">
        <f t="shared" si="819"/>
        <v>0</v>
      </c>
      <c r="DX374" s="79">
        <f t="shared" si="820"/>
        <v>0</v>
      </c>
      <c r="DY374" s="79">
        <v>1</v>
      </c>
      <c r="DZ374" s="79">
        <f t="shared" si="821"/>
        <v>0</v>
      </c>
      <c r="EA374" s="79">
        <f t="shared" si="822"/>
        <v>0</v>
      </c>
      <c r="EB374" s="79">
        <f t="shared" si="823"/>
        <v>0</v>
      </c>
      <c r="EC374" s="79">
        <f t="shared" si="824"/>
        <v>0</v>
      </c>
      <c r="ED374" s="79">
        <v>1</v>
      </c>
      <c r="EE374" s="79">
        <v>1</v>
      </c>
      <c r="EF374" s="79">
        <f t="shared" si="825"/>
        <v>0</v>
      </c>
      <c r="EG374" s="79">
        <v>1</v>
      </c>
      <c r="EH374" s="79">
        <v>1</v>
      </c>
      <c r="EI374" s="79">
        <v>1</v>
      </c>
      <c r="EJ374" s="79">
        <v>1</v>
      </c>
      <c r="EK374" s="79">
        <v>1</v>
      </c>
      <c r="EL374" s="79">
        <v>1</v>
      </c>
      <c r="EM374" s="143">
        <f t="shared" si="826"/>
        <v>0</v>
      </c>
      <c r="EN374" s="143">
        <f t="shared" si="827"/>
        <v>0</v>
      </c>
      <c r="EO374" s="82">
        <f t="shared" si="828"/>
        <v>0</v>
      </c>
    </row>
    <row r="375" spans="1:145" x14ac:dyDescent="0.25">
      <c r="A375">
        <v>361</v>
      </c>
      <c r="B375" s="172" t="e">
        <f t="shared" si="797"/>
        <v>#N/A</v>
      </c>
      <c r="C375" s="121" t="e">
        <f t="shared" ref="C375:E375" si="905">AJ375-SUM(AB375:AB379)</f>
        <v>#N/A</v>
      </c>
      <c r="D375" s="122" t="e">
        <f t="shared" si="905"/>
        <v>#N/A</v>
      </c>
      <c r="E375" s="122" t="e">
        <f t="shared" si="905"/>
        <v>#N/A</v>
      </c>
      <c r="F375" s="176" t="e">
        <f t="shared" si="778"/>
        <v>#N/A</v>
      </c>
      <c r="G375" s="121">
        <f t="shared" si="799"/>
        <v>208</v>
      </c>
      <c r="H375" s="176" t="e">
        <f t="shared" si="800"/>
        <v>#N/A</v>
      </c>
      <c r="I375" s="48">
        <v>1</v>
      </c>
      <c r="J375" s="39"/>
      <c r="K375" s="350">
        <v>1</v>
      </c>
      <c r="L375" s="34" t="e">
        <f t="shared" si="779"/>
        <v>#N/A</v>
      </c>
      <c r="M375" s="38" t="e">
        <f>(HLOOKUP(J375,'Construction Times'!$B$3:$W$34,L375+2,FALSE)*HLOOKUP("hq modifier",'Construction Times'!$W$3:$W$34,BS375+2,FALSE))*(1-$H$9)</f>
        <v>#N/A</v>
      </c>
      <c r="N375" s="426" t="e">
        <f t="shared" si="801"/>
        <v>#N/A</v>
      </c>
      <c r="O375" s="427"/>
      <c r="P375" s="430" t="e">
        <f t="shared" si="802"/>
        <v>#N/A</v>
      </c>
      <c r="Q375" s="431"/>
      <c r="R375" s="103">
        <f t="shared" si="897"/>
        <v>0</v>
      </c>
      <c r="S375" s="104">
        <f t="shared" si="897"/>
        <v>0</v>
      </c>
      <c r="T375" s="104">
        <f t="shared" si="898"/>
        <v>0</v>
      </c>
      <c r="U375" s="104">
        <f t="shared" si="898"/>
        <v>0</v>
      </c>
      <c r="V375" s="104">
        <f t="shared" si="898"/>
        <v>9.9999999999999995E-8</v>
      </c>
      <c r="W375" s="104">
        <f t="shared" si="898"/>
        <v>0</v>
      </c>
      <c r="X375" s="104">
        <f t="shared" si="890"/>
        <v>0</v>
      </c>
      <c r="Y375" s="104">
        <f t="shared" si="890"/>
        <v>9.9999999999999995E-8</v>
      </c>
      <c r="Z375" s="104">
        <f t="shared" si="890"/>
        <v>9.9999999999999995E-8</v>
      </c>
      <c r="AA375" s="105">
        <f t="shared" si="890"/>
        <v>9.9999999999999995E-8</v>
      </c>
      <c r="AB375" s="101" t="e">
        <f>$DT375*HLOOKUP($J375,'Construction Costs (timber)'!$B$1:$V$32,'Construction Planner'!$L375+2,FALSE)</f>
        <v>#N/A</v>
      </c>
      <c r="AC375" s="14" t="e">
        <f>$DT375*HLOOKUP($J375,'Construction Costs (clay)'!$B$1:$V$32,'Construction Planner'!$L375+2,FALSE)</f>
        <v>#N/A</v>
      </c>
      <c r="AD375" s="14" t="e">
        <f>$DT375*HLOOKUP($J375,'Construction Costs (iron)'!$B$1:$V$32,'Construction Planner'!$L375+2,FALSE)</f>
        <v>#N/A</v>
      </c>
      <c r="AE375" s="34" t="e">
        <f t="shared" si="843"/>
        <v>#N/A</v>
      </c>
      <c r="AF375" s="33" t="e">
        <f t="shared" si="780"/>
        <v>#N/A</v>
      </c>
      <c r="AG375" s="14" t="e">
        <f t="shared" si="781"/>
        <v>#N/A</v>
      </c>
      <c r="AH375" s="14" t="e">
        <f t="shared" si="782"/>
        <v>#N/A</v>
      </c>
      <c r="AI375" s="34" t="e">
        <f t="shared" si="844"/>
        <v>#N/A</v>
      </c>
      <c r="AJ375" s="49" t="e">
        <f t="shared" si="804"/>
        <v>#N/A</v>
      </c>
      <c r="AK375" s="49" t="e">
        <f t="shared" si="805"/>
        <v>#N/A</v>
      </c>
      <c r="AL375" s="49" t="e">
        <f t="shared" si="806"/>
        <v>#N/A</v>
      </c>
      <c r="AM375" s="25">
        <f t="shared" si="783"/>
        <v>30</v>
      </c>
      <c r="AN375" s="25">
        <f t="shared" si="784"/>
        <v>30</v>
      </c>
      <c r="AO375" s="25">
        <f t="shared" si="785"/>
        <v>30</v>
      </c>
      <c r="AP375" s="52" t="e">
        <f t="shared" si="894"/>
        <v>#N/A</v>
      </c>
      <c r="AQ375" s="53" t="e">
        <f t="shared" si="894"/>
        <v>#N/A</v>
      </c>
      <c r="AR375" s="54" t="e">
        <f t="shared" si="894"/>
        <v>#N/A</v>
      </c>
      <c r="AS375" s="316">
        <f t="shared" si="902"/>
        <v>0</v>
      </c>
      <c r="AT375" s="106">
        <f>_xlfn.IFNA($M375/VLOOKUP($BT375,'Unit information'!$A$2:$K$29,2,FALSE)*R375,0)*(1+$E$9)</f>
        <v>0</v>
      </c>
      <c r="AU375" s="107">
        <f>_xlfn.IFNA($M375/VLOOKUP($BT375,'Unit information'!$A$2:$K$29,3,FALSE)*S375,0)*(1+$E$9)</f>
        <v>0</v>
      </c>
      <c r="AV375" s="107">
        <f>_xlfn.IFNA($M375/VLOOKUP($BT375,'Unit information'!$A$2:$K$29,4,FALSE)*T375,0)*(1+$E$9)</f>
        <v>0</v>
      </c>
      <c r="AW375" s="107">
        <f>_xlfn.IFNA($M375/VLOOKUP($BT375,'Unit information'!$A$2:$K$29,5,FALSE)*U375,0)*(1+$E$9)</f>
        <v>0</v>
      </c>
      <c r="AX375" s="107">
        <f>_xlfn.IFNA($M375/VLOOKUP($BU375,'Unit information'!$A$2:$K$29,6,FALSE)*V375,0)*(1+$E$9)</f>
        <v>0</v>
      </c>
      <c r="AY375" s="107">
        <f>_xlfn.IFNA($M375/VLOOKUP($BU375,'Unit information'!$A$2:$K$29,7,FALSE)*W375,0)*(1+$E$9)</f>
        <v>0</v>
      </c>
      <c r="AZ375" s="107">
        <f>_xlfn.IFNA($M375/VLOOKUP($BU375,'Unit information'!$A$2:$K$29,8,FALSE)*X375,0)*(1+$E$9)</f>
        <v>0</v>
      </c>
      <c r="BA375" s="107">
        <f>_xlfn.IFNA($M375/VLOOKUP($BU375,'Unit information'!$A$2:$K$29,9,FALSE)*Y375,0)*(1+$E$9)</f>
        <v>0</v>
      </c>
      <c r="BB375" s="107">
        <f>_xlfn.IFNA($M375/VLOOKUP($BV375,'Unit information'!$A$2:$K$29,10,FALSE)*Z375,0)*(1+$E$9)</f>
        <v>0</v>
      </c>
      <c r="BC375" s="108">
        <f>_xlfn.IFNA($M375/VLOOKUP($BV375,'Unit information'!$A$2:$K$29,11,FALSE)*AA375,0)*(1+$E$9)</f>
        <v>0</v>
      </c>
      <c r="BD375" s="106">
        <f t="shared" si="786"/>
        <v>0</v>
      </c>
      <c r="BE375" s="107">
        <f t="shared" si="787"/>
        <v>0</v>
      </c>
      <c r="BF375" s="108">
        <f t="shared" si="788"/>
        <v>0</v>
      </c>
      <c r="BG375" s="25" t="e">
        <f t="shared" si="789"/>
        <v>#N/A</v>
      </c>
      <c r="BH375" s="25" t="e">
        <f t="shared" si="790"/>
        <v>#N/A</v>
      </c>
      <c r="BI375" s="25" t="e">
        <f t="shared" si="791"/>
        <v>#N/A</v>
      </c>
      <c r="BJ375" s="27" t="e">
        <f t="shared" si="792"/>
        <v>#N/A</v>
      </c>
      <c r="BK375" s="18" t="e">
        <f t="shared" si="793"/>
        <v>#N/A</v>
      </c>
      <c r="BL375" s="18" t="e">
        <f t="shared" si="794"/>
        <v>#N/A</v>
      </c>
      <c r="BM375" s="28" t="e">
        <f t="shared" si="846"/>
        <v>#N/A</v>
      </c>
      <c r="BN375" s="33">
        <f>HLOOKUP("maximum population",Miscelaneous!$C$1:$C$33,CH375+3,FALSE)</f>
        <v>240</v>
      </c>
      <c r="BO375" s="14">
        <f t="shared" si="808"/>
        <v>32</v>
      </c>
      <c r="BP375" s="14">
        <f t="shared" si="809"/>
        <v>0</v>
      </c>
      <c r="BQ375" s="14">
        <f t="shared" si="810"/>
        <v>208</v>
      </c>
      <c r="BR375" s="34" t="e">
        <f>HLOOKUP(J375,Villagers!$B$1:$V$33,L375+3,FALSE)-HLOOKUP(J375,Villagers!$B$1:$V$33,L375+2,FALSE)</f>
        <v>#N/A</v>
      </c>
      <c r="BS375" s="49">
        <f t="shared" si="811"/>
        <v>1</v>
      </c>
      <c r="BT375" s="50">
        <f t="shared" si="812"/>
        <v>0</v>
      </c>
      <c r="BU375" s="50">
        <f t="shared" si="813"/>
        <v>0</v>
      </c>
      <c r="BV375" s="50">
        <f t="shared" si="814"/>
        <v>0</v>
      </c>
      <c r="BW375" s="50">
        <f>IF($J374=BW$14,$L374,BW374)</f>
        <v>0</v>
      </c>
      <c r="BX375" s="50">
        <f t="shared" ref="BX375:BY383" si="906">IF($J374=BX$14,$L374,BX374)</f>
        <v>0</v>
      </c>
      <c r="BY375" s="50">
        <f t="shared" si="906"/>
        <v>0</v>
      </c>
      <c r="BZ375" s="50">
        <f t="shared" si="860"/>
        <v>0</v>
      </c>
      <c r="CA375" s="50">
        <f t="shared" si="861"/>
        <v>0</v>
      </c>
      <c r="CB375" s="50">
        <f t="shared" si="862"/>
        <v>1</v>
      </c>
      <c r="CC375" s="50">
        <f t="shared" si="863"/>
        <v>0</v>
      </c>
      <c r="CD375" s="50">
        <f t="shared" si="864"/>
        <v>0</v>
      </c>
      <c r="CE375" s="50">
        <f t="shared" si="865"/>
        <v>1</v>
      </c>
      <c r="CF375" s="50">
        <f t="shared" si="866"/>
        <v>1</v>
      </c>
      <c r="CG375" s="50">
        <f t="shared" si="867"/>
        <v>1</v>
      </c>
      <c r="CH375" s="50">
        <f t="shared" si="868"/>
        <v>1</v>
      </c>
      <c r="CI375" s="50">
        <f t="shared" si="869"/>
        <v>1</v>
      </c>
      <c r="CJ375" s="50">
        <f t="shared" si="870"/>
        <v>1</v>
      </c>
      <c r="CK375" s="50">
        <f t="shared" si="870"/>
        <v>0</v>
      </c>
      <c r="CL375" s="50">
        <f t="shared" si="870"/>
        <v>0</v>
      </c>
      <c r="CM375" s="51">
        <f t="shared" si="795"/>
        <v>0</v>
      </c>
      <c r="CN375" s="33">
        <f>ROUND(IF(BS375=0,0,HLOOKUP(BS$14,Villagers!$B$1:$V$33,BS375+3,FALSE)),)</f>
        <v>5</v>
      </c>
      <c r="CO375" s="14">
        <f>ROUND(IF(BT375=0,0,HLOOKUP(BT$14,Villagers!$B$1:$V$33,BT375+3,FALSE)),)</f>
        <v>0</v>
      </c>
      <c r="CP375" s="14">
        <f>ROUND(IF(BU375=0,0,HLOOKUP(BU$14,Villagers!$B$1:$V$33,BU375+3,FALSE)),)</f>
        <v>0</v>
      </c>
      <c r="CQ375" s="14">
        <f>ROUND(IF(BV375=0,0,HLOOKUP(BV$14,Villagers!$B$1:$V$33,BV375+3,FALSE)),)</f>
        <v>0</v>
      </c>
      <c r="CR375" s="14">
        <f>ROUND(IF(BW375=0,0,HLOOKUP(BW$14,Villagers!$B$1:$V$33,BW375+3,FALSE)),)</f>
        <v>0</v>
      </c>
      <c r="CS375" s="14">
        <f>ROUND(IF(BX375=0,0,HLOOKUP(BX$14,Villagers!$B$1:$V$33,BX375+3,FALSE)),)</f>
        <v>0</v>
      </c>
      <c r="CT375" s="14">
        <f>ROUND(IF(BY375=0,0,HLOOKUP(BY$14,Villagers!$B$1:$V$33,BY375+3,FALSE)),)</f>
        <v>0</v>
      </c>
      <c r="CU375" s="14">
        <f>ROUND(IF(BZ375=0,0,HLOOKUP(BZ$14,Villagers!$B$1:$V$33,BZ375+3,FALSE)),)</f>
        <v>0</v>
      </c>
      <c r="CV375" s="14">
        <f>ROUND(IF(CA375=0,0,HLOOKUP(CA$14,Villagers!$B$1:$V$33,CA375+3,FALSE)),)</f>
        <v>0</v>
      </c>
      <c r="CW375" s="14">
        <f>ROUND(IF(CB375=0,0,HLOOKUP(CB$14,Villagers!$B$1:$V$33,CB375+3,FALSE)),)</f>
        <v>0</v>
      </c>
      <c r="CX375" s="14">
        <f>ROUND(IF(CC375=0,0,HLOOKUP(CC$14,Villagers!$B$1:$V$33,CC375+3,FALSE)),)</f>
        <v>0</v>
      </c>
      <c r="CY375" s="14">
        <f>ROUND(IF(CD375=0,0,HLOOKUP(CD$14,Villagers!$B$1:$V$33,CD375+3,FALSE)),)</f>
        <v>0</v>
      </c>
      <c r="CZ375" s="14">
        <f>ROUND(IF(CE375=0,0,HLOOKUP(CE$14,Villagers!$B$1:$V$33,CE375+3,FALSE)),)</f>
        <v>5</v>
      </c>
      <c r="DA375" s="14">
        <f>ROUND(IF(CF375=0,0,HLOOKUP(CF$14,Villagers!$B$1:$V$33,CF375+3,FALSE)),)</f>
        <v>10</v>
      </c>
      <c r="DB375" s="14">
        <f>ROUND(IF(CG375=0,0,HLOOKUP(CG$14,Villagers!$B$1:$V$33,CG375+3,FALSE)),)</f>
        <v>10</v>
      </c>
      <c r="DC375" s="14">
        <f>ROUND(IF(CH375=0,0,HLOOKUP(CH$14,Villagers!$B$1:$V$33,CH375+3,FALSE)),)</f>
        <v>0</v>
      </c>
      <c r="DD375" s="14">
        <f>ROUND(IF(CI375=0,0,HLOOKUP(CI$14,Villagers!$B$1:$V$33,CI375+3,FALSE)),)</f>
        <v>0</v>
      </c>
      <c r="DE375" s="14">
        <f>ROUND(IF(CJ375=0,0,HLOOKUP(CJ$14,Villagers!$B$1:$V$33,CJ375+3,FALSE)),)</f>
        <v>2</v>
      </c>
      <c r="DF375" s="370">
        <f>ROUND(IF(CK375=0,0,HLOOKUP(CK$14,Villagers!$B$1:$V$33,CK375+3,FALSE)),)</f>
        <v>0</v>
      </c>
      <c r="DG375" s="370">
        <f>ROUND(IF(CL375=0,0,HLOOKUP(CL$14,Villagers!$B$1:$V$33,CL375+3,FALSE)),)</f>
        <v>0</v>
      </c>
      <c r="DH375" s="34">
        <f>ROUND(IF(CM375=0,0,HLOOKUP(CM$14,Villagers!$B$1:$V$33,CM375+3,FALSE)),)</f>
        <v>0</v>
      </c>
      <c r="DI375" s="109">
        <f t="shared" si="832"/>
        <v>0</v>
      </c>
      <c r="DJ375" s="50">
        <f t="shared" si="833"/>
        <v>0</v>
      </c>
      <c r="DK375" s="50">
        <f t="shared" si="834"/>
        <v>0</v>
      </c>
      <c r="DL375" s="50">
        <f t="shared" si="835"/>
        <v>0</v>
      </c>
      <c r="DM375" s="50">
        <f t="shared" si="836"/>
        <v>0</v>
      </c>
      <c r="DN375" s="50">
        <f t="shared" si="837"/>
        <v>0</v>
      </c>
      <c r="DO375" s="50">
        <f t="shared" si="838"/>
        <v>0</v>
      </c>
      <c r="DP375" s="50">
        <f t="shared" si="839"/>
        <v>0</v>
      </c>
      <c r="DQ375" s="50">
        <f t="shared" si="816"/>
        <v>0</v>
      </c>
      <c r="DR375" s="50">
        <f t="shared" si="817"/>
        <v>0</v>
      </c>
      <c r="DS375" s="96">
        <f>Miscelaneous!$D$4*Miscelaneous!$D$2^($CI375-1)</f>
        <v>1000</v>
      </c>
      <c r="DT375" s="333">
        <f t="shared" si="796"/>
        <v>1</v>
      </c>
      <c r="DU375" s="81">
        <v>1</v>
      </c>
      <c r="DV375" s="79">
        <f t="shared" si="818"/>
        <v>0</v>
      </c>
      <c r="DW375" s="79">
        <f t="shared" si="819"/>
        <v>0</v>
      </c>
      <c r="DX375" s="79">
        <f t="shared" si="820"/>
        <v>0</v>
      </c>
      <c r="DY375" s="79">
        <v>1</v>
      </c>
      <c r="DZ375" s="79">
        <f t="shared" si="821"/>
        <v>0</v>
      </c>
      <c r="EA375" s="79">
        <f t="shared" si="822"/>
        <v>0</v>
      </c>
      <c r="EB375" s="79">
        <f t="shared" si="823"/>
        <v>0</v>
      </c>
      <c r="EC375" s="79">
        <f t="shared" si="824"/>
        <v>0</v>
      </c>
      <c r="ED375" s="79">
        <v>1</v>
      </c>
      <c r="EE375" s="79">
        <v>1</v>
      </c>
      <c r="EF375" s="79">
        <f t="shared" si="825"/>
        <v>0</v>
      </c>
      <c r="EG375" s="79">
        <v>1</v>
      </c>
      <c r="EH375" s="79">
        <v>1</v>
      </c>
      <c r="EI375" s="79">
        <v>1</v>
      </c>
      <c r="EJ375" s="79">
        <v>1</v>
      </c>
      <c r="EK375" s="79">
        <v>1</v>
      </c>
      <c r="EL375" s="79">
        <v>1</v>
      </c>
      <c r="EM375" s="143">
        <f t="shared" si="826"/>
        <v>0</v>
      </c>
      <c r="EN375" s="143">
        <f t="shared" si="827"/>
        <v>0</v>
      </c>
      <c r="EO375" s="82">
        <f t="shared" si="828"/>
        <v>0</v>
      </c>
    </row>
    <row r="376" spans="1:145" x14ac:dyDescent="0.25">
      <c r="A376">
        <v>362</v>
      </c>
      <c r="B376" s="172" t="e">
        <f t="shared" si="797"/>
        <v>#N/A</v>
      </c>
      <c r="C376" s="121" t="e">
        <f t="shared" ref="C376:E376" si="907">AJ376-SUM(AB376:AB380)</f>
        <v>#N/A</v>
      </c>
      <c r="D376" s="122" t="e">
        <f t="shared" si="907"/>
        <v>#N/A</v>
      </c>
      <c r="E376" s="122" t="e">
        <f t="shared" si="907"/>
        <v>#N/A</v>
      </c>
      <c r="F376" s="176" t="e">
        <f t="shared" si="778"/>
        <v>#N/A</v>
      </c>
      <c r="G376" s="121">
        <f t="shared" si="799"/>
        <v>208</v>
      </c>
      <c r="H376" s="176" t="e">
        <f t="shared" si="800"/>
        <v>#N/A</v>
      </c>
      <c r="I376" s="48">
        <v>1</v>
      </c>
      <c r="J376" s="39"/>
      <c r="K376" s="350">
        <v>1</v>
      </c>
      <c r="L376" s="34" t="e">
        <f t="shared" si="779"/>
        <v>#N/A</v>
      </c>
      <c r="M376" s="38" t="e">
        <f>(HLOOKUP(J376,'Construction Times'!$B$3:$W$34,L376+2,FALSE)*HLOOKUP("hq modifier",'Construction Times'!$W$3:$W$34,BS376+2,FALSE))*(1-$H$9)</f>
        <v>#N/A</v>
      </c>
      <c r="N376" s="426" t="e">
        <f t="shared" si="801"/>
        <v>#N/A</v>
      </c>
      <c r="O376" s="427"/>
      <c r="P376" s="430" t="e">
        <f t="shared" si="802"/>
        <v>#N/A</v>
      </c>
      <c r="Q376" s="431"/>
      <c r="R376" s="103">
        <f t="shared" si="897"/>
        <v>0</v>
      </c>
      <c r="S376" s="104">
        <f t="shared" si="897"/>
        <v>0</v>
      </c>
      <c r="T376" s="104">
        <f t="shared" si="898"/>
        <v>0</v>
      </c>
      <c r="U376" s="104">
        <f t="shared" si="898"/>
        <v>0</v>
      </c>
      <c r="V376" s="104">
        <f t="shared" si="898"/>
        <v>9.9999999999999995E-8</v>
      </c>
      <c r="W376" s="104">
        <f t="shared" si="898"/>
        <v>0</v>
      </c>
      <c r="X376" s="104">
        <f t="shared" si="890"/>
        <v>0</v>
      </c>
      <c r="Y376" s="104">
        <f t="shared" si="890"/>
        <v>9.9999999999999995E-8</v>
      </c>
      <c r="Z376" s="104">
        <f t="shared" si="890"/>
        <v>9.9999999999999995E-8</v>
      </c>
      <c r="AA376" s="105">
        <f t="shared" si="890"/>
        <v>9.9999999999999995E-8</v>
      </c>
      <c r="AB376" s="101" t="e">
        <f>$DT376*HLOOKUP($J376,'Construction Costs (timber)'!$B$1:$V$32,'Construction Planner'!$L376+2,FALSE)</f>
        <v>#N/A</v>
      </c>
      <c r="AC376" s="14" t="e">
        <f>$DT376*HLOOKUP($J376,'Construction Costs (clay)'!$B$1:$V$32,'Construction Planner'!$L376+2,FALSE)</f>
        <v>#N/A</v>
      </c>
      <c r="AD376" s="14" t="e">
        <f>$DT376*HLOOKUP($J376,'Construction Costs (iron)'!$B$1:$V$32,'Construction Planner'!$L376+2,FALSE)</f>
        <v>#N/A</v>
      </c>
      <c r="AE376" s="34" t="e">
        <f t="shared" si="843"/>
        <v>#N/A</v>
      </c>
      <c r="AF376" s="33" t="e">
        <f t="shared" si="780"/>
        <v>#N/A</v>
      </c>
      <c r="AG376" s="14" t="e">
        <f t="shared" si="781"/>
        <v>#N/A</v>
      </c>
      <c r="AH376" s="14" t="e">
        <f t="shared" si="782"/>
        <v>#N/A</v>
      </c>
      <c r="AI376" s="34" t="e">
        <f t="shared" si="844"/>
        <v>#N/A</v>
      </c>
      <c r="AJ376" s="49" t="e">
        <f t="shared" si="804"/>
        <v>#N/A</v>
      </c>
      <c r="AK376" s="49" t="e">
        <f t="shared" si="805"/>
        <v>#N/A</v>
      </c>
      <c r="AL376" s="49" t="e">
        <f t="shared" si="806"/>
        <v>#N/A</v>
      </c>
      <c r="AM376" s="25">
        <f t="shared" si="783"/>
        <v>30</v>
      </c>
      <c r="AN376" s="25">
        <f t="shared" si="784"/>
        <v>30</v>
      </c>
      <c r="AO376" s="25">
        <f t="shared" si="785"/>
        <v>30</v>
      </c>
      <c r="AP376" s="52" t="e">
        <f t="shared" si="894"/>
        <v>#N/A</v>
      </c>
      <c r="AQ376" s="53" t="e">
        <f t="shared" si="894"/>
        <v>#N/A</v>
      </c>
      <c r="AR376" s="54" t="e">
        <f t="shared" si="894"/>
        <v>#N/A</v>
      </c>
      <c r="AS376" s="316">
        <f t="shared" si="902"/>
        <v>0</v>
      </c>
      <c r="AT376" s="106">
        <f>_xlfn.IFNA($M376/VLOOKUP($BT376,'Unit information'!$A$2:$K$29,2,FALSE)*R376,0)*(1+$E$9)</f>
        <v>0</v>
      </c>
      <c r="AU376" s="107">
        <f>_xlfn.IFNA($M376/VLOOKUP($BT376,'Unit information'!$A$2:$K$29,3,FALSE)*S376,0)*(1+$E$9)</f>
        <v>0</v>
      </c>
      <c r="AV376" s="107">
        <f>_xlfn.IFNA($M376/VLOOKUP($BT376,'Unit information'!$A$2:$K$29,4,FALSE)*T376,0)*(1+$E$9)</f>
        <v>0</v>
      </c>
      <c r="AW376" s="107">
        <f>_xlfn.IFNA($M376/VLOOKUP($BT376,'Unit information'!$A$2:$K$29,5,FALSE)*U376,0)*(1+$E$9)</f>
        <v>0</v>
      </c>
      <c r="AX376" s="107">
        <f>_xlfn.IFNA($M376/VLOOKUP($BU376,'Unit information'!$A$2:$K$29,6,FALSE)*V376,0)*(1+$E$9)</f>
        <v>0</v>
      </c>
      <c r="AY376" s="107">
        <f>_xlfn.IFNA($M376/VLOOKUP($BU376,'Unit information'!$A$2:$K$29,7,FALSE)*W376,0)*(1+$E$9)</f>
        <v>0</v>
      </c>
      <c r="AZ376" s="107">
        <f>_xlfn.IFNA($M376/VLOOKUP($BU376,'Unit information'!$A$2:$K$29,8,FALSE)*X376,0)*(1+$E$9)</f>
        <v>0</v>
      </c>
      <c r="BA376" s="107">
        <f>_xlfn.IFNA($M376/VLOOKUP($BU376,'Unit information'!$A$2:$K$29,9,FALSE)*Y376,0)*(1+$E$9)</f>
        <v>0</v>
      </c>
      <c r="BB376" s="107">
        <f>_xlfn.IFNA($M376/VLOOKUP($BV376,'Unit information'!$A$2:$K$29,10,FALSE)*Z376,0)*(1+$E$9)</f>
        <v>0</v>
      </c>
      <c r="BC376" s="108">
        <f>_xlfn.IFNA($M376/VLOOKUP($BV376,'Unit information'!$A$2:$K$29,11,FALSE)*AA376,0)*(1+$E$9)</f>
        <v>0</v>
      </c>
      <c r="BD376" s="106">
        <f t="shared" si="786"/>
        <v>0</v>
      </c>
      <c r="BE376" s="107">
        <f t="shared" si="787"/>
        <v>0</v>
      </c>
      <c r="BF376" s="108">
        <f t="shared" si="788"/>
        <v>0</v>
      </c>
      <c r="BG376" s="25" t="e">
        <f t="shared" si="789"/>
        <v>#N/A</v>
      </c>
      <c r="BH376" s="25" t="e">
        <f t="shared" si="790"/>
        <v>#N/A</v>
      </c>
      <c r="BI376" s="25" t="e">
        <f t="shared" si="791"/>
        <v>#N/A</v>
      </c>
      <c r="BJ376" s="27" t="e">
        <f t="shared" si="792"/>
        <v>#N/A</v>
      </c>
      <c r="BK376" s="18" t="e">
        <f t="shared" si="793"/>
        <v>#N/A</v>
      </c>
      <c r="BL376" s="18" t="e">
        <f t="shared" si="794"/>
        <v>#N/A</v>
      </c>
      <c r="BM376" s="28" t="e">
        <f t="shared" si="846"/>
        <v>#N/A</v>
      </c>
      <c r="BN376" s="33">
        <f>HLOOKUP("maximum population",Miscelaneous!$C$1:$C$33,CH376+3,FALSE)</f>
        <v>240</v>
      </c>
      <c r="BO376" s="14">
        <f t="shared" si="808"/>
        <v>32</v>
      </c>
      <c r="BP376" s="14">
        <f t="shared" si="809"/>
        <v>0</v>
      </c>
      <c r="BQ376" s="14">
        <f t="shared" si="810"/>
        <v>208</v>
      </c>
      <c r="BR376" s="34" t="e">
        <f>HLOOKUP(J376,Villagers!$B$1:$V$33,L376+3,FALSE)-HLOOKUP(J376,Villagers!$B$1:$V$33,L376+2,FALSE)</f>
        <v>#N/A</v>
      </c>
      <c r="BS376" s="49">
        <f t="shared" si="811"/>
        <v>1</v>
      </c>
      <c r="BT376" s="50">
        <f t="shared" si="812"/>
        <v>0</v>
      </c>
      <c r="BU376" s="50">
        <f t="shared" si="813"/>
        <v>0</v>
      </c>
      <c r="BV376" s="50">
        <f t="shared" si="814"/>
        <v>0</v>
      </c>
      <c r="BW376" s="50">
        <f t="shared" ref="BW376:BW383" si="908">IF($J375=BW$14,$L375,BW375)</f>
        <v>0</v>
      </c>
      <c r="BX376" s="50">
        <f t="shared" si="906"/>
        <v>0</v>
      </c>
      <c r="BY376" s="50">
        <f t="shared" si="906"/>
        <v>0</v>
      </c>
      <c r="BZ376" s="50">
        <f t="shared" si="860"/>
        <v>0</v>
      </c>
      <c r="CA376" s="50">
        <f t="shared" si="861"/>
        <v>0</v>
      </c>
      <c r="CB376" s="50">
        <f t="shared" si="862"/>
        <v>1</v>
      </c>
      <c r="CC376" s="50">
        <f t="shared" si="863"/>
        <v>0</v>
      </c>
      <c r="CD376" s="50">
        <f t="shared" si="864"/>
        <v>0</v>
      </c>
      <c r="CE376" s="50">
        <f t="shared" si="865"/>
        <v>1</v>
      </c>
      <c r="CF376" s="50">
        <f t="shared" si="866"/>
        <v>1</v>
      </c>
      <c r="CG376" s="50">
        <f t="shared" si="867"/>
        <v>1</v>
      </c>
      <c r="CH376" s="50">
        <f t="shared" si="868"/>
        <v>1</v>
      </c>
      <c r="CI376" s="50">
        <f t="shared" si="869"/>
        <v>1</v>
      </c>
      <c r="CJ376" s="50">
        <f t="shared" si="870"/>
        <v>1</v>
      </c>
      <c r="CK376" s="50">
        <f t="shared" si="870"/>
        <v>0</v>
      </c>
      <c r="CL376" s="50">
        <f t="shared" si="870"/>
        <v>0</v>
      </c>
      <c r="CM376" s="51">
        <f t="shared" si="795"/>
        <v>0</v>
      </c>
      <c r="CN376" s="33">
        <f>ROUND(IF(BS376=0,0,HLOOKUP(BS$14,Villagers!$B$1:$V$33,BS376+3,FALSE)),)</f>
        <v>5</v>
      </c>
      <c r="CO376" s="14">
        <f>ROUND(IF(BT376=0,0,HLOOKUP(BT$14,Villagers!$B$1:$V$33,BT376+3,FALSE)),)</f>
        <v>0</v>
      </c>
      <c r="CP376" s="14">
        <f>ROUND(IF(BU376=0,0,HLOOKUP(BU$14,Villagers!$B$1:$V$33,BU376+3,FALSE)),)</f>
        <v>0</v>
      </c>
      <c r="CQ376" s="14">
        <f>ROUND(IF(BV376=0,0,HLOOKUP(BV$14,Villagers!$B$1:$V$33,BV376+3,FALSE)),)</f>
        <v>0</v>
      </c>
      <c r="CR376" s="14">
        <f>ROUND(IF(BW376=0,0,HLOOKUP(BW$14,Villagers!$B$1:$V$33,BW376+3,FALSE)),)</f>
        <v>0</v>
      </c>
      <c r="CS376" s="14">
        <f>ROUND(IF(BX376=0,0,HLOOKUP(BX$14,Villagers!$B$1:$V$33,BX376+3,FALSE)),)</f>
        <v>0</v>
      </c>
      <c r="CT376" s="14">
        <f>ROUND(IF(BY376=0,0,HLOOKUP(BY$14,Villagers!$B$1:$V$33,BY376+3,FALSE)),)</f>
        <v>0</v>
      </c>
      <c r="CU376" s="14">
        <f>ROUND(IF(BZ376=0,0,HLOOKUP(BZ$14,Villagers!$B$1:$V$33,BZ376+3,FALSE)),)</f>
        <v>0</v>
      </c>
      <c r="CV376" s="14">
        <f>ROUND(IF(CA376=0,0,HLOOKUP(CA$14,Villagers!$B$1:$V$33,CA376+3,FALSE)),)</f>
        <v>0</v>
      </c>
      <c r="CW376" s="14">
        <f>ROUND(IF(CB376=0,0,HLOOKUP(CB$14,Villagers!$B$1:$V$33,CB376+3,FALSE)),)</f>
        <v>0</v>
      </c>
      <c r="CX376" s="14">
        <f>ROUND(IF(CC376=0,0,HLOOKUP(CC$14,Villagers!$B$1:$V$33,CC376+3,FALSE)),)</f>
        <v>0</v>
      </c>
      <c r="CY376" s="14">
        <f>ROUND(IF(CD376=0,0,HLOOKUP(CD$14,Villagers!$B$1:$V$33,CD376+3,FALSE)),)</f>
        <v>0</v>
      </c>
      <c r="CZ376" s="14">
        <f>ROUND(IF(CE376=0,0,HLOOKUP(CE$14,Villagers!$B$1:$V$33,CE376+3,FALSE)),)</f>
        <v>5</v>
      </c>
      <c r="DA376" s="14">
        <f>ROUND(IF(CF376=0,0,HLOOKUP(CF$14,Villagers!$B$1:$V$33,CF376+3,FALSE)),)</f>
        <v>10</v>
      </c>
      <c r="DB376" s="14">
        <f>ROUND(IF(CG376=0,0,HLOOKUP(CG$14,Villagers!$B$1:$V$33,CG376+3,FALSE)),)</f>
        <v>10</v>
      </c>
      <c r="DC376" s="14">
        <f>ROUND(IF(CH376=0,0,HLOOKUP(CH$14,Villagers!$B$1:$V$33,CH376+3,FALSE)),)</f>
        <v>0</v>
      </c>
      <c r="DD376" s="14">
        <f>ROUND(IF(CI376=0,0,HLOOKUP(CI$14,Villagers!$B$1:$V$33,CI376+3,FALSE)),)</f>
        <v>0</v>
      </c>
      <c r="DE376" s="14">
        <f>ROUND(IF(CJ376=0,0,HLOOKUP(CJ$14,Villagers!$B$1:$V$33,CJ376+3,FALSE)),)</f>
        <v>2</v>
      </c>
      <c r="DF376" s="370">
        <f>ROUND(IF(CK376=0,0,HLOOKUP(CK$14,Villagers!$B$1:$V$33,CK376+3,FALSE)),)</f>
        <v>0</v>
      </c>
      <c r="DG376" s="370">
        <f>ROUND(IF(CL376=0,0,HLOOKUP(CL$14,Villagers!$B$1:$V$33,CL376+3,FALSE)),)</f>
        <v>0</v>
      </c>
      <c r="DH376" s="34">
        <f>ROUND(IF(CM376=0,0,HLOOKUP(CM$14,Villagers!$B$1:$V$33,CM376+3,FALSE)),)</f>
        <v>0</v>
      </c>
      <c r="DI376" s="109">
        <f t="shared" si="832"/>
        <v>0</v>
      </c>
      <c r="DJ376" s="50">
        <f t="shared" si="833"/>
        <v>0</v>
      </c>
      <c r="DK376" s="50">
        <f t="shared" si="834"/>
        <v>0</v>
      </c>
      <c r="DL376" s="50">
        <f t="shared" si="835"/>
        <v>0</v>
      </c>
      <c r="DM376" s="50">
        <f t="shared" si="836"/>
        <v>0</v>
      </c>
      <c r="DN376" s="50">
        <f t="shared" si="837"/>
        <v>0</v>
      </c>
      <c r="DO376" s="50">
        <f t="shared" si="838"/>
        <v>0</v>
      </c>
      <c r="DP376" s="50">
        <f t="shared" si="839"/>
        <v>0</v>
      </c>
      <c r="DQ376" s="50">
        <f t="shared" si="816"/>
        <v>0</v>
      </c>
      <c r="DR376" s="50">
        <f t="shared" si="817"/>
        <v>0</v>
      </c>
      <c r="DS376" s="96">
        <f>Miscelaneous!$D$4*Miscelaneous!$D$2^($CI376-1)</f>
        <v>1000</v>
      </c>
      <c r="DT376" s="333">
        <f t="shared" si="796"/>
        <v>1</v>
      </c>
      <c r="DU376" s="81">
        <v>1</v>
      </c>
      <c r="DV376" s="79">
        <f t="shared" si="818"/>
        <v>0</v>
      </c>
      <c r="DW376" s="79">
        <f t="shared" si="819"/>
        <v>0</v>
      </c>
      <c r="DX376" s="79">
        <f t="shared" si="820"/>
        <v>0</v>
      </c>
      <c r="DY376" s="79">
        <v>1</v>
      </c>
      <c r="DZ376" s="79">
        <f t="shared" si="821"/>
        <v>0</v>
      </c>
      <c r="EA376" s="79">
        <f t="shared" si="822"/>
        <v>0</v>
      </c>
      <c r="EB376" s="79">
        <f t="shared" si="823"/>
        <v>0</v>
      </c>
      <c r="EC376" s="79">
        <f t="shared" si="824"/>
        <v>0</v>
      </c>
      <c r="ED376" s="79">
        <v>1</v>
      </c>
      <c r="EE376" s="79">
        <v>1</v>
      </c>
      <c r="EF376" s="79">
        <f t="shared" si="825"/>
        <v>0</v>
      </c>
      <c r="EG376" s="79">
        <v>1</v>
      </c>
      <c r="EH376" s="79">
        <v>1</v>
      </c>
      <c r="EI376" s="79">
        <v>1</v>
      </c>
      <c r="EJ376" s="79">
        <v>1</v>
      </c>
      <c r="EK376" s="79">
        <v>1</v>
      </c>
      <c r="EL376" s="79">
        <v>1</v>
      </c>
      <c r="EM376" s="143">
        <f t="shared" si="826"/>
        <v>0</v>
      </c>
      <c r="EN376" s="143">
        <f t="shared" si="827"/>
        <v>0</v>
      </c>
      <c r="EO376" s="82">
        <f t="shared" si="828"/>
        <v>0</v>
      </c>
    </row>
    <row r="377" spans="1:145" x14ac:dyDescent="0.25">
      <c r="A377">
        <v>363</v>
      </c>
      <c r="B377" s="172" t="e">
        <f t="shared" si="797"/>
        <v>#N/A</v>
      </c>
      <c r="C377" s="121" t="e">
        <f t="shared" ref="C377:E377" si="909">AJ377-SUM(AB377:AB381)</f>
        <v>#N/A</v>
      </c>
      <c r="D377" s="122" t="e">
        <f t="shared" si="909"/>
        <v>#N/A</v>
      </c>
      <c r="E377" s="122" t="e">
        <f t="shared" si="909"/>
        <v>#N/A</v>
      </c>
      <c r="F377" s="176" t="e">
        <f t="shared" si="778"/>
        <v>#N/A</v>
      </c>
      <c r="G377" s="121">
        <f t="shared" si="799"/>
        <v>208</v>
      </c>
      <c r="H377" s="176" t="e">
        <f t="shared" si="800"/>
        <v>#N/A</v>
      </c>
      <c r="I377" s="48">
        <v>1</v>
      </c>
      <c r="J377" s="39"/>
      <c r="K377" s="350">
        <v>1</v>
      </c>
      <c r="L377" s="34" t="e">
        <f t="shared" si="779"/>
        <v>#N/A</v>
      </c>
      <c r="M377" s="38" t="e">
        <f>(HLOOKUP(J377,'Construction Times'!$B$3:$W$34,L377+2,FALSE)*HLOOKUP("hq modifier",'Construction Times'!$W$3:$W$34,BS377+2,FALSE))*(1-$H$9)</f>
        <v>#N/A</v>
      </c>
      <c r="N377" s="426" t="e">
        <f t="shared" si="801"/>
        <v>#N/A</v>
      </c>
      <c r="O377" s="427"/>
      <c r="P377" s="430" t="e">
        <f t="shared" si="802"/>
        <v>#N/A</v>
      </c>
      <c r="Q377" s="431"/>
      <c r="R377" s="103">
        <f t="shared" si="897"/>
        <v>0</v>
      </c>
      <c r="S377" s="104">
        <f t="shared" si="897"/>
        <v>0</v>
      </c>
      <c r="T377" s="104">
        <f t="shared" si="898"/>
        <v>0</v>
      </c>
      <c r="U377" s="104">
        <f t="shared" si="898"/>
        <v>0</v>
      </c>
      <c r="V377" s="104">
        <f t="shared" si="898"/>
        <v>9.9999999999999995E-8</v>
      </c>
      <c r="W377" s="104">
        <f t="shared" si="898"/>
        <v>0</v>
      </c>
      <c r="X377" s="104">
        <f t="shared" si="890"/>
        <v>0</v>
      </c>
      <c r="Y377" s="104">
        <f t="shared" si="890"/>
        <v>9.9999999999999995E-8</v>
      </c>
      <c r="Z377" s="104">
        <f t="shared" si="890"/>
        <v>9.9999999999999995E-8</v>
      </c>
      <c r="AA377" s="105">
        <f t="shared" si="890"/>
        <v>9.9999999999999995E-8</v>
      </c>
      <c r="AB377" s="101" t="e">
        <f>$DT377*HLOOKUP($J377,'Construction Costs (timber)'!$B$1:$V$32,'Construction Planner'!$L377+2,FALSE)</f>
        <v>#N/A</v>
      </c>
      <c r="AC377" s="14" t="e">
        <f>$DT377*HLOOKUP($J377,'Construction Costs (clay)'!$B$1:$V$32,'Construction Planner'!$L377+2,FALSE)</f>
        <v>#N/A</v>
      </c>
      <c r="AD377" s="14" t="e">
        <f>$DT377*HLOOKUP($J377,'Construction Costs (iron)'!$B$1:$V$32,'Construction Planner'!$L377+2,FALSE)</f>
        <v>#N/A</v>
      </c>
      <c r="AE377" s="34" t="e">
        <f t="shared" si="843"/>
        <v>#N/A</v>
      </c>
      <c r="AF377" s="33" t="e">
        <f t="shared" si="780"/>
        <v>#N/A</v>
      </c>
      <c r="AG377" s="14" t="e">
        <f t="shared" si="781"/>
        <v>#N/A</v>
      </c>
      <c r="AH377" s="14" t="e">
        <f t="shared" si="782"/>
        <v>#N/A</v>
      </c>
      <c r="AI377" s="34" t="e">
        <f t="shared" si="844"/>
        <v>#N/A</v>
      </c>
      <c r="AJ377" s="49" t="e">
        <f t="shared" si="804"/>
        <v>#N/A</v>
      </c>
      <c r="AK377" s="49" t="e">
        <f t="shared" si="805"/>
        <v>#N/A</v>
      </c>
      <c r="AL377" s="49" t="e">
        <f t="shared" si="806"/>
        <v>#N/A</v>
      </c>
      <c r="AM377" s="25">
        <f t="shared" si="783"/>
        <v>30</v>
      </c>
      <c r="AN377" s="25">
        <f t="shared" si="784"/>
        <v>30</v>
      </c>
      <c r="AO377" s="25">
        <f t="shared" si="785"/>
        <v>30</v>
      </c>
      <c r="AP377" s="52" t="e">
        <f t="shared" si="894"/>
        <v>#N/A</v>
      </c>
      <c r="AQ377" s="53" t="e">
        <f t="shared" si="894"/>
        <v>#N/A</v>
      </c>
      <c r="AR377" s="54" t="e">
        <f t="shared" si="894"/>
        <v>#N/A</v>
      </c>
      <c r="AS377" s="316">
        <f t="shared" si="902"/>
        <v>0</v>
      </c>
      <c r="AT377" s="106">
        <f>_xlfn.IFNA($M377/VLOOKUP($BT377,'Unit information'!$A$2:$K$29,2,FALSE)*R377,0)*(1+$E$9)</f>
        <v>0</v>
      </c>
      <c r="AU377" s="107">
        <f>_xlfn.IFNA($M377/VLOOKUP($BT377,'Unit information'!$A$2:$K$29,3,FALSE)*S377,0)*(1+$E$9)</f>
        <v>0</v>
      </c>
      <c r="AV377" s="107">
        <f>_xlfn.IFNA($M377/VLOOKUP($BT377,'Unit information'!$A$2:$K$29,4,FALSE)*T377,0)*(1+$E$9)</f>
        <v>0</v>
      </c>
      <c r="AW377" s="107">
        <f>_xlfn.IFNA($M377/VLOOKUP($BT377,'Unit information'!$A$2:$K$29,5,FALSE)*U377,0)*(1+$E$9)</f>
        <v>0</v>
      </c>
      <c r="AX377" s="107">
        <f>_xlfn.IFNA($M377/VLOOKUP($BU377,'Unit information'!$A$2:$K$29,6,FALSE)*V377,0)*(1+$E$9)</f>
        <v>0</v>
      </c>
      <c r="AY377" s="107">
        <f>_xlfn.IFNA($M377/VLOOKUP($BU377,'Unit information'!$A$2:$K$29,7,FALSE)*W377,0)*(1+$E$9)</f>
        <v>0</v>
      </c>
      <c r="AZ377" s="107">
        <f>_xlfn.IFNA($M377/VLOOKUP($BU377,'Unit information'!$A$2:$K$29,8,FALSE)*X377,0)*(1+$E$9)</f>
        <v>0</v>
      </c>
      <c r="BA377" s="107">
        <f>_xlfn.IFNA($M377/VLOOKUP($BU377,'Unit information'!$A$2:$K$29,9,FALSE)*Y377,0)*(1+$E$9)</f>
        <v>0</v>
      </c>
      <c r="BB377" s="107">
        <f>_xlfn.IFNA($M377/VLOOKUP($BV377,'Unit information'!$A$2:$K$29,10,FALSE)*Z377,0)*(1+$E$9)</f>
        <v>0</v>
      </c>
      <c r="BC377" s="108">
        <f>_xlfn.IFNA($M377/VLOOKUP($BV377,'Unit information'!$A$2:$K$29,11,FALSE)*AA377,0)*(1+$E$9)</f>
        <v>0</v>
      </c>
      <c r="BD377" s="106">
        <f t="shared" si="786"/>
        <v>0</v>
      </c>
      <c r="BE377" s="107">
        <f t="shared" si="787"/>
        <v>0</v>
      </c>
      <c r="BF377" s="108">
        <f t="shared" si="788"/>
        <v>0</v>
      </c>
      <c r="BG377" s="25" t="e">
        <f t="shared" si="789"/>
        <v>#N/A</v>
      </c>
      <c r="BH377" s="25" t="e">
        <f t="shared" si="790"/>
        <v>#N/A</v>
      </c>
      <c r="BI377" s="25" t="e">
        <f t="shared" si="791"/>
        <v>#N/A</v>
      </c>
      <c r="BJ377" s="27" t="e">
        <f t="shared" si="792"/>
        <v>#N/A</v>
      </c>
      <c r="BK377" s="18" t="e">
        <f t="shared" si="793"/>
        <v>#N/A</v>
      </c>
      <c r="BL377" s="18" t="e">
        <f t="shared" si="794"/>
        <v>#N/A</v>
      </c>
      <c r="BM377" s="28" t="e">
        <f t="shared" si="846"/>
        <v>#N/A</v>
      </c>
      <c r="BN377" s="33">
        <f>HLOOKUP("maximum population",Miscelaneous!$C$1:$C$33,CH377+3,FALSE)</f>
        <v>240</v>
      </c>
      <c r="BO377" s="14">
        <f t="shared" si="808"/>
        <v>32</v>
      </c>
      <c r="BP377" s="14">
        <f t="shared" si="809"/>
        <v>0</v>
      </c>
      <c r="BQ377" s="14">
        <f t="shared" si="810"/>
        <v>208</v>
      </c>
      <c r="BR377" s="34" t="e">
        <f>HLOOKUP(J377,Villagers!$B$1:$V$33,L377+3,FALSE)-HLOOKUP(J377,Villagers!$B$1:$V$33,L377+2,FALSE)</f>
        <v>#N/A</v>
      </c>
      <c r="BS377" s="49">
        <f t="shared" si="811"/>
        <v>1</v>
      </c>
      <c r="BT377" s="50">
        <f t="shared" si="812"/>
        <v>0</v>
      </c>
      <c r="BU377" s="50">
        <f t="shared" si="813"/>
        <v>0</v>
      </c>
      <c r="BV377" s="50">
        <f t="shared" si="814"/>
        <v>0</v>
      </c>
      <c r="BW377" s="50">
        <f t="shared" si="908"/>
        <v>0</v>
      </c>
      <c r="BX377" s="50">
        <f t="shared" si="906"/>
        <v>0</v>
      </c>
      <c r="BY377" s="50">
        <f t="shared" si="906"/>
        <v>0</v>
      </c>
      <c r="BZ377" s="50">
        <f t="shared" si="860"/>
        <v>0</v>
      </c>
      <c r="CA377" s="50">
        <f t="shared" si="861"/>
        <v>0</v>
      </c>
      <c r="CB377" s="50">
        <f t="shared" si="862"/>
        <v>1</v>
      </c>
      <c r="CC377" s="50">
        <f t="shared" si="863"/>
        <v>0</v>
      </c>
      <c r="CD377" s="50">
        <f t="shared" si="864"/>
        <v>0</v>
      </c>
      <c r="CE377" s="50">
        <f t="shared" si="865"/>
        <v>1</v>
      </c>
      <c r="CF377" s="50">
        <f t="shared" si="866"/>
        <v>1</v>
      </c>
      <c r="CG377" s="50">
        <f t="shared" si="867"/>
        <v>1</v>
      </c>
      <c r="CH377" s="50">
        <f t="shared" si="868"/>
        <v>1</v>
      </c>
      <c r="CI377" s="50">
        <f t="shared" si="869"/>
        <v>1</v>
      </c>
      <c r="CJ377" s="50">
        <f t="shared" si="870"/>
        <v>1</v>
      </c>
      <c r="CK377" s="50">
        <f t="shared" si="870"/>
        <v>0</v>
      </c>
      <c r="CL377" s="50">
        <f t="shared" si="870"/>
        <v>0</v>
      </c>
      <c r="CM377" s="51">
        <f t="shared" si="795"/>
        <v>0</v>
      </c>
      <c r="CN377" s="33">
        <f>ROUND(IF(BS377=0,0,HLOOKUP(BS$14,Villagers!$B$1:$V$33,BS377+3,FALSE)),)</f>
        <v>5</v>
      </c>
      <c r="CO377" s="14">
        <f>ROUND(IF(BT377=0,0,HLOOKUP(BT$14,Villagers!$B$1:$V$33,BT377+3,FALSE)),)</f>
        <v>0</v>
      </c>
      <c r="CP377" s="14">
        <f>ROUND(IF(BU377=0,0,HLOOKUP(BU$14,Villagers!$B$1:$V$33,BU377+3,FALSE)),)</f>
        <v>0</v>
      </c>
      <c r="CQ377" s="14">
        <f>ROUND(IF(BV377=0,0,HLOOKUP(BV$14,Villagers!$B$1:$V$33,BV377+3,FALSE)),)</f>
        <v>0</v>
      </c>
      <c r="CR377" s="14">
        <f>ROUND(IF(BW377=0,0,HLOOKUP(BW$14,Villagers!$B$1:$V$33,BW377+3,FALSE)),)</f>
        <v>0</v>
      </c>
      <c r="CS377" s="14">
        <f>ROUND(IF(BX377=0,0,HLOOKUP(BX$14,Villagers!$B$1:$V$33,BX377+3,FALSE)),)</f>
        <v>0</v>
      </c>
      <c r="CT377" s="14">
        <f>ROUND(IF(BY377=0,0,HLOOKUP(BY$14,Villagers!$B$1:$V$33,BY377+3,FALSE)),)</f>
        <v>0</v>
      </c>
      <c r="CU377" s="14">
        <f>ROUND(IF(BZ377=0,0,HLOOKUP(BZ$14,Villagers!$B$1:$V$33,BZ377+3,FALSE)),)</f>
        <v>0</v>
      </c>
      <c r="CV377" s="14">
        <f>ROUND(IF(CA377=0,0,HLOOKUP(CA$14,Villagers!$B$1:$V$33,CA377+3,FALSE)),)</f>
        <v>0</v>
      </c>
      <c r="CW377" s="14">
        <f>ROUND(IF(CB377=0,0,HLOOKUP(CB$14,Villagers!$B$1:$V$33,CB377+3,FALSE)),)</f>
        <v>0</v>
      </c>
      <c r="CX377" s="14">
        <f>ROUND(IF(CC377=0,0,HLOOKUP(CC$14,Villagers!$B$1:$V$33,CC377+3,FALSE)),)</f>
        <v>0</v>
      </c>
      <c r="CY377" s="14">
        <f>ROUND(IF(CD377=0,0,HLOOKUP(CD$14,Villagers!$B$1:$V$33,CD377+3,FALSE)),)</f>
        <v>0</v>
      </c>
      <c r="CZ377" s="14">
        <f>ROUND(IF(CE377=0,0,HLOOKUP(CE$14,Villagers!$B$1:$V$33,CE377+3,FALSE)),)</f>
        <v>5</v>
      </c>
      <c r="DA377" s="14">
        <f>ROUND(IF(CF377=0,0,HLOOKUP(CF$14,Villagers!$B$1:$V$33,CF377+3,FALSE)),)</f>
        <v>10</v>
      </c>
      <c r="DB377" s="14">
        <f>ROUND(IF(CG377=0,0,HLOOKUP(CG$14,Villagers!$B$1:$V$33,CG377+3,FALSE)),)</f>
        <v>10</v>
      </c>
      <c r="DC377" s="14">
        <f>ROUND(IF(CH377=0,0,HLOOKUP(CH$14,Villagers!$B$1:$V$33,CH377+3,FALSE)),)</f>
        <v>0</v>
      </c>
      <c r="DD377" s="14">
        <f>ROUND(IF(CI377=0,0,HLOOKUP(CI$14,Villagers!$B$1:$V$33,CI377+3,FALSE)),)</f>
        <v>0</v>
      </c>
      <c r="DE377" s="14">
        <f>ROUND(IF(CJ377=0,0,HLOOKUP(CJ$14,Villagers!$B$1:$V$33,CJ377+3,FALSE)),)</f>
        <v>2</v>
      </c>
      <c r="DF377" s="370">
        <f>ROUND(IF(CK377=0,0,HLOOKUP(CK$14,Villagers!$B$1:$V$33,CK377+3,FALSE)),)</f>
        <v>0</v>
      </c>
      <c r="DG377" s="370">
        <f>ROUND(IF(CL377=0,0,HLOOKUP(CL$14,Villagers!$B$1:$V$33,CL377+3,FALSE)),)</f>
        <v>0</v>
      </c>
      <c r="DH377" s="34">
        <f>ROUND(IF(CM377=0,0,HLOOKUP(CM$14,Villagers!$B$1:$V$33,CM377+3,FALSE)),)</f>
        <v>0</v>
      </c>
      <c r="DI377" s="109">
        <f t="shared" si="832"/>
        <v>0</v>
      </c>
      <c r="DJ377" s="50">
        <f t="shared" si="833"/>
        <v>0</v>
      </c>
      <c r="DK377" s="50">
        <f t="shared" si="834"/>
        <v>0</v>
      </c>
      <c r="DL377" s="50">
        <f t="shared" si="835"/>
        <v>0</v>
      </c>
      <c r="DM377" s="50">
        <f t="shared" si="836"/>
        <v>0</v>
      </c>
      <c r="DN377" s="50">
        <f t="shared" si="837"/>
        <v>0</v>
      </c>
      <c r="DO377" s="50">
        <f t="shared" si="838"/>
        <v>0</v>
      </c>
      <c r="DP377" s="50">
        <f t="shared" si="839"/>
        <v>0</v>
      </c>
      <c r="DQ377" s="50">
        <f t="shared" si="816"/>
        <v>0</v>
      </c>
      <c r="DR377" s="50">
        <f t="shared" si="817"/>
        <v>0</v>
      </c>
      <c r="DS377" s="96">
        <f>Miscelaneous!$D$4*Miscelaneous!$D$2^($CI377-1)</f>
        <v>1000</v>
      </c>
      <c r="DT377" s="333">
        <f t="shared" si="796"/>
        <v>1</v>
      </c>
      <c r="DU377" s="81">
        <v>1</v>
      </c>
      <c r="DV377" s="79">
        <f t="shared" si="818"/>
        <v>0</v>
      </c>
      <c r="DW377" s="79">
        <f t="shared" si="819"/>
        <v>0</v>
      </c>
      <c r="DX377" s="79">
        <f t="shared" si="820"/>
        <v>0</v>
      </c>
      <c r="DY377" s="79">
        <v>1</v>
      </c>
      <c r="DZ377" s="79">
        <f t="shared" si="821"/>
        <v>0</v>
      </c>
      <c r="EA377" s="79">
        <f t="shared" si="822"/>
        <v>0</v>
      </c>
      <c r="EB377" s="79">
        <f t="shared" si="823"/>
        <v>0</v>
      </c>
      <c r="EC377" s="79">
        <f t="shared" si="824"/>
        <v>0</v>
      </c>
      <c r="ED377" s="79">
        <v>1</v>
      </c>
      <c r="EE377" s="79">
        <v>1</v>
      </c>
      <c r="EF377" s="79">
        <f t="shared" si="825"/>
        <v>0</v>
      </c>
      <c r="EG377" s="79">
        <v>1</v>
      </c>
      <c r="EH377" s="79">
        <v>1</v>
      </c>
      <c r="EI377" s="79">
        <v>1</v>
      </c>
      <c r="EJ377" s="79">
        <v>1</v>
      </c>
      <c r="EK377" s="79">
        <v>1</v>
      </c>
      <c r="EL377" s="79">
        <v>1</v>
      </c>
      <c r="EM377" s="143">
        <f t="shared" si="826"/>
        <v>0</v>
      </c>
      <c r="EN377" s="143">
        <f t="shared" si="827"/>
        <v>0</v>
      </c>
      <c r="EO377" s="82">
        <f t="shared" si="828"/>
        <v>0</v>
      </c>
    </row>
    <row r="378" spans="1:145" x14ac:dyDescent="0.25">
      <c r="A378">
        <v>364</v>
      </c>
      <c r="B378" s="172" t="e">
        <f t="shared" si="797"/>
        <v>#N/A</v>
      </c>
      <c r="C378" s="121" t="e">
        <f t="shared" ref="C378:E378" si="910">AJ378-SUM(AB378:AB382)</f>
        <v>#N/A</v>
      </c>
      <c r="D378" s="122" t="e">
        <f t="shared" si="910"/>
        <v>#N/A</v>
      </c>
      <c r="E378" s="122" t="e">
        <f t="shared" si="910"/>
        <v>#N/A</v>
      </c>
      <c r="F378" s="176" t="e">
        <f t="shared" si="778"/>
        <v>#N/A</v>
      </c>
      <c r="G378" s="121">
        <f t="shared" si="799"/>
        <v>208</v>
      </c>
      <c r="H378" s="176" t="e">
        <f t="shared" si="800"/>
        <v>#N/A</v>
      </c>
      <c r="I378" s="48">
        <v>1</v>
      </c>
      <c r="J378" s="39"/>
      <c r="K378" s="350">
        <v>1</v>
      </c>
      <c r="L378" s="34" t="e">
        <f t="shared" si="779"/>
        <v>#N/A</v>
      </c>
      <c r="M378" s="38" t="e">
        <f>(HLOOKUP(J378,'Construction Times'!$B$3:$W$34,L378+2,FALSE)*HLOOKUP("hq modifier",'Construction Times'!$W$3:$W$34,BS378+2,FALSE))*(1-$H$9)</f>
        <v>#N/A</v>
      </c>
      <c r="N378" s="426" t="e">
        <f t="shared" si="801"/>
        <v>#N/A</v>
      </c>
      <c r="O378" s="427"/>
      <c r="P378" s="430" t="e">
        <f t="shared" si="802"/>
        <v>#N/A</v>
      </c>
      <c r="Q378" s="431"/>
      <c r="R378" s="103">
        <f t="shared" si="897"/>
        <v>0</v>
      </c>
      <c r="S378" s="104">
        <f t="shared" si="897"/>
        <v>0</v>
      </c>
      <c r="T378" s="104">
        <f t="shared" si="898"/>
        <v>0</v>
      </c>
      <c r="U378" s="104">
        <f t="shared" si="898"/>
        <v>0</v>
      </c>
      <c r="V378" s="104">
        <f t="shared" si="898"/>
        <v>9.9999999999999995E-8</v>
      </c>
      <c r="W378" s="104">
        <f t="shared" si="898"/>
        <v>0</v>
      </c>
      <c r="X378" s="104">
        <f t="shared" si="890"/>
        <v>0</v>
      </c>
      <c r="Y378" s="104">
        <f t="shared" si="890"/>
        <v>9.9999999999999995E-8</v>
      </c>
      <c r="Z378" s="104">
        <f t="shared" si="890"/>
        <v>9.9999999999999995E-8</v>
      </c>
      <c r="AA378" s="105">
        <f t="shared" si="890"/>
        <v>9.9999999999999995E-8</v>
      </c>
      <c r="AB378" s="101" t="e">
        <f>$DT378*HLOOKUP($J378,'Construction Costs (timber)'!$B$1:$V$32,'Construction Planner'!$L378+2,FALSE)</f>
        <v>#N/A</v>
      </c>
      <c r="AC378" s="14" t="e">
        <f>$DT378*HLOOKUP($J378,'Construction Costs (clay)'!$B$1:$V$32,'Construction Planner'!$L378+2,FALSE)</f>
        <v>#N/A</v>
      </c>
      <c r="AD378" s="14" t="e">
        <f>$DT378*HLOOKUP($J378,'Construction Costs (iron)'!$B$1:$V$32,'Construction Planner'!$L378+2,FALSE)</f>
        <v>#N/A</v>
      </c>
      <c r="AE378" s="34" t="e">
        <f t="shared" si="843"/>
        <v>#N/A</v>
      </c>
      <c r="AF378" s="33" t="e">
        <f t="shared" si="780"/>
        <v>#N/A</v>
      </c>
      <c r="AG378" s="14" t="e">
        <f t="shared" si="781"/>
        <v>#N/A</v>
      </c>
      <c r="AH378" s="14" t="e">
        <f t="shared" si="782"/>
        <v>#N/A</v>
      </c>
      <c r="AI378" s="34" t="e">
        <f t="shared" si="844"/>
        <v>#N/A</v>
      </c>
      <c r="AJ378" s="49" t="e">
        <f t="shared" si="804"/>
        <v>#N/A</v>
      </c>
      <c r="AK378" s="49" t="e">
        <f t="shared" si="805"/>
        <v>#N/A</v>
      </c>
      <c r="AL378" s="49" t="e">
        <f t="shared" si="806"/>
        <v>#N/A</v>
      </c>
      <c r="AM378" s="25">
        <f t="shared" si="783"/>
        <v>30</v>
      </c>
      <c r="AN378" s="25">
        <f t="shared" si="784"/>
        <v>30</v>
      </c>
      <c r="AO378" s="25">
        <f t="shared" si="785"/>
        <v>30</v>
      </c>
      <c r="AP378" s="52" t="e">
        <f t="shared" si="894"/>
        <v>#N/A</v>
      </c>
      <c r="AQ378" s="53" t="e">
        <f t="shared" si="894"/>
        <v>#N/A</v>
      </c>
      <c r="AR378" s="54" t="e">
        <f t="shared" si="894"/>
        <v>#N/A</v>
      </c>
      <c r="AS378" s="316">
        <f t="shared" si="902"/>
        <v>0</v>
      </c>
      <c r="AT378" s="106">
        <f>_xlfn.IFNA($M378/VLOOKUP($BT378,'Unit information'!$A$2:$K$29,2,FALSE)*R378,0)*(1+$E$9)</f>
        <v>0</v>
      </c>
      <c r="AU378" s="107">
        <f>_xlfn.IFNA($M378/VLOOKUP($BT378,'Unit information'!$A$2:$K$29,3,FALSE)*S378,0)*(1+$E$9)</f>
        <v>0</v>
      </c>
      <c r="AV378" s="107">
        <f>_xlfn.IFNA($M378/VLOOKUP($BT378,'Unit information'!$A$2:$K$29,4,FALSE)*T378,0)*(1+$E$9)</f>
        <v>0</v>
      </c>
      <c r="AW378" s="107">
        <f>_xlfn.IFNA($M378/VLOOKUP($BT378,'Unit information'!$A$2:$K$29,5,FALSE)*U378,0)*(1+$E$9)</f>
        <v>0</v>
      </c>
      <c r="AX378" s="107">
        <f>_xlfn.IFNA($M378/VLOOKUP($BU378,'Unit information'!$A$2:$K$29,6,FALSE)*V378,0)*(1+$E$9)</f>
        <v>0</v>
      </c>
      <c r="AY378" s="107">
        <f>_xlfn.IFNA($M378/VLOOKUP($BU378,'Unit information'!$A$2:$K$29,7,FALSE)*W378,0)*(1+$E$9)</f>
        <v>0</v>
      </c>
      <c r="AZ378" s="107">
        <f>_xlfn.IFNA($M378/VLOOKUP($BU378,'Unit information'!$A$2:$K$29,8,FALSE)*X378,0)*(1+$E$9)</f>
        <v>0</v>
      </c>
      <c r="BA378" s="107">
        <f>_xlfn.IFNA($M378/VLOOKUP($BU378,'Unit information'!$A$2:$K$29,9,FALSE)*Y378,0)*(1+$E$9)</f>
        <v>0</v>
      </c>
      <c r="BB378" s="107">
        <f>_xlfn.IFNA($M378/VLOOKUP($BV378,'Unit information'!$A$2:$K$29,10,FALSE)*Z378,0)*(1+$E$9)</f>
        <v>0</v>
      </c>
      <c r="BC378" s="108">
        <f>_xlfn.IFNA($M378/VLOOKUP($BV378,'Unit information'!$A$2:$K$29,11,FALSE)*AA378,0)*(1+$E$9)</f>
        <v>0</v>
      </c>
      <c r="BD378" s="106">
        <f t="shared" si="786"/>
        <v>0</v>
      </c>
      <c r="BE378" s="107">
        <f t="shared" si="787"/>
        <v>0</v>
      </c>
      <c r="BF378" s="108">
        <f t="shared" si="788"/>
        <v>0</v>
      </c>
      <c r="BG378" s="25" t="e">
        <f t="shared" si="789"/>
        <v>#N/A</v>
      </c>
      <c r="BH378" s="25" t="e">
        <f t="shared" si="790"/>
        <v>#N/A</v>
      </c>
      <c r="BI378" s="25" t="e">
        <f t="shared" si="791"/>
        <v>#N/A</v>
      </c>
      <c r="BJ378" s="27" t="e">
        <f t="shared" si="792"/>
        <v>#N/A</v>
      </c>
      <c r="BK378" s="18" t="e">
        <f t="shared" si="793"/>
        <v>#N/A</v>
      </c>
      <c r="BL378" s="18" t="e">
        <f t="shared" si="794"/>
        <v>#N/A</v>
      </c>
      <c r="BM378" s="28" t="e">
        <f t="shared" si="846"/>
        <v>#N/A</v>
      </c>
      <c r="BN378" s="33">
        <f>HLOOKUP("maximum population",Miscelaneous!$C$1:$C$33,CH378+3,FALSE)</f>
        <v>240</v>
      </c>
      <c r="BO378" s="14">
        <f t="shared" si="808"/>
        <v>32</v>
      </c>
      <c r="BP378" s="14">
        <f t="shared" si="809"/>
        <v>0</v>
      </c>
      <c r="BQ378" s="14">
        <f t="shared" si="810"/>
        <v>208</v>
      </c>
      <c r="BR378" s="34" t="e">
        <f>HLOOKUP(J378,Villagers!$B$1:$V$33,L378+3,FALSE)-HLOOKUP(J378,Villagers!$B$1:$V$33,L378+2,FALSE)</f>
        <v>#N/A</v>
      </c>
      <c r="BS378" s="49">
        <f t="shared" si="811"/>
        <v>1</v>
      </c>
      <c r="BT378" s="50">
        <f t="shared" si="812"/>
        <v>0</v>
      </c>
      <c r="BU378" s="50">
        <f t="shared" si="813"/>
        <v>0</v>
      </c>
      <c r="BV378" s="50">
        <f t="shared" si="814"/>
        <v>0</v>
      </c>
      <c r="BW378" s="50">
        <f t="shared" si="908"/>
        <v>0</v>
      </c>
      <c r="BX378" s="50">
        <f t="shared" si="906"/>
        <v>0</v>
      </c>
      <c r="BY378" s="50">
        <f t="shared" si="906"/>
        <v>0</v>
      </c>
      <c r="BZ378" s="50">
        <f t="shared" si="860"/>
        <v>0</v>
      </c>
      <c r="CA378" s="50">
        <f t="shared" si="861"/>
        <v>0</v>
      </c>
      <c r="CB378" s="50">
        <f t="shared" si="862"/>
        <v>1</v>
      </c>
      <c r="CC378" s="50">
        <f t="shared" si="863"/>
        <v>0</v>
      </c>
      <c r="CD378" s="50">
        <f t="shared" si="864"/>
        <v>0</v>
      </c>
      <c r="CE378" s="50">
        <f t="shared" si="865"/>
        <v>1</v>
      </c>
      <c r="CF378" s="50">
        <f t="shared" si="866"/>
        <v>1</v>
      </c>
      <c r="CG378" s="50">
        <f t="shared" si="867"/>
        <v>1</v>
      </c>
      <c r="CH378" s="50">
        <f t="shared" si="868"/>
        <v>1</v>
      </c>
      <c r="CI378" s="50">
        <f t="shared" si="869"/>
        <v>1</v>
      </c>
      <c r="CJ378" s="50">
        <f t="shared" si="870"/>
        <v>1</v>
      </c>
      <c r="CK378" s="50">
        <f t="shared" si="870"/>
        <v>0</v>
      </c>
      <c r="CL378" s="50">
        <f t="shared" si="870"/>
        <v>0</v>
      </c>
      <c r="CM378" s="51">
        <f t="shared" si="795"/>
        <v>0</v>
      </c>
      <c r="CN378" s="33">
        <f>ROUND(IF(BS378=0,0,HLOOKUP(BS$14,Villagers!$B$1:$V$33,BS378+3,FALSE)),)</f>
        <v>5</v>
      </c>
      <c r="CO378" s="14">
        <f>ROUND(IF(BT378=0,0,HLOOKUP(BT$14,Villagers!$B$1:$V$33,BT378+3,FALSE)),)</f>
        <v>0</v>
      </c>
      <c r="CP378" s="14">
        <f>ROUND(IF(BU378=0,0,HLOOKUP(BU$14,Villagers!$B$1:$V$33,BU378+3,FALSE)),)</f>
        <v>0</v>
      </c>
      <c r="CQ378" s="14">
        <f>ROUND(IF(BV378=0,0,HLOOKUP(BV$14,Villagers!$B$1:$V$33,BV378+3,FALSE)),)</f>
        <v>0</v>
      </c>
      <c r="CR378" s="14">
        <f>ROUND(IF(BW378=0,0,HLOOKUP(BW$14,Villagers!$B$1:$V$33,BW378+3,FALSE)),)</f>
        <v>0</v>
      </c>
      <c r="CS378" s="14">
        <f>ROUND(IF(BX378=0,0,HLOOKUP(BX$14,Villagers!$B$1:$V$33,BX378+3,FALSE)),)</f>
        <v>0</v>
      </c>
      <c r="CT378" s="14">
        <f>ROUND(IF(BY378=0,0,HLOOKUP(BY$14,Villagers!$B$1:$V$33,BY378+3,FALSE)),)</f>
        <v>0</v>
      </c>
      <c r="CU378" s="14">
        <f>ROUND(IF(BZ378=0,0,HLOOKUP(BZ$14,Villagers!$B$1:$V$33,BZ378+3,FALSE)),)</f>
        <v>0</v>
      </c>
      <c r="CV378" s="14">
        <f>ROUND(IF(CA378=0,0,HLOOKUP(CA$14,Villagers!$B$1:$V$33,CA378+3,FALSE)),)</f>
        <v>0</v>
      </c>
      <c r="CW378" s="14">
        <f>ROUND(IF(CB378=0,0,HLOOKUP(CB$14,Villagers!$B$1:$V$33,CB378+3,FALSE)),)</f>
        <v>0</v>
      </c>
      <c r="CX378" s="14">
        <f>ROUND(IF(CC378=0,0,HLOOKUP(CC$14,Villagers!$B$1:$V$33,CC378+3,FALSE)),)</f>
        <v>0</v>
      </c>
      <c r="CY378" s="14">
        <f>ROUND(IF(CD378=0,0,HLOOKUP(CD$14,Villagers!$B$1:$V$33,CD378+3,FALSE)),)</f>
        <v>0</v>
      </c>
      <c r="CZ378" s="14">
        <f>ROUND(IF(CE378=0,0,HLOOKUP(CE$14,Villagers!$B$1:$V$33,CE378+3,FALSE)),)</f>
        <v>5</v>
      </c>
      <c r="DA378" s="14">
        <f>ROUND(IF(CF378=0,0,HLOOKUP(CF$14,Villagers!$B$1:$V$33,CF378+3,FALSE)),)</f>
        <v>10</v>
      </c>
      <c r="DB378" s="14">
        <f>ROUND(IF(CG378=0,0,HLOOKUP(CG$14,Villagers!$B$1:$V$33,CG378+3,FALSE)),)</f>
        <v>10</v>
      </c>
      <c r="DC378" s="14">
        <f>ROUND(IF(CH378=0,0,HLOOKUP(CH$14,Villagers!$B$1:$V$33,CH378+3,FALSE)),)</f>
        <v>0</v>
      </c>
      <c r="DD378" s="14">
        <f>ROUND(IF(CI378=0,0,HLOOKUP(CI$14,Villagers!$B$1:$V$33,CI378+3,FALSE)),)</f>
        <v>0</v>
      </c>
      <c r="DE378" s="14">
        <f>ROUND(IF(CJ378=0,0,HLOOKUP(CJ$14,Villagers!$B$1:$V$33,CJ378+3,FALSE)),)</f>
        <v>2</v>
      </c>
      <c r="DF378" s="370">
        <f>ROUND(IF(CK378=0,0,HLOOKUP(CK$14,Villagers!$B$1:$V$33,CK378+3,FALSE)),)</f>
        <v>0</v>
      </c>
      <c r="DG378" s="370">
        <f>ROUND(IF(CL378=0,0,HLOOKUP(CL$14,Villagers!$B$1:$V$33,CL378+3,FALSE)),)</f>
        <v>0</v>
      </c>
      <c r="DH378" s="34">
        <f>ROUND(IF(CM378=0,0,HLOOKUP(CM$14,Villagers!$B$1:$V$33,CM378+3,FALSE)),)</f>
        <v>0</v>
      </c>
      <c r="DI378" s="109">
        <f t="shared" si="832"/>
        <v>0</v>
      </c>
      <c r="DJ378" s="50">
        <f t="shared" si="833"/>
        <v>0</v>
      </c>
      <c r="DK378" s="50">
        <f t="shared" si="834"/>
        <v>0</v>
      </c>
      <c r="DL378" s="50">
        <f t="shared" si="835"/>
        <v>0</v>
      </c>
      <c r="DM378" s="50">
        <f t="shared" si="836"/>
        <v>0</v>
      </c>
      <c r="DN378" s="50">
        <f t="shared" si="837"/>
        <v>0</v>
      </c>
      <c r="DO378" s="50">
        <f t="shared" si="838"/>
        <v>0</v>
      </c>
      <c r="DP378" s="50">
        <f t="shared" si="839"/>
        <v>0</v>
      </c>
      <c r="DQ378" s="50">
        <f t="shared" si="816"/>
        <v>0</v>
      </c>
      <c r="DR378" s="50">
        <f t="shared" si="817"/>
        <v>0</v>
      </c>
      <c r="DS378" s="96">
        <f>Miscelaneous!$D$4*Miscelaneous!$D$2^($CI378-1)</f>
        <v>1000</v>
      </c>
      <c r="DT378" s="333">
        <f t="shared" si="796"/>
        <v>1</v>
      </c>
      <c r="DU378" s="81">
        <v>1</v>
      </c>
      <c r="DV378" s="79">
        <f t="shared" si="818"/>
        <v>0</v>
      </c>
      <c r="DW378" s="79">
        <f t="shared" si="819"/>
        <v>0</v>
      </c>
      <c r="DX378" s="79">
        <f t="shared" si="820"/>
        <v>0</v>
      </c>
      <c r="DY378" s="79">
        <v>1</v>
      </c>
      <c r="DZ378" s="79">
        <f t="shared" si="821"/>
        <v>0</v>
      </c>
      <c r="EA378" s="79">
        <f t="shared" si="822"/>
        <v>0</v>
      </c>
      <c r="EB378" s="79">
        <f t="shared" si="823"/>
        <v>0</v>
      </c>
      <c r="EC378" s="79">
        <f t="shared" si="824"/>
        <v>0</v>
      </c>
      <c r="ED378" s="79">
        <v>1</v>
      </c>
      <c r="EE378" s="79">
        <v>1</v>
      </c>
      <c r="EF378" s="79">
        <f t="shared" si="825"/>
        <v>0</v>
      </c>
      <c r="EG378" s="79">
        <v>1</v>
      </c>
      <c r="EH378" s="79">
        <v>1</v>
      </c>
      <c r="EI378" s="79">
        <v>1</v>
      </c>
      <c r="EJ378" s="79">
        <v>1</v>
      </c>
      <c r="EK378" s="79">
        <v>1</v>
      </c>
      <c r="EL378" s="79">
        <v>1</v>
      </c>
      <c r="EM378" s="143">
        <f t="shared" si="826"/>
        <v>0</v>
      </c>
      <c r="EN378" s="143">
        <f t="shared" si="827"/>
        <v>0</v>
      </c>
      <c r="EO378" s="82">
        <f t="shared" si="828"/>
        <v>0</v>
      </c>
    </row>
    <row r="379" spans="1:145" x14ac:dyDescent="0.25">
      <c r="A379">
        <v>365</v>
      </c>
      <c r="B379" s="172" t="e">
        <f t="shared" si="797"/>
        <v>#N/A</v>
      </c>
      <c r="C379" s="121" t="e">
        <f t="shared" ref="C379:E379" si="911">AJ379-SUM(AB379:AB383)</f>
        <v>#N/A</v>
      </c>
      <c r="D379" s="122" t="e">
        <f t="shared" si="911"/>
        <v>#N/A</v>
      </c>
      <c r="E379" s="122" t="e">
        <f t="shared" si="911"/>
        <v>#N/A</v>
      </c>
      <c r="F379" s="176" t="e">
        <f t="shared" si="778"/>
        <v>#N/A</v>
      </c>
      <c r="G379" s="121">
        <f t="shared" si="799"/>
        <v>208</v>
      </c>
      <c r="H379" s="176" t="e">
        <f t="shared" si="800"/>
        <v>#N/A</v>
      </c>
      <c r="I379" s="48">
        <v>1</v>
      </c>
      <c r="J379" s="39"/>
      <c r="K379" s="350">
        <v>1</v>
      </c>
      <c r="L379" s="34" t="e">
        <f t="shared" si="779"/>
        <v>#N/A</v>
      </c>
      <c r="M379" s="38" t="e">
        <f>(HLOOKUP(J379,'Construction Times'!$B$3:$W$34,L379+2,FALSE)*HLOOKUP("hq modifier",'Construction Times'!$W$3:$W$34,BS379+2,FALSE))*(1-$H$9)</f>
        <v>#N/A</v>
      </c>
      <c r="N379" s="426" t="e">
        <f t="shared" si="801"/>
        <v>#N/A</v>
      </c>
      <c r="O379" s="427"/>
      <c r="P379" s="430" t="e">
        <f t="shared" si="802"/>
        <v>#N/A</v>
      </c>
      <c r="Q379" s="431"/>
      <c r="R379" s="103">
        <f t="shared" si="897"/>
        <v>0</v>
      </c>
      <c r="S379" s="104">
        <f t="shared" si="897"/>
        <v>0</v>
      </c>
      <c r="T379" s="104">
        <f t="shared" si="898"/>
        <v>0</v>
      </c>
      <c r="U379" s="104">
        <f t="shared" si="898"/>
        <v>0</v>
      </c>
      <c r="V379" s="104">
        <f t="shared" si="898"/>
        <v>9.9999999999999995E-8</v>
      </c>
      <c r="W379" s="104">
        <f t="shared" si="898"/>
        <v>0</v>
      </c>
      <c r="X379" s="104">
        <f t="shared" si="890"/>
        <v>0</v>
      </c>
      <c r="Y379" s="104">
        <f t="shared" si="890"/>
        <v>9.9999999999999995E-8</v>
      </c>
      <c r="Z379" s="104">
        <f t="shared" si="890"/>
        <v>9.9999999999999995E-8</v>
      </c>
      <c r="AA379" s="105">
        <f t="shared" si="890"/>
        <v>9.9999999999999995E-8</v>
      </c>
      <c r="AB379" s="101" t="e">
        <f>$DT379*HLOOKUP($J379,'Construction Costs (timber)'!$B$1:$V$32,'Construction Planner'!$L379+2,FALSE)</f>
        <v>#N/A</v>
      </c>
      <c r="AC379" s="14" t="e">
        <f>$DT379*HLOOKUP($J379,'Construction Costs (clay)'!$B$1:$V$32,'Construction Planner'!$L379+2,FALSE)</f>
        <v>#N/A</v>
      </c>
      <c r="AD379" s="14" t="e">
        <f>$DT379*HLOOKUP($J379,'Construction Costs (iron)'!$B$1:$V$32,'Construction Planner'!$L379+2,FALSE)</f>
        <v>#N/A</v>
      </c>
      <c r="AE379" s="34" t="e">
        <f t="shared" si="843"/>
        <v>#N/A</v>
      </c>
      <c r="AF379" s="33" t="e">
        <f t="shared" si="780"/>
        <v>#N/A</v>
      </c>
      <c r="AG379" s="14" t="e">
        <f t="shared" si="781"/>
        <v>#N/A</v>
      </c>
      <c r="AH379" s="14" t="e">
        <f t="shared" si="782"/>
        <v>#N/A</v>
      </c>
      <c r="AI379" s="34" t="e">
        <f t="shared" si="844"/>
        <v>#N/A</v>
      </c>
      <c r="AJ379" s="49" t="e">
        <f t="shared" si="804"/>
        <v>#N/A</v>
      </c>
      <c r="AK379" s="49" t="e">
        <f t="shared" si="805"/>
        <v>#N/A</v>
      </c>
      <c r="AL379" s="49" t="e">
        <f t="shared" si="806"/>
        <v>#N/A</v>
      </c>
      <c r="AM379" s="25">
        <f t="shared" si="783"/>
        <v>30</v>
      </c>
      <c r="AN379" s="25">
        <f t="shared" si="784"/>
        <v>30</v>
      </c>
      <c r="AO379" s="25">
        <f t="shared" si="785"/>
        <v>30</v>
      </c>
      <c r="AP379" s="52" t="e">
        <f t="shared" si="894"/>
        <v>#N/A</v>
      </c>
      <c r="AQ379" s="53" t="e">
        <f t="shared" si="894"/>
        <v>#N/A</v>
      </c>
      <c r="AR379" s="54" t="e">
        <f t="shared" si="894"/>
        <v>#N/A</v>
      </c>
      <c r="AS379" s="316">
        <f t="shared" si="902"/>
        <v>0</v>
      </c>
      <c r="AT379" s="106">
        <f>_xlfn.IFNA($M379/VLOOKUP($BT379,'Unit information'!$A$2:$K$29,2,FALSE)*R379,0)*(1+$E$9)</f>
        <v>0</v>
      </c>
      <c r="AU379" s="107">
        <f>_xlfn.IFNA($M379/VLOOKUP($BT379,'Unit information'!$A$2:$K$29,3,FALSE)*S379,0)*(1+$E$9)</f>
        <v>0</v>
      </c>
      <c r="AV379" s="107">
        <f>_xlfn.IFNA($M379/VLOOKUP($BT379,'Unit information'!$A$2:$K$29,4,FALSE)*T379,0)*(1+$E$9)</f>
        <v>0</v>
      </c>
      <c r="AW379" s="107">
        <f>_xlfn.IFNA($M379/VLOOKUP($BT379,'Unit information'!$A$2:$K$29,5,FALSE)*U379,0)*(1+$E$9)</f>
        <v>0</v>
      </c>
      <c r="AX379" s="107">
        <f>_xlfn.IFNA($M379/VLOOKUP($BU379,'Unit information'!$A$2:$K$29,6,FALSE)*V379,0)*(1+$E$9)</f>
        <v>0</v>
      </c>
      <c r="AY379" s="107">
        <f>_xlfn.IFNA($M379/VLOOKUP($BU379,'Unit information'!$A$2:$K$29,7,FALSE)*W379,0)*(1+$E$9)</f>
        <v>0</v>
      </c>
      <c r="AZ379" s="107">
        <f>_xlfn.IFNA($M379/VLOOKUP($BU379,'Unit information'!$A$2:$K$29,8,FALSE)*X379,0)*(1+$E$9)</f>
        <v>0</v>
      </c>
      <c r="BA379" s="107">
        <f>_xlfn.IFNA($M379/VLOOKUP($BU379,'Unit information'!$A$2:$K$29,9,FALSE)*Y379,0)*(1+$E$9)</f>
        <v>0</v>
      </c>
      <c r="BB379" s="107">
        <f>_xlfn.IFNA($M379/VLOOKUP($BV379,'Unit information'!$A$2:$K$29,10,FALSE)*Z379,0)*(1+$E$9)</f>
        <v>0</v>
      </c>
      <c r="BC379" s="108">
        <f>_xlfn.IFNA($M379/VLOOKUP($BV379,'Unit information'!$A$2:$K$29,11,FALSE)*AA379,0)*(1+$E$9)</f>
        <v>0</v>
      </c>
      <c r="BD379" s="106">
        <f t="shared" si="786"/>
        <v>0</v>
      </c>
      <c r="BE379" s="107">
        <f t="shared" si="787"/>
        <v>0</v>
      </c>
      <c r="BF379" s="108">
        <f t="shared" si="788"/>
        <v>0</v>
      </c>
      <c r="BG379" s="25" t="e">
        <f t="shared" si="789"/>
        <v>#N/A</v>
      </c>
      <c r="BH379" s="25" t="e">
        <f t="shared" si="790"/>
        <v>#N/A</v>
      </c>
      <c r="BI379" s="25" t="e">
        <f t="shared" si="791"/>
        <v>#N/A</v>
      </c>
      <c r="BJ379" s="27" t="e">
        <f t="shared" si="792"/>
        <v>#N/A</v>
      </c>
      <c r="BK379" s="18" t="e">
        <f t="shared" si="793"/>
        <v>#N/A</v>
      </c>
      <c r="BL379" s="18" t="e">
        <f t="shared" si="794"/>
        <v>#N/A</v>
      </c>
      <c r="BM379" s="28" t="e">
        <f t="shared" si="846"/>
        <v>#N/A</v>
      </c>
      <c r="BN379" s="33">
        <f>HLOOKUP("maximum population",Miscelaneous!$C$1:$C$33,CH379+3,FALSE)</f>
        <v>240</v>
      </c>
      <c r="BO379" s="14">
        <f t="shared" si="808"/>
        <v>32</v>
      </c>
      <c r="BP379" s="14">
        <f t="shared" si="809"/>
        <v>0</v>
      </c>
      <c r="BQ379" s="14">
        <f t="shared" si="810"/>
        <v>208</v>
      </c>
      <c r="BR379" s="34" t="e">
        <f>HLOOKUP(J379,Villagers!$B$1:$V$33,L379+3,FALSE)-HLOOKUP(J379,Villagers!$B$1:$V$33,L379+2,FALSE)</f>
        <v>#N/A</v>
      </c>
      <c r="BS379" s="49">
        <f t="shared" si="811"/>
        <v>1</v>
      </c>
      <c r="BT379" s="50">
        <f t="shared" si="812"/>
        <v>0</v>
      </c>
      <c r="BU379" s="50">
        <f t="shared" si="813"/>
        <v>0</v>
      </c>
      <c r="BV379" s="50">
        <f t="shared" si="814"/>
        <v>0</v>
      </c>
      <c r="BW379" s="50">
        <f t="shared" si="908"/>
        <v>0</v>
      </c>
      <c r="BX379" s="50">
        <f t="shared" si="906"/>
        <v>0</v>
      </c>
      <c r="BY379" s="50">
        <f t="shared" si="906"/>
        <v>0</v>
      </c>
      <c r="BZ379" s="50">
        <f t="shared" si="860"/>
        <v>0</v>
      </c>
      <c r="CA379" s="50">
        <f t="shared" si="861"/>
        <v>0</v>
      </c>
      <c r="CB379" s="50">
        <f t="shared" si="862"/>
        <v>1</v>
      </c>
      <c r="CC379" s="50">
        <f t="shared" si="863"/>
        <v>0</v>
      </c>
      <c r="CD379" s="50">
        <f t="shared" si="864"/>
        <v>0</v>
      </c>
      <c r="CE379" s="50">
        <f t="shared" si="865"/>
        <v>1</v>
      </c>
      <c r="CF379" s="50">
        <f t="shared" si="866"/>
        <v>1</v>
      </c>
      <c r="CG379" s="50">
        <f t="shared" si="867"/>
        <v>1</v>
      </c>
      <c r="CH379" s="50">
        <f t="shared" si="868"/>
        <v>1</v>
      </c>
      <c r="CI379" s="50">
        <f t="shared" si="869"/>
        <v>1</v>
      </c>
      <c r="CJ379" s="50">
        <f t="shared" si="870"/>
        <v>1</v>
      </c>
      <c r="CK379" s="50">
        <f t="shared" si="870"/>
        <v>0</v>
      </c>
      <c r="CL379" s="50">
        <f t="shared" si="870"/>
        <v>0</v>
      </c>
      <c r="CM379" s="51">
        <f t="shared" si="795"/>
        <v>0</v>
      </c>
      <c r="CN379" s="33">
        <f>ROUND(IF(BS379=0,0,HLOOKUP(BS$14,Villagers!$B$1:$V$33,BS379+3,FALSE)),)</f>
        <v>5</v>
      </c>
      <c r="CO379" s="14">
        <f>ROUND(IF(BT379=0,0,HLOOKUP(BT$14,Villagers!$B$1:$V$33,BT379+3,FALSE)),)</f>
        <v>0</v>
      </c>
      <c r="CP379" s="14">
        <f>ROUND(IF(BU379=0,0,HLOOKUP(BU$14,Villagers!$B$1:$V$33,BU379+3,FALSE)),)</f>
        <v>0</v>
      </c>
      <c r="CQ379" s="14">
        <f>ROUND(IF(BV379=0,0,HLOOKUP(BV$14,Villagers!$B$1:$V$33,BV379+3,FALSE)),)</f>
        <v>0</v>
      </c>
      <c r="CR379" s="14">
        <f>ROUND(IF(BW379=0,0,HLOOKUP(BW$14,Villagers!$B$1:$V$33,BW379+3,FALSE)),)</f>
        <v>0</v>
      </c>
      <c r="CS379" s="14">
        <f>ROUND(IF(BX379=0,0,HLOOKUP(BX$14,Villagers!$B$1:$V$33,BX379+3,FALSE)),)</f>
        <v>0</v>
      </c>
      <c r="CT379" s="14">
        <f>ROUND(IF(BY379=0,0,HLOOKUP(BY$14,Villagers!$B$1:$V$33,BY379+3,FALSE)),)</f>
        <v>0</v>
      </c>
      <c r="CU379" s="14">
        <f>ROUND(IF(BZ379=0,0,HLOOKUP(BZ$14,Villagers!$B$1:$V$33,BZ379+3,FALSE)),)</f>
        <v>0</v>
      </c>
      <c r="CV379" s="14">
        <f>ROUND(IF(CA379=0,0,HLOOKUP(CA$14,Villagers!$B$1:$V$33,CA379+3,FALSE)),)</f>
        <v>0</v>
      </c>
      <c r="CW379" s="14">
        <f>ROUND(IF(CB379=0,0,HLOOKUP(CB$14,Villagers!$B$1:$V$33,CB379+3,FALSE)),)</f>
        <v>0</v>
      </c>
      <c r="CX379" s="14">
        <f>ROUND(IF(CC379=0,0,HLOOKUP(CC$14,Villagers!$B$1:$V$33,CC379+3,FALSE)),)</f>
        <v>0</v>
      </c>
      <c r="CY379" s="14">
        <f>ROUND(IF(CD379=0,0,HLOOKUP(CD$14,Villagers!$B$1:$V$33,CD379+3,FALSE)),)</f>
        <v>0</v>
      </c>
      <c r="CZ379" s="14">
        <f>ROUND(IF(CE379=0,0,HLOOKUP(CE$14,Villagers!$B$1:$V$33,CE379+3,FALSE)),)</f>
        <v>5</v>
      </c>
      <c r="DA379" s="14">
        <f>ROUND(IF(CF379=0,0,HLOOKUP(CF$14,Villagers!$B$1:$V$33,CF379+3,FALSE)),)</f>
        <v>10</v>
      </c>
      <c r="DB379" s="14">
        <f>ROUND(IF(CG379=0,0,HLOOKUP(CG$14,Villagers!$B$1:$V$33,CG379+3,FALSE)),)</f>
        <v>10</v>
      </c>
      <c r="DC379" s="14">
        <f>ROUND(IF(CH379=0,0,HLOOKUP(CH$14,Villagers!$B$1:$V$33,CH379+3,FALSE)),)</f>
        <v>0</v>
      </c>
      <c r="DD379" s="14">
        <f>ROUND(IF(CI379=0,0,HLOOKUP(CI$14,Villagers!$B$1:$V$33,CI379+3,FALSE)),)</f>
        <v>0</v>
      </c>
      <c r="DE379" s="14">
        <f>ROUND(IF(CJ379=0,0,HLOOKUP(CJ$14,Villagers!$B$1:$V$33,CJ379+3,FALSE)),)</f>
        <v>2</v>
      </c>
      <c r="DF379" s="370">
        <f>ROUND(IF(CK379=0,0,HLOOKUP(CK$14,Villagers!$B$1:$V$33,CK379+3,FALSE)),)</f>
        <v>0</v>
      </c>
      <c r="DG379" s="370">
        <f>ROUND(IF(CL379=0,0,HLOOKUP(CL$14,Villagers!$B$1:$V$33,CL379+3,FALSE)),)</f>
        <v>0</v>
      </c>
      <c r="DH379" s="34">
        <f>ROUND(IF(CM379=0,0,HLOOKUP(CM$14,Villagers!$B$1:$V$33,CM379+3,FALSE)),)</f>
        <v>0</v>
      </c>
      <c r="DI379" s="109">
        <f t="shared" si="832"/>
        <v>0</v>
      </c>
      <c r="DJ379" s="50">
        <f t="shared" si="833"/>
        <v>0</v>
      </c>
      <c r="DK379" s="50">
        <f t="shared" si="834"/>
        <v>0</v>
      </c>
      <c r="DL379" s="50">
        <f t="shared" si="835"/>
        <v>0</v>
      </c>
      <c r="DM379" s="50">
        <f t="shared" si="836"/>
        <v>0</v>
      </c>
      <c r="DN379" s="50">
        <f t="shared" si="837"/>
        <v>0</v>
      </c>
      <c r="DO379" s="50">
        <f t="shared" si="838"/>
        <v>0</v>
      </c>
      <c r="DP379" s="50">
        <f t="shared" si="839"/>
        <v>0</v>
      </c>
      <c r="DQ379" s="50">
        <f t="shared" si="816"/>
        <v>0</v>
      </c>
      <c r="DR379" s="50">
        <f t="shared" si="817"/>
        <v>0</v>
      </c>
      <c r="DS379" s="96">
        <f>Miscelaneous!$D$4*Miscelaneous!$D$2^($CI379-1)</f>
        <v>1000</v>
      </c>
      <c r="DT379" s="333">
        <f t="shared" si="796"/>
        <v>1</v>
      </c>
      <c r="DU379" s="81">
        <v>1</v>
      </c>
      <c r="DV379" s="79">
        <f t="shared" si="818"/>
        <v>0</v>
      </c>
      <c r="DW379" s="79">
        <f t="shared" si="819"/>
        <v>0</v>
      </c>
      <c r="DX379" s="79">
        <f t="shared" si="820"/>
        <v>0</v>
      </c>
      <c r="DY379" s="79">
        <v>1</v>
      </c>
      <c r="DZ379" s="79">
        <f t="shared" si="821"/>
        <v>0</v>
      </c>
      <c r="EA379" s="79">
        <f t="shared" si="822"/>
        <v>0</v>
      </c>
      <c r="EB379" s="79">
        <f t="shared" si="823"/>
        <v>0</v>
      </c>
      <c r="EC379" s="79">
        <f t="shared" si="824"/>
        <v>0</v>
      </c>
      <c r="ED379" s="79">
        <v>1</v>
      </c>
      <c r="EE379" s="79">
        <v>1</v>
      </c>
      <c r="EF379" s="79">
        <f t="shared" si="825"/>
        <v>0</v>
      </c>
      <c r="EG379" s="79">
        <v>1</v>
      </c>
      <c r="EH379" s="79">
        <v>1</v>
      </c>
      <c r="EI379" s="79">
        <v>1</v>
      </c>
      <c r="EJ379" s="79">
        <v>1</v>
      </c>
      <c r="EK379" s="79">
        <v>1</v>
      </c>
      <c r="EL379" s="79">
        <v>1</v>
      </c>
      <c r="EM379" s="143">
        <f t="shared" si="826"/>
        <v>0</v>
      </c>
      <c r="EN379" s="143">
        <f t="shared" si="827"/>
        <v>0</v>
      </c>
      <c r="EO379" s="82">
        <f t="shared" si="828"/>
        <v>0</v>
      </c>
    </row>
    <row r="380" spans="1:145" x14ac:dyDescent="0.25">
      <c r="A380">
        <v>366</v>
      </c>
      <c r="B380" s="172" t="e">
        <f t="shared" si="797"/>
        <v>#N/A</v>
      </c>
      <c r="C380" s="121" t="e">
        <f t="shared" ref="C380:E380" si="912">AJ380-SUM(AB380:AB384)</f>
        <v>#N/A</v>
      </c>
      <c r="D380" s="122" t="e">
        <f t="shared" si="912"/>
        <v>#N/A</v>
      </c>
      <c r="E380" s="122" t="e">
        <f t="shared" si="912"/>
        <v>#N/A</v>
      </c>
      <c r="F380" s="176" t="e">
        <f t="shared" si="778"/>
        <v>#N/A</v>
      </c>
      <c r="G380" s="121">
        <f t="shared" si="799"/>
        <v>208</v>
      </c>
      <c r="H380" s="176" t="e">
        <f t="shared" si="800"/>
        <v>#N/A</v>
      </c>
      <c r="I380" s="48">
        <v>1</v>
      </c>
      <c r="J380" s="39"/>
      <c r="K380" s="350">
        <v>1</v>
      </c>
      <c r="L380" s="34" t="e">
        <f t="shared" si="779"/>
        <v>#N/A</v>
      </c>
      <c r="M380" s="38" t="e">
        <f>(HLOOKUP(J380,'Construction Times'!$B$3:$W$34,L380+2,FALSE)*HLOOKUP("hq modifier",'Construction Times'!$W$3:$W$34,BS380+2,FALSE))*(1-$H$9)</f>
        <v>#N/A</v>
      </c>
      <c r="N380" s="426" t="e">
        <f t="shared" si="801"/>
        <v>#N/A</v>
      </c>
      <c r="O380" s="427"/>
      <c r="P380" s="430" t="e">
        <f t="shared" si="802"/>
        <v>#N/A</v>
      </c>
      <c r="Q380" s="431"/>
      <c r="R380" s="103">
        <f t="shared" si="897"/>
        <v>0</v>
      </c>
      <c r="S380" s="104">
        <f t="shared" si="897"/>
        <v>0</v>
      </c>
      <c r="T380" s="104">
        <f t="shared" si="898"/>
        <v>0</v>
      </c>
      <c r="U380" s="104">
        <f t="shared" si="898"/>
        <v>0</v>
      </c>
      <c r="V380" s="104">
        <f t="shared" si="898"/>
        <v>9.9999999999999995E-8</v>
      </c>
      <c r="W380" s="104">
        <f t="shared" si="898"/>
        <v>0</v>
      </c>
      <c r="X380" s="104">
        <f t="shared" si="890"/>
        <v>0</v>
      </c>
      <c r="Y380" s="104">
        <f t="shared" si="890"/>
        <v>9.9999999999999995E-8</v>
      </c>
      <c r="Z380" s="104">
        <f t="shared" si="890"/>
        <v>9.9999999999999995E-8</v>
      </c>
      <c r="AA380" s="105">
        <f t="shared" si="890"/>
        <v>9.9999999999999995E-8</v>
      </c>
      <c r="AB380" s="101" t="e">
        <f>$DT380*HLOOKUP($J380,'Construction Costs (timber)'!$B$1:$V$32,'Construction Planner'!$L380+2,FALSE)</f>
        <v>#N/A</v>
      </c>
      <c r="AC380" s="14" t="e">
        <f>$DT380*HLOOKUP($J380,'Construction Costs (clay)'!$B$1:$V$32,'Construction Planner'!$L380+2,FALSE)</f>
        <v>#N/A</v>
      </c>
      <c r="AD380" s="14" t="e">
        <f>$DT380*HLOOKUP($J380,'Construction Costs (iron)'!$B$1:$V$32,'Construction Planner'!$L380+2,FALSE)</f>
        <v>#N/A</v>
      </c>
      <c r="AE380" s="34" t="e">
        <f t="shared" si="843"/>
        <v>#N/A</v>
      </c>
      <c r="AF380" s="33" t="e">
        <f t="shared" si="780"/>
        <v>#N/A</v>
      </c>
      <c r="AG380" s="14" t="e">
        <f t="shared" si="781"/>
        <v>#N/A</v>
      </c>
      <c r="AH380" s="14" t="e">
        <f t="shared" si="782"/>
        <v>#N/A</v>
      </c>
      <c r="AI380" s="34" t="e">
        <f t="shared" si="844"/>
        <v>#N/A</v>
      </c>
      <c r="AJ380" s="49" t="e">
        <f t="shared" si="804"/>
        <v>#N/A</v>
      </c>
      <c r="AK380" s="49" t="e">
        <f t="shared" si="805"/>
        <v>#N/A</v>
      </c>
      <c r="AL380" s="49" t="e">
        <f t="shared" si="806"/>
        <v>#N/A</v>
      </c>
      <c r="AM380" s="25">
        <f t="shared" si="783"/>
        <v>30</v>
      </c>
      <c r="AN380" s="25">
        <f t="shared" si="784"/>
        <v>30</v>
      </c>
      <c r="AO380" s="25">
        <f t="shared" si="785"/>
        <v>30</v>
      </c>
      <c r="AP380" s="52" t="e">
        <f t="shared" si="894"/>
        <v>#N/A</v>
      </c>
      <c r="AQ380" s="53" t="e">
        <f t="shared" si="894"/>
        <v>#N/A</v>
      </c>
      <c r="AR380" s="54" t="e">
        <f t="shared" si="894"/>
        <v>#N/A</v>
      </c>
      <c r="AS380" s="316">
        <f t="shared" si="902"/>
        <v>0</v>
      </c>
      <c r="AT380" s="106">
        <f>_xlfn.IFNA($M380/VLOOKUP($BT380,'Unit information'!$A$2:$K$29,2,FALSE)*R380,0)*(1+$E$9)</f>
        <v>0</v>
      </c>
      <c r="AU380" s="107">
        <f>_xlfn.IFNA($M380/VLOOKUP($BT380,'Unit information'!$A$2:$K$29,3,FALSE)*S380,0)*(1+$E$9)</f>
        <v>0</v>
      </c>
      <c r="AV380" s="107">
        <f>_xlfn.IFNA($M380/VLOOKUP($BT380,'Unit information'!$A$2:$K$29,4,FALSE)*T380,0)*(1+$E$9)</f>
        <v>0</v>
      </c>
      <c r="AW380" s="107">
        <f>_xlfn.IFNA($M380/VLOOKUP($BT380,'Unit information'!$A$2:$K$29,5,FALSE)*U380,0)*(1+$E$9)</f>
        <v>0</v>
      </c>
      <c r="AX380" s="107">
        <f>_xlfn.IFNA($M380/VLOOKUP($BU380,'Unit information'!$A$2:$K$29,6,FALSE)*V380,0)*(1+$E$9)</f>
        <v>0</v>
      </c>
      <c r="AY380" s="107">
        <f>_xlfn.IFNA($M380/VLOOKUP($BU380,'Unit information'!$A$2:$K$29,7,FALSE)*W380,0)*(1+$E$9)</f>
        <v>0</v>
      </c>
      <c r="AZ380" s="107">
        <f>_xlfn.IFNA($M380/VLOOKUP($BU380,'Unit information'!$A$2:$K$29,8,FALSE)*X380,0)*(1+$E$9)</f>
        <v>0</v>
      </c>
      <c r="BA380" s="107">
        <f>_xlfn.IFNA($M380/VLOOKUP($BU380,'Unit information'!$A$2:$K$29,9,FALSE)*Y380,0)*(1+$E$9)</f>
        <v>0</v>
      </c>
      <c r="BB380" s="107">
        <f>_xlfn.IFNA($M380/VLOOKUP($BV380,'Unit information'!$A$2:$K$29,10,FALSE)*Z380,0)*(1+$E$9)</f>
        <v>0</v>
      </c>
      <c r="BC380" s="108">
        <f>_xlfn.IFNA($M380/VLOOKUP($BV380,'Unit information'!$A$2:$K$29,11,FALSE)*AA380,0)*(1+$E$9)</f>
        <v>0</v>
      </c>
      <c r="BD380" s="106">
        <f t="shared" si="786"/>
        <v>0</v>
      </c>
      <c r="BE380" s="107">
        <f t="shared" si="787"/>
        <v>0</v>
      </c>
      <c r="BF380" s="108">
        <f t="shared" si="788"/>
        <v>0</v>
      </c>
      <c r="BG380" s="25" t="e">
        <f t="shared" si="789"/>
        <v>#N/A</v>
      </c>
      <c r="BH380" s="25" t="e">
        <f t="shared" si="790"/>
        <v>#N/A</v>
      </c>
      <c r="BI380" s="25" t="e">
        <f t="shared" si="791"/>
        <v>#N/A</v>
      </c>
      <c r="BJ380" s="27" t="e">
        <f t="shared" si="792"/>
        <v>#N/A</v>
      </c>
      <c r="BK380" s="18" t="e">
        <f t="shared" si="793"/>
        <v>#N/A</v>
      </c>
      <c r="BL380" s="18" t="e">
        <f t="shared" si="794"/>
        <v>#N/A</v>
      </c>
      <c r="BM380" s="28" t="e">
        <f t="shared" si="846"/>
        <v>#N/A</v>
      </c>
      <c r="BN380" s="33">
        <f>HLOOKUP("maximum population",Miscelaneous!$C$1:$C$33,CH380+3,FALSE)</f>
        <v>240</v>
      </c>
      <c r="BO380" s="14">
        <f t="shared" si="808"/>
        <v>32</v>
      </c>
      <c r="BP380" s="14">
        <f t="shared" si="809"/>
        <v>0</v>
      </c>
      <c r="BQ380" s="14">
        <f t="shared" si="810"/>
        <v>208</v>
      </c>
      <c r="BR380" s="34" t="e">
        <f>HLOOKUP(J380,Villagers!$B$1:$V$33,L380+3,FALSE)-HLOOKUP(J380,Villagers!$B$1:$V$33,L380+2,FALSE)</f>
        <v>#N/A</v>
      </c>
      <c r="BS380" s="49">
        <f t="shared" si="811"/>
        <v>1</v>
      </c>
      <c r="BT380" s="50">
        <f t="shared" si="812"/>
        <v>0</v>
      </c>
      <c r="BU380" s="50">
        <f t="shared" si="813"/>
        <v>0</v>
      </c>
      <c r="BV380" s="50">
        <f t="shared" si="814"/>
        <v>0</v>
      </c>
      <c r="BW380" s="50">
        <f t="shared" si="908"/>
        <v>0</v>
      </c>
      <c r="BX380" s="50">
        <f t="shared" si="906"/>
        <v>0</v>
      </c>
      <c r="BY380" s="50">
        <f t="shared" si="906"/>
        <v>0</v>
      </c>
      <c r="BZ380" s="50">
        <f t="shared" si="860"/>
        <v>0</v>
      </c>
      <c r="CA380" s="50">
        <f t="shared" si="861"/>
        <v>0</v>
      </c>
      <c r="CB380" s="50">
        <f t="shared" si="862"/>
        <v>1</v>
      </c>
      <c r="CC380" s="50">
        <f t="shared" si="863"/>
        <v>0</v>
      </c>
      <c r="CD380" s="50">
        <f t="shared" si="864"/>
        <v>0</v>
      </c>
      <c r="CE380" s="50">
        <f t="shared" si="865"/>
        <v>1</v>
      </c>
      <c r="CF380" s="50">
        <f t="shared" si="866"/>
        <v>1</v>
      </c>
      <c r="CG380" s="50">
        <f t="shared" si="867"/>
        <v>1</v>
      </c>
      <c r="CH380" s="50">
        <f t="shared" si="868"/>
        <v>1</v>
      </c>
      <c r="CI380" s="50">
        <f t="shared" si="869"/>
        <v>1</v>
      </c>
      <c r="CJ380" s="50">
        <f t="shared" si="870"/>
        <v>1</v>
      </c>
      <c r="CK380" s="50">
        <f t="shared" si="870"/>
        <v>0</v>
      </c>
      <c r="CL380" s="50">
        <f t="shared" si="870"/>
        <v>0</v>
      </c>
      <c r="CM380" s="51">
        <f t="shared" si="795"/>
        <v>0</v>
      </c>
      <c r="CN380" s="33">
        <f>ROUND(IF(BS380=0,0,HLOOKUP(BS$14,Villagers!$B$1:$V$33,BS380+3,FALSE)),)</f>
        <v>5</v>
      </c>
      <c r="CO380" s="14">
        <f>ROUND(IF(BT380=0,0,HLOOKUP(BT$14,Villagers!$B$1:$V$33,BT380+3,FALSE)),)</f>
        <v>0</v>
      </c>
      <c r="CP380" s="14">
        <f>ROUND(IF(BU380=0,0,HLOOKUP(BU$14,Villagers!$B$1:$V$33,BU380+3,FALSE)),)</f>
        <v>0</v>
      </c>
      <c r="CQ380" s="14">
        <f>ROUND(IF(BV380=0,0,HLOOKUP(BV$14,Villagers!$B$1:$V$33,BV380+3,FALSE)),)</f>
        <v>0</v>
      </c>
      <c r="CR380" s="14">
        <f>ROUND(IF(BW380=0,0,HLOOKUP(BW$14,Villagers!$B$1:$V$33,BW380+3,FALSE)),)</f>
        <v>0</v>
      </c>
      <c r="CS380" s="14">
        <f>ROUND(IF(BX380=0,0,HLOOKUP(BX$14,Villagers!$B$1:$V$33,BX380+3,FALSE)),)</f>
        <v>0</v>
      </c>
      <c r="CT380" s="14">
        <f>ROUND(IF(BY380=0,0,HLOOKUP(BY$14,Villagers!$B$1:$V$33,BY380+3,FALSE)),)</f>
        <v>0</v>
      </c>
      <c r="CU380" s="14">
        <f>ROUND(IF(BZ380=0,0,HLOOKUP(BZ$14,Villagers!$B$1:$V$33,BZ380+3,FALSE)),)</f>
        <v>0</v>
      </c>
      <c r="CV380" s="14">
        <f>ROUND(IF(CA380=0,0,HLOOKUP(CA$14,Villagers!$B$1:$V$33,CA380+3,FALSE)),)</f>
        <v>0</v>
      </c>
      <c r="CW380" s="14">
        <f>ROUND(IF(CB380=0,0,HLOOKUP(CB$14,Villagers!$B$1:$V$33,CB380+3,FALSE)),)</f>
        <v>0</v>
      </c>
      <c r="CX380" s="14">
        <f>ROUND(IF(CC380=0,0,HLOOKUP(CC$14,Villagers!$B$1:$V$33,CC380+3,FALSE)),)</f>
        <v>0</v>
      </c>
      <c r="CY380" s="14">
        <f>ROUND(IF(CD380=0,0,HLOOKUP(CD$14,Villagers!$B$1:$V$33,CD380+3,FALSE)),)</f>
        <v>0</v>
      </c>
      <c r="CZ380" s="14">
        <f>ROUND(IF(CE380=0,0,HLOOKUP(CE$14,Villagers!$B$1:$V$33,CE380+3,FALSE)),)</f>
        <v>5</v>
      </c>
      <c r="DA380" s="14">
        <f>ROUND(IF(CF380=0,0,HLOOKUP(CF$14,Villagers!$B$1:$V$33,CF380+3,FALSE)),)</f>
        <v>10</v>
      </c>
      <c r="DB380" s="14">
        <f>ROUND(IF(CG380=0,0,HLOOKUP(CG$14,Villagers!$B$1:$V$33,CG380+3,FALSE)),)</f>
        <v>10</v>
      </c>
      <c r="DC380" s="14">
        <f>ROUND(IF(CH380=0,0,HLOOKUP(CH$14,Villagers!$B$1:$V$33,CH380+3,FALSE)),)</f>
        <v>0</v>
      </c>
      <c r="DD380" s="14">
        <f>ROUND(IF(CI380=0,0,HLOOKUP(CI$14,Villagers!$B$1:$V$33,CI380+3,FALSE)),)</f>
        <v>0</v>
      </c>
      <c r="DE380" s="14">
        <f>ROUND(IF(CJ380=0,0,HLOOKUP(CJ$14,Villagers!$B$1:$V$33,CJ380+3,FALSE)),)</f>
        <v>2</v>
      </c>
      <c r="DF380" s="370">
        <f>ROUND(IF(CK380=0,0,HLOOKUP(CK$14,Villagers!$B$1:$V$33,CK380+3,FALSE)),)</f>
        <v>0</v>
      </c>
      <c r="DG380" s="370">
        <f>ROUND(IF(CL380=0,0,HLOOKUP(CL$14,Villagers!$B$1:$V$33,CL380+3,FALSE)),)</f>
        <v>0</v>
      </c>
      <c r="DH380" s="34">
        <f>ROUND(IF(CM380=0,0,HLOOKUP(CM$14,Villagers!$B$1:$V$33,CM380+3,FALSE)),)</f>
        <v>0</v>
      </c>
      <c r="DI380" s="109">
        <f t="shared" si="832"/>
        <v>0</v>
      </c>
      <c r="DJ380" s="50">
        <f t="shared" si="833"/>
        <v>0</v>
      </c>
      <c r="DK380" s="50">
        <f t="shared" si="834"/>
        <v>0</v>
      </c>
      <c r="DL380" s="50">
        <f t="shared" si="835"/>
        <v>0</v>
      </c>
      <c r="DM380" s="50">
        <f t="shared" si="836"/>
        <v>0</v>
      </c>
      <c r="DN380" s="50">
        <f t="shared" si="837"/>
        <v>0</v>
      </c>
      <c r="DO380" s="50">
        <f t="shared" si="838"/>
        <v>0</v>
      </c>
      <c r="DP380" s="50">
        <f t="shared" si="839"/>
        <v>0</v>
      </c>
      <c r="DQ380" s="50">
        <f t="shared" si="816"/>
        <v>0</v>
      </c>
      <c r="DR380" s="50">
        <f t="shared" si="817"/>
        <v>0</v>
      </c>
      <c r="DS380" s="96">
        <f>Miscelaneous!$D$4*Miscelaneous!$D$2^($CI380-1)</f>
        <v>1000</v>
      </c>
      <c r="DT380" s="333">
        <f t="shared" si="796"/>
        <v>1</v>
      </c>
      <c r="DU380" s="81">
        <v>1</v>
      </c>
      <c r="DV380" s="79">
        <f t="shared" si="818"/>
        <v>0</v>
      </c>
      <c r="DW380" s="79">
        <f t="shared" si="819"/>
        <v>0</v>
      </c>
      <c r="DX380" s="79">
        <f t="shared" si="820"/>
        <v>0</v>
      </c>
      <c r="DY380" s="79">
        <v>1</v>
      </c>
      <c r="DZ380" s="79">
        <f t="shared" si="821"/>
        <v>0</v>
      </c>
      <c r="EA380" s="79">
        <f t="shared" si="822"/>
        <v>0</v>
      </c>
      <c r="EB380" s="79">
        <f t="shared" si="823"/>
        <v>0</v>
      </c>
      <c r="EC380" s="79">
        <f t="shared" si="824"/>
        <v>0</v>
      </c>
      <c r="ED380" s="79">
        <v>1</v>
      </c>
      <c r="EE380" s="79">
        <v>1</v>
      </c>
      <c r="EF380" s="79">
        <f t="shared" si="825"/>
        <v>0</v>
      </c>
      <c r="EG380" s="79">
        <v>1</v>
      </c>
      <c r="EH380" s="79">
        <v>1</v>
      </c>
      <c r="EI380" s="79">
        <v>1</v>
      </c>
      <c r="EJ380" s="79">
        <v>1</v>
      </c>
      <c r="EK380" s="79">
        <v>1</v>
      </c>
      <c r="EL380" s="79">
        <v>1</v>
      </c>
      <c r="EM380" s="143">
        <f t="shared" si="826"/>
        <v>0</v>
      </c>
      <c r="EN380" s="143">
        <f t="shared" si="827"/>
        <v>0</v>
      </c>
      <c r="EO380" s="82">
        <f t="shared" si="828"/>
        <v>0</v>
      </c>
    </row>
    <row r="381" spans="1:145" x14ac:dyDescent="0.25">
      <c r="A381">
        <v>367</v>
      </c>
      <c r="B381" s="172" t="e">
        <f t="shared" si="797"/>
        <v>#N/A</v>
      </c>
      <c r="C381" s="121" t="e">
        <f t="shared" ref="C381:E381" si="913">AJ381-SUM(AB381:AB385)</f>
        <v>#N/A</v>
      </c>
      <c r="D381" s="122" t="e">
        <f t="shared" si="913"/>
        <v>#N/A</v>
      </c>
      <c r="E381" s="122" t="e">
        <f t="shared" si="913"/>
        <v>#N/A</v>
      </c>
      <c r="F381" s="176" t="e">
        <f t="shared" si="778"/>
        <v>#N/A</v>
      </c>
      <c r="G381" s="121">
        <f t="shared" si="799"/>
        <v>208</v>
      </c>
      <c r="H381" s="176" t="e">
        <f t="shared" si="800"/>
        <v>#N/A</v>
      </c>
      <c r="I381" s="48">
        <v>1</v>
      </c>
      <c r="J381" s="39"/>
      <c r="K381" s="350">
        <v>1</v>
      </c>
      <c r="L381" s="34" t="e">
        <f t="shared" si="779"/>
        <v>#N/A</v>
      </c>
      <c r="M381" s="38" t="e">
        <f>(HLOOKUP(J381,'Construction Times'!$B$3:$W$34,L381+2,FALSE)*HLOOKUP("hq modifier",'Construction Times'!$W$3:$W$34,BS381+2,FALSE))*(1-$H$9)</f>
        <v>#N/A</v>
      </c>
      <c r="N381" s="426" t="e">
        <f t="shared" si="801"/>
        <v>#N/A</v>
      </c>
      <c r="O381" s="427"/>
      <c r="P381" s="430" t="e">
        <f t="shared" si="802"/>
        <v>#N/A</v>
      </c>
      <c r="Q381" s="431"/>
      <c r="R381" s="103">
        <f t="shared" si="897"/>
        <v>0</v>
      </c>
      <c r="S381" s="104">
        <f t="shared" si="897"/>
        <v>0</v>
      </c>
      <c r="T381" s="104">
        <f t="shared" si="898"/>
        <v>0</v>
      </c>
      <c r="U381" s="104">
        <f t="shared" si="898"/>
        <v>0</v>
      </c>
      <c r="V381" s="104">
        <f t="shared" si="898"/>
        <v>9.9999999999999995E-8</v>
      </c>
      <c r="W381" s="104">
        <f t="shared" si="898"/>
        <v>0</v>
      </c>
      <c r="X381" s="104">
        <f t="shared" si="890"/>
        <v>0</v>
      </c>
      <c r="Y381" s="104">
        <f t="shared" si="890"/>
        <v>9.9999999999999995E-8</v>
      </c>
      <c r="Z381" s="104">
        <f t="shared" si="890"/>
        <v>9.9999999999999995E-8</v>
      </c>
      <c r="AA381" s="105">
        <f t="shared" si="890"/>
        <v>9.9999999999999995E-8</v>
      </c>
      <c r="AB381" s="101" t="e">
        <f>$DT381*HLOOKUP($J381,'Construction Costs (timber)'!$B$1:$V$32,'Construction Planner'!$L381+2,FALSE)</f>
        <v>#N/A</v>
      </c>
      <c r="AC381" s="14" t="e">
        <f>$DT381*HLOOKUP($J381,'Construction Costs (clay)'!$B$1:$V$32,'Construction Planner'!$L381+2,FALSE)</f>
        <v>#N/A</v>
      </c>
      <c r="AD381" s="14" t="e">
        <f>$DT381*HLOOKUP($J381,'Construction Costs (iron)'!$B$1:$V$32,'Construction Planner'!$L381+2,FALSE)</f>
        <v>#N/A</v>
      </c>
      <c r="AE381" s="34" t="e">
        <f t="shared" si="843"/>
        <v>#N/A</v>
      </c>
      <c r="AF381" s="33" t="e">
        <f t="shared" si="780"/>
        <v>#N/A</v>
      </c>
      <c r="AG381" s="14" t="e">
        <f t="shared" si="781"/>
        <v>#N/A</v>
      </c>
      <c r="AH381" s="14" t="e">
        <f t="shared" si="782"/>
        <v>#N/A</v>
      </c>
      <c r="AI381" s="34" t="e">
        <f t="shared" si="844"/>
        <v>#N/A</v>
      </c>
      <c r="AJ381" s="49" t="e">
        <f t="shared" si="804"/>
        <v>#N/A</v>
      </c>
      <c r="AK381" s="49" t="e">
        <f t="shared" si="805"/>
        <v>#N/A</v>
      </c>
      <c r="AL381" s="49" t="e">
        <f t="shared" si="806"/>
        <v>#N/A</v>
      </c>
      <c r="AM381" s="25">
        <f t="shared" si="783"/>
        <v>30</v>
      </c>
      <c r="AN381" s="25">
        <f t="shared" si="784"/>
        <v>30</v>
      </c>
      <c r="AO381" s="25">
        <f t="shared" si="785"/>
        <v>30</v>
      </c>
      <c r="AP381" s="52" t="e">
        <f t="shared" si="894"/>
        <v>#N/A</v>
      </c>
      <c r="AQ381" s="53" t="e">
        <f t="shared" si="894"/>
        <v>#N/A</v>
      </c>
      <c r="AR381" s="54" t="e">
        <f t="shared" si="894"/>
        <v>#N/A</v>
      </c>
      <c r="AS381" s="316">
        <f t="shared" si="902"/>
        <v>0</v>
      </c>
      <c r="AT381" s="106">
        <f>_xlfn.IFNA($M381/VLOOKUP($BT381,'Unit information'!$A$2:$K$29,2,FALSE)*R381,0)*(1+$E$9)</f>
        <v>0</v>
      </c>
      <c r="AU381" s="107">
        <f>_xlfn.IFNA($M381/VLOOKUP($BT381,'Unit information'!$A$2:$K$29,3,FALSE)*S381,0)*(1+$E$9)</f>
        <v>0</v>
      </c>
      <c r="AV381" s="107">
        <f>_xlfn.IFNA($M381/VLOOKUP($BT381,'Unit information'!$A$2:$K$29,4,FALSE)*T381,0)*(1+$E$9)</f>
        <v>0</v>
      </c>
      <c r="AW381" s="107">
        <f>_xlfn.IFNA($M381/VLOOKUP($BT381,'Unit information'!$A$2:$K$29,5,FALSE)*U381,0)*(1+$E$9)</f>
        <v>0</v>
      </c>
      <c r="AX381" s="107">
        <f>_xlfn.IFNA($M381/VLOOKUP($BU381,'Unit information'!$A$2:$K$29,6,FALSE)*V381,0)*(1+$E$9)</f>
        <v>0</v>
      </c>
      <c r="AY381" s="107">
        <f>_xlfn.IFNA($M381/VLOOKUP($BU381,'Unit information'!$A$2:$K$29,7,FALSE)*W381,0)*(1+$E$9)</f>
        <v>0</v>
      </c>
      <c r="AZ381" s="107">
        <f>_xlfn.IFNA($M381/VLOOKUP($BU381,'Unit information'!$A$2:$K$29,8,FALSE)*X381,0)*(1+$E$9)</f>
        <v>0</v>
      </c>
      <c r="BA381" s="107">
        <f>_xlfn.IFNA($M381/VLOOKUP($BU381,'Unit information'!$A$2:$K$29,9,FALSE)*Y381,0)*(1+$E$9)</f>
        <v>0</v>
      </c>
      <c r="BB381" s="107">
        <f>_xlfn.IFNA($M381/VLOOKUP($BV381,'Unit information'!$A$2:$K$29,10,FALSE)*Z381,0)*(1+$E$9)</f>
        <v>0</v>
      </c>
      <c r="BC381" s="108">
        <f>_xlfn.IFNA($M381/VLOOKUP($BV381,'Unit information'!$A$2:$K$29,11,FALSE)*AA381,0)*(1+$E$9)</f>
        <v>0</v>
      </c>
      <c r="BD381" s="106">
        <f t="shared" si="786"/>
        <v>0</v>
      </c>
      <c r="BE381" s="107">
        <f t="shared" si="787"/>
        <v>0</v>
      </c>
      <c r="BF381" s="108">
        <f t="shared" si="788"/>
        <v>0</v>
      </c>
      <c r="BG381" s="25" t="e">
        <f t="shared" si="789"/>
        <v>#N/A</v>
      </c>
      <c r="BH381" s="25" t="e">
        <f t="shared" si="790"/>
        <v>#N/A</v>
      </c>
      <c r="BI381" s="25" t="e">
        <f t="shared" si="791"/>
        <v>#N/A</v>
      </c>
      <c r="BJ381" s="27" t="e">
        <f t="shared" si="792"/>
        <v>#N/A</v>
      </c>
      <c r="BK381" s="18" t="e">
        <f t="shared" si="793"/>
        <v>#N/A</v>
      </c>
      <c r="BL381" s="18" t="e">
        <f t="shared" si="794"/>
        <v>#N/A</v>
      </c>
      <c r="BM381" s="28" t="e">
        <f t="shared" si="846"/>
        <v>#N/A</v>
      </c>
      <c r="BN381" s="33">
        <f>HLOOKUP("maximum population",Miscelaneous!$C$1:$C$33,CH381+3,FALSE)</f>
        <v>240</v>
      </c>
      <c r="BO381" s="14">
        <f t="shared" si="808"/>
        <v>32</v>
      </c>
      <c r="BP381" s="14">
        <f t="shared" si="809"/>
        <v>0</v>
      </c>
      <c r="BQ381" s="14">
        <f t="shared" si="810"/>
        <v>208</v>
      </c>
      <c r="BR381" s="34" t="e">
        <f>HLOOKUP(J381,Villagers!$B$1:$V$33,L381+3,FALSE)-HLOOKUP(J381,Villagers!$B$1:$V$33,L381+2,FALSE)</f>
        <v>#N/A</v>
      </c>
      <c r="BS381" s="49">
        <f t="shared" si="811"/>
        <v>1</v>
      </c>
      <c r="BT381" s="50">
        <f t="shared" si="812"/>
        <v>0</v>
      </c>
      <c r="BU381" s="50">
        <f t="shared" si="813"/>
        <v>0</v>
      </c>
      <c r="BV381" s="50">
        <f t="shared" si="814"/>
        <v>0</v>
      </c>
      <c r="BW381" s="50">
        <f t="shared" si="908"/>
        <v>0</v>
      </c>
      <c r="BX381" s="50">
        <f t="shared" si="906"/>
        <v>0</v>
      </c>
      <c r="BY381" s="50">
        <f t="shared" si="906"/>
        <v>0</v>
      </c>
      <c r="BZ381" s="50">
        <f t="shared" si="860"/>
        <v>0</v>
      </c>
      <c r="CA381" s="50">
        <f t="shared" si="861"/>
        <v>0</v>
      </c>
      <c r="CB381" s="50">
        <f t="shared" si="862"/>
        <v>1</v>
      </c>
      <c r="CC381" s="50">
        <f t="shared" si="863"/>
        <v>0</v>
      </c>
      <c r="CD381" s="50">
        <f t="shared" si="864"/>
        <v>0</v>
      </c>
      <c r="CE381" s="50">
        <f t="shared" si="865"/>
        <v>1</v>
      </c>
      <c r="CF381" s="50">
        <f t="shared" si="866"/>
        <v>1</v>
      </c>
      <c r="CG381" s="50">
        <f t="shared" si="867"/>
        <v>1</v>
      </c>
      <c r="CH381" s="50">
        <f t="shared" si="868"/>
        <v>1</v>
      </c>
      <c r="CI381" s="50">
        <f t="shared" si="869"/>
        <v>1</v>
      </c>
      <c r="CJ381" s="50">
        <f t="shared" si="870"/>
        <v>1</v>
      </c>
      <c r="CK381" s="50">
        <f t="shared" si="870"/>
        <v>0</v>
      </c>
      <c r="CL381" s="50">
        <f t="shared" si="870"/>
        <v>0</v>
      </c>
      <c r="CM381" s="51">
        <f t="shared" si="795"/>
        <v>0</v>
      </c>
      <c r="CN381" s="33">
        <f>ROUND(IF(BS381=0,0,HLOOKUP(BS$14,Villagers!$B$1:$V$33,BS381+3,FALSE)),)</f>
        <v>5</v>
      </c>
      <c r="CO381" s="14">
        <f>ROUND(IF(BT381=0,0,HLOOKUP(BT$14,Villagers!$B$1:$V$33,BT381+3,FALSE)),)</f>
        <v>0</v>
      </c>
      <c r="CP381" s="14">
        <f>ROUND(IF(BU381=0,0,HLOOKUP(BU$14,Villagers!$B$1:$V$33,BU381+3,FALSE)),)</f>
        <v>0</v>
      </c>
      <c r="CQ381" s="14">
        <f>ROUND(IF(BV381=0,0,HLOOKUP(BV$14,Villagers!$B$1:$V$33,BV381+3,FALSE)),)</f>
        <v>0</v>
      </c>
      <c r="CR381" s="14">
        <f>ROUND(IF(BW381=0,0,HLOOKUP(BW$14,Villagers!$B$1:$V$33,BW381+3,FALSE)),)</f>
        <v>0</v>
      </c>
      <c r="CS381" s="14">
        <f>ROUND(IF(BX381=0,0,HLOOKUP(BX$14,Villagers!$B$1:$V$33,BX381+3,FALSE)),)</f>
        <v>0</v>
      </c>
      <c r="CT381" s="14">
        <f>ROUND(IF(BY381=0,0,HLOOKUP(BY$14,Villagers!$B$1:$V$33,BY381+3,FALSE)),)</f>
        <v>0</v>
      </c>
      <c r="CU381" s="14">
        <f>ROUND(IF(BZ381=0,0,HLOOKUP(BZ$14,Villagers!$B$1:$V$33,BZ381+3,FALSE)),)</f>
        <v>0</v>
      </c>
      <c r="CV381" s="14">
        <f>ROUND(IF(CA381=0,0,HLOOKUP(CA$14,Villagers!$B$1:$V$33,CA381+3,FALSE)),)</f>
        <v>0</v>
      </c>
      <c r="CW381" s="14">
        <f>ROUND(IF(CB381=0,0,HLOOKUP(CB$14,Villagers!$B$1:$V$33,CB381+3,FALSE)),)</f>
        <v>0</v>
      </c>
      <c r="CX381" s="14">
        <f>ROUND(IF(CC381=0,0,HLOOKUP(CC$14,Villagers!$B$1:$V$33,CC381+3,FALSE)),)</f>
        <v>0</v>
      </c>
      <c r="CY381" s="14">
        <f>ROUND(IF(CD381=0,0,HLOOKUP(CD$14,Villagers!$B$1:$V$33,CD381+3,FALSE)),)</f>
        <v>0</v>
      </c>
      <c r="CZ381" s="14">
        <f>ROUND(IF(CE381=0,0,HLOOKUP(CE$14,Villagers!$B$1:$V$33,CE381+3,FALSE)),)</f>
        <v>5</v>
      </c>
      <c r="DA381" s="14">
        <f>ROUND(IF(CF381=0,0,HLOOKUP(CF$14,Villagers!$B$1:$V$33,CF381+3,FALSE)),)</f>
        <v>10</v>
      </c>
      <c r="DB381" s="14">
        <f>ROUND(IF(CG381=0,0,HLOOKUP(CG$14,Villagers!$B$1:$V$33,CG381+3,FALSE)),)</f>
        <v>10</v>
      </c>
      <c r="DC381" s="14">
        <f>ROUND(IF(CH381=0,0,HLOOKUP(CH$14,Villagers!$B$1:$V$33,CH381+3,FALSE)),)</f>
        <v>0</v>
      </c>
      <c r="DD381" s="14">
        <f>ROUND(IF(CI381=0,0,HLOOKUP(CI$14,Villagers!$B$1:$V$33,CI381+3,FALSE)),)</f>
        <v>0</v>
      </c>
      <c r="DE381" s="14">
        <f>ROUND(IF(CJ381=0,0,HLOOKUP(CJ$14,Villagers!$B$1:$V$33,CJ381+3,FALSE)),)</f>
        <v>2</v>
      </c>
      <c r="DF381" s="370">
        <f>ROUND(IF(CK381=0,0,HLOOKUP(CK$14,Villagers!$B$1:$V$33,CK381+3,FALSE)),)</f>
        <v>0</v>
      </c>
      <c r="DG381" s="370">
        <f>ROUND(IF(CL381=0,0,HLOOKUP(CL$14,Villagers!$B$1:$V$33,CL381+3,FALSE)),)</f>
        <v>0</v>
      </c>
      <c r="DH381" s="34">
        <f>ROUND(IF(CM381=0,0,HLOOKUP(CM$14,Villagers!$B$1:$V$33,CM381+3,FALSE)),)</f>
        <v>0</v>
      </c>
      <c r="DI381" s="109">
        <f t="shared" si="832"/>
        <v>0</v>
      </c>
      <c r="DJ381" s="50">
        <f t="shared" si="833"/>
        <v>0</v>
      </c>
      <c r="DK381" s="50">
        <f t="shared" si="834"/>
        <v>0</v>
      </c>
      <c r="DL381" s="50">
        <f t="shared" si="835"/>
        <v>0</v>
      </c>
      <c r="DM381" s="50">
        <f t="shared" si="836"/>
        <v>0</v>
      </c>
      <c r="DN381" s="50">
        <f t="shared" si="837"/>
        <v>0</v>
      </c>
      <c r="DO381" s="50">
        <f t="shared" si="838"/>
        <v>0</v>
      </c>
      <c r="DP381" s="50">
        <f t="shared" si="839"/>
        <v>0</v>
      </c>
      <c r="DQ381" s="50">
        <f t="shared" si="816"/>
        <v>0</v>
      </c>
      <c r="DR381" s="50">
        <f t="shared" si="817"/>
        <v>0</v>
      </c>
      <c r="DS381" s="96">
        <f>Miscelaneous!$D$4*Miscelaneous!$D$2^($CI381-1)</f>
        <v>1000</v>
      </c>
      <c r="DT381" s="333">
        <f t="shared" si="796"/>
        <v>1</v>
      </c>
      <c r="DU381" s="81">
        <v>1</v>
      </c>
      <c r="DV381" s="79">
        <f t="shared" si="818"/>
        <v>0</v>
      </c>
      <c r="DW381" s="79">
        <f t="shared" si="819"/>
        <v>0</v>
      </c>
      <c r="DX381" s="79">
        <f t="shared" si="820"/>
        <v>0</v>
      </c>
      <c r="DY381" s="79">
        <v>1</v>
      </c>
      <c r="DZ381" s="79">
        <f t="shared" si="821"/>
        <v>0</v>
      </c>
      <c r="EA381" s="79">
        <f t="shared" si="822"/>
        <v>0</v>
      </c>
      <c r="EB381" s="79">
        <f t="shared" si="823"/>
        <v>0</v>
      </c>
      <c r="EC381" s="79">
        <f t="shared" si="824"/>
        <v>0</v>
      </c>
      <c r="ED381" s="79">
        <v>1</v>
      </c>
      <c r="EE381" s="79">
        <v>1</v>
      </c>
      <c r="EF381" s="79">
        <f t="shared" si="825"/>
        <v>0</v>
      </c>
      <c r="EG381" s="79">
        <v>1</v>
      </c>
      <c r="EH381" s="79">
        <v>1</v>
      </c>
      <c r="EI381" s="79">
        <v>1</v>
      </c>
      <c r="EJ381" s="79">
        <v>1</v>
      </c>
      <c r="EK381" s="79">
        <v>1</v>
      </c>
      <c r="EL381" s="79">
        <v>1</v>
      </c>
      <c r="EM381" s="143">
        <f t="shared" si="826"/>
        <v>0</v>
      </c>
      <c r="EN381" s="143">
        <f t="shared" si="827"/>
        <v>0</v>
      </c>
      <c r="EO381" s="82">
        <f t="shared" si="828"/>
        <v>0</v>
      </c>
    </row>
    <row r="382" spans="1:145" x14ac:dyDescent="0.25">
      <c r="A382">
        <v>368</v>
      </c>
      <c r="B382" s="172" t="e">
        <f t="shared" si="797"/>
        <v>#N/A</v>
      </c>
      <c r="C382" s="121" t="e">
        <f t="shared" ref="C382:E382" si="914">AJ382-SUM(AB382:AB386)</f>
        <v>#N/A</v>
      </c>
      <c r="D382" s="122" t="e">
        <f t="shared" si="914"/>
        <v>#N/A</v>
      </c>
      <c r="E382" s="122" t="e">
        <f t="shared" si="914"/>
        <v>#N/A</v>
      </c>
      <c r="F382" s="176" t="e">
        <f t="shared" si="778"/>
        <v>#N/A</v>
      </c>
      <c r="G382" s="121">
        <f t="shared" si="799"/>
        <v>208</v>
      </c>
      <c r="H382" s="176" t="e">
        <f t="shared" si="800"/>
        <v>#N/A</v>
      </c>
      <c r="I382" s="48">
        <v>1</v>
      </c>
      <c r="J382" s="39"/>
      <c r="K382" s="350">
        <v>1</v>
      </c>
      <c r="L382" s="34" t="e">
        <f t="shared" si="779"/>
        <v>#N/A</v>
      </c>
      <c r="M382" s="38" t="e">
        <f>(HLOOKUP(J382,'Construction Times'!$B$3:$W$34,L382+2,FALSE)*HLOOKUP("hq modifier",'Construction Times'!$W$3:$W$34,BS382+2,FALSE))*(1-$H$9)</f>
        <v>#N/A</v>
      </c>
      <c r="N382" s="426" t="e">
        <f t="shared" si="801"/>
        <v>#N/A</v>
      </c>
      <c r="O382" s="427"/>
      <c r="P382" s="430" t="e">
        <f t="shared" si="802"/>
        <v>#N/A</v>
      </c>
      <c r="Q382" s="431"/>
      <c r="R382" s="103">
        <f t="shared" si="897"/>
        <v>0</v>
      </c>
      <c r="S382" s="104">
        <f t="shared" si="897"/>
        <v>0</v>
      </c>
      <c r="T382" s="104">
        <f t="shared" si="898"/>
        <v>0</v>
      </c>
      <c r="U382" s="104">
        <f t="shared" si="898"/>
        <v>0</v>
      </c>
      <c r="V382" s="104">
        <f t="shared" si="898"/>
        <v>9.9999999999999995E-8</v>
      </c>
      <c r="W382" s="104">
        <f t="shared" si="898"/>
        <v>0</v>
      </c>
      <c r="X382" s="104">
        <f t="shared" si="890"/>
        <v>0</v>
      </c>
      <c r="Y382" s="104">
        <f t="shared" si="890"/>
        <v>9.9999999999999995E-8</v>
      </c>
      <c r="Z382" s="104">
        <f t="shared" si="890"/>
        <v>9.9999999999999995E-8</v>
      </c>
      <c r="AA382" s="105">
        <f t="shared" si="890"/>
        <v>9.9999999999999995E-8</v>
      </c>
      <c r="AB382" s="101" t="e">
        <f>$DT382*HLOOKUP($J382,'Construction Costs (timber)'!$B$1:$V$32,'Construction Planner'!$L382+2,FALSE)</f>
        <v>#N/A</v>
      </c>
      <c r="AC382" s="14" t="e">
        <f>$DT382*HLOOKUP($J382,'Construction Costs (clay)'!$B$1:$V$32,'Construction Planner'!$L382+2,FALSE)</f>
        <v>#N/A</v>
      </c>
      <c r="AD382" s="14" t="e">
        <f>$DT382*HLOOKUP($J382,'Construction Costs (iron)'!$B$1:$V$32,'Construction Planner'!$L382+2,FALSE)</f>
        <v>#N/A</v>
      </c>
      <c r="AE382" s="34" t="e">
        <f t="shared" si="843"/>
        <v>#N/A</v>
      </c>
      <c r="AF382" s="33" t="e">
        <f t="shared" si="780"/>
        <v>#N/A</v>
      </c>
      <c r="AG382" s="14" t="e">
        <f t="shared" si="781"/>
        <v>#N/A</v>
      </c>
      <c r="AH382" s="14" t="e">
        <f t="shared" si="782"/>
        <v>#N/A</v>
      </c>
      <c r="AI382" s="34" t="e">
        <f t="shared" si="844"/>
        <v>#N/A</v>
      </c>
      <c r="AJ382" s="49" t="e">
        <f t="shared" si="804"/>
        <v>#N/A</v>
      </c>
      <c r="AK382" s="49" t="e">
        <f t="shared" si="805"/>
        <v>#N/A</v>
      </c>
      <c r="AL382" s="49" t="e">
        <f t="shared" si="806"/>
        <v>#N/A</v>
      </c>
      <c r="AM382" s="25">
        <f t="shared" si="783"/>
        <v>30</v>
      </c>
      <c r="AN382" s="25">
        <f t="shared" si="784"/>
        <v>30</v>
      </c>
      <c r="AO382" s="25">
        <f t="shared" si="785"/>
        <v>30</v>
      </c>
      <c r="AP382" s="52" t="e">
        <f t="shared" si="894"/>
        <v>#N/A</v>
      </c>
      <c r="AQ382" s="53" t="e">
        <f t="shared" si="894"/>
        <v>#N/A</v>
      </c>
      <c r="AR382" s="54" t="e">
        <f t="shared" si="894"/>
        <v>#N/A</v>
      </c>
      <c r="AS382" s="316">
        <f t="shared" si="902"/>
        <v>0</v>
      </c>
      <c r="AT382" s="106">
        <f>_xlfn.IFNA($M382/VLOOKUP($BT382,'Unit information'!$A$2:$K$29,2,FALSE)*R382,0)*(1+$E$9)</f>
        <v>0</v>
      </c>
      <c r="AU382" s="107">
        <f>_xlfn.IFNA($M382/VLOOKUP($BT382,'Unit information'!$A$2:$K$29,3,FALSE)*S382,0)*(1+$E$9)</f>
        <v>0</v>
      </c>
      <c r="AV382" s="107">
        <f>_xlfn.IFNA($M382/VLOOKUP($BT382,'Unit information'!$A$2:$K$29,4,FALSE)*T382,0)*(1+$E$9)</f>
        <v>0</v>
      </c>
      <c r="AW382" s="107">
        <f>_xlfn.IFNA($M382/VLOOKUP($BT382,'Unit information'!$A$2:$K$29,5,FALSE)*U382,0)*(1+$E$9)</f>
        <v>0</v>
      </c>
      <c r="AX382" s="107">
        <f>_xlfn.IFNA($M382/VLOOKUP($BU382,'Unit information'!$A$2:$K$29,6,FALSE)*V382,0)*(1+$E$9)</f>
        <v>0</v>
      </c>
      <c r="AY382" s="107">
        <f>_xlfn.IFNA($M382/VLOOKUP($BU382,'Unit information'!$A$2:$K$29,7,FALSE)*W382,0)*(1+$E$9)</f>
        <v>0</v>
      </c>
      <c r="AZ382" s="107">
        <f>_xlfn.IFNA($M382/VLOOKUP($BU382,'Unit information'!$A$2:$K$29,8,FALSE)*X382,0)*(1+$E$9)</f>
        <v>0</v>
      </c>
      <c r="BA382" s="107">
        <f>_xlfn.IFNA($M382/VLOOKUP($BU382,'Unit information'!$A$2:$K$29,9,FALSE)*Y382,0)*(1+$E$9)</f>
        <v>0</v>
      </c>
      <c r="BB382" s="107">
        <f>_xlfn.IFNA($M382/VLOOKUP($BV382,'Unit information'!$A$2:$K$29,10,FALSE)*Z382,0)*(1+$E$9)</f>
        <v>0</v>
      </c>
      <c r="BC382" s="108">
        <f>_xlfn.IFNA($M382/VLOOKUP($BV382,'Unit information'!$A$2:$K$29,11,FALSE)*AA382,0)*(1+$E$9)</f>
        <v>0</v>
      </c>
      <c r="BD382" s="106">
        <f t="shared" si="786"/>
        <v>0</v>
      </c>
      <c r="BE382" s="107">
        <f t="shared" si="787"/>
        <v>0</v>
      </c>
      <c r="BF382" s="108">
        <f t="shared" si="788"/>
        <v>0</v>
      </c>
      <c r="BG382" s="25" t="e">
        <f t="shared" si="789"/>
        <v>#N/A</v>
      </c>
      <c r="BH382" s="25" t="e">
        <f t="shared" si="790"/>
        <v>#N/A</v>
      </c>
      <c r="BI382" s="25" t="e">
        <f t="shared" si="791"/>
        <v>#N/A</v>
      </c>
      <c r="BJ382" s="27" t="e">
        <f t="shared" si="792"/>
        <v>#N/A</v>
      </c>
      <c r="BK382" s="18" t="e">
        <f t="shared" si="793"/>
        <v>#N/A</v>
      </c>
      <c r="BL382" s="18" t="e">
        <f t="shared" si="794"/>
        <v>#N/A</v>
      </c>
      <c r="BM382" s="28" t="e">
        <f t="shared" si="846"/>
        <v>#N/A</v>
      </c>
      <c r="BN382" s="33">
        <f>HLOOKUP("maximum population",Miscelaneous!$C$1:$C$33,CH382+3,FALSE)</f>
        <v>240</v>
      </c>
      <c r="BO382" s="14">
        <f t="shared" si="808"/>
        <v>32</v>
      </c>
      <c r="BP382" s="14">
        <f t="shared" si="809"/>
        <v>0</v>
      </c>
      <c r="BQ382" s="14">
        <f t="shared" si="810"/>
        <v>208</v>
      </c>
      <c r="BR382" s="34" t="e">
        <f>HLOOKUP(J382,Villagers!$B$1:$V$33,L382+3,FALSE)-HLOOKUP(J382,Villagers!$B$1:$V$33,L382+2,FALSE)</f>
        <v>#N/A</v>
      </c>
      <c r="BS382" s="49">
        <f t="shared" si="811"/>
        <v>1</v>
      </c>
      <c r="BT382" s="50">
        <f t="shared" si="812"/>
        <v>0</v>
      </c>
      <c r="BU382" s="50">
        <f t="shared" si="813"/>
        <v>0</v>
      </c>
      <c r="BV382" s="50">
        <f t="shared" si="814"/>
        <v>0</v>
      </c>
      <c r="BW382" s="50">
        <f t="shared" si="908"/>
        <v>0</v>
      </c>
      <c r="BX382" s="50">
        <f t="shared" si="906"/>
        <v>0</v>
      </c>
      <c r="BY382" s="50">
        <f t="shared" si="906"/>
        <v>0</v>
      </c>
      <c r="BZ382" s="50">
        <f t="shared" si="860"/>
        <v>0</v>
      </c>
      <c r="CA382" s="50">
        <f t="shared" si="861"/>
        <v>0</v>
      </c>
      <c r="CB382" s="50">
        <f t="shared" si="862"/>
        <v>1</v>
      </c>
      <c r="CC382" s="50">
        <f t="shared" si="863"/>
        <v>0</v>
      </c>
      <c r="CD382" s="50">
        <f t="shared" si="864"/>
        <v>0</v>
      </c>
      <c r="CE382" s="50">
        <f t="shared" si="865"/>
        <v>1</v>
      </c>
      <c r="CF382" s="50">
        <f t="shared" si="866"/>
        <v>1</v>
      </c>
      <c r="CG382" s="50">
        <f t="shared" si="867"/>
        <v>1</v>
      </c>
      <c r="CH382" s="50">
        <f t="shared" si="868"/>
        <v>1</v>
      </c>
      <c r="CI382" s="50">
        <f t="shared" si="869"/>
        <v>1</v>
      </c>
      <c r="CJ382" s="50">
        <f t="shared" si="870"/>
        <v>1</v>
      </c>
      <c r="CK382" s="50">
        <f t="shared" si="870"/>
        <v>0</v>
      </c>
      <c r="CL382" s="50">
        <f t="shared" si="870"/>
        <v>0</v>
      </c>
      <c r="CM382" s="51">
        <f t="shared" si="795"/>
        <v>0</v>
      </c>
      <c r="CN382" s="33">
        <f>ROUND(IF(BS382=0,0,HLOOKUP(BS$14,Villagers!$B$1:$V$33,BS382+3,FALSE)),)</f>
        <v>5</v>
      </c>
      <c r="CO382" s="14">
        <f>ROUND(IF(BT382=0,0,HLOOKUP(BT$14,Villagers!$B$1:$V$33,BT382+3,FALSE)),)</f>
        <v>0</v>
      </c>
      <c r="CP382" s="14">
        <f>ROUND(IF(BU382=0,0,HLOOKUP(BU$14,Villagers!$B$1:$V$33,BU382+3,FALSE)),)</f>
        <v>0</v>
      </c>
      <c r="CQ382" s="14">
        <f>ROUND(IF(BV382=0,0,HLOOKUP(BV$14,Villagers!$B$1:$V$33,BV382+3,FALSE)),)</f>
        <v>0</v>
      </c>
      <c r="CR382" s="14">
        <f>ROUND(IF(BW382=0,0,HLOOKUP(BW$14,Villagers!$B$1:$V$33,BW382+3,FALSE)),)</f>
        <v>0</v>
      </c>
      <c r="CS382" s="14">
        <f>ROUND(IF(BX382=0,0,HLOOKUP(BX$14,Villagers!$B$1:$V$33,BX382+3,FALSE)),)</f>
        <v>0</v>
      </c>
      <c r="CT382" s="14">
        <f>ROUND(IF(BY382=0,0,HLOOKUP(BY$14,Villagers!$B$1:$V$33,BY382+3,FALSE)),)</f>
        <v>0</v>
      </c>
      <c r="CU382" s="14">
        <f>ROUND(IF(BZ382=0,0,HLOOKUP(BZ$14,Villagers!$B$1:$V$33,BZ382+3,FALSE)),)</f>
        <v>0</v>
      </c>
      <c r="CV382" s="14">
        <f>ROUND(IF(CA382=0,0,HLOOKUP(CA$14,Villagers!$B$1:$V$33,CA382+3,FALSE)),)</f>
        <v>0</v>
      </c>
      <c r="CW382" s="14">
        <f>ROUND(IF(CB382=0,0,HLOOKUP(CB$14,Villagers!$B$1:$V$33,CB382+3,FALSE)),)</f>
        <v>0</v>
      </c>
      <c r="CX382" s="14">
        <f>ROUND(IF(CC382=0,0,HLOOKUP(CC$14,Villagers!$B$1:$V$33,CC382+3,FALSE)),)</f>
        <v>0</v>
      </c>
      <c r="CY382" s="14">
        <f>ROUND(IF(CD382=0,0,HLOOKUP(CD$14,Villagers!$B$1:$V$33,CD382+3,FALSE)),)</f>
        <v>0</v>
      </c>
      <c r="CZ382" s="14">
        <f>ROUND(IF(CE382=0,0,HLOOKUP(CE$14,Villagers!$B$1:$V$33,CE382+3,FALSE)),)</f>
        <v>5</v>
      </c>
      <c r="DA382" s="14">
        <f>ROUND(IF(CF382=0,0,HLOOKUP(CF$14,Villagers!$B$1:$V$33,CF382+3,FALSE)),)</f>
        <v>10</v>
      </c>
      <c r="DB382" s="14">
        <f>ROUND(IF(CG382=0,0,HLOOKUP(CG$14,Villagers!$B$1:$V$33,CG382+3,FALSE)),)</f>
        <v>10</v>
      </c>
      <c r="DC382" s="14">
        <f>ROUND(IF(CH382=0,0,HLOOKUP(CH$14,Villagers!$B$1:$V$33,CH382+3,FALSE)),)</f>
        <v>0</v>
      </c>
      <c r="DD382" s="14">
        <f>ROUND(IF(CI382=0,0,HLOOKUP(CI$14,Villagers!$B$1:$V$33,CI382+3,FALSE)),)</f>
        <v>0</v>
      </c>
      <c r="DE382" s="14">
        <f>ROUND(IF(CJ382=0,0,HLOOKUP(CJ$14,Villagers!$B$1:$V$33,CJ382+3,FALSE)),)</f>
        <v>2</v>
      </c>
      <c r="DF382" s="370">
        <f>ROUND(IF(CK382=0,0,HLOOKUP(CK$14,Villagers!$B$1:$V$33,CK382+3,FALSE)),)</f>
        <v>0</v>
      </c>
      <c r="DG382" s="370">
        <f>ROUND(IF(CL382=0,0,HLOOKUP(CL$14,Villagers!$B$1:$V$33,CL382+3,FALSE)),)</f>
        <v>0</v>
      </c>
      <c r="DH382" s="34">
        <f>ROUND(IF(CM382=0,0,HLOOKUP(CM$14,Villagers!$B$1:$V$33,CM382+3,FALSE)),)</f>
        <v>0</v>
      </c>
      <c r="DI382" s="109">
        <f t="shared" si="832"/>
        <v>0</v>
      </c>
      <c r="DJ382" s="50">
        <f t="shared" si="833"/>
        <v>0</v>
      </c>
      <c r="DK382" s="50">
        <f t="shared" si="834"/>
        <v>0</v>
      </c>
      <c r="DL382" s="50">
        <f t="shared" si="835"/>
        <v>0</v>
      </c>
      <c r="DM382" s="50">
        <f t="shared" si="836"/>
        <v>0</v>
      </c>
      <c r="DN382" s="50">
        <f t="shared" si="837"/>
        <v>0</v>
      </c>
      <c r="DO382" s="50">
        <f t="shared" si="838"/>
        <v>0</v>
      </c>
      <c r="DP382" s="50">
        <f t="shared" si="839"/>
        <v>0</v>
      </c>
      <c r="DQ382" s="50">
        <f t="shared" si="816"/>
        <v>0</v>
      </c>
      <c r="DR382" s="50">
        <f t="shared" si="817"/>
        <v>0</v>
      </c>
      <c r="DS382" s="96">
        <f>Miscelaneous!$D$4*Miscelaneous!$D$2^($CI382-1)</f>
        <v>1000</v>
      </c>
      <c r="DT382" s="333">
        <f t="shared" si="796"/>
        <v>1</v>
      </c>
      <c r="DU382" s="81">
        <v>1</v>
      </c>
      <c r="DV382" s="79">
        <f t="shared" si="818"/>
        <v>0</v>
      </c>
      <c r="DW382" s="79">
        <f t="shared" si="819"/>
        <v>0</v>
      </c>
      <c r="DX382" s="79">
        <f t="shared" si="820"/>
        <v>0</v>
      </c>
      <c r="DY382" s="79">
        <v>1</v>
      </c>
      <c r="DZ382" s="79">
        <f t="shared" si="821"/>
        <v>0</v>
      </c>
      <c r="EA382" s="79">
        <f t="shared" si="822"/>
        <v>0</v>
      </c>
      <c r="EB382" s="79">
        <f t="shared" si="823"/>
        <v>0</v>
      </c>
      <c r="EC382" s="79">
        <f t="shared" si="824"/>
        <v>0</v>
      </c>
      <c r="ED382" s="79">
        <v>1</v>
      </c>
      <c r="EE382" s="79">
        <v>1</v>
      </c>
      <c r="EF382" s="79">
        <f t="shared" si="825"/>
        <v>0</v>
      </c>
      <c r="EG382" s="79">
        <v>1</v>
      </c>
      <c r="EH382" s="79">
        <v>1</v>
      </c>
      <c r="EI382" s="79">
        <v>1</v>
      </c>
      <c r="EJ382" s="79">
        <v>1</v>
      </c>
      <c r="EK382" s="79">
        <v>1</v>
      </c>
      <c r="EL382" s="79">
        <v>1</v>
      </c>
      <c r="EM382" s="143">
        <f t="shared" si="826"/>
        <v>0</v>
      </c>
      <c r="EN382" s="143">
        <f t="shared" si="827"/>
        <v>0</v>
      </c>
      <c r="EO382" s="82">
        <f t="shared" si="828"/>
        <v>0</v>
      </c>
    </row>
    <row r="383" spans="1:145" x14ac:dyDescent="0.25">
      <c r="A383">
        <v>369</v>
      </c>
      <c r="B383" s="172" t="e">
        <f t="shared" si="797"/>
        <v>#N/A</v>
      </c>
      <c r="C383" s="121" t="e">
        <f t="shared" ref="C383:E383" si="915">AJ383-SUM(AB383:AB387)</f>
        <v>#N/A</v>
      </c>
      <c r="D383" s="122" t="e">
        <f t="shared" si="915"/>
        <v>#N/A</v>
      </c>
      <c r="E383" s="122" t="e">
        <f t="shared" si="915"/>
        <v>#N/A</v>
      </c>
      <c r="F383" s="176" t="e">
        <f t="shared" si="778"/>
        <v>#N/A</v>
      </c>
      <c r="G383" s="121">
        <f t="shared" si="799"/>
        <v>208</v>
      </c>
      <c r="H383" s="176" t="e">
        <f t="shared" si="800"/>
        <v>#N/A</v>
      </c>
      <c r="I383" s="48">
        <v>1</v>
      </c>
      <c r="J383" s="39"/>
      <c r="K383" s="350">
        <v>1</v>
      </c>
      <c r="L383" s="34" t="e">
        <f t="shared" si="779"/>
        <v>#N/A</v>
      </c>
      <c r="M383" s="38" t="e">
        <f>(HLOOKUP(J383,'Construction Times'!$B$3:$W$34,L383+2,FALSE)*HLOOKUP("hq modifier",'Construction Times'!$W$3:$W$34,BS383+2,FALSE))*(1-$H$9)</f>
        <v>#N/A</v>
      </c>
      <c r="N383" s="426" t="e">
        <f t="shared" si="801"/>
        <v>#N/A</v>
      </c>
      <c r="O383" s="427"/>
      <c r="P383" s="430" t="e">
        <f t="shared" si="802"/>
        <v>#N/A</v>
      </c>
      <c r="Q383" s="431"/>
      <c r="R383" s="103">
        <f t="shared" si="897"/>
        <v>0</v>
      </c>
      <c r="S383" s="104">
        <f t="shared" si="897"/>
        <v>0</v>
      </c>
      <c r="T383" s="104">
        <f t="shared" si="898"/>
        <v>0</v>
      </c>
      <c r="U383" s="104">
        <f t="shared" si="898"/>
        <v>0</v>
      </c>
      <c r="V383" s="104">
        <f t="shared" si="898"/>
        <v>9.9999999999999995E-8</v>
      </c>
      <c r="W383" s="104">
        <f t="shared" si="898"/>
        <v>0</v>
      </c>
      <c r="X383" s="104">
        <f t="shared" si="890"/>
        <v>0</v>
      </c>
      <c r="Y383" s="104">
        <f t="shared" si="890"/>
        <v>9.9999999999999995E-8</v>
      </c>
      <c r="Z383" s="104">
        <f t="shared" si="890"/>
        <v>9.9999999999999995E-8</v>
      </c>
      <c r="AA383" s="105">
        <f t="shared" si="890"/>
        <v>9.9999999999999995E-8</v>
      </c>
      <c r="AB383" s="101" t="e">
        <f>$DT383*HLOOKUP($J383,'Construction Costs (timber)'!$B$1:$V$32,'Construction Planner'!$L383+2,FALSE)</f>
        <v>#N/A</v>
      </c>
      <c r="AC383" s="14" t="e">
        <f>$DT383*HLOOKUP($J383,'Construction Costs (clay)'!$B$1:$V$32,'Construction Planner'!$L383+2,FALSE)</f>
        <v>#N/A</v>
      </c>
      <c r="AD383" s="14" t="e">
        <f>$DT383*HLOOKUP($J383,'Construction Costs (iron)'!$B$1:$V$32,'Construction Planner'!$L383+2,FALSE)</f>
        <v>#N/A</v>
      </c>
      <c r="AE383" s="34" t="e">
        <f t="shared" si="843"/>
        <v>#N/A</v>
      </c>
      <c r="AF383" s="33" t="e">
        <f t="shared" si="780"/>
        <v>#N/A</v>
      </c>
      <c r="AG383" s="14" t="e">
        <f t="shared" si="781"/>
        <v>#N/A</v>
      </c>
      <c r="AH383" s="14" t="e">
        <f t="shared" si="782"/>
        <v>#N/A</v>
      </c>
      <c r="AI383" s="34" t="e">
        <f t="shared" si="844"/>
        <v>#N/A</v>
      </c>
      <c r="AJ383" s="49" t="e">
        <f t="shared" si="804"/>
        <v>#N/A</v>
      </c>
      <c r="AK383" s="49" t="e">
        <f t="shared" si="805"/>
        <v>#N/A</v>
      </c>
      <c r="AL383" s="49" t="e">
        <f t="shared" si="806"/>
        <v>#N/A</v>
      </c>
      <c r="AM383" s="25">
        <f t="shared" si="783"/>
        <v>30</v>
      </c>
      <c r="AN383" s="25">
        <f t="shared" si="784"/>
        <v>30</v>
      </c>
      <c r="AO383" s="25">
        <f t="shared" si="785"/>
        <v>30</v>
      </c>
      <c r="AP383" s="52" t="e">
        <f t="shared" si="894"/>
        <v>#N/A</v>
      </c>
      <c r="AQ383" s="53" t="e">
        <f t="shared" si="894"/>
        <v>#N/A</v>
      </c>
      <c r="AR383" s="54" t="e">
        <f t="shared" si="894"/>
        <v>#N/A</v>
      </c>
      <c r="AS383" s="316">
        <f t="shared" si="902"/>
        <v>0</v>
      </c>
      <c r="AT383" s="106">
        <f>_xlfn.IFNA($M383/VLOOKUP($BT383,'Unit information'!$A$2:$K$29,2,FALSE)*R383,0)*(1+$E$9)</f>
        <v>0</v>
      </c>
      <c r="AU383" s="107">
        <f>_xlfn.IFNA($M383/VLOOKUP($BT383,'Unit information'!$A$2:$K$29,3,FALSE)*S383,0)*(1+$E$9)</f>
        <v>0</v>
      </c>
      <c r="AV383" s="107">
        <f>_xlfn.IFNA($M383/VLOOKUP($BT383,'Unit information'!$A$2:$K$29,4,FALSE)*T383,0)*(1+$E$9)</f>
        <v>0</v>
      </c>
      <c r="AW383" s="107">
        <f>_xlfn.IFNA($M383/VLOOKUP($BT383,'Unit information'!$A$2:$K$29,5,FALSE)*U383,0)*(1+$E$9)</f>
        <v>0</v>
      </c>
      <c r="AX383" s="107">
        <f>_xlfn.IFNA($M383/VLOOKUP($BU383,'Unit information'!$A$2:$K$29,6,FALSE)*V383,0)*(1+$E$9)</f>
        <v>0</v>
      </c>
      <c r="AY383" s="107">
        <f>_xlfn.IFNA($M383/VLOOKUP($BU383,'Unit information'!$A$2:$K$29,7,FALSE)*W383,0)*(1+$E$9)</f>
        <v>0</v>
      </c>
      <c r="AZ383" s="107">
        <f>_xlfn.IFNA($M383/VLOOKUP($BU383,'Unit information'!$A$2:$K$29,8,FALSE)*X383,0)*(1+$E$9)</f>
        <v>0</v>
      </c>
      <c r="BA383" s="107">
        <f>_xlfn.IFNA($M383/VLOOKUP($BU383,'Unit information'!$A$2:$K$29,9,FALSE)*Y383,0)*(1+$E$9)</f>
        <v>0</v>
      </c>
      <c r="BB383" s="107">
        <f>_xlfn.IFNA($M383/VLOOKUP($BV383,'Unit information'!$A$2:$K$29,10,FALSE)*Z383,0)*(1+$E$9)</f>
        <v>0</v>
      </c>
      <c r="BC383" s="108">
        <f>_xlfn.IFNA($M383/VLOOKUP($BV383,'Unit information'!$A$2:$K$29,11,FALSE)*AA383,0)*(1+$E$9)</f>
        <v>0</v>
      </c>
      <c r="BD383" s="106">
        <f t="shared" si="786"/>
        <v>0</v>
      </c>
      <c r="BE383" s="107">
        <f t="shared" si="787"/>
        <v>0</v>
      </c>
      <c r="BF383" s="108">
        <f t="shared" si="788"/>
        <v>0</v>
      </c>
      <c r="BG383" s="25" t="e">
        <f t="shared" si="789"/>
        <v>#N/A</v>
      </c>
      <c r="BH383" s="25" t="e">
        <f t="shared" si="790"/>
        <v>#N/A</v>
      </c>
      <c r="BI383" s="25" t="e">
        <f t="shared" si="791"/>
        <v>#N/A</v>
      </c>
      <c r="BJ383" s="27" t="e">
        <f t="shared" si="792"/>
        <v>#N/A</v>
      </c>
      <c r="BK383" s="18" t="e">
        <f t="shared" si="793"/>
        <v>#N/A</v>
      </c>
      <c r="BL383" s="18" t="e">
        <f t="shared" si="794"/>
        <v>#N/A</v>
      </c>
      <c r="BM383" s="28" t="e">
        <f t="shared" si="846"/>
        <v>#N/A</v>
      </c>
      <c r="BN383" s="33">
        <f>HLOOKUP("maximum population",Miscelaneous!$C$1:$C$33,CH383+3,FALSE)</f>
        <v>240</v>
      </c>
      <c r="BO383" s="14">
        <f t="shared" si="808"/>
        <v>32</v>
      </c>
      <c r="BP383" s="14">
        <f t="shared" si="809"/>
        <v>0</v>
      </c>
      <c r="BQ383" s="14">
        <f t="shared" si="810"/>
        <v>208</v>
      </c>
      <c r="BR383" s="34" t="e">
        <f>HLOOKUP(J383,Villagers!$B$1:$V$33,L383+3,FALSE)-HLOOKUP(J383,Villagers!$B$1:$V$33,L383+2,FALSE)</f>
        <v>#N/A</v>
      </c>
      <c r="BS383" s="49">
        <f t="shared" si="811"/>
        <v>1</v>
      </c>
      <c r="BT383" s="50">
        <f t="shared" si="812"/>
        <v>0</v>
      </c>
      <c r="BU383" s="50">
        <f t="shared" si="813"/>
        <v>0</v>
      </c>
      <c r="BV383" s="50">
        <f t="shared" si="814"/>
        <v>0</v>
      </c>
      <c r="BW383" s="50">
        <f t="shared" si="908"/>
        <v>0</v>
      </c>
      <c r="BX383" s="50">
        <f t="shared" si="906"/>
        <v>0</v>
      </c>
      <c r="BY383" s="50">
        <f t="shared" si="906"/>
        <v>0</v>
      </c>
      <c r="BZ383" s="50">
        <f t="shared" si="860"/>
        <v>0</v>
      </c>
      <c r="CA383" s="50">
        <f t="shared" si="861"/>
        <v>0</v>
      </c>
      <c r="CB383" s="50">
        <f t="shared" si="862"/>
        <v>1</v>
      </c>
      <c r="CC383" s="50">
        <f t="shared" si="863"/>
        <v>0</v>
      </c>
      <c r="CD383" s="50">
        <f t="shared" si="864"/>
        <v>0</v>
      </c>
      <c r="CE383" s="50">
        <f t="shared" si="865"/>
        <v>1</v>
      </c>
      <c r="CF383" s="50">
        <f t="shared" si="866"/>
        <v>1</v>
      </c>
      <c r="CG383" s="50">
        <f t="shared" si="867"/>
        <v>1</v>
      </c>
      <c r="CH383" s="50">
        <f t="shared" si="868"/>
        <v>1</v>
      </c>
      <c r="CI383" s="50">
        <f t="shared" si="869"/>
        <v>1</v>
      </c>
      <c r="CJ383" s="50">
        <f t="shared" si="870"/>
        <v>1</v>
      </c>
      <c r="CK383" s="50">
        <f t="shared" si="870"/>
        <v>0</v>
      </c>
      <c r="CL383" s="50">
        <f t="shared" si="870"/>
        <v>0</v>
      </c>
      <c r="CM383" s="51">
        <f t="shared" si="795"/>
        <v>0</v>
      </c>
      <c r="CN383" s="33">
        <f>ROUND(IF(BS383=0,0,HLOOKUP(BS$14,Villagers!$B$1:$V$33,BS383+3,FALSE)),)</f>
        <v>5</v>
      </c>
      <c r="CO383" s="14">
        <f>ROUND(IF(BT383=0,0,HLOOKUP(BT$14,Villagers!$B$1:$V$33,BT383+3,FALSE)),)</f>
        <v>0</v>
      </c>
      <c r="CP383" s="14">
        <f>ROUND(IF(BU383=0,0,HLOOKUP(BU$14,Villagers!$B$1:$V$33,BU383+3,FALSE)),)</f>
        <v>0</v>
      </c>
      <c r="CQ383" s="14">
        <f>ROUND(IF(BV383=0,0,HLOOKUP(BV$14,Villagers!$B$1:$V$33,BV383+3,FALSE)),)</f>
        <v>0</v>
      </c>
      <c r="CR383" s="14">
        <f>ROUND(IF(BW383=0,0,HLOOKUP(BW$14,Villagers!$B$1:$V$33,BW383+3,FALSE)),)</f>
        <v>0</v>
      </c>
      <c r="CS383" s="14">
        <f>ROUND(IF(BX383=0,0,HLOOKUP(BX$14,Villagers!$B$1:$V$33,BX383+3,FALSE)),)</f>
        <v>0</v>
      </c>
      <c r="CT383" s="14">
        <f>ROUND(IF(BY383=0,0,HLOOKUP(BY$14,Villagers!$B$1:$V$33,BY383+3,FALSE)),)</f>
        <v>0</v>
      </c>
      <c r="CU383" s="14">
        <f>ROUND(IF(BZ383=0,0,HLOOKUP(BZ$14,Villagers!$B$1:$V$33,BZ383+3,FALSE)),)</f>
        <v>0</v>
      </c>
      <c r="CV383" s="14">
        <f>ROUND(IF(CA383=0,0,HLOOKUP(CA$14,Villagers!$B$1:$V$33,CA383+3,FALSE)),)</f>
        <v>0</v>
      </c>
      <c r="CW383" s="14">
        <f>ROUND(IF(CB383=0,0,HLOOKUP(CB$14,Villagers!$B$1:$V$33,CB383+3,FALSE)),)</f>
        <v>0</v>
      </c>
      <c r="CX383" s="14">
        <f>ROUND(IF(CC383=0,0,HLOOKUP(CC$14,Villagers!$B$1:$V$33,CC383+3,FALSE)),)</f>
        <v>0</v>
      </c>
      <c r="CY383" s="14">
        <f>ROUND(IF(CD383=0,0,HLOOKUP(CD$14,Villagers!$B$1:$V$33,CD383+3,FALSE)),)</f>
        <v>0</v>
      </c>
      <c r="CZ383" s="14">
        <f>ROUND(IF(CE383=0,0,HLOOKUP(CE$14,Villagers!$B$1:$V$33,CE383+3,FALSE)),)</f>
        <v>5</v>
      </c>
      <c r="DA383" s="14">
        <f>ROUND(IF(CF383=0,0,HLOOKUP(CF$14,Villagers!$B$1:$V$33,CF383+3,FALSE)),)</f>
        <v>10</v>
      </c>
      <c r="DB383" s="14">
        <f>ROUND(IF(CG383=0,0,HLOOKUP(CG$14,Villagers!$B$1:$V$33,CG383+3,FALSE)),)</f>
        <v>10</v>
      </c>
      <c r="DC383" s="14">
        <f>ROUND(IF(CH383=0,0,HLOOKUP(CH$14,Villagers!$B$1:$V$33,CH383+3,FALSE)),)</f>
        <v>0</v>
      </c>
      <c r="DD383" s="14">
        <f>ROUND(IF(CI383=0,0,HLOOKUP(CI$14,Villagers!$B$1:$V$33,CI383+3,FALSE)),)</f>
        <v>0</v>
      </c>
      <c r="DE383" s="14">
        <f>ROUND(IF(CJ383=0,0,HLOOKUP(CJ$14,Villagers!$B$1:$V$33,CJ383+3,FALSE)),)</f>
        <v>2</v>
      </c>
      <c r="DF383" s="370">
        <f>ROUND(IF(CK383=0,0,HLOOKUP(CK$14,Villagers!$B$1:$V$33,CK383+3,FALSE)),)</f>
        <v>0</v>
      </c>
      <c r="DG383" s="370">
        <f>ROUND(IF(CL383=0,0,HLOOKUP(CL$14,Villagers!$B$1:$V$33,CL383+3,FALSE)),)</f>
        <v>0</v>
      </c>
      <c r="DH383" s="34">
        <f>ROUND(IF(CM383=0,0,HLOOKUP(CM$14,Villagers!$B$1:$V$33,CM383+3,FALSE)),)</f>
        <v>0</v>
      </c>
      <c r="DI383" s="109">
        <f t="shared" si="832"/>
        <v>0</v>
      </c>
      <c r="DJ383" s="50">
        <f t="shared" si="833"/>
        <v>0</v>
      </c>
      <c r="DK383" s="50">
        <f t="shared" si="834"/>
        <v>0</v>
      </c>
      <c r="DL383" s="50">
        <f t="shared" si="835"/>
        <v>0</v>
      </c>
      <c r="DM383" s="50">
        <f t="shared" si="836"/>
        <v>0</v>
      </c>
      <c r="DN383" s="50">
        <f t="shared" si="837"/>
        <v>0</v>
      </c>
      <c r="DO383" s="50">
        <f t="shared" si="838"/>
        <v>0</v>
      </c>
      <c r="DP383" s="50">
        <f t="shared" si="839"/>
        <v>0</v>
      </c>
      <c r="DQ383" s="50">
        <f t="shared" si="816"/>
        <v>0</v>
      </c>
      <c r="DR383" s="50">
        <f t="shared" si="817"/>
        <v>0</v>
      </c>
      <c r="DS383" s="96">
        <f>Miscelaneous!$D$4*Miscelaneous!$D$2^($CI383-1)</f>
        <v>1000</v>
      </c>
      <c r="DT383" s="333">
        <f t="shared" si="796"/>
        <v>1</v>
      </c>
      <c r="DU383" s="81">
        <v>1</v>
      </c>
      <c r="DV383" s="79">
        <f t="shared" si="818"/>
        <v>0</v>
      </c>
      <c r="DW383" s="79">
        <f t="shared" si="819"/>
        <v>0</v>
      </c>
      <c r="DX383" s="79">
        <f t="shared" si="820"/>
        <v>0</v>
      </c>
      <c r="DY383" s="79">
        <v>1</v>
      </c>
      <c r="DZ383" s="79">
        <f t="shared" si="821"/>
        <v>0</v>
      </c>
      <c r="EA383" s="79">
        <f t="shared" si="822"/>
        <v>0</v>
      </c>
      <c r="EB383" s="79">
        <f t="shared" si="823"/>
        <v>0</v>
      </c>
      <c r="EC383" s="79">
        <f t="shared" si="824"/>
        <v>0</v>
      </c>
      <c r="ED383" s="79">
        <v>1</v>
      </c>
      <c r="EE383" s="79">
        <v>1</v>
      </c>
      <c r="EF383" s="79">
        <f t="shared" si="825"/>
        <v>0</v>
      </c>
      <c r="EG383" s="79">
        <v>1</v>
      </c>
      <c r="EH383" s="79">
        <v>1</v>
      </c>
      <c r="EI383" s="79">
        <v>1</v>
      </c>
      <c r="EJ383" s="79">
        <v>1</v>
      </c>
      <c r="EK383" s="79">
        <v>1</v>
      </c>
      <c r="EL383" s="79">
        <v>1</v>
      </c>
      <c r="EM383" s="143">
        <f t="shared" si="826"/>
        <v>0</v>
      </c>
      <c r="EN383" s="143">
        <f t="shared" si="827"/>
        <v>0</v>
      </c>
      <c r="EO383" s="82">
        <f t="shared" si="828"/>
        <v>0</v>
      </c>
    </row>
    <row r="384" spans="1:145" x14ac:dyDescent="0.25">
      <c r="A384">
        <v>370</v>
      </c>
      <c r="B384" s="172" t="e">
        <f t="shared" si="797"/>
        <v>#N/A</v>
      </c>
      <c r="C384" s="121" t="e">
        <f t="shared" ref="C384:E384" si="916">AJ384-SUM(AB384:AB388)</f>
        <v>#N/A</v>
      </c>
      <c r="D384" s="122" t="e">
        <f t="shared" si="916"/>
        <v>#N/A</v>
      </c>
      <c r="E384" s="122" t="e">
        <f t="shared" si="916"/>
        <v>#N/A</v>
      </c>
      <c r="F384" s="176" t="e">
        <f t="shared" si="778"/>
        <v>#N/A</v>
      </c>
      <c r="G384" s="121">
        <f t="shared" si="799"/>
        <v>208</v>
      </c>
      <c r="H384" s="176" t="e">
        <f t="shared" si="800"/>
        <v>#N/A</v>
      </c>
      <c r="I384" s="48">
        <v>1</v>
      </c>
      <c r="J384" s="39"/>
      <c r="K384" s="350">
        <v>1</v>
      </c>
      <c r="L384" s="34" t="e">
        <f t="shared" si="779"/>
        <v>#N/A</v>
      </c>
      <c r="M384" s="38" t="e">
        <f>(HLOOKUP(J384,'Construction Times'!$B$3:$W$34,L384+2,FALSE)*HLOOKUP("hq modifier",'Construction Times'!$W$3:$W$34,BS384+2,FALSE))*(1-$H$9)</f>
        <v>#N/A</v>
      </c>
      <c r="N384" s="426" t="e">
        <f t="shared" si="801"/>
        <v>#N/A</v>
      </c>
      <c r="O384" s="427"/>
      <c r="P384" s="430" t="e">
        <f t="shared" si="802"/>
        <v>#N/A</v>
      </c>
      <c r="Q384" s="431"/>
      <c r="R384" s="103">
        <f t="shared" si="897"/>
        <v>0</v>
      </c>
      <c r="S384" s="104">
        <f t="shared" si="897"/>
        <v>0</v>
      </c>
      <c r="T384" s="104">
        <f t="shared" si="898"/>
        <v>0</v>
      </c>
      <c r="U384" s="104">
        <f t="shared" si="898"/>
        <v>0</v>
      </c>
      <c r="V384" s="104">
        <f t="shared" si="898"/>
        <v>9.9999999999999995E-8</v>
      </c>
      <c r="W384" s="104">
        <f t="shared" si="898"/>
        <v>0</v>
      </c>
      <c r="X384" s="104">
        <f t="shared" si="890"/>
        <v>0</v>
      </c>
      <c r="Y384" s="104">
        <f t="shared" si="890"/>
        <v>9.9999999999999995E-8</v>
      </c>
      <c r="Z384" s="104">
        <f t="shared" si="890"/>
        <v>9.9999999999999995E-8</v>
      </c>
      <c r="AA384" s="105">
        <f t="shared" si="890"/>
        <v>9.9999999999999995E-8</v>
      </c>
      <c r="AB384" s="101" t="e">
        <f>$DT384*HLOOKUP($J384,'Construction Costs (timber)'!$B$1:$V$32,'Construction Planner'!$L384+2,FALSE)</f>
        <v>#N/A</v>
      </c>
      <c r="AC384" s="14" t="e">
        <f>$DT384*HLOOKUP($J384,'Construction Costs (clay)'!$B$1:$V$32,'Construction Planner'!$L384+2,FALSE)</f>
        <v>#N/A</v>
      </c>
      <c r="AD384" s="14" t="e">
        <f>$DT384*HLOOKUP($J384,'Construction Costs (iron)'!$B$1:$V$32,'Construction Planner'!$L384+2,FALSE)</f>
        <v>#N/A</v>
      </c>
      <c r="AE384" s="34" t="e">
        <f t="shared" si="843"/>
        <v>#N/A</v>
      </c>
      <c r="AF384" s="33" t="e">
        <f t="shared" si="780"/>
        <v>#N/A</v>
      </c>
      <c r="AG384" s="14" t="e">
        <f t="shared" si="781"/>
        <v>#N/A</v>
      </c>
      <c r="AH384" s="14" t="e">
        <f t="shared" si="782"/>
        <v>#N/A</v>
      </c>
      <c r="AI384" s="34" t="e">
        <f t="shared" si="844"/>
        <v>#N/A</v>
      </c>
      <c r="AJ384" s="49" t="e">
        <f t="shared" si="804"/>
        <v>#N/A</v>
      </c>
      <c r="AK384" s="49" t="e">
        <f t="shared" si="805"/>
        <v>#N/A</v>
      </c>
      <c r="AL384" s="49" t="e">
        <f t="shared" si="806"/>
        <v>#N/A</v>
      </c>
      <c r="AM384" s="25">
        <f t="shared" si="783"/>
        <v>30</v>
      </c>
      <c r="AN384" s="25">
        <f t="shared" si="784"/>
        <v>30</v>
      </c>
      <c r="AO384" s="25">
        <f t="shared" si="785"/>
        <v>30</v>
      </c>
      <c r="AP384" s="52" t="e">
        <f t="shared" si="894"/>
        <v>#N/A</v>
      </c>
      <c r="AQ384" s="53" t="e">
        <f t="shared" si="894"/>
        <v>#N/A</v>
      </c>
      <c r="AR384" s="54" t="e">
        <f t="shared" si="894"/>
        <v>#N/A</v>
      </c>
      <c r="AS384" s="316">
        <f t="shared" si="902"/>
        <v>0</v>
      </c>
      <c r="AT384" s="106">
        <f>_xlfn.IFNA($M384/VLOOKUP($BT384,'Unit information'!$A$2:$K$29,2,FALSE)*R384,0)*(1+$E$9)</f>
        <v>0</v>
      </c>
      <c r="AU384" s="107">
        <f>_xlfn.IFNA($M384/VLOOKUP($BT384,'Unit information'!$A$2:$K$29,3,FALSE)*S384,0)*(1+$E$9)</f>
        <v>0</v>
      </c>
      <c r="AV384" s="107">
        <f>_xlfn.IFNA($M384/VLOOKUP($BT384,'Unit information'!$A$2:$K$29,4,FALSE)*T384,0)*(1+$E$9)</f>
        <v>0</v>
      </c>
      <c r="AW384" s="107">
        <f>_xlfn.IFNA($M384/VLOOKUP($BT384,'Unit information'!$A$2:$K$29,5,FALSE)*U384,0)*(1+$E$9)</f>
        <v>0</v>
      </c>
      <c r="AX384" s="107">
        <f>_xlfn.IFNA($M384/VLOOKUP($BU384,'Unit information'!$A$2:$K$29,6,FALSE)*V384,0)*(1+$E$9)</f>
        <v>0</v>
      </c>
      <c r="AY384" s="107">
        <f>_xlfn.IFNA($M384/VLOOKUP($BU384,'Unit information'!$A$2:$K$29,7,FALSE)*W384,0)*(1+$E$9)</f>
        <v>0</v>
      </c>
      <c r="AZ384" s="107">
        <f>_xlfn.IFNA($M384/VLOOKUP($BU384,'Unit information'!$A$2:$K$29,8,FALSE)*X384,0)*(1+$E$9)</f>
        <v>0</v>
      </c>
      <c r="BA384" s="107">
        <f>_xlfn.IFNA($M384/VLOOKUP($BU384,'Unit information'!$A$2:$K$29,9,FALSE)*Y384,0)*(1+$E$9)</f>
        <v>0</v>
      </c>
      <c r="BB384" s="107">
        <f>_xlfn.IFNA($M384/VLOOKUP($BV384,'Unit information'!$A$2:$K$29,10,FALSE)*Z384,0)*(1+$E$9)</f>
        <v>0</v>
      </c>
      <c r="BC384" s="108">
        <f>_xlfn.IFNA($M384/VLOOKUP($BV384,'Unit information'!$A$2:$K$29,11,FALSE)*AA384,0)*(1+$E$9)</f>
        <v>0</v>
      </c>
      <c r="BD384" s="106">
        <f t="shared" si="786"/>
        <v>0</v>
      </c>
      <c r="BE384" s="107">
        <f t="shared" si="787"/>
        <v>0</v>
      </c>
      <c r="BF384" s="108">
        <f t="shared" si="788"/>
        <v>0</v>
      </c>
      <c r="BG384" s="25" t="e">
        <f t="shared" si="789"/>
        <v>#N/A</v>
      </c>
      <c r="BH384" s="25" t="e">
        <f t="shared" si="790"/>
        <v>#N/A</v>
      </c>
      <c r="BI384" s="25" t="e">
        <f t="shared" si="791"/>
        <v>#N/A</v>
      </c>
      <c r="BJ384" s="27" t="e">
        <f t="shared" si="792"/>
        <v>#N/A</v>
      </c>
      <c r="BK384" s="18" t="e">
        <f t="shared" si="793"/>
        <v>#N/A</v>
      </c>
      <c r="BL384" s="18" t="e">
        <f t="shared" si="794"/>
        <v>#N/A</v>
      </c>
      <c r="BM384" s="28" t="e">
        <f t="shared" si="846"/>
        <v>#N/A</v>
      </c>
      <c r="BN384" s="33">
        <f>HLOOKUP("maximum population",Miscelaneous!$C$1:$C$33,CH384+3,FALSE)</f>
        <v>240</v>
      </c>
      <c r="BO384" s="14">
        <f t="shared" si="808"/>
        <v>32</v>
      </c>
      <c r="BP384" s="14">
        <f t="shared" si="809"/>
        <v>0</v>
      </c>
      <c r="BQ384" s="14">
        <f t="shared" si="810"/>
        <v>208</v>
      </c>
      <c r="BR384" s="34" t="e">
        <f>HLOOKUP(J384,Villagers!$B$1:$V$33,L384+3,FALSE)-HLOOKUP(J384,Villagers!$B$1:$V$33,L384+2,FALSE)</f>
        <v>#N/A</v>
      </c>
      <c r="BS384" s="49">
        <f t="shared" si="811"/>
        <v>1</v>
      </c>
      <c r="BT384" s="50">
        <f t="shared" si="812"/>
        <v>0</v>
      </c>
      <c r="BU384" s="50">
        <f t="shared" si="813"/>
        <v>0</v>
      </c>
      <c r="BV384" s="50">
        <f t="shared" si="814"/>
        <v>0</v>
      </c>
      <c r="BW384" s="50">
        <f t="shared" ref="BW384:BY390" si="917">IF($J383=BW$14,$L383,BW383)</f>
        <v>0</v>
      </c>
      <c r="BX384" s="50">
        <f t="shared" si="917"/>
        <v>0</v>
      </c>
      <c r="BY384" s="50">
        <f t="shared" si="917"/>
        <v>0</v>
      </c>
      <c r="BZ384" s="50">
        <f t="shared" si="860"/>
        <v>0</v>
      </c>
      <c r="CA384" s="50">
        <f t="shared" si="861"/>
        <v>0</v>
      </c>
      <c r="CB384" s="50">
        <f t="shared" si="862"/>
        <v>1</v>
      </c>
      <c r="CC384" s="50">
        <f t="shared" si="863"/>
        <v>0</v>
      </c>
      <c r="CD384" s="50">
        <f t="shared" si="864"/>
        <v>0</v>
      </c>
      <c r="CE384" s="50">
        <f t="shared" si="865"/>
        <v>1</v>
      </c>
      <c r="CF384" s="50">
        <f t="shared" si="866"/>
        <v>1</v>
      </c>
      <c r="CG384" s="50">
        <f t="shared" si="867"/>
        <v>1</v>
      </c>
      <c r="CH384" s="50">
        <f t="shared" si="868"/>
        <v>1</v>
      </c>
      <c r="CI384" s="50">
        <f t="shared" si="869"/>
        <v>1</v>
      </c>
      <c r="CJ384" s="50">
        <f t="shared" si="870"/>
        <v>1</v>
      </c>
      <c r="CK384" s="50">
        <f t="shared" si="870"/>
        <v>0</v>
      </c>
      <c r="CL384" s="50">
        <f t="shared" si="870"/>
        <v>0</v>
      </c>
      <c r="CM384" s="51">
        <f t="shared" si="795"/>
        <v>0</v>
      </c>
      <c r="CN384" s="33">
        <f>ROUND(IF(BS384=0,0,HLOOKUP(BS$14,Villagers!$B$1:$V$33,BS384+3,FALSE)),)</f>
        <v>5</v>
      </c>
      <c r="CO384" s="14">
        <f>ROUND(IF(BT384=0,0,HLOOKUP(BT$14,Villagers!$B$1:$V$33,BT384+3,FALSE)),)</f>
        <v>0</v>
      </c>
      <c r="CP384" s="14">
        <f>ROUND(IF(BU384=0,0,HLOOKUP(BU$14,Villagers!$B$1:$V$33,BU384+3,FALSE)),)</f>
        <v>0</v>
      </c>
      <c r="CQ384" s="14">
        <f>ROUND(IF(BV384=0,0,HLOOKUP(BV$14,Villagers!$B$1:$V$33,BV384+3,FALSE)),)</f>
        <v>0</v>
      </c>
      <c r="CR384" s="14">
        <f>ROUND(IF(BW384=0,0,HLOOKUP(BW$14,Villagers!$B$1:$V$33,BW384+3,FALSE)),)</f>
        <v>0</v>
      </c>
      <c r="CS384" s="14">
        <f>ROUND(IF(BX384=0,0,HLOOKUP(BX$14,Villagers!$B$1:$V$33,BX384+3,FALSE)),)</f>
        <v>0</v>
      </c>
      <c r="CT384" s="14">
        <f>ROUND(IF(BY384=0,0,HLOOKUP(BY$14,Villagers!$B$1:$V$33,BY384+3,FALSE)),)</f>
        <v>0</v>
      </c>
      <c r="CU384" s="14">
        <f>ROUND(IF(BZ384=0,0,HLOOKUP(BZ$14,Villagers!$B$1:$V$33,BZ384+3,FALSE)),)</f>
        <v>0</v>
      </c>
      <c r="CV384" s="14">
        <f>ROUND(IF(CA384=0,0,HLOOKUP(CA$14,Villagers!$B$1:$V$33,CA384+3,FALSE)),)</f>
        <v>0</v>
      </c>
      <c r="CW384" s="14">
        <f>ROUND(IF(CB384=0,0,HLOOKUP(CB$14,Villagers!$B$1:$V$33,CB384+3,FALSE)),)</f>
        <v>0</v>
      </c>
      <c r="CX384" s="14">
        <f>ROUND(IF(CC384=0,0,HLOOKUP(CC$14,Villagers!$B$1:$V$33,CC384+3,FALSE)),)</f>
        <v>0</v>
      </c>
      <c r="CY384" s="14">
        <f>ROUND(IF(CD384=0,0,HLOOKUP(CD$14,Villagers!$B$1:$V$33,CD384+3,FALSE)),)</f>
        <v>0</v>
      </c>
      <c r="CZ384" s="14">
        <f>ROUND(IF(CE384=0,0,HLOOKUP(CE$14,Villagers!$B$1:$V$33,CE384+3,FALSE)),)</f>
        <v>5</v>
      </c>
      <c r="DA384" s="14">
        <f>ROUND(IF(CF384=0,0,HLOOKUP(CF$14,Villagers!$B$1:$V$33,CF384+3,FALSE)),)</f>
        <v>10</v>
      </c>
      <c r="DB384" s="14">
        <f>ROUND(IF(CG384=0,0,HLOOKUP(CG$14,Villagers!$B$1:$V$33,CG384+3,FALSE)),)</f>
        <v>10</v>
      </c>
      <c r="DC384" s="14">
        <f>ROUND(IF(CH384=0,0,HLOOKUP(CH$14,Villagers!$B$1:$V$33,CH384+3,FALSE)),)</f>
        <v>0</v>
      </c>
      <c r="DD384" s="14">
        <f>ROUND(IF(CI384=0,0,HLOOKUP(CI$14,Villagers!$B$1:$V$33,CI384+3,FALSE)),)</f>
        <v>0</v>
      </c>
      <c r="DE384" s="14">
        <f>ROUND(IF(CJ384=0,0,HLOOKUP(CJ$14,Villagers!$B$1:$V$33,CJ384+3,FALSE)),)</f>
        <v>2</v>
      </c>
      <c r="DF384" s="370">
        <f>ROUND(IF(CK384=0,0,HLOOKUP(CK$14,Villagers!$B$1:$V$33,CK384+3,FALSE)),)</f>
        <v>0</v>
      </c>
      <c r="DG384" s="370">
        <f>ROUND(IF(CL384=0,0,HLOOKUP(CL$14,Villagers!$B$1:$V$33,CL384+3,FALSE)),)</f>
        <v>0</v>
      </c>
      <c r="DH384" s="34">
        <f>ROUND(IF(CM384=0,0,HLOOKUP(CM$14,Villagers!$B$1:$V$33,CM384+3,FALSE)),)</f>
        <v>0</v>
      </c>
      <c r="DI384" s="109">
        <f t="shared" si="832"/>
        <v>0</v>
      </c>
      <c r="DJ384" s="50">
        <f t="shared" si="833"/>
        <v>0</v>
      </c>
      <c r="DK384" s="50">
        <f t="shared" si="834"/>
        <v>0</v>
      </c>
      <c r="DL384" s="50">
        <f t="shared" si="835"/>
        <v>0</v>
      </c>
      <c r="DM384" s="50">
        <f t="shared" si="836"/>
        <v>0</v>
      </c>
      <c r="DN384" s="50">
        <f t="shared" si="837"/>
        <v>0</v>
      </c>
      <c r="DO384" s="50">
        <f t="shared" si="838"/>
        <v>0</v>
      </c>
      <c r="DP384" s="50">
        <f t="shared" si="839"/>
        <v>0</v>
      </c>
      <c r="DQ384" s="50">
        <f t="shared" si="816"/>
        <v>0</v>
      </c>
      <c r="DR384" s="50">
        <f t="shared" si="817"/>
        <v>0</v>
      </c>
      <c r="DS384" s="96">
        <f>Miscelaneous!$D$4*Miscelaneous!$D$2^($CI384-1)</f>
        <v>1000</v>
      </c>
      <c r="DT384" s="333">
        <f t="shared" si="796"/>
        <v>1</v>
      </c>
      <c r="DU384" s="81">
        <v>1</v>
      </c>
      <c r="DV384" s="79">
        <f t="shared" si="818"/>
        <v>0</v>
      </c>
      <c r="DW384" s="79">
        <f t="shared" si="819"/>
        <v>0</v>
      </c>
      <c r="DX384" s="79">
        <f t="shared" si="820"/>
        <v>0</v>
      </c>
      <c r="DY384" s="79">
        <v>1</v>
      </c>
      <c r="DZ384" s="79">
        <f t="shared" si="821"/>
        <v>0</v>
      </c>
      <c r="EA384" s="79">
        <f t="shared" si="822"/>
        <v>0</v>
      </c>
      <c r="EB384" s="79">
        <f t="shared" si="823"/>
        <v>0</v>
      </c>
      <c r="EC384" s="79">
        <f t="shared" si="824"/>
        <v>0</v>
      </c>
      <c r="ED384" s="79">
        <v>1</v>
      </c>
      <c r="EE384" s="79">
        <v>1</v>
      </c>
      <c r="EF384" s="79">
        <f t="shared" si="825"/>
        <v>0</v>
      </c>
      <c r="EG384" s="79">
        <v>1</v>
      </c>
      <c r="EH384" s="79">
        <v>1</v>
      </c>
      <c r="EI384" s="79">
        <v>1</v>
      </c>
      <c r="EJ384" s="79">
        <v>1</v>
      </c>
      <c r="EK384" s="79">
        <v>1</v>
      </c>
      <c r="EL384" s="79">
        <v>1</v>
      </c>
      <c r="EM384" s="143">
        <f t="shared" si="826"/>
        <v>0</v>
      </c>
      <c r="EN384" s="143">
        <f t="shared" si="827"/>
        <v>0</v>
      </c>
      <c r="EO384" s="82">
        <f t="shared" si="828"/>
        <v>0</v>
      </c>
    </row>
    <row r="385" spans="1:145" x14ac:dyDescent="0.25">
      <c r="A385">
        <v>371</v>
      </c>
      <c r="B385" s="172" t="e">
        <f t="shared" si="797"/>
        <v>#N/A</v>
      </c>
      <c r="C385" s="121" t="e">
        <f t="shared" ref="C385:E385" si="918">AJ385-SUM(AB385:AB389)</f>
        <v>#N/A</v>
      </c>
      <c r="D385" s="122" t="e">
        <f t="shared" si="918"/>
        <v>#N/A</v>
      </c>
      <c r="E385" s="122" t="e">
        <f t="shared" si="918"/>
        <v>#N/A</v>
      </c>
      <c r="F385" s="176" t="e">
        <f t="shared" si="778"/>
        <v>#N/A</v>
      </c>
      <c r="G385" s="121">
        <f t="shared" si="799"/>
        <v>208</v>
      </c>
      <c r="H385" s="176" t="e">
        <f t="shared" si="800"/>
        <v>#N/A</v>
      </c>
      <c r="I385" s="48">
        <v>1</v>
      </c>
      <c r="J385" s="39"/>
      <c r="K385" s="350">
        <v>1</v>
      </c>
      <c r="L385" s="34" t="e">
        <f t="shared" si="779"/>
        <v>#N/A</v>
      </c>
      <c r="M385" s="38" t="e">
        <f>(HLOOKUP(J385,'Construction Times'!$B$3:$W$34,L385+2,FALSE)*HLOOKUP("hq modifier",'Construction Times'!$W$3:$W$34,BS385+2,FALSE))*(1-$H$9)</f>
        <v>#N/A</v>
      </c>
      <c r="N385" s="426" t="e">
        <f t="shared" si="801"/>
        <v>#N/A</v>
      </c>
      <c r="O385" s="427"/>
      <c r="P385" s="430" t="e">
        <f t="shared" si="802"/>
        <v>#N/A</v>
      </c>
      <c r="Q385" s="431"/>
      <c r="R385" s="103">
        <f t="shared" si="897"/>
        <v>0</v>
      </c>
      <c r="S385" s="104">
        <f t="shared" si="897"/>
        <v>0</v>
      </c>
      <c r="T385" s="104">
        <f t="shared" si="898"/>
        <v>0</v>
      </c>
      <c r="U385" s="104">
        <f t="shared" si="898"/>
        <v>0</v>
      </c>
      <c r="V385" s="104">
        <f t="shared" si="898"/>
        <v>9.9999999999999995E-8</v>
      </c>
      <c r="W385" s="104">
        <f t="shared" si="898"/>
        <v>0</v>
      </c>
      <c r="X385" s="104">
        <f t="shared" si="890"/>
        <v>0</v>
      </c>
      <c r="Y385" s="104">
        <f t="shared" si="890"/>
        <v>9.9999999999999995E-8</v>
      </c>
      <c r="Z385" s="104">
        <f t="shared" si="890"/>
        <v>9.9999999999999995E-8</v>
      </c>
      <c r="AA385" s="105">
        <f t="shared" si="890"/>
        <v>9.9999999999999995E-8</v>
      </c>
      <c r="AB385" s="101" t="e">
        <f>$DT385*HLOOKUP($J385,'Construction Costs (timber)'!$B$1:$V$32,'Construction Planner'!$L385+2,FALSE)</f>
        <v>#N/A</v>
      </c>
      <c r="AC385" s="14" t="e">
        <f>$DT385*HLOOKUP($J385,'Construction Costs (clay)'!$B$1:$V$32,'Construction Planner'!$L385+2,FALSE)</f>
        <v>#N/A</v>
      </c>
      <c r="AD385" s="14" t="e">
        <f>$DT385*HLOOKUP($J385,'Construction Costs (iron)'!$B$1:$V$32,'Construction Planner'!$L385+2,FALSE)</f>
        <v>#N/A</v>
      </c>
      <c r="AE385" s="34" t="e">
        <f t="shared" si="843"/>
        <v>#N/A</v>
      </c>
      <c r="AF385" s="33" t="e">
        <f t="shared" si="780"/>
        <v>#N/A</v>
      </c>
      <c r="AG385" s="14" t="e">
        <f t="shared" si="781"/>
        <v>#N/A</v>
      </c>
      <c r="AH385" s="14" t="e">
        <f t="shared" si="782"/>
        <v>#N/A</v>
      </c>
      <c r="AI385" s="34" t="e">
        <f t="shared" si="844"/>
        <v>#N/A</v>
      </c>
      <c r="AJ385" s="49" t="e">
        <f t="shared" si="804"/>
        <v>#N/A</v>
      </c>
      <c r="AK385" s="49" t="e">
        <f t="shared" si="805"/>
        <v>#N/A</v>
      </c>
      <c r="AL385" s="49" t="e">
        <f t="shared" si="806"/>
        <v>#N/A</v>
      </c>
      <c r="AM385" s="25">
        <f t="shared" si="783"/>
        <v>30</v>
      </c>
      <c r="AN385" s="25">
        <f t="shared" si="784"/>
        <v>30</v>
      </c>
      <c r="AO385" s="25">
        <f t="shared" si="785"/>
        <v>30</v>
      </c>
      <c r="AP385" s="52" t="e">
        <f t="shared" si="894"/>
        <v>#N/A</v>
      </c>
      <c r="AQ385" s="53" t="e">
        <f t="shared" si="894"/>
        <v>#N/A</v>
      </c>
      <c r="AR385" s="54" t="e">
        <f t="shared" si="894"/>
        <v>#N/A</v>
      </c>
      <c r="AS385" s="316">
        <f t="shared" si="902"/>
        <v>0</v>
      </c>
      <c r="AT385" s="106">
        <f>_xlfn.IFNA($M385/VLOOKUP($BT385,'Unit information'!$A$2:$K$29,2,FALSE)*R385,0)*(1+$E$9)</f>
        <v>0</v>
      </c>
      <c r="AU385" s="107">
        <f>_xlfn.IFNA($M385/VLOOKUP($BT385,'Unit information'!$A$2:$K$29,3,FALSE)*S385,0)*(1+$E$9)</f>
        <v>0</v>
      </c>
      <c r="AV385" s="107">
        <f>_xlfn.IFNA($M385/VLOOKUP($BT385,'Unit information'!$A$2:$K$29,4,FALSE)*T385,0)*(1+$E$9)</f>
        <v>0</v>
      </c>
      <c r="AW385" s="107">
        <f>_xlfn.IFNA($M385/VLOOKUP($BT385,'Unit information'!$A$2:$K$29,5,FALSE)*U385,0)*(1+$E$9)</f>
        <v>0</v>
      </c>
      <c r="AX385" s="107">
        <f>_xlfn.IFNA($M385/VLOOKUP($BU385,'Unit information'!$A$2:$K$29,6,FALSE)*V385,0)*(1+$E$9)</f>
        <v>0</v>
      </c>
      <c r="AY385" s="107">
        <f>_xlfn.IFNA($M385/VLOOKUP($BU385,'Unit information'!$A$2:$K$29,7,FALSE)*W385,0)*(1+$E$9)</f>
        <v>0</v>
      </c>
      <c r="AZ385" s="107">
        <f>_xlfn.IFNA($M385/VLOOKUP($BU385,'Unit information'!$A$2:$K$29,8,FALSE)*X385,0)*(1+$E$9)</f>
        <v>0</v>
      </c>
      <c r="BA385" s="107">
        <f>_xlfn.IFNA($M385/VLOOKUP($BU385,'Unit information'!$A$2:$K$29,9,FALSE)*Y385,0)*(1+$E$9)</f>
        <v>0</v>
      </c>
      <c r="BB385" s="107">
        <f>_xlfn.IFNA($M385/VLOOKUP($BV385,'Unit information'!$A$2:$K$29,10,FALSE)*Z385,0)*(1+$E$9)</f>
        <v>0</v>
      </c>
      <c r="BC385" s="108">
        <f>_xlfn.IFNA($M385/VLOOKUP($BV385,'Unit information'!$A$2:$K$29,11,FALSE)*AA385,0)*(1+$E$9)</f>
        <v>0</v>
      </c>
      <c r="BD385" s="106">
        <f t="shared" si="786"/>
        <v>0</v>
      </c>
      <c r="BE385" s="107">
        <f t="shared" si="787"/>
        <v>0</v>
      </c>
      <c r="BF385" s="108">
        <f t="shared" si="788"/>
        <v>0</v>
      </c>
      <c r="BG385" s="25" t="e">
        <f t="shared" si="789"/>
        <v>#N/A</v>
      </c>
      <c r="BH385" s="25" t="e">
        <f t="shared" si="790"/>
        <v>#N/A</v>
      </c>
      <c r="BI385" s="25" t="e">
        <f t="shared" si="791"/>
        <v>#N/A</v>
      </c>
      <c r="BJ385" s="27" t="e">
        <f t="shared" si="792"/>
        <v>#N/A</v>
      </c>
      <c r="BK385" s="18" t="e">
        <f t="shared" si="793"/>
        <v>#N/A</v>
      </c>
      <c r="BL385" s="18" t="e">
        <f t="shared" si="794"/>
        <v>#N/A</v>
      </c>
      <c r="BM385" s="28" t="e">
        <f t="shared" si="846"/>
        <v>#N/A</v>
      </c>
      <c r="BN385" s="33">
        <f>HLOOKUP("maximum population",Miscelaneous!$C$1:$C$33,CH385+3,FALSE)</f>
        <v>240</v>
      </c>
      <c r="BO385" s="14">
        <f t="shared" si="808"/>
        <v>32</v>
      </c>
      <c r="BP385" s="14">
        <f t="shared" si="809"/>
        <v>0</v>
      </c>
      <c r="BQ385" s="14">
        <f t="shared" si="810"/>
        <v>208</v>
      </c>
      <c r="BR385" s="34" t="e">
        <f>HLOOKUP(J385,Villagers!$B$1:$V$33,L385+3,FALSE)-HLOOKUP(J385,Villagers!$B$1:$V$33,L385+2,FALSE)</f>
        <v>#N/A</v>
      </c>
      <c r="BS385" s="49">
        <f t="shared" si="811"/>
        <v>1</v>
      </c>
      <c r="BT385" s="50">
        <f t="shared" si="812"/>
        <v>0</v>
      </c>
      <c r="BU385" s="50">
        <f t="shared" si="813"/>
        <v>0</v>
      </c>
      <c r="BV385" s="50">
        <f t="shared" si="814"/>
        <v>0</v>
      </c>
      <c r="BW385" s="50">
        <f t="shared" si="917"/>
        <v>0</v>
      </c>
      <c r="BX385" s="50">
        <f t="shared" si="917"/>
        <v>0</v>
      </c>
      <c r="BY385" s="50">
        <f t="shared" si="917"/>
        <v>0</v>
      </c>
      <c r="BZ385" s="50">
        <f t="shared" si="860"/>
        <v>0</v>
      </c>
      <c r="CA385" s="50">
        <f t="shared" si="861"/>
        <v>0</v>
      </c>
      <c r="CB385" s="50">
        <f t="shared" si="862"/>
        <v>1</v>
      </c>
      <c r="CC385" s="50">
        <f t="shared" si="863"/>
        <v>0</v>
      </c>
      <c r="CD385" s="50">
        <f t="shared" si="864"/>
        <v>0</v>
      </c>
      <c r="CE385" s="50">
        <f t="shared" si="865"/>
        <v>1</v>
      </c>
      <c r="CF385" s="50">
        <f t="shared" si="866"/>
        <v>1</v>
      </c>
      <c r="CG385" s="50">
        <f t="shared" si="867"/>
        <v>1</v>
      </c>
      <c r="CH385" s="50">
        <f t="shared" si="868"/>
        <v>1</v>
      </c>
      <c r="CI385" s="50">
        <f t="shared" si="869"/>
        <v>1</v>
      </c>
      <c r="CJ385" s="50">
        <f t="shared" si="870"/>
        <v>1</v>
      </c>
      <c r="CK385" s="50">
        <f t="shared" si="870"/>
        <v>0</v>
      </c>
      <c r="CL385" s="50">
        <f t="shared" si="870"/>
        <v>0</v>
      </c>
      <c r="CM385" s="51">
        <f t="shared" si="795"/>
        <v>0</v>
      </c>
      <c r="CN385" s="33">
        <f>ROUND(IF(BS385=0,0,HLOOKUP(BS$14,Villagers!$B$1:$V$33,BS385+3,FALSE)),)</f>
        <v>5</v>
      </c>
      <c r="CO385" s="14">
        <f>ROUND(IF(BT385=0,0,HLOOKUP(BT$14,Villagers!$B$1:$V$33,BT385+3,FALSE)),)</f>
        <v>0</v>
      </c>
      <c r="CP385" s="14">
        <f>ROUND(IF(BU385=0,0,HLOOKUP(BU$14,Villagers!$B$1:$V$33,BU385+3,FALSE)),)</f>
        <v>0</v>
      </c>
      <c r="CQ385" s="14">
        <f>ROUND(IF(BV385=0,0,HLOOKUP(BV$14,Villagers!$B$1:$V$33,BV385+3,FALSE)),)</f>
        <v>0</v>
      </c>
      <c r="CR385" s="14">
        <f>ROUND(IF(BW385=0,0,HLOOKUP(BW$14,Villagers!$B$1:$V$33,BW385+3,FALSE)),)</f>
        <v>0</v>
      </c>
      <c r="CS385" s="14">
        <f>ROUND(IF(BX385=0,0,HLOOKUP(BX$14,Villagers!$B$1:$V$33,BX385+3,FALSE)),)</f>
        <v>0</v>
      </c>
      <c r="CT385" s="14">
        <f>ROUND(IF(BY385=0,0,HLOOKUP(BY$14,Villagers!$B$1:$V$33,BY385+3,FALSE)),)</f>
        <v>0</v>
      </c>
      <c r="CU385" s="14">
        <f>ROUND(IF(BZ385=0,0,HLOOKUP(BZ$14,Villagers!$B$1:$V$33,BZ385+3,FALSE)),)</f>
        <v>0</v>
      </c>
      <c r="CV385" s="14">
        <f>ROUND(IF(CA385=0,0,HLOOKUP(CA$14,Villagers!$B$1:$V$33,CA385+3,FALSE)),)</f>
        <v>0</v>
      </c>
      <c r="CW385" s="14">
        <f>ROUND(IF(CB385=0,0,HLOOKUP(CB$14,Villagers!$B$1:$V$33,CB385+3,FALSE)),)</f>
        <v>0</v>
      </c>
      <c r="CX385" s="14">
        <f>ROUND(IF(CC385=0,0,HLOOKUP(CC$14,Villagers!$B$1:$V$33,CC385+3,FALSE)),)</f>
        <v>0</v>
      </c>
      <c r="CY385" s="14">
        <f>ROUND(IF(CD385=0,0,HLOOKUP(CD$14,Villagers!$B$1:$V$33,CD385+3,FALSE)),)</f>
        <v>0</v>
      </c>
      <c r="CZ385" s="14">
        <f>ROUND(IF(CE385=0,0,HLOOKUP(CE$14,Villagers!$B$1:$V$33,CE385+3,FALSE)),)</f>
        <v>5</v>
      </c>
      <c r="DA385" s="14">
        <f>ROUND(IF(CF385=0,0,HLOOKUP(CF$14,Villagers!$B$1:$V$33,CF385+3,FALSE)),)</f>
        <v>10</v>
      </c>
      <c r="DB385" s="14">
        <f>ROUND(IF(CG385=0,0,HLOOKUP(CG$14,Villagers!$B$1:$V$33,CG385+3,FALSE)),)</f>
        <v>10</v>
      </c>
      <c r="DC385" s="14">
        <f>ROUND(IF(CH385=0,0,HLOOKUP(CH$14,Villagers!$B$1:$V$33,CH385+3,FALSE)),)</f>
        <v>0</v>
      </c>
      <c r="DD385" s="14">
        <f>ROUND(IF(CI385=0,0,HLOOKUP(CI$14,Villagers!$B$1:$V$33,CI385+3,FALSE)),)</f>
        <v>0</v>
      </c>
      <c r="DE385" s="14">
        <f>ROUND(IF(CJ385=0,0,HLOOKUP(CJ$14,Villagers!$B$1:$V$33,CJ385+3,FALSE)),)</f>
        <v>2</v>
      </c>
      <c r="DF385" s="370">
        <f>ROUND(IF(CK385=0,0,HLOOKUP(CK$14,Villagers!$B$1:$V$33,CK385+3,FALSE)),)</f>
        <v>0</v>
      </c>
      <c r="DG385" s="370">
        <f>ROUND(IF(CL385=0,0,HLOOKUP(CL$14,Villagers!$B$1:$V$33,CL385+3,FALSE)),)</f>
        <v>0</v>
      </c>
      <c r="DH385" s="34">
        <f>ROUND(IF(CM385=0,0,HLOOKUP(CM$14,Villagers!$B$1:$V$33,CM385+3,FALSE)),)</f>
        <v>0</v>
      </c>
      <c r="DI385" s="109">
        <f t="shared" si="832"/>
        <v>0</v>
      </c>
      <c r="DJ385" s="50">
        <f t="shared" si="833"/>
        <v>0</v>
      </c>
      <c r="DK385" s="50">
        <f t="shared" si="834"/>
        <v>0</v>
      </c>
      <c r="DL385" s="50">
        <f t="shared" si="835"/>
        <v>0</v>
      </c>
      <c r="DM385" s="50">
        <f t="shared" si="836"/>
        <v>0</v>
      </c>
      <c r="DN385" s="50">
        <f t="shared" si="837"/>
        <v>0</v>
      </c>
      <c r="DO385" s="50">
        <f t="shared" si="838"/>
        <v>0</v>
      </c>
      <c r="DP385" s="50">
        <f t="shared" si="839"/>
        <v>0</v>
      </c>
      <c r="DQ385" s="50">
        <f t="shared" si="816"/>
        <v>0</v>
      </c>
      <c r="DR385" s="50">
        <f t="shared" si="817"/>
        <v>0</v>
      </c>
      <c r="DS385" s="96">
        <f>Miscelaneous!$D$4*Miscelaneous!$D$2^($CI385-1)</f>
        <v>1000</v>
      </c>
      <c r="DT385" s="333">
        <f t="shared" si="796"/>
        <v>1</v>
      </c>
      <c r="DU385" s="81">
        <v>1</v>
      </c>
      <c r="DV385" s="79">
        <f t="shared" si="818"/>
        <v>0</v>
      </c>
      <c r="DW385" s="79">
        <f t="shared" si="819"/>
        <v>0</v>
      </c>
      <c r="DX385" s="79">
        <f t="shared" si="820"/>
        <v>0</v>
      </c>
      <c r="DY385" s="79">
        <v>1</v>
      </c>
      <c r="DZ385" s="79">
        <f t="shared" si="821"/>
        <v>0</v>
      </c>
      <c r="EA385" s="79">
        <f t="shared" si="822"/>
        <v>0</v>
      </c>
      <c r="EB385" s="79">
        <f t="shared" si="823"/>
        <v>0</v>
      </c>
      <c r="EC385" s="79">
        <f t="shared" si="824"/>
        <v>0</v>
      </c>
      <c r="ED385" s="79">
        <v>1</v>
      </c>
      <c r="EE385" s="79">
        <v>1</v>
      </c>
      <c r="EF385" s="79">
        <f t="shared" si="825"/>
        <v>0</v>
      </c>
      <c r="EG385" s="79">
        <v>1</v>
      </c>
      <c r="EH385" s="79">
        <v>1</v>
      </c>
      <c r="EI385" s="79">
        <v>1</v>
      </c>
      <c r="EJ385" s="79">
        <v>1</v>
      </c>
      <c r="EK385" s="79">
        <v>1</v>
      </c>
      <c r="EL385" s="79">
        <v>1</v>
      </c>
      <c r="EM385" s="143">
        <f t="shared" si="826"/>
        <v>0</v>
      </c>
      <c r="EN385" s="143">
        <f t="shared" si="827"/>
        <v>0</v>
      </c>
      <c r="EO385" s="82">
        <f t="shared" si="828"/>
        <v>0</v>
      </c>
    </row>
    <row r="386" spans="1:145" x14ac:dyDescent="0.25">
      <c r="A386">
        <v>372</v>
      </c>
      <c r="B386" s="172" t="e">
        <f t="shared" si="797"/>
        <v>#N/A</v>
      </c>
      <c r="C386" s="121" t="e">
        <f t="shared" ref="C386:E386" si="919">AJ386-SUM(AB386:AB390)</f>
        <v>#N/A</v>
      </c>
      <c r="D386" s="122" t="e">
        <f t="shared" si="919"/>
        <v>#N/A</v>
      </c>
      <c r="E386" s="122" t="e">
        <f t="shared" si="919"/>
        <v>#N/A</v>
      </c>
      <c r="F386" s="176" t="e">
        <f t="shared" si="778"/>
        <v>#N/A</v>
      </c>
      <c r="G386" s="121">
        <f t="shared" si="799"/>
        <v>208</v>
      </c>
      <c r="H386" s="176" t="e">
        <f t="shared" si="800"/>
        <v>#N/A</v>
      </c>
      <c r="I386" s="48">
        <v>1</v>
      </c>
      <c r="J386" s="39"/>
      <c r="K386" s="350">
        <v>1</v>
      </c>
      <c r="L386" s="34" t="e">
        <f t="shared" si="779"/>
        <v>#N/A</v>
      </c>
      <c r="M386" s="38" t="e">
        <f>(HLOOKUP(J386,'Construction Times'!$B$3:$W$34,L386+2,FALSE)*HLOOKUP("hq modifier",'Construction Times'!$W$3:$W$34,BS386+2,FALSE))*(1-$H$9)</f>
        <v>#N/A</v>
      </c>
      <c r="N386" s="426" t="e">
        <f t="shared" si="801"/>
        <v>#N/A</v>
      </c>
      <c r="O386" s="427"/>
      <c r="P386" s="430" t="e">
        <f t="shared" si="802"/>
        <v>#N/A</v>
      </c>
      <c r="Q386" s="431"/>
      <c r="R386" s="103">
        <f t="shared" si="897"/>
        <v>0</v>
      </c>
      <c r="S386" s="104">
        <f t="shared" si="897"/>
        <v>0</v>
      </c>
      <c r="T386" s="104">
        <f t="shared" si="898"/>
        <v>0</v>
      </c>
      <c r="U386" s="104">
        <f t="shared" si="898"/>
        <v>0</v>
      </c>
      <c r="V386" s="104">
        <f t="shared" si="898"/>
        <v>9.9999999999999995E-8</v>
      </c>
      <c r="W386" s="104">
        <f t="shared" si="898"/>
        <v>0</v>
      </c>
      <c r="X386" s="104">
        <f t="shared" si="890"/>
        <v>0</v>
      </c>
      <c r="Y386" s="104">
        <f t="shared" si="890"/>
        <v>9.9999999999999995E-8</v>
      </c>
      <c r="Z386" s="104">
        <f t="shared" si="890"/>
        <v>9.9999999999999995E-8</v>
      </c>
      <c r="AA386" s="105">
        <f t="shared" si="890"/>
        <v>9.9999999999999995E-8</v>
      </c>
      <c r="AB386" s="101" t="e">
        <f>$DT386*HLOOKUP($J386,'Construction Costs (timber)'!$B$1:$V$32,'Construction Planner'!$L386+2,FALSE)</f>
        <v>#N/A</v>
      </c>
      <c r="AC386" s="14" t="e">
        <f>$DT386*HLOOKUP($J386,'Construction Costs (clay)'!$B$1:$V$32,'Construction Planner'!$L386+2,FALSE)</f>
        <v>#N/A</v>
      </c>
      <c r="AD386" s="14" t="e">
        <f>$DT386*HLOOKUP($J386,'Construction Costs (iron)'!$B$1:$V$32,'Construction Planner'!$L386+2,FALSE)</f>
        <v>#N/A</v>
      </c>
      <c r="AE386" s="34" t="e">
        <f t="shared" si="843"/>
        <v>#N/A</v>
      </c>
      <c r="AF386" s="33" t="e">
        <f t="shared" si="780"/>
        <v>#N/A</v>
      </c>
      <c r="AG386" s="14" t="e">
        <f t="shared" si="781"/>
        <v>#N/A</v>
      </c>
      <c r="AH386" s="14" t="e">
        <f t="shared" si="782"/>
        <v>#N/A</v>
      </c>
      <c r="AI386" s="34" t="e">
        <f t="shared" si="844"/>
        <v>#N/A</v>
      </c>
      <c r="AJ386" s="49" t="e">
        <f t="shared" si="804"/>
        <v>#N/A</v>
      </c>
      <c r="AK386" s="49" t="e">
        <f t="shared" si="805"/>
        <v>#N/A</v>
      </c>
      <c r="AL386" s="49" t="e">
        <f t="shared" si="806"/>
        <v>#N/A</v>
      </c>
      <c r="AM386" s="25">
        <f t="shared" si="783"/>
        <v>30</v>
      </c>
      <c r="AN386" s="25">
        <f t="shared" si="784"/>
        <v>30</v>
      </c>
      <c r="AO386" s="25">
        <f t="shared" si="785"/>
        <v>30</v>
      </c>
      <c r="AP386" s="52" t="e">
        <f t="shared" si="894"/>
        <v>#N/A</v>
      </c>
      <c r="AQ386" s="53" t="e">
        <f t="shared" si="894"/>
        <v>#N/A</v>
      </c>
      <c r="AR386" s="54" t="e">
        <f t="shared" si="894"/>
        <v>#N/A</v>
      </c>
      <c r="AS386" s="316">
        <f t="shared" si="902"/>
        <v>0</v>
      </c>
      <c r="AT386" s="106">
        <f>_xlfn.IFNA($M386/VLOOKUP($BT386,'Unit information'!$A$2:$K$29,2,FALSE)*R386,0)*(1+$E$9)</f>
        <v>0</v>
      </c>
      <c r="AU386" s="107">
        <f>_xlfn.IFNA($M386/VLOOKUP($BT386,'Unit information'!$A$2:$K$29,3,FALSE)*S386,0)*(1+$E$9)</f>
        <v>0</v>
      </c>
      <c r="AV386" s="107">
        <f>_xlfn.IFNA($M386/VLOOKUP($BT386,'Unit information'!$A$2:$K$29,4,FALSE)*T386,0)*(1+$E$9)</f>
        <v>0</v>
      </c>
      <c r="AW386" s="107">
        <f>_xlfn.IFNA($M386/VLOOKUP($BT386,'Unit information'!$A$2:$K$29,5,FALSE)*U386,0)*(1+$E$9)</f>
        <v>0</v>
      </c>
      <c r="AX386" s="107">
        <f>_xlfn.IFNA($M386/VLOOKUP($BU386,'Unit information'!$A$2:$K$29,6,FALSE)*V386,0)*(1+$E$9)</f>
        <v>0</v>
      </c>
      <c r="AY386" s="107">
        <f>_xlfn.IFNA($M386/VLOOKUP($BU386,'Unit information'!$A$2:$K$29,7,FALSE)*W386,0)*(1+$E$9)</f>
        <v>0</v>
      </c>
      <c r="AZ386" s="107">
        <f>_xlfn.IFNA($M386/VLOOKUP($BU386,'Unit information'!$A$2:$K$29,8,FALSE)*X386,0)*(1+$E$9)</f>
        <v>0</v>
      </c>
      <c r="BA386" s="107">
        <f>_xlfn.IFNA($M386/VLOOKUP($BU386,'Unit information'!$A$2:$K$29,9,FALSE)*Y386,0)*(1+$E$9)</f>
        <v>0</v>
      </c>
      <c r="BB386" s="107">
        <f>_xlfn.IFNA($M386/VLOOKUP($BV386,'Unit information'!$A$2:$K$29,10,FALSE)*Z386,0)*(1+$E$9)</f>
        <v>0</v>
      </c>
      <c r="BC386" s="108">
        <f>_xlfn.IFNA($M386/VLOOKUP($BV386,'Unit information'!$A$2:$K$29,11,FALSE)*AA386,0)*(1+$E$9)</f>
        <v>0</v>
      </c>
      <c r="BD386" s="106">
        <f t="shared" si="786"/>
        <v>0</v>
      </c>
      <c r="BE386" s="107">
        <f t="shared" si="787"/>
        <v>0</v>
      </c>
      <c r="BF386" s="108">
        <f t="shared" si="788"/>
        <v>0</v>
      </c>
      <c r="BG386" s="25" t="e">
        <f t="shared" si="789"/>
        <v>#N/A</v>
      </c>
      <c r="BH386" s="25" t="e">
        <f t="shared" si="790"/>
        <v>#N/A</v>
      </c>
      <c r="BI386" s="25" t="e">
        <f t="shared" si="791"/>
        <v>#N/A</v>
      </c>
      <c r="BJ386" s="27" t="e">
        <f t="shared" si="792"/>
        <v>#N/A</v>
      </c>
      <c r="BK386" s="18" t="e">
        <f t="shared" si="793"/>
        <v>#N/A</v>
      </c>
      <c r="BL386" s="18" t="e">
        <f t="shared" si="794"/>
        <v>#N/A</v>
      </c>
      <c r="BM386" s="28" t="e">
        <f t="shared" si="846"/>
        <v>#N/A</v>
      </c>
      <c r="BN386" s="33">
        <f>HLOOKUP("maximum population",Miscelaneous!$C$1:$C$33,CH386+3,FALSE)</f>
        <v>240</v>
      </c>
      <c r="BO386" s="14">
        <f t="shared" si="808"/>
        <v>32</v>
      </c>
      <c r="BP386" s="14">
        <f t="shared" si="809"/>
        <v>0</v>
      </c>
      <c r="BQ386" s="14">
        <f t="shared" si="810"/>
        <v>208</v>
      </c>
      <c r="BR386" s="34" t="e">
        <f>HLOOKUP(J386,Villagers!$B$1:$V$33,L386+3,FALSE)-HLOOKUP(J386,Villagers!$B$1:$V$33,L386+2,FALSE)</f>
        <v>#N/A</v>
      </c>
      <c r="BS386" s="49">
        <f t="shared" si="811"/>
        <v>1</v>
      </c>
      <c r="BT386" s="50">
        <f t="shared" si="812"/>
        <v>0</v>
      </c>
      <c r="BU386" s="50">
        <f t="shared" si="813"/>
        <v>0</v>
      </c>
      <c r="BV386" s="50">
        <f t="shared" si="814"/>
        <v>0</v>
      </c>
      <c r="BW386" s="50">
        <f t="shared" si="917"/>
        <v>0</v>
      </c>
      <c r="BX386" s="50">
        <f t="shared" si="917"/>
        <v>0</v>
      </c>
      <c r="BY386" s="50">
        <f t="shared" si="917"/>
        <v>0</v>
      </c>
      <c r="BZ386" s="50">
        <f t="shared" si="860"/>
        <v>0</v>
      </c>
      <c r="CA386" s="50">
        <f t="shared" si="861"/>
        <v>0</v>
      </c>
      <c r="CB386" s="50">
        <f t="shared" si="862"/>
        <v>1</v>
      </c>
      <c r="CC386" s="50">
        <f t="shared" si="863"/>
        <v>0</v>
      </c>
      <c r="CD386" s="50">
        <f t="shared" si="864"/>
        <v>0</v>
      </c>
      <c r="CE386" s="50">
        <f t="shared" si="865"/>
        <v>1</v>
      </c>
      <c r="CF386" s="50">
        <f t="shared" si="866"/>
        <v>1</v>
      </c>
      <c r="CG386" s="50">
        <f t="shared" si="867"/>
        <v>1</v>
      </c>
      <c r="CH386" s="50">
        <f t="shared" si="868"/>
        <v>1</v>
      </c>
      <c r="CI386" s="50">
        <f t="shared" si="869"/>
        <v>1</v>
      </c>
      <c r="CJ386" s="50">
        <f t="shared" si="870"/>
        <v>1</v>
      </c>
      <c r="CK386" s="50">
        <f t="shared" si="870"/>
        <v>0</v>
      </c>
      <c r="CL386" s="50">
        <f t="shared" si="870"/>
        <v>0</v>
      </c>
      <c r="CM386" s="51">
        <f t="shared" si="795"/>
        <v>0</v>
      </c>
      <c r="CN386" s="33">
        <f>ROUND(IF(BS386=0,0,HLOOKUP(BS$14,Villagers!$B$1:$V$33,BS386+3,FALSE)),)</f>
        <v>5</v>
      </c>
      <c r="CO386" s="14">
        <f>ROUND(IF(BT386=0,0,HLOOKUP(BT$14,Villagers!$B$1:$V$33,BT386+3,FALSE)),)</f>
        <v>0</v>
      </c>
      <c r="CP386" s="14">
        <f>ROUND(IF(BU386=0,0,HLOOKUP(BU$14,Villagers!$B$1:$V$33,BU386+3,FALSE)),)</f>
        <v>0</v>
      </c>
      <c r="CQ386" s="14">
        <f>ROUND(IF(BV386=0,0,HLOOKUP(BV$14,Villagers!$B$1:$V$33,BV386+3,FALSE)),)</f>
        <v>0</v>
      </c>
      <c r="CR386" s="14">
        <f>ROUND(IF(BW386=0,0,HLOOKUP(BW$14,Villagers!$B$1:$V$33,BW386+3,FALSE)),)</f>
        <v>0</v>
      </c>
      <c r="CS386" s="14">
        <f>ROUND(IF(BX386=0,0,HLOOKUP(BX$14,Villagers!$B$1:$V$33,BX386+3,FALSE)),)</f>
        <v>0</v>
      </c>
      <c r="CT386" s="14">
        <f>ROUND(IF(BY386=0,0,HLOOKUP(BY$14,Villagers!$B$1:$V$33,BY386+3,FALSE)),)</f>
        <v>0</v>
      </c>
      <c r="CU386" s="14">
        <f>ROUND(IF(BZ386=0,0,HLOOKUP(BZ$14,Villagers!$B$1:$V$33,BZ386+3,FALSE)),)</f>
        <v>0</v>
      </c>
      <c r="CV386" s="14">
        <f>ROUND(IF(CA386=0,0,HLOOKUP(CA$14,Villagers!$B$1:$V$33,CA386+3,FALSE)),)</f>
        <v>0</v>
      </c>
      <c r="CW386" s="14">
        <f>ROUND(IF(CB386=0,0,HLOOKUP(CB$14,Villagers!$B$1:$V$33,CB386+3,FALSE)),)</f>
        <v>0</v>
      </c>
      <c r="CX386" s="14">
        <f>ROUND(IF(CC386=0,0,HLOOKUP(CC$14,Villagers!$B$1:$V$33,CC386+3,FALSE)),)</f>
        <v>0</v>
      </c>
      <c r="CY386" s="14">
        <f>ROUND(IF(CD386=0,0,HLOOKUP(CD$14,Villagers!$B$1:$V$33,CD386+3,FALSE)),)</f>
        <v>0</v>
      </c>
      <c r="CZ386" s="14">
        <f>ROUND(IF(CE386=0,0,HLOOKUP(CE$14,Villagers!$B$1:$V$33,CE386+3,FALSE)),)</f>
        <v>5</v>
      </c>
      <c r="DA386" s="14">
        <f>ROUND(IF(CF386=0,0,HLOOKUP(CF$14,Villagers!$B$1:$V$33,CF386+3,FALSE)),)</f>
        <v>10</v>
      </c>
      <c r="DB386" s="14">
        <f>ROUND(IF(CG386=0,0,HLOOKUP(CG$14,Villagers!$B$1:$V$33,CG386+3,FALSE)),)</f>
        <v>10</v>
      </c>
      <c r="DC386" s="14">
        <f>ROUND(IF(CH386=0,0,HLOOKUP(CH$14,Villagers!$B$1:$V$33,CH386+3,FALSE)),)</f>
        <v>0</v>
      </c>
      <c r="DD386" s="14">
        <f>ROUND(IF(CI386=0,0,HLOOKUP(CI$14,Villagers!$B$1:$V$33,CI386+3,FALSE)),)</f>
        <v>0</v>
      </c>
      <c r="DE386" s="14">
        <f>ROUND(IF(CJ386=0,0,HLOOKUP(CJ$14,Villagers!$B$1:$V$33,CJ386+3,FALSE)),)</f>
        <v>2</v>
      </c>
      <c r="DF386" s="370">
        <f>ROUND(IF(CK386=0,0,HLOOKUP(CK$14,Villagers!$B$1:$V$33,CK386+3,FALSE)),)</f>
        <v>0</v>
      </c>
      <c r="DG386" s="370">
        <f>ROUND(IF(CL386=0,0,HLOOKUP(CL$14,Villagers!$B$1:$V$33,CL386+3,FALSE)),)</f>
        <v>0</v>
      </c>
      <c r="DH386" s="34">
        <f>ROUND(IF(CM386=0,0,HLOOKUP(CM$14,Villagers!$B$1:$V$33,CM386+3,FALSE)),)</f>
        <v>0</v>
      </c>
      <c r="DI386" s="109">
        <f t="shared" si="832"/>
        <v>0</v>
      </c>
      <c r="DJ386" s="50">
        <f t="shared" si="833"/>
        <v>0</v>
      </c>
      <c r="DK386" s="50">
        <f t="shared" si="834"/>
        <v>0</v>
      </c>
      <c r="DL386" s="50">
        <f t="shared" si="835"/>
        <v>0</v>
      </c>
      <c r="DM386" s="50">
        <f t="shared" si="836"/>
        <v>0</v>
      </c>
      <c r="DN386" s="50">
        <f t="shared" si="837"/>
        <v>0</v>
      </c>
      <c r="DO386" s="50">
        <f t="shared" si="838"/>
        <v>0</v>
      </c>
      <c r="DP386" s="50">
        <f t="shared" si="839"/>
        <v>0</v>
      </c>
      <c r="DQ386" s="50">
        <f t="shared" si="816"/>
        <v>0</v>
      </c>
      <c r="DR386" s="50">
        <f t="shared" si="817"/>
        <v>0</v>
      </c>
      <c r="DS386" s="96">
        <f>Miscelaneous!$D$4*Miscelaneous!$D$2^($CI386-1)</f>
        <v>1000</v>
      </c>
      <c r="DT386" s="333">
        <f t="shared" si="796"/>
        <v>1</v>
      </c>
      <c r="DU386" s="81">
        <v>1</v>
      </c>
      <c r="DV386" s="79">
        <f t="shared" si="818"/>
        <v>0</v>
      </c>
      <c r="DW386" s="79">
        <f t="shared" si="819"/>
        <v>0</v>
      </c>
      <c r="DX386" s="79">
        <f t="shared" si="820"/>
        <v>0</v>
      </c>
      <c r="DY386" s="79">
        <v>1</v>
      </c>
      <c r="DZ386" s="79">
        <f t="shared" si="821"/>
        <v>0</v>
      </c>
      <c r="EA386" s="79">
        <f t="shared" si="822"/>
        <v>0</v>
      </c>
      <c r="EB386" s="79">
        <f t="shared" si="823"/>
        <v>0</v>
      </c>
      <c r="EC386" s="79">
        <f t="shared" si="824"/>
        <v>0</v>
      </c>
      <c r="ED386" s="79">
        <v>1</v>
      </c>
      <c r="EE386" s="79">
        <v>1</v>
      </c>
      <c r="EF386" s="79">
        <f t="shared" si="825"/>
        <v>0</v>
      </c>
      <c r="EG386" s="79">
        <v>1</v>
      </c>
      <c r="EH386" s="79">
        <v>1</v>
      </c>
      <c r="EI386" s="79">
        <v>1</v>
      </c>
      <c r="EJ386" s="79">
        <v>1</v>
      </c>
      <c r="EK386" s="79">
        <v>1</v>
      </c>
      <c r="EL386" s="79">
        <v>1</v>
      </c>
      <c r="EM386" s="143">
        <f t="shared" si="826"/>
        <v>0</v>
      </c>
      <c r="EN386" s="143">
        <f t="shared" si="827"/>
        <v>0</v>
      </c>
      <c r="EO386" s="82">
        <f t="shared" si="828"/>
        <v>0</v>
      </c>
    </row>
    <row r="387" spans="1:145" x14ac:dyDescent="0.25">
      <c r="A387">
        <v>373</v>
      </c>
      <c r="B387" s="172" t="e">
        <f t="shared" si="797"/>
        <v>#N/A</v>
      </c>
      <c r="C387" s="121" t="e">
        <f t="shared" ref="C387:E387" si="920">AJ387-SUM(AB387:AB391)</f>
        <v>#N/A</v>
      </c>
      <c r="D387" s="122" t="e">
        <f t="shared" si="920"/>
        <v>#N/A</v>
      </c>
      <c r="E387" s="122" t="e">
        <f t="shared" si="920"/>
        <v>#N/A</v>
      </c>
      <c r="F387" s="176" t="e">
        <f t="shared" si="778"/>
        <v>#N/A</v>
      </c>
      <c r="G387" s="121">
        <f t="shared" si="799"/>
        <v>208</v>
      </c>
      <c r="H387" s="176" t="e">
        <f t="shared" si="800"/>
        <v>#N/A</v>
      </c>
      <c r="I387" s="48">
        <v>1</v>
      </c>
      <c r="J387" s="39"/>
      <c r="K387" s="350">
        <v>1</v>
      </c>
      <c r="L387" s="34" t="e">
        <f t="shared" si="779"/>
        <v>#N/A</v>
      </c>
      <c r="M387" s="38" t="e">
        <f>(HLOOKUP(J387,'Construction Times'!$B$3:$W$34,L387+2,FALSE)*HLOOKUP("hq modifier",'Construction Times'!$W$3:$W$34,BS387+2,FALSE))*(1-$H$9)</f>
        <v>#N/A</v>
      </c>
      <c r="N387" s="426" t="e">
        <f t="shared" si="801"/>
        <v>#N/A</v>
      </c>
      <c r="O387" s="427"/>
      <c r="P387" s="430" t="e">
        <f t="shared" si="802"/>
        <v>#N/A</v>
      </c>
      <c r="Q387" s="431"/>
      <c r="R387" s="103">
        <f t="shared" si="897"/>
        <v>0</v>
      </c>
      <c r="S387" s="104">
        <f t="shared" si="897"/>
        <v>0</v>
      </c>
      <c r="T387" s="104">
        <f t="shared" si="898"/>
        <v>0</v>
      </c>
      <c r="U387" s="104">
        <f t="shared" si="898"/>
        <v>0</v>
      </c>
      <c r="V387" s="104">
        <f t="shared" si="898"/>
        <v>9.9999999999999995E-8</v>
      </c>
      <c r="W387" s="104">
        <f t="shared" si="898"/>
        <v>0</v>
      </c>
      <c r="X387" s="104">
        <f t="shared" si="890"/>
        <v>0</v>
      </c>
      <c r="Y387" s="104">
        <f t="shared" si="890"/>
        <v>9.9999999999999995E-8</v>
      </c>
      <c r="Z387" s="104">
        <f t="shared" si="890"/>
        <v>9.9999999999999995E-8</v>
      </c>
      <c r="AA387" s="105">
        <f t="shared" si="890"/>
        <v>9.9999999999999995E-8</v>
      </c>
      <c r="AB387" s="101" t="e">
        <f>$DT387*HLOOKUP($J387,'Construction Costs (timber)'!$B$1:$V$32,'Construction Planner'!$L387+2,FALSE)</f>
        <v>#N/A</v>
      </c>
      <c r="AC387" s="14" t="e">
        <f>$DT387*HLOOKUP($J387,'Construction Costs (clay)'!$B$1:$V$32,'Construction Planner'!$L387+2,FALSE)</f>
        <v>#N/A</v>
      </c>
      <c r="AD387" s="14" t="e">
        <f>$DT387*HLOOKUP($J387,'Construction Costs (iron)'!$B$1:$V$32,'Construction Planner'!$L387+2,FALSE)</f>
        <v>#N/A</v>
      </c>
      <c r="AE387" s="34" t="e">
        <f t="shared" si="843"/>
        <v>#N/A</v>
      </c>
      <c r="AF387" s="33" t="e">
        <f t="shared" si="780"/>
        <v>#N/A</v>
      </c>
      <c r="AG387" s="14" t="e">
        <f t="shared" si="781"/>
        <v>#N/A</v>
      </c>
      <c r="AH387" s="14" t="e">
        <f t="shared" si="782"/>
        <v>#N/A</v>
      </c>
      <c r="AI387" s="34" t="e">
        <f t="shared" si="844"/>
        <v>#N/A</v>
      </c>
      <c r="AJ387" s="49" t="e">
        <f t="shared" si="804"/>
        <v>#N/A</v>
      </c>
      <c r="AK387" s="49" t="e">
        <f t="shared" si="805"/>
        <v>#N/A</v>
      </c>
      <c r="AL387" s="49" t="e">
        <f t="shared" si="806"/>
        <v>#N/A</v>
      </c>
      <c r="AM387" s="25">
        <f t="shared" si="783"/>
        <v>30</v>
      </c>
      <c r="AN387" s="25">
        <f t="shared" si="784"/>
        <v>30</v>
      </c>
      <c r="AO387" s="25">
        <f t="shared" si="785"/>
        <v>30</v>
      </c>
      <c r="AP387" s="52" t="e">
        <f t="shared" si="894"/>
        <v>#N/A</v>
      </c>
      <c r="AQ387" s="53" t="e">
        <f t="shared" si="894"/>
        <v>#N/A</v>
      </c>
      <c r="AR387" s="54" t="e">
        <f t="shared" si="894"/>
        <v>#N/A</v>
      </c>
      <c r="AS387" s="316">
        <f t="shared" si="902"/>
        <v>0</v>
      </c>
      <c r="AT387" s="106">
        <f>_xlfn.IFNA($M387/VLOOKUP($BT387,'Unit information'!$A$2:$K$29,2,FALSE)*R387,0)*(1+$E$9)</f>
        <v>0</v>
      </c>
      <c r="AU387" s="107">
        <f>_xlfn.IFNA($M387/VLOOKUP($BT387,'Unit information'!$A$2:$K$29,3,FALSE)*S387,0)*(1+$E$9)</f>
        <v>0</v>
      </c>
      <c r="AV387" s="107">
        <f>_xlfn.IFNA($M387/VLOOKUP($BT387,'Unit information'!$A$2:$K$29,4,FALSE)*T387,0)*(1+$E$9)</f>
        <v>0</v>
      </c>
      <c r="AW387" s="107">
        <f>_xlfn.IFNA($M387/VLOOKUP($BT387,'Unit information'!$A$2:$K$29,5,FALSE)*U387,0)*(1+$E$9)</f>
        <v>0</v>
      </c>
      <c r="AX387" s="107">
        <f>_xlfn.IFNA($M387/VLOOKUP($BU387,'Unit information'!$A$2:$K$29,6,FALSE)*V387,0)*(1+$E$9)</f>
        <v>0</v>
      </c>
      <c r="AY387" s="107">
        <f>_xlfn.IFNA($M387/VLOOKUP($BU387,'Unit information'!$A$2:$K$29,7,FALSE)*W387,0)*(1+$E$9)</f>
        <v>0</v>
      </c>
      <c r="AZ387" s="107">
        <f>_xlfn.IFNA($M387/VLOOKUP($BU387,'Unit information'!$A$2:$K$29,8,FALSE)*X387,0)*(1+$E$9)</f>
        <v>0</v>
      </c>
      <c r="BA387" s="107">
        <f>_xlfn.IFNA($M387/VLOOKUP($BU387,'Unit information'!$A$2:$K$29,9,FALSE)*Y387,0)*(1+$E$9)</f>
        <v>0</v>
      </c>
      <c r="BB387" s="107">
        <f>_xlfn.IFNA($M387/VLOOKUP($BV387,'Unit information'!$A$2:$K$29,10,FALSE)*Z387,0)*(1+$E$9)</f>
        <v>0</v>
      </c>
      <c r="BC387" s="108">
        <f>_xlfn.IFNA($M387/VLOOKUP($BV387,'Unit information'!$A$2:$K$29,11,FALSE)*AA387,0)*(1+$E$9)</f>
        <v>0</v>
      </c>
      <c r="BD387" s="106">
        <f t="shared" si="786"/>
        <v>0</v>
      </c>
      <c r="BE387" s="107">
        <f t="shared" si="787"/>
        <v>0</v>
      </c>
      <c r="BF387" s="108">
        <f t="shared" si="788"/>
        <v>0</v>
      </c>
      <c r="BG387" s="25" t="e">
        <f t="shared" si="789"/>
        <v>#N/A</v>
      </c>
      <c r="BH387" s="25" t="e">
        <f t="shared" si="790"/>
        <v>#N/A</v>
      </c>
      <c r="BI387" s="25" t="e">
        <f t="shared" si="791"/>
        <v>#N/A</v>
      </c>
      <c r="BJ387" s="27" t="e">
        <f t="shared" si="792"/>
        <v>#N/A</v>
      </c>
      <c r="BK387" s="18" t="e">
        <f t="shared" si="793"/>
        <v>#N/A</v>
      </c>
      <c r="BL387" s="18" t="e">
        <f t="shared" si="794"/>
        <v>#N/A</v>
      </c>
      <c r="BM387" s="28" t="e">
        <f t="shared" si="846"/>
        <v>#N/A</v>
      </c>
      <c r="BN387" s="33">
        <f>HLOOKUP("maximum population",Miscelaneous!$C$1:$C$33,CH387+3,FALSE)</f>
        <v>240</v>
      </c>
      <c r="BO387" s="14">
        <f t="shared" si="808"/>
        <v>32</v>
      </c>
      <c r="BP387" s="14">
        <f t="shared" si="809"/>
        <v>0</v>
      </c>
      <c r="BQ387" s="14">
        <f t="shared" si="810"/>
        <v>208</v>
      </c>
      <c r="BR387" s="34" t="e">
        <f>HLOOKUP(J387,Villagers!$B$1:$V$33,L387+3,FALSE)-HLOOKUP(J387,Villagers!$B$1:$V$33,L387+2,FALSE)</f>
        <v>#N/A</v>
      </c>
      <c r="BS387" s="49">
        <f t="shared" si="811"/>
        <v>1</v>
      </c>
      <c r="BT387" s="50">
        <f t="shared" si="812"/>
        <v>0</v>
      </c>
      <c r="BU387" s="50">
        <f t="shared" si="813"/>
        <v>0</v>
      </c>
      <c r="BV387" s="50">
        <f t="shared" si="814"/>
        <v>0</v>
      </c>
      <c r="BW387" s="50">
        <f t="shared" si="917"/>
        <v>0</v>
      </c>
      <c r="BX387" s="50">
        <f t="shared" si="917"/>
        <v>0</v>
      </c>
      <c r="BY387" s="50">
        <f t="shared" si="917"/>
        <v>0</v>
      </c>
      <c r="BZ387" s="50">
        <f t="shared" si="860"/>
        <v>0</v>
      </c>
      <c r="CA387" s="50">
        <f t="shared" si="861"/>
        <v>0</v>
      </c>
      <c r="CB387" s="50">
        <f t="shared" si="862"/>
        <v>1</v>
      </c>
      <c r="CC387" s="50">
        <f t="shared" si="863"/>
        <v>0</v>
      </c>
      <c r="CD387" s="50">
        <f t="shared" si="864"/>
        <v>0</v>
      </c>
      <c r="CE387" s="50">
        <f t="shared" si="865"/>
        <v>1</v>
      </c>
      <c r="CF387" s="50">
        <f t="shared" si="866"/>
        <v>1</v>
      </c>
      <c r="CG387" s="50">
        <f t="shared" si="867"/>
        <v>1</v>
      </c>
      <c r="CH387" s="50">
        <f t="shared" si="868"/>
        <v>1</v>
      </c>
      <c r="CI387" s="50">
        <f t="shared" si="869"/>
        <v>1</v>
      </c>
      <c r="CJ387" s="50">
        <f t="shared" si="870"/>
        <v>1</v>
      </c>
      <c r="CK387" s="50">
        <f t="shared" si="870"/>
        <v>0</v>
      </c>
      <c r="CL387" s="50">
        <f t="shared" si="870"/>
        <v>0</v>
      </c>
      <c r="CM387" s="51">
        <f t="shared" si="795"/>
        <v>0</v>
      </c>
      <c r="CN387" s="33">
        <f>ROUND(IF(BS387=0,0,HLOOKUP(BS$14,Villagers!$B$1:$V$33,BS387+3,FALSE)),)</f>
        <v>5</v>
      </c>
      <c r="CO387" s="14">
        <f>ROUND(IF(BT387=0,0,HLOOKUP(BT$14,Villagers!$B$1:$V$33,BT387+3,FALSE)),)</f>
        <v>0</v>
      </c>
      <c r="CP387" s="14">
        <f>ROUND(IF(BU387=0,0,HLOOKUP(BU$14,Villagers!$B$1:$V$33,BU387+3,FALSE)),)</f>
        <v>0</v>
      </c>
      <c r="CQ387" s="14">
        <f>ROUND(IF(BV387=0,0,HLOOKUP(BV$14,Villagers!$B$1:$V$33,BV387+3,FALSE)),)</f>
        <v>0</v>
      </c>
      <c r="CR387" s="14">
        <f>ROUND(IF(BW387=0,0,HLOOKUP(BW$14,Villagers!$B$1:$V$33,BW387+3,FALSE)),)</f>
        <v>0</v>
      </c>
      <c r="CS387" s="14">
        <f>ROUND(IF(BX387=0,0,HLOOKUP(BX$14,Villagers!$B$1:$V$33,BX387+3,FALSE)),)</f>
        <v>0</v>
      </c>
      <c r="CT387" s="14">
        <f>ROUND(IF(BY387=0,0,HLOOKUP(BY$14,Villagers!$B$1:$V$33,BY387+3,FALSE)),)</f>
        <v>0</v>
      </c>
      <c r="CU387" s="14">
        <f>ROUND(IF(BZ387=0,0,HLOOKUP(BZ$14,Villagers!$B$1:$V$33,BZ387+3,FALSE)),)</f>
        <v>0</v>
      </c>
      <c r="CV387" s="14">
        <f>ROUND(IF(CA387=0,0,HLOOKUP(CA$14,Villagers!$B$1:$V$33,CA387+3,FALSE)),)</f>
        <v>0</v>
      </c>
      <c r="CW387" s="14">
        <f>ROUND(IF(CB387=0,0,HLOOKUP(CB$14,Villagers!$B$1:$V$33,CB387+3,FALSE)),)</f>
        <v>0</v>
      </c>
      <c r="CX387" s="14">
        <f>ROUND(IF(CC387=0,0,HLOOKUP(CC$14,Villagers!$B$1:$V$33,CC387+3,FALSE)),)</f>
        <v>0</v>
      </c>
      <c r="CY387" s="14">
        <f>ROUND(IF(CD387=0,0,HLOOKUP(CD$14,Villagers!$B$1:$V$33,CD387+3,FALSE)),)</f>
        <v>0</v>
      </c>
      <c r="CZ387" s="14">
        <f>ROUND(IF(CE387=0,0,HLOOKUP(CE$14,Villagers!$B$1:$V$33,CE387+3,FALSE)),)</f>
        <v>5</v>
      </c>
      <c r="DA387" s="14">
        <f>ROUND(IF(CF387=0,0,HLOOKUP(CF$14,Villagers!$B$1:$V$33,CF387+3,FALSE)),)</f>
        <v>10</v>
      </c>
      <c r="DB387" s="14">
        <f>ROUND(IF(CG387=0,0,HLOOKUP(CG$14,Villagers!$B$1:$V$33,CG387+3,FALSE)),)</f>
        <v>10</v>
      </c>
      <c r="DC387" s="14">
        <f>ROUND(IF(CH387=0,0,HLOOKUP(CH$14,Villagers!$B$1:$V$33,CH387+3,FALSE)),)</f>
        <v>0</v>
      </c>
      <c r="DD387" s="14">
        <f>ROUND(IF(CI387=0,0,HLOOKUP(CI$14,Villagers!$B$1:$V$33,CI387+3,FALSE)),)</f>
        <v>0</v>
      </c>
      <c r="DE387" s="14">
        <f>ROUND(IF(CJ387=0,0,HLOOKUP(CJ$14,Villagers!$B$1:$V$33,CJ387+3,FALSE)),)</f>
        <v>2</v>
      </c>
      <c r="DF387" s="370">
        <f>ROUND(IF(CK387=0,0,HLOOKUP(CK$14,Villagers!$B$1:$V$33,CK387+3,FALSE)),)</f>
        <v>0</v>
      </c>
      <c r="DG387" s="370">
        <f>ROUND(IF(CL387=0,0,HLOOKUP(CL$14,Villagers!$B$1:$V$33,CL387+3,FALSE)),)</f>
        <v>0</v>
      </c>
      <c r="DH387" s="34">
        <f>ROUND(IF(CM387=0,0,HLOOKUP(CM$14,Villagers!$B$1:$V$33,CM387+3,FALSE)),)</f>
        <v>0</v>
      </c>
      <c r="DI387" s="109">
        <f t="shared" si="832"/>
        <v>0</v>
      </c>
      <c r="DJ387" s="50">
        <f t="shared" si="833"/>
        <v>0</v>
      </c>
      <c r="DK387" s="50">
        <f t="shared" si="834"/>
        <v>0</v>
      </c>
      <c r="DL387" s="50">
        <f t="shared" si="835"/>
        <v>0</v>
      </c>
      <c r="DM387" s="50">
        <f t="shared" si="836"/>
        <v>0</v>
      </c>
      <c r="DN387" s="50">
        <f t="shared" si="837"/>
        <v>0</v>
      </c>
      <c r="DO387" s="50">
        <f t="shared" si="838"/>
        <v>0</v>
      </c>
      <c r="DP387" s="50">
        <f t="shared" si="839"/>
        <v>0</v>
      </c>
      <c r="DQ387" s="50">
        <f t="shared" si="816"/>
        <v>0</v>
      </c>
      <c r="DR387" s="50">
        <f t="shared" si="817"/>
        <v>0</v>
      </c>
      <c r="DS387" s="96">
        <f>Miscelaneous!$D$4*Miscelaneous!$D$2^($CI387-1)</f>
        <v>1000</v>
      </c>
      <c r="DT387" s="333">
        <f t="shared" si="796"/>
        <v>1</v>
      </c>
      <c r="DU387" s="81">
        <v>1</v>
      </c>
      <c r="DV387" s="79">
        <f t="shared" si="818"/>
        <v>0</v>
      </c>
      <c r="DW387" s="79">
        <f t="shared" si="819"/>
        <v>0</v>
      </c>
      <c r="DX387" s="79">
        <f t="shared" si="820"/>
        <v>0</v>
      </c>
      <c r="DY387" s="79">
        <v>1</v>
      </c>
      <c r="DZ387" s="79">
        <f t="shared" si="821"/>
        <v>0</v>
      </c>
      <c r="EA387" s="79">
        <f t="shared" si="822"/>
        <v>0</v>
      </c>
      <c r="EB387" s="79">
        <f t="shared" si="823"/>
        <v>0</v>
      </c>
      <c r="EC387" s="79">
        <f t="shared" si="824"/>
        <v>0</v>
      </c>
      <c r="ED387" s="79">
        <v>1</v>
      </c>
      <c r="EE387" s="79">
        <v>1</v>
      </c>
      <c r="EF387" s="79">
        <f t="shared" si="825"/>
        <v>0</v>
      </c>
      <c r="EG387" s="79">
        <v>1</v>
      </c>
      <c r="EH387" s="79">
        <v>1</v>
      </c>
      <c r="EI387" s="79">
        <v>1</v>
      </c>
      <c r="EJ387" s="79">
        <v>1</v>
      </c>
      <c r="EK387" s="79">
        <v>1</v>
      </c>
      <c r="EL387" s="79">
        <v>1</v>
      </c>
      <c r="EM387" s="143">
        <f t="shared" si="826"/>
        <v>0</v>
      </c>
      <c r="EN387" s="143">
        <f t="shared" si="827"/>
        <v>0</v>
      </c>
      <c r="EO387" s="82">
        <f t="shared" si="828"/>
        <v>0</v>
      </c>
    </row>
    <row r="388" spans="1:145" x14ac:dyDescent="0.25">
      <c r="A388">
        <v>374</v>
      </c>
      <c r="B388" s="172" t="e">
        <f t="shared" si="797"/>
        <v>#N/A</v>
      </c>
      <c r="C388" s="121" t="e">
        <f t="shared" ref="C388:E388" si="921">AJ388-SUM(AB388:AB392)</f>
        <v>#N/A</v>
      </c>
      <c r="D388" s="122" t="e">
        <f t="shared" si="921"/>
        <v>#N/A</v>
      </c>
      <c r="E388" s="122" t="e">
        <f t="shared" si="921"/>
        <v>#N/A</v>
      </c>
      <c r="F388" s="176" t="e">
        <f t="shared" si="778"/>
        <v>#N/A</v>
      </c>
      <c r="G388" s="121">
        <f t="shared" si="799"/>
        <v>208</v>
      </c>
      <c r="H388" s="176" t="e">
        <f t="shared" si="800"/>
        <v>#N/A</v>
      </c>
      <c r="I388" s="48">
        <v>1</v>
      </c>
      <c r="J388" s="39"/>
      <c r="K388" s="350">
        <v>1</v>
      </c>
      <c r="L388" s="34" t="e">
        <f t="shared" si="779"/>
        <v>#N/A</v>
      </c>
      <c r="M388" s="38" t="e">
        <f>(HLOOKUP(J388,'Construction Times'!$B$3:$W$34,L388+2,FALSE)*HLOOKUP("hq modifier",'Construction Times'!$W$3:$W$34,BS388+2,FALSE))*(1-$H$9)</f>
        <v>#N/A</v>
      </c>
      <c r="N388" s="426" t="e">
        <f t="shared" si="801"/>
        <v>#N/A</v>
      </c>
      <c r="O388" s="427"/>
      <c r="P388" s="430" t="e">
        <f t="shared" si="802"/>
        <v>#N/A</v>
      </c>
      <c r="Q388" s="431"/>
      <c r="R388" s="103">
        <f t="shared" si="897"/>
        <v>0</v>
      </c>
      <c r="S388" s="104">
        <f t="shared" si="897"/>
        <v>0</v>
      </c>
      <c r="T388" s="104">
        <f t="shared" si="898"/>
        <v>0</v>
      </c>
      <c r="U388" s="104">
        <f t="shared" si="898"/>
        <v>0</v>
      </c>
      <c r="V388" s="104">
        <f t="shared" si="898"/>
        <v>9.9999999999999995E-8</v>
      </c>
      <c r="W388" s="104">
        <f t="shared" si="898"/>
        <v>0</v>
      </c>
      <c r="X388" s="104">
        <f t="shared" si="890"/>
        <v>0</v>
      </c>
      <c r="Y388" s="104">
        <f t="shared" si="890"/>
        <v>9.9999999999999995E-8</v>
      </c>
      <c r="Z388" s="104">
        <f t="shared" si="890"/>
        <v>9.9999999999999995E-8</v>
      </c>
      <c r="AA388" s="105">
        <f t="shared" si="890"/>
        <v>9.9999999999999995E-8</v>
      </c>
      <c r="AB388" s="101" t="e">
        <f>$DT388*HLOOKUP($J388,'Construction Costs (timber)'!$B$1:$V$32,'Construction Planner'!$L388+2,FALSE)</f>
        <v>#N/A</v>
      </c>
      <c r="AC388" s="14" t="e">
        <f>$DT388*HLOOKUP($J388,'Construction Costs (clay)'!$B$1:$V$32,'Construction Planner'!$L388+2,FALSE)</f>
        <v>#N/A</v>
      </c>
      <c r="AD388" s="14" t="e">
        <f>$DT388*HLOOKUP($J388,'Construction Costs (iron)'!$B$1:$V$32,'Construction Planner'!$L388+2,FALSE)</f>
        <v>#N/A</v>
      </c>
      <c r="AE388" s="34" t="e">
        <f t="shared" si="843"/>
        <v>#N/A</v>
      </c>
      <c r="AF388" s="33" t="e">
        <f t="shared" si="780"/>
        <v>#N/A</v>
      </c>
      <c r="AG388" s="14" t="e">
        <f t="shared" si="781"/>
        <v>#N/A</v>
      </c>
      <c r="AH388" s="14" t="e">
        <f t="shared" si="782"/>
        <v>#N/A</v>
      </c>
      <c r="AI388" s="34" t="e">
        <f t="shared" si="844"/>
        <v>#N/A</v>
      </c>
      <c r="AJ388" s="49" t="e">
        <f t="shared" si="804"/>
        <v>#N/A</v>
      </c>
      <c r="AK388" s="49" t="e">
        <f t="shared" si="805"/>
        <v>#N/A</v>
      </c>
      <c r="AL388" s="49" t="e">
        <f t="shared" si="806"/>
        <v>#N/A</v>
      </c>
      <c r="AM388" s="25">
        <f t="shared" si="783"/>
        <v>30</v>
      </c>
      <c r="AN388" s="25">
        <f t="shared" si="784"/>
        <v>30</v>
      </c>
      <c r="AO388" s="25">
        <f t="shared" si="785"/>
        <v>30</v>
      </c>
      <c r="AP388" s="52" t="e">
        <f t="shared" si="894"/>
        <v>#N/A</v>
      </c>
      <c r="AQ388" s="53" t="e">
        <f t="shared" si="894"/>
        <v>#N/A</v>
      </c>
      <c r="AR388" s="54" t="e">
        <f t="shared" si="894"/>
        <v>#N/A</v>
      </c>
      <c r="AS388" s="316">
        <f t="shared" ref="AS388:AS403" si="922">AS387</f>
        <v>0</v>
      </c>
      <c r="AT388" s="106">
        <f>_xlfn.IFNA($M388/VLOOKUP($BT388,'Unit information'!$A$2:$K$29,2,FALSE)*R388,0)*(1+$E$9)</f>
        <v>0</v>
      </c>
      <c r="AU388" s="107">
        <f>_xlfn.IFNA($M388/VLOOKUP($BT388,'Unit information'!$A$2:$K$29,3,FALSE)*S388,0)*(1+$E$9)</f>
        <v>0</v>
      </c>
      <c r="AV388" s="107">
        <f>_xlfn.IFNA($M388/VLOOKUP($BT388,'Unit information'!$A$2:$K$29,4,FALSE)*T388,0)*(1+$E$9)</f>
        <v>0</v>
      </c>
      <c r="AW388" s="107">
        <f>_xlfn.IFNA($M388/VLOOKUP($BT388,'Unit information'!$A$2:$K$29,5,FALSE)*U388,0)*(1+$E$9)</f>
        <v>0</v>
      </c>
      <c r="AX388" s="107">
        <f>_xlfn.IFNA($M388/VLOOKUP($BU388,'Unit information'!$A$2:$K$29,6,FALSE)*V388,0)*(1+$E$9)</f>
        <v>0</v>
      </c>
      <c r="AY388" s="107">
        <f>_xlfn.IFNA($M388/VLOOKUP($BU388,'Unit information'!$A$2:$K$29,7,FALSE)*W388,0)*(1+$E$9)</f>
        <v>0</v>
      </c>
      <c r="AZ388" s="107">
        <f>_xlfn.IFNA($M388/VLOOKUP($BU388,'Unit information'!$A$2:$K$29,8,FALSE)*X388,0)*(1+$E$9)</f>
        <v>0</v>
      </c>
      <c r="BA388" s="107">
        <f>_xlfn.IFNA($M388/VLOOKUP($BU388,'Unit information'!$A$2:$K$29,9,FALSE)*Y388,0)*(1+$E$9)</f>
        <v>0</v>
      </c>
      <c r="BB388" s="107">
        <f>_xlfn.IFNA($M388/VLOOKUP($BV388,'Unit information'!$A$2:$K$29,10,FALSE)*Z388,0)*(1+$E$9)</f>
        <v>0</v>
      </c>
      <c r="BC388" s="108">
        <f>_xlfn.IFNA($M388/VLOOKUP($BV388,'Unit information'!$A$2:$K$29,11,FALSE)*AA388,0)*(1+$E$9)</f>
        <v>0</v>
      </c>
      <c r="BD388" s="106">
        <f t="shared" si="786"/>
        <v>0</v>
      </c>
      <c r="BE388" s="107">
        <f t="shared" si="787"/>
        <v>0</v>
      </c>
      <c r="BF388" s="108">
        <f t="shared" si="788"/>
        <v>0</v>
      </c>
      <c r="BG388" s="25" t="e">
        <f t="shared" si="789"/>
        <v>#N/A</v>
      </c>
      <c r="BH388" s="25" t="e">
        <f t="shared" si="790"/>
        <v>#N/A</v>
      </c>
      <c r="BI388" s="25" t="e">
        <f t="shared" si="791"/>
        <v>#N/A</v>
      </c>
      <c r="BJ388" s="27" t="e">
        <f t="shared" si="792"/>
        <v>#N/A</v>
      </c>
      <c r="BK388" s="18" t="e">
        <f t="shared" si="793"/>
        <v>#N/A</v>
      </c>
      <c r="BL388" s="18" t="e">
        <f t="shared" si="794"/>
        <v>#N/A</v>
      </c>
      <c r="BM388" s="28" t="e">
        <f t="shared" si="846"/>
        <v>#N/A</v>
      </c>
      <c r="BN388" s="33">
        <f>HLOOKUP("maximum population",Miscelaneous!$C$1:$C$33,CH388+3,FALSE)</f>
        <v>240</v>
      </c>
      <c r="BO388" s="14">
        <f t="shared" si="808"/>
        <v>32</v>
      </c>
      <c r="BP388" s="14">
        <f t="shared" si="809"/>
        <v>0</v>
      </c>
      <c r="BQ388" s="14">
        <f t="shared" si="810"/>
        <v>208</v>
      </c>
      <c r="BR388" s="34" t="e">
        <f>HLOOKUP(J388,Villagers!$B$1:$V$33,L388+3,FALSE)-HLOOKUP(J388,Villagers!$B$1:$V$33,L388+2,FALSE)</f>
        <v>#N/A</v>
      </c>
      <c r="BS388" s="49">
        <f t="shared" si="811"/>
        <v>1</v>
      </c>
      <c r="BT388" s="50">
        <f t="shared" si="812"/>
        <v>0</v>
      </c>
      <c r="BU388" s="50">
        <f t="shared" si="813"/>
        <v>0</v>
      </c>
      <c r="BV388" s="50">
        <f t="shared" si="814"/>
        <v>0</v>
      </c>
      <c r="BW388" s="50">
        <f t="shared" si="917"/>
        <v>0</v>
      </c>
      <c r="BX388" s="50">
        <f t="shared" si="917"/>
        <v>0</v>
      </c>
      <c r="BY388" s="50">
        <f t="shared" si="917"/>
        <v>0</v>
      </c>
      <c r="BZ388" s="50">
        <f t="shared" si="860"/>
        <v>0</v>
      </c>
      <c r="CA388" s="50">
        <f t="shared" si="861"/>
        <v>0</v>
      </c>
      <c r="CB388" s="50">
        <f t="shared" si="862"/>
        <v>1</v>
      </c>
      <c r="CC388" s="50">
        <f t="shared" si="863"/>
        <v>0</v>
      </c>
      <c r="CD388" s="50">
        <f t="shared" si="864"/>
        <v>0</v>
      </c>
      <c r="CE388" s="50">
        <f t="shared" si="865"/>
        <v>1</v>
      </c>
      <c r="CF388" s="50">
        <f t="shared" si="866"/>
        <v>1</v>
      </c>
      <c r="CG388" s="50">
        <f t="shared" si="867"/>
        <v>1</v>
      </c>
      <c r="CH388" s="50">
        <f t="shared" si="868"/>
        <v>1</v>
      </c>
      <c r="CI388" s="50">
        <f t="shared" si="869"/>
        <v>1</v>
      </c>
      <c r="CJ388" s="50">
        <f t="shared" si="870"/>
        <v>1</v>
      </c>
      <c r="CK388" s="50">
        <f t="shared" si="870"/>
        <v>0</v>
      </c>
      <c r="CL388" s="50">
        <f t="shared" si="870"/>
        <v>0</v>
      </c>
      <c r="CM388" s="51">
        <f t="shared" si="795"/>
        <v>0</v>
      </c>
      <c r="CN388" s="33">
        <f>ROUND(IF(BS388=0,0,HLOOKUP(BS$14,Villagers!$B$1:$V$33,BS388+3,FALSE)),)</f>
        <v>5</v>
      </c>
      <c r="CO388" s="14">
        <f>ROUND(IF(BT388=0,0,HLOOKUP(BT$14,Villagers!$B$1:$V$33,BT388+3,FALSE)),)</f>
        <v>0</v>
      </c>
      <c r="CP388" s="14">
        <f>ROUND(IF(BU388=0,0,HLOOKUP(BU$14,Villagers!$B$1:$V$33,BU388+3,FALSE)),)</f>
        <v>0</v>
      </c>
      <c r="CQ388" s="14">
        <f>ROUND(IF(BV388=0,0,HLOOKUP(BV$14,Villagers!$B$1:$V$33,BV388+3,FALSE)),)</f>
        <v>0</v>
      </c>
      <c r="CR388" s="14">
        <f>ROUND(IF(BW388=0,0,HLOOKUP(BW$14,Villagers!$B$1:$V$33,BW388+3,FALSE)),)</f>
        <v>0</v>
      </c>
      <c r="CS388" s="14">
        <f>ROUND(IF(BX388=0,0,HLOOKUP(BX$14,Villagers!$B$1:$V$33,BX388+3,FALSE)),)</f>
        <v>0</v>
      </c>
      <c r="CT388" s="14">
        <f>ROUND(IF(BY388=0,0,HLOOKUP(BY$14,Villagers!$B$1:$V$33,BY388+3,FALSE)),)</f>
        <v>0</v>
      </c>
      <c r="CU388" s="14">
        <f>ROUND(IF(BZ388=0,0,HLOOKUP(BZ$14,Villagers!$B$1:$V$33,BZ388+3,FALSE)),)</f>
        <v>0</v>
      </c>
      <c r="CV388" s="14">
        <f>ROUND(IF(CA388=0,0,HLOOKUP(CA$14,Villagers!$B$1:$V$33,CA388+3,FALSE)),)</f>
        <v>0</v>
      </c>
      <c r="CW388" s="14">
        <f>ROUND(IF(CB388=0,0,HLOOKUP(CB$14,Villagers!$B$1:$V$33,CB388+3,FALSE)),)</f>
        <v>0</v>
      </c>
      <c r="CX388" s="14">
        <f>ROUND(IF(CC388=0,0,HLOOKUP(CC$14,Villagers!$B$1:$V$33,CC388+3,FALSE)),)</f>
        <v>0</v>
      </c>
      <c r="CY388" s="14">
        <f>ROUND(IF(CD388=0,0,HLOOKUP(CD$14,Villagers!$B$1:$V$33,CD388+3,FALSE)),)</f>
        <v>0</v>
      </c>
      <c r="CZ388" s="14">
        <f>ROUND(IF(CE388=0,0,HLOOKUP(CE$14,Villagers!$B$1:$V$33,CE388+3,FALSE)),)</f>
        <v>5</v>
      </c>
      <c r="DA388" s="14">
        <f>ROUND(IF(CF388=0,0,HLOOKUP(CF$14,Villagers!$B$1:$V$33,CF388+3,FALSE)),)</f>
        <v>10</v>
      </c>
      <c r="DB388" s="14">
        <f>ROUND(IF(CG388=0,0,HLOOKUP(CG$14,Villagers!$B$1:$V$33,CG388+3,FALSE)),)</f>
        <v>10</v>
      </c>
      <c r="DC388" s="14">
        <f>ROUND(IF(CH388=0,0,HLOOKUP(CH$14,Villagers!$B$1:$V$33,CH388+3,FALSE)),)</f>
        <v>0</v>
      </c>
      <c r="DD388" s="14">
        <f>ROUND(IF(CI388=0,0,HLOOKUP(CI$14,Villagers!$B$1:$V$33,CI388+3,FALSE)),)</f>
        <v>0</v>
      </c>
      <c r="DE388" s="14">
        <f>ROUND(IF(CJ388=0,0,HLOOKUP(CJ$14,Villagers!$B$1:$V$33,CJ388+3,FALSE)),)</f>
        <v>2</v>
      </c>
      <c r="DF388" s="370">
        <f>ROUND(IF(CK388=0,0,HLOOKUP(CK$14,Villagers!$B$1:$V$33,CK388+3,FALSE)),)</f>
        <v>0</v>
      </c>
      <c r="DG388" s="370">
        <f>ROUND(IF(CL388=0,0,HLOOKUP(CL$14,Villagers!$B$1:$V$33,CL388+3,FALSE)),)</f>
        <v>0</v>
      </c>
      <c r="DH388" s="34">
        <f>ROUND(IF(CM388=0,0,HLOOKUP(CM$14,Villagers!$B$1:$V$33,CM388+3,FALSE)),)</f>
        <v>0</v>
      </c>
      <c r="DI388" s="109">
        <f t="shared" si="832"/>
        <v>0</v>
      </c>
      <c r="DJ388" s="50">
        <f t="shared" si="833"/>
        <v>0</v>
      </c>
      <c r="DK388" s="50">
        <f t="shared" si="834"/>
        <v>0</v>
      </c>
      <c r="DL388" s="50">
        <f t="shared" si="835"/>
        <v>0</v>
      </c>
      <c r="DM388" s="50">
        <f t="shared" si="836"/>
        <v>0</v>
      </c>
      <c r="DN388" s="50">
        <f t="shared" si="837"/>
        <v>0</v>
      </c>
      <c r="DO388" s="50">
        <f t="shared" si="838"/>
        <v>0</v>
      </c>
      <c r="DP388" s="50">
        <f t="shared" si="839"/>
        <v>0</v>
      </c>
      <c r="DQ388" s="50">
        <f t="shared" si="816"/>
        <v>0</v>
      </c>
      <c r="DR388" s="50">
        <f t="shared" si="817"/>
        <v>0</v>
      </c>
      <c r="DS388" s="96">
        <f>Miscelaneous!$D$4*Miscelaneous!$D$2^($CI388-1)</f>
        <v>1000</v>
      </c>
      <c r="DT388" s="333">
        <f t="shared" si="796"/>
        <v>1</v>
      </c>
      <c r="DU388" s="81">
        <v>1</v>
      </c>
      <c r="DV388" s="79">
        <f t="shared" si="818"/>
        <v>0</v>
      </c>
      <c r="DW388" s="79">
        <f t="shared" si="819"/>
        <v>0</v>
      </c>
      <c r="DX388" s="79">
        <f t="shared" si="820"/>
        <v>0</v>
      </c>
      <c r="DY388" s="79">
        <v>1</v>
      </c>
      <c r="DZ388" s="79">
        <f t="shared" si="821"/>
        <v>0</v>
      </c>
      <c r="EA388" s="79">
        <f t="shared" si="822"/>
        <v>0</v>
      </c>
      <c r="EB388" s="79">
        <f t="shared" si="823"/>
        <v>0</v>
      </c>
      <c r="EC388" s="79">
        <f t="shared" si="824"/>
        <v>0</v>
      </c>
      <c r="ED388" s="79">
        <v>1</v>
      </c>
      <c r="EE388" s="79">
        <v>1</v>
      </c>
      <c r="EF388" s="79">
        <f t="shared" si="825"/>
        <v>0</v>
      </c>
      <c r="EG388" s="79">
        <v>1</v>
      </c>
      <c r="EH388" s="79">
        <v>1</v>
      </c>
      <c r="EI388" s="79">
        <v>1</v>
      </c>
      <c r="EJ388" s="79">
        <v>1</v>
      </c>
      <c r="EK388" s="79">
        <v>1</v>
      </c>
      <c r="EL388" s="79">
        <v>1</v>
      </c>
      <c r="EM388" s="143">
        <f t="shared" si="826"/>
        <v>0</v>
      </c>
      <c r="EN388" s="143">
        <f t="shared" si="827"/>
        <v>0</v>
      </c>
      <c r="EO388" s="82">
        <f t="shared" si="828"/>
        <v>0</v>
      </c>
    </row>
    <row r="389" spans="1:145" x14ac:dyDescent="0.25">
      <c r="A389">
        <v>375</v>
      </c>
      <c r="B389" s="172" t="e">
        <f t="shared" si="797"/>
        <v>#N/A</v>
      </c>
      <c r="C389" s="121" t="e">
        <f t="shared" ref="C389:E389" si="923">AJ389-SUM(AB389:AB393)</f>
        <v>#N/A</v>
      </c>
      <c r="D389" s="122" t="e">
        <f t="shared" si="923"/>
        <v>#N/A</v>
      </c>
      <c r="E389" s="122" t="e">
        <f t="shared" si="923"/>
        <v>#N/A</v>
      </c>
      <c r="F389" s="176" t="e">
        <f t="shared" si="778"/>
        <v>#N/A</v>
      </c>
      <c r="G389" s="121">
        <f t="shared" si="799"/>
        <v>208</v>
      </c>
      <c r="H389" s="176" t="e">
        <f t="shared" si="800"/>
        <v>#N/A</v>
      </c>
      <c r="I389" s="48">
        <v>1</v>
      </c>
      <c r="J389" s="39"/>
      <c r="K389" s="350">
        <v>1</v>
      </c>
      <c r="L389" s="34" t="e">
        <f t="shared" si="779"/>
        <v>#N/A</v>
      </c>
      <c r="M389" s="38" t="e">
        <f>(HLOOKUP(J389,'Construction Times'!$B$3:$W$34,L389+2,FALSE)*HLOOKUP("hq modifier",'Construction Times'!$W$3:$W$34,BS389+2,FALSE))*(1-$H$9)</f>
        <v>#N/A</v>
      </c>
      <c r="N389" s="426" t="e">
        <f t="shared" si="801"/>
        <v>#N/A</v>
      </c>
      <c r="O389" s="427"/>
      <c r="P389" s="430" t="e">
        <f t="shared" si="802"/>
        <v>#N/A</v>
      </c>
      <c r="Q389" s="431"/>
      <c r="R389" s="103">
        <f t="shared" si="897"/>
        <v>0</v>
      </c>
      <c r="S389" s="104">
        <f t="shared" si="897"/>
        <v>0</v>
      </c>
      <c r="T389" s="104">
        <f t="shared" si="898"/>
        <v>0</v>
      </c>
      <c r="U389" s="104">
        <f t="shared" si="898"/>
        <v>0</v>
      </c>
      <c r="V389" s="104">
        <f t="shared" si="898"/>
        <v>9.9999999999999995E-8</v>
      </c>
      <c r="W389" s="104">
        <f t="shared" si="898"/>
        <v>0</v>
      </c>
      <c r="X389" s="104">
        <f t="shared" si="890"/>
        <v>0</v>
      </c>
      <c r="Y389" s="104">
        <f t="shared" si="890"/>
        <v>9.9999999999999995E-8</v>
      </c>
      <c r="Z389" s="104">
        <f t="shared" si="890"/>
        <v>9.9999999999999995E-8</v>
      </c>
      <c r="AA389" s="105">
        <f t="shared" si="890"/>
        <v>9.9999999999999995E-8</v>
      </c>
      <c r="AB389" s="101" t="e">
        <f>$DT389*HLOOKUP($J389,'Construction Costs (timber)'!$B$1:$V$32,'Construction Planner'!$L389+2,FALSE)</f>
        <v>#N/A</v>
      </c>
      <c r="AC389" s="14" t="e">
        <f>$DT389*HLOOKUP($J389,'Construction Costs (clay)'!$B$1:$V$32,'Construction Planner'!$L389+2,FALSE)</f>
        <v>#N/A</v>
      </c>
      <c r="AD389" s="14" t="e">
        <f>$DT389*HLOOKUP($J389,'Construction Costs (iron)'!$B$1:$V$32,'Construction Planner'!$L389+2,FALSE)</f>
        <v>#N/A</v>
      </c>
      <c r="AE389" s="34" t="e">
        <f t="shared" si="843"/>
        <v>#N/A</v>
      </c>
      <c r="AF389" s="33" t="e">
        <f t="shared" si="780"/>
        <v>#N/A</v>
      </c>
      <c r="AG389" s="14" t="e">
        <f t="shared" si="781"/>
        <v>#N/A</v>
      </c>
      <c r="AH389" s="14" t="e">
        <f t="shared" si="782"/>
        <v>#N/A</v>
      </c>
      <c r="AI389" s="34" t="e">
        <f t="shared" si="844"/>
        <v>#N/A</v>
      </c>
      <c r="AJ389" s="49" t="e">
        <f t="shared" si="804"/>
        <v>#N/A</v>
      </c>
      <c r="AK389" s="49" t="e">
        <f t="shared" si="805"/>
        <v>#N/A</v>
      </c>
      <c r="AL389" s="49" t="e">
        <f t="shared" si="806"/>
        <v>#N/A</v>
      </c>
      <c r="AM389" s="25">
        <f t="shared" si="783"/>
        <v>30</v>
      </c>
      <c r="AN389" s="25">
        <f t="shared" si="784"/>
        <v>30</v>
      </c>
      <c r="AO389" s="25">
        <f t="shared" si="785"/>
        <v>30</v>
      </c>
      <c r="AP389" s="52" t="e">
        <f t="shared" si="894"/>
        <v>#N/A</v>
      </c>
      <c r="AQ389" s="53" t="e">
        <f t="shared" si="894"/>
        <v>#N/A</v>
      </c>
      <c r="AR389" s="54" t="e">
        <f t="shared" si="894"/>
        <v>#N/A</v>
      </c>
      <c r="AS389" s="316">
        <f t="shared" si="922"/>
        <v>0</v>
      </c>
      <c r="AT389" s="106">
        <f>_xlfn.IFNA($M389/VLOOKUP($BT389,'Unit information'!$A$2:$K$29,2,FALSE)*R389,0)*(1+$E$9)</f>
        <v>0</v>
      </c>
      <c r="AU389" s="107">
        <f>_xlfn.IFNA($M389/VLOOKUP($BT389,'Unit information'!$A$2:$K$29,3,FALSE)*S389,0)*(1+$E$9)</f>
        <v>0</v>
      </c>
      <c r="AV389" s="107">
        <f>_xlfn.IFNA($M389/VLOOKUP($BT389,'Unit information'!$A$2:$K$29,4,FALSE)*T389,0)*(1+$E$9)</f>
        <v>0</v>
      </c>
      <c r="AW389" s="107">
        <f>_xlfn.IFNA($M389/VLOOKUP($BT389,'Unit information'!$A$2:$K$29,5,FALSE)*U389,0)*(1+$E$9)</f>
        <v>0</v>
      </c>
      <c r="AX389" s="107">
        <f>_xlfn.IFNA($M389/VLOOKUP($BU389,'Unit information'!$A$2:$K$29,6,FALSE)*V389,0)*(1+$E$9)</f>
        <v>0</v>
      </c>
      <c r="AY389" s="107">
        <f>_xlfn.IFNA($M389/VLOOKUP($BU389,'Unit information'!$A$2:$K$29,7,FALSE)*W389,0)*(1+$E$9)</f>
        <v>0</v>
      </c>
      <c r="AZ389" s="107">
        <f>_xlfn.IFNA($M389/VLOOKUP($BU389,'Unit information'!$A$2:$K$29,8,FALSE)*X389,0)*(1+$E$9)</f>
        <v>0</v>
      </c>
      <c r="BA389" s="107">
        <f>_xlfn.IFNA($M389/VLOOKUP($BU389,'Unit information'!$A$2:$K$29,9,FALSE)*Y389,0)*(1+$E$9)</f>
        <v>0</v>
      </c>
      <c r="BB389" s="107">
        <f>_xlfn.IFNA($M389/VLOOKUP($BV389,'Unit information'!$A$2:$K$29,10,FALSE)*Z389,0)*(1+$E$9)</f>
        <v>0</v>
      </c>
      <c r="BC389" s="108">
        <f>_xlfn.IFNA($M389/VLOOKUP($BV389,'Unit information'!$A$2:$K$29,11,FALSE)*AA389,0)*(1+$E$9)</f>
        <v>0</v>
      </c>
      <c r="BD389" s="106">
        <f t="shared" si="786"/>
        <v>0</v>
      </c>
      <c r="BE389" s="107">
        <f t="shared" si="787"/>
        <v>0</v>
      </c>
      <c r="BF389" s="108">
        <f t="shared" si="788"/>
        <v>0</v>
      </c>
      <c r="BG389" s="25" t="e">
        <f t="shared" si="789"/>
        <v>#N/A</v>
      </c>
      <c r="BH389" s="25" t="e">
        <f t="shared" si="790"/>
        <v>#N/A</v>
      </c>
      <c r="BI389" s="25" t="e">
        <f t="shared" si="791"/>
        <v>#N/A</v>
      </c>
      <c r="BJ389" s="27" t="e">
        <f t="shared" si="792"/>
        <v>#N/A</v>
      </c>
      <c r="BK389" s="18" t="e">
        <f t="shared" si="793"/>
        <v>#N/A</v>
      </c>
      <c r="BL389" s="18" t="e">
        <f t="shared" si="794"/>
        <v>#N/A</v>
      </c>
      <c r="BM389" s="28" t="e">
        <f t="shared" si="846"/>
        <v>#N/A</v>
      </c>
      <c r="BN389" s="33">
        <f>HLOOKUP("maximum population",Miscelaneous!$C$1:$C$33,CH389+3,FALSE)</f>
        <v>240</v>
      </c>
      <c r="BO389" s="14">
        <f t="shared" si="808"/>
        <v>32</v>
      </c>
      <c r="BP389" s="14">
        <f t="shared" si="809"/>
        <v>0</v>
      </c>
      <c r="BQ389" s="14">
        <f t="shared" si="810"/>
        <v>208</v>
      </c>
      <c r="BR389" s="34" t="e">
        <f>HLOOKUP(J389,Villagers!$B$1:$V$33,L389+3,FALSE)-HLOOKUP(J389,Villagers!$B$1:$V$33,L389+2,FALSE)</f>
        <v>#N/A</v>
      </c>
      <c r="BS389" s="49">
        <f t="shared" si="811"/>
        <v>1</v>
      </c>
      <c r="BT389" s="50">
        <f t="shared" si="812"/>
        <v>0</v>
      </c>
      <c r="BU389" s="50">
        <f t="shared" si="813"/>
        <v>0</v>
      </c>
      <c r="BV389" s="50">
        <f t="shared" si="814"/>
        <v>0</v>
      </c>
      <c r="BW389" s="50">
        <f t="shared" si="917"/>
        <v>0</v>
      </c>
      <c r="BX389" s="50">
        <f t="shared" si="917"/>
        <v>0</v>
      </c>
      <c r="BY389" s="50">
        <f t="shared" si="917"/>
        <v>0</v>
      </c>
      <c r="BZ389" s="50">
        <f t="shared" si="860"/>
        <v>0</v>
      </c>
      <c r="CA389" s="50">
        <f t="shared" si="861"/>
        <v>0</v>
      </c>
      <c r="CB389" s="50">
        <f t="shared" si="862"/>
        <v>1</v>
      </c>
      <c r="CC389" s="50">
        <f t="shared" si="863"/>
        <v>0</v>
      </c>
      <c r="CD389" s="50">
        <f t="shared" si="864"/>
        <v>0</v>
      </c>
      <c r="CE389" s="50">
        <f t="shared" si="865"/>
        <v>1</v>
      </c>
      <c r="CF389" s="50">
        <f t="shared" si="866"/>
        <v>1</v>
      </c>
      <c r="CG389" s="50">
        <f t="shared" si="867"/>
        <v>1</v>
      </c>
      <c r="CH389" s="50">
        <f t="shared" si="868"/>
        <v>1</v>
      </c>
      <c r="CI389" s="50">
        <f t="shared" si="869"/>
        <v>1</v>
      </c>
      <c r="CJ389" s="50">
        <f t="shared" si="870"/>
        <v>1</v>
      </c>
      <c r="CK389" s="50">
        <f t="shared" si="870"/>
        <v>0</v>
      </c>
      <c r="CL389" s="50">
        <f t="shared" si="870"/>
        <v>0</v>
      </c>
      <c r="CM389" s="51">
        <f t="shared" si="795"/>
        <v>0</v>
      </c>
      <c r="CN389" s="33">
        <f>ROUND(IF(BS389=0,0,HLOOKUP(BS$14,Villagers!$B$1:$V$33,BS389+3,FALSE)),)</f>
        <v>5</v>
      </c>
      <c r="CO389" s="14">
        <f>ROUND(IF(BT389=0,0,HLOOKUP(BT$14,Villagers!$B$1:$V$33,BT389+3,FALSE)),)</f>
        <v>0</v>
      </c>
      <c r="CP389" s="14">
        <f>ROUND(IF(BU389=0,0,HLOOKUP(BU$14,Villagers!$B$1:$V$33,BU389+3,FALSE)),)</f>
        <v>0</v>
      </c>
      <c r="CQ389" s="14">
        <f>ROUND(IF(BV389=0,0,HLOOKUP(BV$14,Villagers!$B$1:$V$33,BV389+3,FALSE)),)</f>
        <v>0</v>
      </c>
      <c r="CR389" s="14">
        <f>ROUND(IF(BW389=0,0,HLOOKUP(BW$14,Villagers!$B$1:$V$33,BW389+3,FALSE)),)</f>
        <v>0</v>
      </c>
      <c r="CS389" s="14">
        <f>ROUND(IF(BX389=0,0,HLOOKUP(BX$14,Villagers!$B$1:$V$33,BX389+3,FALSE)),)</f>
        <v>0</v>
      </c>
      <c r="CT389" s="14">
        <f>ROUND(IF(BY389=0,0,HLOOKUP(BY$14,Villagers!$B$1:$V$33,BY389+3,FALSE)),)</f>
        <v>0</v>
      </c>
      <c r="CU389" s="14">
        <f>ROUND(IF(BZ389=0,0,HLOOKUP(BZ$14,Villagers!$B$1:$V$33,BZ389+3,FALSE)),)</f>
        <v>0</v>
      </c>
      <c r="CV389" s="14">
        <f>ROUND(IF(CA389=0,0,HLOOKUP(CA$14,Villagers!$B$1:$V$33,CA389+3,FALSE)),)</f>
        <v>0</v>
      </c>
      <c r="CW389" s="14">
        <f>ROUND(IF(CB389=0,0,HLOOKUP(CB$14,Villagers!$B$1:$V$33,CB389+3,FALSE)),)</f>
        <v>0</v>
      </c>
      <c r="CX389" s="14">
        <f>ROUND(IF(CC389=0,0,HLOOKUP(CC$14,Villagers!$B$1:$V$33,CC389+3,FALSE)),)</f>
        <v>0</v>
      </c>
      <c r="CY389" s="14">
        <f>ROUND(IF(CD389=0,0,HLOOKUP(CD$14,Villagers!$B$1:$V$33,CD389+3,FALSE)),)</f>
        <v>0</v>
      </c>
      <c r="CZ389" s="14">
        <f>ROUND(IF(CE389=0,0,HLOOKUP(CE$14,Villagers!$B$1:$V$33,CE389+3,FALSE)),)</f>
        <v>5</v>
      </c>
      <c r="DA389" s="14">
        <f>ROUND(IF(CF389=0,0,HLOOKUP(CF$14,Villagers!$B$1:$V$33,CF389+3,FALSE)),)</f>
        <v>10</v>
      </c>
      <c r="DB389" s="14">
        <f>ROUND(IF(CG389=0,0,HLOOKUP(CG$14,Villagers!$B$1:$V$33,CG389+3,FALSE)),)</f>
        <v>10</v>
      </c>
      <c r="DC389" s="14">
        <f>ROUND(IF(CH389=0,0,HLOOKUP(CH$14,Villagers!$B$1:$V$33,CH389+3,FALSE)),)</f>
        <v>0</v>
      </c>
      <c r="DD389" s="14">
        <f>ROUND(IF(CI389=0,0,HLOOKUP(CI$14,Villagers!$B$1:$V$33,CI389+3,FALSE)),)</f>
        <v>0</v>
      </c>
      <c r="DE389" s="14">
        <f>ROUND(IF(CJ389=0,0,HLOOKUP(CJ$14,Villagers!$B$1:$V$33,CJ389+3,FALSE)),)</f>
        <v>2</v>
      </c>
      <c r="DF389" s="370">
        <f>ROUND(IF(CK389=0,0,HLOOKUP(CK$14,Villagers!$B$1:$V$33,CK389+3,FALSE)),)</f>
        <v>0</v>
      </c>
      <c r="DG389" s="370">
        <f>ROUND(IF(CL389=0,0,HLOOKUP(CL$14,Villagers!$B$1:$V$33,CL389+3,FALSE)),)</f>
        <v>0</v>
      </c>
      <c r="DH389" s="34">
        <f>ROUND(IF(CM389=0,0,HLOOKUP(CM$14,Villagers!$B$1:$V$33,CM389+3,FALSE)),)</f>
        <v>0</v>
      </c>
      <c r="DI389" s="109">
        <f t="shared" si="832"/>
        <v>0</v>
      </c>
      <c r="DJ389" s="50">
        <f t="shared" si="833"/>
        <v>0</v>
      </c>
      <c r="DK389" s="50">
        <f t="shared" si="834"/>
        <v>0</v>
      </c>
      <c r="DL389" s="50">
        <f t="shared" si="835"/>
        <v>0</v>
      </c>
      <c r="DM389" s="50">
        <f t="shared" si="836"/>
        <v>0</v>
      </c>
      <c r="DN389" s="50">
        <f t="shared" si="837"/>
        <v>0</v>
      </c>
      <c r="DO389" s="50">
        <f t="shared" si="838"/>
        <v>0</v>
      </c>
      <c r="DP389" s="50">
        <f t="shared" si="839"/>
        <v>0</v>
      </c>
      <c r="DQ389" s="50">
        <f t="shared" si="816"/>
        <v>0</v>
      </c>
      <c r="DR389" s="50">
        <f t="shared" si="817"/>
        <v>0</v>
      </c>
      <c r="DS389" s="96">
        <f>Miscelaneous!$D$4*Miscelaneous!$D$2^($CI389-1)</f>
        <v>1000</v>
      </c>
      <c r="DT389" s="333">
        <f t="shared" si="796"/>
        <v>1</v>
      </c>
      <c r="DU389" s="81">
        <v>1</v>
      </c>
      <c r="DV389" s="79">
        <f t="shared" si="818"/>
        <v>0</v>
      </c>
      <c r="DW389" s="79">
        <f t="shared" si="819"/>
        <v>0</v>
      </c>
      <c r="DX389" s="79">
        <f t="shared" si="820"/>
        <v>0</v>
      </c>
      <c r="DY389" s="79">
        <v>1</v>
      </c>
      <c r="DZ389" s="79">
        <f t="shared" si="821"/>
        <v>0</v>
      </c>
      <c r="EA389" s="79">
        <f t="shared" si="822"/>
        <v>0</v>
      </c>
      <c r="EB389" s="79">
        <f t="shared" si="823"/>
        <v>0</v>
      </c>
      <c r="EC389" s="79">
        <f t="shared" si="824"/>
        <v>0</v>
      </c>
      <c r="ED389" s="79">
        <v>1</v>
      </c>
      <c r="EE389" s="79">
        <v>1</v>
      </c>
      <c r="EF389" s="79">
        <f t="shared" si="825"/>
        <v>0</v>
      </c>
      <c r="EG389" s="79">
        <v>1</v>
      </c>
      <c r="EH389" s="79">
        <v>1</v>
      </c>
      <c r="EI389" s="79">
        <v>1</v>
      </c>
      <c r="EJ389" s="79">
        <v>1</v>
      </c>
      <c r="EK389" s="79">
        <v>1</v>
      </c>
      <c r="EL389" s="79">
        <v>1</v>
      </c>
      <c r="EM389" s="143">
        <f t="shared" si="826"/>
        <v>0</v>
      </c>
      <c r="EN389" s="143">
        <f t="shared" si="827"/>
        <v>0</v>
      </c>
      <c r="EO389" s="82">
        <f t="shared" si="828"/>
        <v>0</v>
      </c>
    </row>
    <row r="390" spans="1:145" x14ac:dyDescent="0.25">
      <c r="A390">
        <v>376</v>
      </c>
      <c r="B390" s="172" t="e">
        <f t="shared" si="797"/>
        <v>#N/A</v>
      </c>
      <c r="C390" s="121" t="e">
        <f t="shared" ref="C390:E390" si="924">AJ390-SUM(AB390:AB394)</f>
        <v>#N/A</v>
      </c>
      <c r="D390" s="122" t="e">
        <f t="shared" si="924"/>
        <v>#N/A</v>
      </c>
      <c r="E390" s="122" t="e">
        <f t="shared" si="924"/>
        <v>#N/A</v>
      </c>
      <c r="F390" s="176" t="e">
        <f t="shared" si="778"/>
        <v>#N/A</v>
      </c>
      <c r="G390" s="121">
        <f t="shared" si="799"/>
        <v>208</v>
      </c>
      <c r="H390" s="176" t="e">
        <f t="shared" si="800"/>
        <v>#N/A</v>
      </c>
      <c r="I390" s="48">
        <v>1</v>
      </c>
      <c r="J390" s="39"/>
      <c r="K390" s="350">
        <v>1</v>
      </c>
      <c r="L390" s="34" t="e">
        <f t="shared" si="779"/>
        <v>#N/A</v>
      </c>
      <c r="M390" s="38" t="e">
        <f>(HLOOKUP(J390,'Construction Times'!$B$3:$W$34,L390+2,FALSE)*HLOOKUP("hq modifier",'Construction Times'!$W$3:$W$34,BS390+2,FALSE))*(1-$H$9)</f>
        <v>#N/A</v>
      </c>
      <c r="N390" s="426" t="e">
        <f t="shared" si="801"/>
        <v>#N/A</v>
      </c>
      <c r="O390" s="427"/>
      <c r="P390" s="430" t="e">
        <f t="shared" si="802"/>
        <v>#N/A</v>
      </c>
      <c r="Q390" s="431"/>
      <c r="R390" s="103">
        <f t="shared" si="897"/>
        <v>0</v>
      </c>
      <c r="S390" s="104">
        <f t="shared" si="897"/>
        <v>0</v>
      </c>
      <c r="T390" s="104">
        <f t="shared" si="898"/>
        <v>0</v>
      </c>
      <c r="U390" s="104">
        <f t="shared" si="898"/>
        <v>0</v>
      </c>
      <c r="V390" s="104">
        <f t="shared" si="898"/>
        <v>9.9999999999999995E-8</v>
      </c>
      <c r="W390" s="104">
        <f t="shared" si="898"/>
        <v>0</v>
      </c>
      <c r="X390" s="104">
        <f t="shared" si="890"/>
        <v>0</v>
      </c>
      <c r="Y390" s="104">
        <f t="shared" si="890"/>
        <v>9.9999999999999995E-8</v>
      </c>
      <c r="Z390" s="104">
        <f t="shared" si="890"/>
        <v>9.9999999999999995E-8</v>
      </c>
      <c r="AA390" s="105">
        <f t="shared" si="890"/>
        <v>9.9999999999999995E-8</v>
      </c>
      <c r="AB390" s="101" t="e">
        <f>$DT390*HLOOKUP($J390,'Construction Costs (timber)'!$B$1:$V$32,'Construction Planner'!$L390+2,FALSE)</f>
        <v>#N/A</v>
      </c>
      <c r="AC390" s="14" t="e">
        <f>$DT390*HLOOKUP($J390,'Construction Costs (clay)'!$B$1:$V$32,'Construction Planner'!$L390+2,FALSE)</f>
        <v>#N/A</v>
      </c>
      <c r="AD390" s="14" t="e">
        <f>$DT390*HLOOKUP($J390,'Construction Costs (iron)'!$B$1:$V$32,'Construction Planner'!$L390+2,FALSE)</f>
        <v>#N/A</v>
      </c>
      <c r="AE390" s="34" t="e">
        <f t="shared" si="843"/>
        <v>#N/A</v>
      </c>
      <c r="AF390" s="33" t="e">
        <f t="shared" si="780"/>
        <v>#N/A</v>
      </c>
      <c r="AG390" s="14" t="e">
        <f t="shared" si="781"/>
        <v>#N/A</v>
      </c>
      <c r="AH390" s="14" t="e">
        <f t="shared" si="782"/>
        <v>#N/A</v>
      </c>
      <c r="AI390" s="34" t="e">
        <f t="shared" si="844"/>
        <v>#N/A</v>
      </c>
      <c r="AJ390" s="49" t="e">
        <f t="shared" si="804"/>
        <v>#N/A</v>
      </c>
      <c r="AK390" s="49" t="e">
        <f t="shared" si="805"/>
        <v>#N/A</v>
      </c>
      <c r="AL390" s="49" t="e">
        <f t="shared" si="806"/>
        <v>#N/A</v>
      </c>
      <c r="AM390" s="25">
        <f t="shared" si="783"/>
        <v>30</v>
      </c>
      <c r="AN390" s="25">
        <f t="shared" si="784"/>
        <v>30</v>
      </c>
      <c r="AO390" s="25">
        <f t="shared" si="785"/>
        <v>30</v>
      </c>
      <c r="AP390" s="52" t="e">
        <f t="shared" si="894"/>
        <v>#N/A</v>
      </c>
      <c r="AQ390" s="53" t="e">
        <f t="shared" si="894"/>
        <v>#N/A</v>
      </c>
      <c r="AR390" s="54" t="e">
        <f t="shared" si="894"/>
        <v>#N/A</v>
      </c>
      <c r="AS390" s="316">
        <f t="shared" si="922"/>
        <v>0</v>
      </c>
      <c r="AT390" s="106">
        <f>_xlfn.IFNA($M390/VLOOKUP($BT390,'Unit information'!$A$2:$K$29,2,FALSE)*R390,0)*(1+$E$9)</f>
        <v>0</v>
      </c>
      <c r="AU390" s="107">
        <f>_xlfn.IFNA($M390/VLOOKUP($BT390,'Unit information'!$A$2:$K$29,3,FALSE)*S390,0)*(1+$E$9)</f>
        <v>0</v>
      </c>
      <c r="AV390" s="107">
        <f>_xlfn.IFNA($M390/VLOOKUP($BT390,'Unit information'!$A$2:$K$29,4,FALSE)*T390,0)*(1+$E$9)</f>
        <v>0</v>
      </c>
      <c r="AW390" s="107">
        <f>_xlfn.IFNA($M390/VLOOKUP($BT390,'Unit information'!$A$2:$K$29,5,FALSE)*U390,0)*(1+$E$9)</f>
        <v>0</v>
      </c>
      <c r="AX390" s="107">
        <f>_xlfn.IFNA($M390/VLOOKUP($BU390,'Unit information'!$A$2:$K$29,6,FALSE)*V390,0)*(1+$E$9)</f>
        <v>0</v>
      </c>
      <c r="AY390" s="107">
        <f>_xlfn.IFNA($M390/VLOOKUP($BU390,'Unit information'!$A$2:$K$29,7,FALSE)*W390,0)*(1+$E$9)</f>
        <v>0</v>
      </c>
      <c r="AZ390" s="107">
        <f>_xlfn.IFNA($M390/VLOOKUP($BU390,'Unit information'!$A$2:$K$29,8,FALSE)*X390,0)*(1+$E$9)</f>
        <v>0</v>
      </c>
      <c r="BA390" s="107">
        <f>_xlfn.IFNA($M390/VLOOKUP($BU390,'Unit information'!$A$2:$K$29,9,FALSE)*Y390,0)*(1+$E$9)</f>
        <v>0</v>
      </c>
      <c r="BB390" s="107">
        <f>_xlfn.IFNA($M390/VLOOKUP($BV390,'Unit information'!$A$2:$K$29,10,FALSE)*Z390,0)*(1+$E$9)</f>
        <v>0</v>
      </c>
      <c r="BC390" s="108">
        <f>_xlfn.IFNA($M390/VLOOKUP($BV390,'Unit information'!$A$2:$K$29,11,FALSE)*AA390,0)*(1+$E$9)</f>
        <v>0</v>
      </c>
      <c r="BD390" s="106">
        <f t="shared" si="786"/>
        <v>0</v>
      </c>
      <c r="BE390" s="107">
        <f t="shared" si="787"/>
        <v>0</v>
      </c>
      <c r="BF390" s="108">
        <f t="shared" si="788"/>
        <v>0</v>
      </c>
      <c r="BG390" s="25" t="e">
        <f t="shared" si="789"/>
        <v>#N/A</v>
      </c>
      <c r="BH390" s="25" t="e">
        <f t="shared" si="790"/>
        <v>#N/A</v>
      </c>
      <c r="BI390" s="25" t="e">
        <f t="shared" si="791"/>
        <v>#N/A</v>
      </c>
      <c r="BJ390" s="27" t="e">
        <f t="shared" si="792"/>
        <v>#N/A</v>
      </c>
      <c r="BK390" s="18" t="e">
        <f t="shared" si="793"/>
        <v>#N/A</v>
      </c>
      <c r="BL390" s="18" t="e">
        <f t="shared" si="794"/>
        <v>#N/A</v>
      </c>
      <c r="BM390" s="28" t="e">
        <f t="shared" si="846"/>
        <v>#N/A</v>
      </c>
      <c r="BN390" s="33">
        <f>HLOOKUP("maximum population",Miscelaneous!$C$1:$C$33,CH390+3,FALSE)</f>
        <v>240</v>
      </c>
      <c r="BO390" s="14">
        <f t="shared" si="808"/>
        <v>32</v>
      </c>
      <c r="BP390" s="14">
        <f t="shared" si="809"/>
        <v>0</v>
      </c>
      <c r="BQ390" s="14">
        <f t="shared" si="810"/>
        <v>208</v>
      </c>
      <c r="BR390" s="34" t="e">
        <f>HLOOKUP(J390,Villagers!$B$1:$V$33,L390+3,FALSE)-HLOOKUP(J390,Villagers!$B$1:$V$33,L390+2,FALSE)</f>
        <v>#N/A</v>
      </c>
      <c r="BS390" s="49">
        <f t="shared" si="811"/>
        <v>1</v>
      </c>
      <c r="BT390" s="50">
        <f t="shared" si="812"/>
        <v>0</v>
      </c>
      <c r="BU390" s="50">
        <f t="shared" si="813"/>
        <v>0</v>
      </c>
      <c r="BV390" s="50">
        <f t="shared" si="814"/>
        <v>0</v>
      </c>
      <c r="BW390" s="50">
        <f t="shared" si="917"/>
        <v>0</v>
      </c>
      <c r="BX390" s="50">
        <f t="shared" si="917"/>
        <v>0</v>
      </c>
      <c r="BY390" s="50">
        <f t="shared" si="917"/>
        <v>0</v>
      </c>
      <c r="BZ390" s="50">
        <f t="shared" si="860"/>
        <v>0</v>
      </c>
      <c r="CA390" s="50">
        <f t="shared" si="861"/>
        <v>0</v>
      </c>
      <c r="CB390" s="50">
        <f t="shared" si="862"/>
        <v>1</v>
      </c>
      <c r="CC390" s="50">
        <f t="shared" si="863"/>
        <v>0</v>
      </c>
      <c r="CD390" s="50">
        <f t="shared" si="864"/>
        <v>0</v>
      </c>
      <c r="CE390" s="50">
        <f t="shared" si="865"/>
        <v>1</v>
      </c>
      <c r="CF390" s="50">
        <f t="shared" si="866"/>
        <v>1</v>
      </c>
      <c r="CG390" s="50">
        <f t="shared" si="867"/>
        <v>1</v>
      </c>
      <c r="CH390" s="50">
        <f t="shared" si="868"/>
        <v>1</v>
      </c>
      <c r="CI390" s="50">
        <f t="shared" si="869"/>
        <v>1</v>
      </c>
      <c r="CJ390" s="50">
        <f t="shared" si="870"/>
        <v>1</v>
      </c>
      <c r="CK390" s="50">
        <f t="shared" si="870"/>
        <v>0</v>
      </c>
      <c r="CL390" s="50">
        <f t="shared" si="870"/>
        <v>0</v>
      </c>
      <c r="CM390" s="51">
        <f t="shared" si="795"/>
        <v>0</v>
      </c>
      <c r="CN390" s="33">
        <f>ROUND(IF(BS390=0,0,HLOOKUP(BS$14,Villagers!$B$1:$V$33,BS390+3,FALSE)),)</f>
        <v>5</v>
      </c>
      <c r="CO390" s="14">
        <f>ROUND(IF(BT390=0,0,HLOOKUP(BT$14,Villagers!$B$1:$V$33,BT390+3,FALSE)),)</f>
        <v>0</v>
      </c>
      <c r="CP390" s="14">
        <f>ROUND(IF(BU390=0,0,HLOOKUP(BU$14,Villagers!$B$1:$V$33,BU390+3,FALSE)),)</f>
        <v>0</v>
      </c>
      <c r="CQ390" s="14">
        <f>ROUND(IF(BV390=0,0,HLOOKUP(BV$14,Villagers!$B$1:$V$33,BV390+3,FALSE)),)</f>
        <v>0</v>
      </c>
      <c r="CR390" s="14">
        <f>ROUND(IF(BW390=0,0,HLOOKUP(BW$14,Villagers!$B$1:$V$33,BW390+3,FALSE)),)</f>
        <v>0</v>
      </c>
      <c r="CS390" s="14">
        <f>ROUND(IF(BX390=0,0,HLOOKUP(BX$14,Villagers!$B$1:$V$33,BX390+3,FALSE)),)</f>
        <v>0</v>
      </c>
      <c r="CT390" s="14">
        <f>ROUND(IF(BY390=0,0,HLOOKUP(BY$14,Villagers!$B$1:$V$33,BY390+3,FALSE)),)</f>
        <v>0</v>
      </c>
      <c r="CU390" s="14">
        <f>ROUND(IF(BZ390=0,0,HLOOKUP(BZ$14,Villagers!$B$1:$V$33,BZ390+3,FALSE)),)</f>
        <v>0</v>
      </c>
      <c r="CV390" s="14">
        <f>ROUND(IF(CA390=0,0,HLOOKUP(CA$14,Villagers!$B$1:$V$33,CA390+3,FALSE)),)</f>
        <v>0</v>
      </c>
      <c r="CW390" s="14">
        <f>ROUND(IF(CB390=0,0,HLOOKUP(CB$14,Villagers!$B$1:$V$33,CB390+3,FALSE)),)</f>
        <v>0</v>
      </c>
      <c r="CX390" s="14">
        <f>ROUND(IF(CC390=0,0,HLOOKUP(CC$14,Villagers!$B$1:$V$33,CC390+3,FALSE)),)</f>
        <v>0</v>
      </c>
      <c r="CY390" s="14">
        <f>ROUND(IF(CD390=0,0,HLOOKUP(CD$14,Villagers!$B$1:$V$33,CD390+3,FALSE)),)</f>
        <v>0</v>
      </c>
      <c r="CZ390" s="14">
        <f>ROUND(IF(CE390=0,0,HLOOKUP(CE$14,Villagers!$B$1:$V$33,CE390+3,FALSE)),)</f>
        <v>5</v>
      </c>
      <c r="DA390" s="14">
        <f>ROUND(IF(CF390=0,0,HLOOKUP(CF$14,Villagers!$B$1:$V$33,CF390+3,FALSE)),)</f>
        <v>10</v>
      </c>
      <c r="DB390" s="14">
        <f>ROUND(IF(CG390=0,0,HLOOKUP(CG$14,Villagers!$B$1:$V$33,CG390+3,FALSE)),)</f>
        <v>10</v>
      </c>
      <c r="DC390" s="14">
        <f>ROUND(IF(CH390=0,0,HLOOKUP(CH$14,Villagers!$B$1:$V$33,CH390+3,FALSE)),)</f>
        <v>0</v>
      </c>
      <c r="DD390" s="14">
        <f>ROUND(IF(CI390=0,0,HLOOKUP(CI$14,Villagers!$B$1:$V$33,CI390+3,FALSE)),)</f>
        <v>0</v>
      </c>
      <c r="DE390" s="14">
        <f>ROUND(IF(CJ390=0,0,HLOOKUP(CJ$14,Villagers!$B$1:$V$33,CJ390+3,FALSE)),)</f>
        <v>2</v>
      </c>
      <c r="DF390" s="370">
        <f>ROUND(IF(CK390=0,0,HLOOKUP(CK$14,Villagers!$B$1:$V$33,CK390+3,FALSE)),)</f>
        <v>0</v>
      </c>
      <c r="DG390" s="370">
        <f>ROUND(IF(CL390=0,0,HLOOKUP(CL$14,Villagers!$B$1:$V$33,CL390+3,FALSE)),)</f>
        <v>0</v>
      </c>
      <c r="DH390" s="34">
        <f>ROUND(IF(CM390=0,0,HLOOKUP(CM$14,Villagers!$B$1:$V$33,CM390+3,FALSE)),)</f>
        <v>0</v>
      </c>
      <c r="DI390" s="109">
        <f t="shared" si="832"/>
        <v>0</v>
      </c>
      <c r="DJ390" s="50">
        <f t="shared" si="833"/>
        <v>0</v>
      </c>
      <c r="DK390" s="50">
        <f t="shared" si="834"/>
        <v>0</v>
      </c>
      <c r="DL390" s="50">
        <f t="shared" si="835"/>
        <v>0</v>
      </c>
      <c r="DM390" s="50">
        <f t="shared" si="836"/>
        <v>0</v>
      </c>
      <c r="DN390" s="50">
        <f t="shared" si="837"/>
        <v>0</v>
      </c>
      <c r="DO390" s="50">
        <f t="shared" si="838"/>
        <v>0</v>
      </c>
      <c r="DP390" s="50">
        <f t="shared" si="839"/>
        <v>0</v>
      </c>
      <c r="DQ390" s="50">
        <f t="shared" si="816"/>
        <v>0</v>
      </c>
      <c r="DR390" s="50">
        <f t="shared" si="817"/>
        <v>0</v>
      </c>
      <c r="DS390" s="96">
        <f>Miscelaneous!$D$4*Miscelaneous!$D$2^($CI390-1)</f>
        <v>1000</v>
      </c>
      <c r="DT390" s="333">
        <f t="shared" si="796"/>
        <v>1</v>
      </c>
      <c r="DU390" s="81">
        <v>1</v>
      </c>
      <c r="DV390" s="79">
        <f t="shared" si="818"/>
        <v>0</v>
      </c>
      <c r="DW390" s="79">
        <f t="shared" si="819"/>
        <v>0</v>
      </c>
      <c r="DX390" s="79">
        <f t="shared" si="820"/>
        <v>0</v>
      </c>
      <c r="DY390" s="79">
        <v>1</v>
      </c>
      <c r="DZ390" s="79">
        <f t="shared" si="821"/>
        <v>0</v>
      </c>
      <c r="EA390" s="79">
        <f t="shared" si="822"/>
        <v>0</v>
      </c>
      <c r="EB390" s="79">
        <f t="shared" si="823"/>
        <v>0</v>
      </c>
      <c r="EC390" s="79">
        <f t="shared" si="824"/>
        <v>0</v>
      </c>
      <c r="ED390" s="79">
        <v>1</v>
      </c>
      <c r="EE390" s="79">
        <v>1</v>
      </c>
      <c r="EF390" s="79">
        <f t="shared" si="825"/>
        <v>0</v>
      </c>
      <c r="EG390" s="79">
        <v>1</v>
      </c>
      <c r="EH390" s="79">
        <v>1</v>
      </c>
      <c r="EI390" s="79">
        <v>1</v>
      </c>
      <c r="EJ390" s="79">
        <v>1</v>
      </c>
      <c r="EK390" s="79">
        <v>1</v>
      </c>
      <c r="EL390" s="79">
        <v>1</v>
      </c>
      <c r="EM390" s="143">
        <f t="shared" si="826"/>
        <v>0</v>
      </c>
      <c r="EN390" s="143">
        <f t="shared" si="827"/>
        <v>0</v>
      </c>
      <c r="EO390" s="82">
        <f t="shared" si="828"/>
        <v>0</v>
      </c>
    </row>
    <row r="391" spans="1:145" x14ac:dyDescent="0.25">
      <c r="A391">
        <v>377</v>
      </c>
      <c r="B391" s="172" t="e">
        <f t="shared" si="797"/>
        <v>#N/A</v>
      </c>
      <c r="C391" s="121" t="e">
        <f t="shared" ref="C391:E391" si="925">AJ391-SUM(AB391:AB395)</f>
        <v>#N/A</v>
      </c>
      <c r="D391" s="122" t="e">
        <f t="shared" si="925"/>
        <v>#N/A</v>
      </c>
      <c r="E391" s="122" t="e">
        <f t="shared" si="925"/>
        <v>#N/A</v>
      </c>
      <c r="F391" s="176" t="e">
        <f t="shared" si="778"/>
        <v>#N/A</v>
      </c>
      <c r="G391" s="121">
        <f t="shared" si="799"/>
        <v>208</v>
      </c>
      <c r="H391" s="176" t="e">
        <f t="shared" si="800"/>
        <v>#N/A</v>
      </c>
      <c r="I391" s="48">
        <v>1</v>
      </c>
      <c r="J391" s="39"/>
      <c r="K391" s="350">
        <v>1</v>
      </c>
      <c r="L391" s="34" t="e">
        <f t="shared" si="779"/>
        <v>#N/A</v>
      </c>
      <c r="M391" s="38" t="e">
        <f>(HLOOKUP(J391,'Construction Times'!$B$3:$W$34,L391+2,FALSE)*HLOOKUP("hq modifier",'Construction Times'!$W$3:$W$34,BS391+2,FALSE))*(1-$H$9)</f>
        <v>#N/A</v>
      </c>
      <c r="N391" s="426" t="e">
        <f t="shared" si="801"/>
        <v>#N/A</v>
      </c>
      <c r="O391" s="427"/>
      <c r="P391" s="430" t="e">
        <f t="shared" si="802"/>
        <v>#N/A</v>
      </c>
      <c r="Q391" s="431"/>
      <c r="R391" s="103">
        <f t="shared" si="897"/>
        <v>0</v>
      </c>
      <c r="S391" s="104">
        <f t="shared" si="897"/>
        <v>0</v>
      </c>
      <c r="T391" s="104">
        <f t="shared" si="898"/>
        <v>0</v>
      </c>
      <c r="U391" s="104">
        <f t="shared" si="898"/>
        <v>0</v>
      </c>
      <c r="V391" s="104">
        <f t="shared" si="898"/>
        <v>9.9999999999999995E-8</v>
      </c>
      <c r="W391" s="104">
        <f t="shared" si="898"/>
        <v>0</v>
      </c>
      <c r="X391" s="104">
        <f t="shared" si="890"/>
        <v>0</v>
      </c>
      <c r="Y391" s="104">
        <f t="shared" si="890"/>
        <v>9.9999999999999995E-8</v>
      </c>
      <c r="Z391" s="104">
        <f t="shared" si="890"/>
        <v>9.9999999999999995E-8</v>
      </c>
      <c r="AA391" s="105">
        <f t="shared" si="890"/>
        <v>9.9999999999999995E-8</v>
      </c>
      <c r="AB391" s="101" t="e">
        <f>$DT391*HLOOKUP($J391,'Construction Costs (timber)'!$B$1:$V$32,'Construction Planner'!$L391+2,FALSE)</f>
        <v>#N/A</v>
      </c>
      <c r="AC391" s="14" t="e">
        <f>$DT391*HLOOKUP($J391,'Construction Costs (clay)'!$B$1:$V$32,'Construction Planner'!$L391+2,FALSE)</f>
        <v>#N/A</v>
      </c>
      <c r="AD391" s="14" t="e">
        <f>$DT391*HLOOKUP($J391,'Construction Costs (iron)'!$B$1:$V$32,'Construction Planner'!$L391+2,FALSE)</f>
        <v>#N/A</v>
      </c>
      <c r="AE391" s="34" t="e">
        <f t="shared" si="843"/>
        <v>#N/A</v>
      </c>
      <c r="AF391" s="33" t="e">
        <f t="shared" si="780"/>
        <v>#N/A</v>
      </c>
      <c r="AG391" s="14" t="e">
        <f t="shared" si="781"/>
        <v>#N/A</v>
      </c>
      <c r="AH391" s="14" t="e">
        <f t="shared" si="782"/>
        <v>#N/A</v>
      </c>
      <c r="AI391" s="34" t="e">
        <f t="shared" si="844"/>
        <v>#N/A</v>
      </c>
      <c r="AJ391" s="49" t="e">
        <f t="shared" si="804"/>
        <v>#N/A</v>
      </c>
      <c r="AK391" s="49" t="e">
        <f t="shared" si="805"/>
        <v>#N/A</v>
      </c>
      <c r="AL391" s="49" t="e">
        <f t="shared" si="806"/>
        <v>#N/A</v>
      </c>
      <c r="AM391" s="25">
        <f t="shared" si="783"/>
        <v>30</v>
      </c>
      <c r="AN391" s="25">
        <f t="shared" si="784"/>
        <v>30</v>
      </c>
      <c r="AO391" s="25">
        <f t="shared" si="785"/>
        <v>30</v>
      </c>
      <c r="AP391" s="52" t="e">
        <f t="shared" si="894"/>
        <v>#N/A</v>
      </c>
      <c r="AQ391" s="53" t="e">
        <f t="shared" si="894"/>
        <v>#N/A</v>
      </c>
      <c r="AR391" s="54" t="e">
        <f t="shared" si="894"/>
        <v>#N/A</v>
      </c>
      <c r="AS391" s="316">
        <f t="shared" si="922"/>
        <v>0</v>
      </c>
      <c r="AT391" s="106">
        <f>_xlfn.IFNA($M391/VLOOKUP($BT391,'Unit information'!$A$2:$K$29,2,FALSE)*R391,0)*(1+$E$9)</f>
        <v>0</v>
      </c>
      <c r="AU391" s="107">
        <f>_xlfn.IFNA($M391/VLOOKUP($BT391,'Unit information'!$A$2:$K$29,3,FALSE)*S391,0)*(1+$E$9)</f>
        <v>0</v>
      </c>
      <c r="AV391" s="107">
        <f>_xlfn.IFNA($M391/VLOOKUP($BT391,'Unit information'!$A$2:$K$29,4,FALSE)*T391,0)*(1+$E$9)</f>
        <v>0</v>
      </c>
      <c r="AW391" s="107">
        <f>_xlfn.IFNA($M391/VLOOKUP($BT391,'Unit information'!$A$2:$K$29,5,FALSE)*U391,0)*(1+$E$9)</f>
        <v>0</v>
      </c>
      <c r="AX391" s="107">
        <f>_xlfn.IFNA($M391/VLOOKUP($BU391,'Unit information'!$A$2:$K$29,6,FALSE)*V391,0)*(1+$E$9)</f>
        <v>0</v>
      </c>
      <c r="AY391" s="107">
        <f>_xlfn.IFNA($M391/VLOOKUP($BU391,'Unit information'!$A$2:$K$29,7,FALSE)*W391,0)*(1+$E$9)</f>
        <v>0</v>
      </c>
      <c r="AZ391" s="107">
        <f>_xlfn.IFNA($M391/VLOOKUP($BU391,'Unit information'!$A$2:$K$29,8,FALSE)*X391,0)*(1+$E$9)</f>
        <v>0</v>
      </c>
      <c r="BA391" s="107">
        <f>_xlfn.IFNA($M391/VLOOKUP($BU391,'Unit information'!$A$2:$K$29,9,FALSE)*Y391,0)*(1+$E$9)</f>
        <v>0</v>
      </c>
      <c r="BB391" s="107">
        <f>_xlfn.IFNA($M391/VLOOKUP($BV391,'Unit information'!$A$2:$K$29,10,FALSE)*Z391,0)*(1+$E$9)</f>
        <v>0</v>
      </c>
      <c r="BC391" s="108">
        <f>_xlfn.IFNA($M391/VLOOKUP($BV391,'Unit information'!$A$2:$K$29,11,FALSE)*AA391,0)*(1+$E$9)</f>
        <v>0</v>
      </c>
      <c r="BD391" s="106">
        <f t="shared" si="786"/>
        <v>0</v>
      </c>
      <c r="BE391" s="107">
        <f t="shared" si="787"/>
        <v>0</v>
      </c>
      <c r="BF391" s="108">
        <f t="shared" si="788"/>
        <v>0</v>
      </c>
      <c r="BG391" s="25" t="e">
        <f t="shared" si="789"/>
        <v>#N/A</v>
      </c>
      <c r="BH391" s="25" t="e">
        <f t="shared" si="790"/>
        <v>#N/A</v>
      </c>
      <c r="BI391" s="25" t="e">
        <f t="shared" si="791"/>
        <v>#N/A</v>
      </c>
      <c r="BJ391" s="27" t="e">
        <f t="shared" si="792"/>
        <v>#N/A</v>
      </c>
      <c r="BK391" s="18" t="e">
        <f t="shared" si="793"/>
        <v>#N/A</v>
      </c>
      <c r="BL391" s="18" t="e">
        <f t="shared" si="794"/>
        <v>#N/A</v>
      </c>
      <c r="BM391" s="28" t="e">
        <f t="shared" si="846"/>
        <v>#N/A</v>
      </c>
      <c r="BN391" s="33">
        <f>HLOOKUP("maximum population",Miscelaneous!$C$1:$C$33,CH391+3,FALSE)</f>
        <v>240</v>
      </c>
      <c r="BO391" s="14">
        <f t="shared" si="808"/>
        <v>32</v>
      </c>
      <c r="BP391" s="14">
        <f t="shared" si="809"/>
        <v>0</v>
      </c>
      <c r="BQ391" s="14">
        <f t="shared" si="810"/>
        <v>208</v>
      </c>
      <c r="BR391" s="34" t="e">
        <f>HLOOKUP(J391,Villagers!$B$1:$V$33,L391+3,FALSE)-HLOOKUP(J391,Villagers!$B$1:$V$33,L391+2,FALSE)</f>
        <v>#N/A</v>
      </c>
      <c r="BS391" s="49">
        <f t="shared" si="811"/>
        <v>1</v>
      </c>
      <c r="BT391" s="50">
        <f t="shared" si="812"/>
        <v>0</v>
      </c>
      <c r="BU391" s="50">
        <f t="shared" si="813"/>
        <v>0</v>
      </c>
      <c r="BV391" s="50">
        <f t="shared" si="814"/>
        <v>0</v>
      </c>
      <c r="BW391" s="50">
        <f t="shared" ref="BW391:BW415" si="926">IF($J390=BW$14,$L390,BW390)</f>
        <v>0</v>
      </c>
      <c r="BX391" s="50">
        <f t="shared" ref="BX391:BY415" si="927">IF($J390=BX$14,$L390,BX390)</f>
        <v>0</v>
      </c>
      <c r="BY391" s="50">
        <f t="shared" si="927"/>
        <v>0</v>
      </c>
      <c r="BZ391" s="50">
        <f t="shared" si="860"/>
        <v>0</v>
      </c>
      <c r="CA391" s="50">
        <f t="shared" si="861"/>
        <v>0</v>
      </c>
      <c r="CB391" s="50">
        <f t="shared" si="862"/>
        <v>1</v>
      </c>
      <c r="CC391" s="50">
        <f t="shared" si="863"/>
        <v>0</v>
      </c>
      <c r="CD391" s="50">
        <f t="shared" si="864"/>
        <v>0</v>
      </c>
      <c r="CE391" s="50">
        <f t="shared" si="865"/>
        <v>1</v>
      </c>
      <c r="CF391" s="50">
        <f t="shared" si="866"/>
        <v>1</v>
      </c>
      <c r="CG391" s="50">
        <f t="shared" si="867"/>
        <v>1</v>
      </c>
      <c r="CH391" s="50">
        <f t="shared" si="868"/>
        <v>1</v>
      </c>
      <c r="CI391" s="50">
        <f t="shared" si="869"/>
        <v>1</v>
      </c>
      <c r="CJ391" s="50">
        <f t="shared" si="870"/>
        <v>1</v>
      </c>
      <c r="CK391" s="50">
        <f t="shared" si="870"/>
        <v>0</v>
      </c>
      <c r="CL391" s="50">
        <f t="shared" si="870"/>
        <v>0</v>
      </c>
      <c r="CM391" s="51">
        <f t="shared" si="795"/>
        <v>0</v>
      </c>
      <c r="CN391" s="33">
        <f>ROUND(IF(BS391=0,0,HLOOKUP(BS$14,Villagers!$B$1:$V$33,BS391+3,FALSE)),)</f>
        <v>5</v>
      </c>
      <c r="CO391" s="14">
        <f>ROUND(IF(BT391=0,0,HLOOKUP(BT$14,Villagers!$B$1:$V$33,BT391+3,FALSE)),)</f>
        <v>0</v>
      </c>
      <c r="CP391" s="14">
        <f>ROUND(IF(BU391=0,0,HLOOKUP(BU$14,Villagers!$B$1:$V$33,BU391+3,FALSE)),)</f>
        <v>0</v>
      </c>
      <c r="CQ391" s="14">
        <f>ROUND(IF(BV391=0,0,HLOOKUP(BV$14,Villagers!$B$1:$V$33,BV391+3,FALSE)),)</f>
        <v>0</v>
      </c>
      <c r="CR391" s="14">
        <f>ROUND(IF(BW391=0,0,HLOOKUP(BW$14,Villagers!$B$1:$V$33,BW391+3,FALSE)),)</f>
        <v>0</v>
      </c>
      <c r="CS391" s="14">
        <f>ROUND(IF(BX391=0,0,HLOOKUP(BX$14,Villagers!$B$1:$V$33,BX391+3,FALSE)),)</f>
        <v>0</v>
      </c>
      <c r="CT391" s="14">
        <f>ROUND(IF(BY391=0,0,HLOOKUP(BY$14,Villagers!$B$1:$V$33,BY391+3,FALSE)),)</f>
        <v>0</v>
      </c>
      <c r="CU391" s="14">
        <f>ROUND(IF(BZ391=0,0,HLOOKUP(BZ$14,Villagers!$B$1:$V$33,BZ391+3,FALSE)),)</f>
        <v>0</v>
      </c>
      <c r="CV391" s="14">
        <f>ROUND(IF(CA391=0,0,HLOOKUP(CA$14,Villagers!$B$1:$V$33,CA391+3,FALSE)),)</f>
        <v>0</v>
      </c>
      <c r="CW391" s="14">
        <f>ROUND(IF(CB391=0,0,HLOOKUP(CB$14,Villagers!$B$1:$V$33,CB391+3,FALSE)),)</f>
        <v>0</v>
      </c>
      <c r="CX391" s="14">
        <f>ROUND(IF(CC391=0,0,HLOOKUP(CC$14,Villagers!$B$1:$V$33,CC391+3,FALSE)),)</f>
        <v>0</v>
      </c>
      <c r="CY391" s="14">
        <f>ROUND(IF(CD391=0,0,HLOOKUP(CD$14,Villagers!$B$1:$V$33,CD391+3,FALSE)),)</f>
        <v>0</v>
      </c>
      <c r="CZ391" s="14">
        <f>ROUND(IF(CE391=0,0,HLOOKUP(CE$14,Villagers!$B$1:$V$33,CE391+3,FALSE)),)</f>
        <v>5</v>
      </c>
      <c r="DA391" s="14">
        <f>ROUND(IF(CF391=0,0,HLOOKUP(CF$14,Villagers!$B$1:$V$33,CF391+3,FALSE)),)</f>
        <v>10</v>
      </c>
      <c r="DB391" s="14">
        <f>ROUND(IF(CG391=0,0,HLOOKUP(CG$14,Villagers!$B$1:$V$33,CG391+3,FALSE)),)</f>
        <v>10</v>
      </c>
      <c r="DC391" s="14">
        <f>ROUND(IF(CH391=0,0,HLOOKUP(CH$14,Villagers!$B$1:$V$33,CH391+3,FALSE)),)</f>
        <v>0</v>
      </c>
      <c r="DD391" s="14">
        <f>ROUND(IF(CI391=0,0,HLOOKUP(CI$14,Villagers!$B$1:$V$33,CI391+3,FALSE)),)</f>
        <v>0</v>
      </c>
      <c r="DE391" s="14">
        <f>ROUND(IF(CJ391=0,0,HLOOKUP(CJ$14,Villagers!$B$1:$V$33,CJ391+3,FALSE)),)</f>
        <v>2</v>
      </c>
      <c r="DF391" s="370">
        <f>ROUND(IF(CK391=0,0,HLOOKUP(CK$14,Villagers!$B$1:$V$33,CK391+3,FALSE)),)</f>
        <v>0</v>
      </c>
      <c r="DG391" s="370">
        <f>ROUND(IF(CL391=0,0,HLOOKUP(CL$14,Villagers!$B$1:$V$33,CL391+3,FALSE)),)</f>
        <v>0</v>
      </c>
      <c r="DH391" s="34">
        <f>ROUND(IF(CM391=0,0,HLOOKUP(CM$14,Villagers!$B$1:$V$33,CM391+3,FALSE)),)</f>
        <v>0</v>
      </c>
      <c r="DI391" s="109">
        <f t="shared" si="832"/>
        <v>0</v>
      </c>
      <c r="DJ391" s="50">
        <f t="shared" si="833"/>
        <v>0</v>
      </c>
      <c r="DK391" s="50">
        <f t="shared" si="834"/>
        <v>0</v>
      </c>
      <c r="DL391" s="50">
        <f t="shared" si="835"/>
        <v>0</v>
      </c>
      <c r="DM391" s="50">
        <f t="shared" si="836"/>
        <v>0</v>
      </c>
      <c r="DN391" s="50">
        <f t="shared" si="837"/>
        <v>0</v>
      </c>
      <c r="DO391" s="50">
        <f t="shared" si="838"/>
        <v>0</v>
      </c>
      <c r="DP391" s="50">
        <f t="shared" si="839"/>
        <v>0</v>
      </c>
      <c r="DQ391" s="50">
        <f t="shared" si="816"/>
        <v>0</v>
      </c>
      <c r="DR391" s="50">
        <f t="shared" si="817"/>
        <v>0</v>
      </c>
      <c r="DS391" s="96">
        <f>Miscelaneous!$D$4*Miscelaneous!$D$2^($CI391-1)</f>
        <v>1000</v>
      </c>
      <c r="DT391" s="333">
        <f t="shared" si="796"/>
        <v>1</v>
      </c>
      <c r="DU391" s="81">
        <v>1</v>
      </c>
      <c r="DV391" s="79">
        <f t="shared" si="818"/>
        <v>0</v>
      </c>
      <c r="DW391" s="79">
        <f t="shared" si="819"/>
        <v>0</v>
      </c>
      <c r="DX391" s="79">
        <f t="shared" si="820"/>
        <v>0</v>
      </c>
      <c r="DY391" s="79">
        <v>1</v>
      </c>
      <c r="DZ391" s="79">
        <f t="shared" si="821"/>
        <v>0</v>
      </c>
      <c r="EA391" s="79">
        <f t="shared" si="822"/>
        <v>0</v>
      </c>
      <c r="EB391" s="79">
        <f t="shared" si="823"/>
        <v>0</v>
      </c>
      <c r="EC391" s="79">
        <f t="shared" si="824"/>
        <v>0</v>
      </c>
      <c r="ED391" s="79">
        <v>1</v>
      </c>
      <c r="EE391" s="79">
        <v>1</v>
      </c>
      <c r="EF391" s="79">
        <f t="shared" si="825"/>
        <v>0</v>
      </c>
      <c r="EG391" s="79">
        <v>1</v>
      </c>
      <c r="EH391" s="79">
        <v>1</v>
      </c>
      <c r="EI391" s="79">
        <v>1</v>
      </c>
      <c r="EJ391" s="79">
        <v>1</v>
      </c>
      <c r="EK391" s="79">
        <v>1</v>
      </c>
      <c r="EL391" s="79">
        <v>1</v>
      </c>
      <c r="EM391" s="143">
        <f t="shared" si="826"/>
        <v>0</v>
      </c>
      <c r="EN391" s="143">
        <f t="shared" si="827"/>
        <v>0</v>
      </c>
      <c r="EO391" s="82">
        <f t="shared" si="828"/>
        <v>0</v>
      </c>
    </row>
    <row r="392" spans="1:145" x14ac:dyDescent="0.25">
      <c r="A392">
        <v>378</v>
      </c>
      <c r="B392" s="172" t="e">
        <f t="shared" si="797"/>
        <v>#N/A</v>
      </c>
      <c r="C392" s="121" t="e">
        <f t="shared" ref="C392:E392" si="928">AJ392-SUM(AB392:AB396)</f>
        <v>#N/A</v>
      </c>
      <c r="D392" s="122" t="e">
        <f t="shared" si="928"/>
        <v>#N/A</v>
      </c>
      <c r="E392" s="122" t="e">
        <f t="shared" si="928"/>
        <v>#N/A</v>
      </c>
      <c r="F392" s="176" t="e">
        <f t="shared" si="778"/>
        <v>#N/A</v>
      </c>
      <c r="G392" s="121">
        <f t="shared" si="799"/>
        <v>208</v>
      </c>
      <c r="H392" s="176" t="e">
        <f t="shared" si="800"/>
        <v>#N/A</v>
      </c>
      <c r="I392" s="48">
        <v>1</v>
      </c>
      <c r="J392" s="39"/>
      <c r="K392" s="350">
        <v>1</v>
      </c>
      <c r="L392" s="34" t="e">
        <f t="shared" si="779"/>
        <v>#N/A</v>
      </c>
      <c r="M392" s="38" t="e">
        <f>(HLOOKUP(J392,'Construction Times'!$B$3:$W$34,L392+2,FALSE)*HLOOKUP("hq modifier",'Construction Times'!$W$3:$W$34,BS392+2,FALSE))*(1-$H$9)</f>
        <v>#N/A</v>
      </c>
      <c r="N392" s="426" t="e">
        <f t="shared" si="801"/>
        <v>#N/A</v>
      </c>
      <c r="O392" s="427"/>
      <c r="P392" s="430" t="e">
        <f t="shared" si="802"/>
        <v>#N/A</v>
      </c>
      <c r="Q392" s="431"/>
      <c r="R392" s="103">
        <f t="shared" si="897"/>
        <v>0</v>
      </c>
      <c r="S392" s="104">
        <f t="shared" si="897"/>
        <v>0</v>
      </c>
      <c r="T392" s="104">
        <f t="shared" si="898"/>
        <v>0</v>
      </c>
      <c r="U392" s="104">
        <f t="shared" si="898"/>
        <v>0</v>
      </c>
      <c r="V392" s="104">
        <f t="shared" si="898"/>
        <v>9.9999999999999995E-8</v>
      </c>
      <c r="W392" s="104">
        <f t="shared" si="898"/>
        <v>0</v>
      </c>
      <c r="X392" s="104">
        <f t="shared" si="890"/>
        <v>0</v>
      </c>
      <c r="Y392" s="104">
        <f t="shared" si="890"/>
        <v>9.9999999999999995E-8</v>
      </c>
      <c r="Z392" s="104">
        <f t="shared" si="890"/>
        <v>9.9999999999999995E-8</v>
      </c>
      <c r="AA392" s="105">
        <f t="shared" si="890"/>
        <v>9.9999999999999995E-8</v>
      </c>
      <c r="AB392" s="101" t="e">
        <f>$DT392*HLOOKUP($J392,'Construction Costs (timber)'!$B$1:$V$32,'Construction Planner'!$L392+2,FALSE)</f>
        <v>#N/A</v>
      </c>
      <c r="AC392" s="14" t="e">
        <f>$DT392*HLOOKUP($J392,'Construction Costs (clay)'!$B$1:$V$32,'Construction Planner'!$L392+2,FALSE)</f>
        <v>#N/A</v>
      </c>
      <c r="AD392" s="14" t="e">
        <f>$DT392*HLOOKUP($J392,'Construction Costs (iron)'!$B$1:$V$32,'Construction Planner'!$L392+2,FALSE)</f>
        <v>#N/A</v>
      </c>
      <c r="AE392" s="34" t="e">
        <f t="shared" si="843"/>
        <v>#N/A</v>
      </c>
      <c r="AF392" s="33" t="e">
        <f t="shared" si="780"/>
        <v>#N/A</v>
      </c>
      <c r="AG392" s="14" t="e">
        <f t="shared" si="781"/>
        <v>#N/A</v>
      </c>
      <c r="AH392" s="14" t="e">
        <f t="shared" si="782"/>
        <v>#N/A</v>
      </c>
      <c r="AI392" s="34" t="e">
        <f t="shared" si="844"/>
        <v>#N/A</v>
      </c>
      <c r="AJ392" s="49" t="e">
        <f t="shared" si="804"/>
        <v>#N/A</v>
      </c>
      <c r="AK392" s="49" t="e">
        <f t="shared" si="805"/>
        <v>#N/A</v>
      </c>
      <c r="AL392" s="49" t="e">
        <f t="shared" si="806"/>
        <v>#N/A</v>
      </c>
      <c r="AM392" s="25">
        <f t="shared" si="783"/>
        <v>30</v>
      </c>
      <c r="AN392" s="25">
        <f t="shared" si="784"/>
        <v>30</v>
      </c>
      <c r="AO392" s="25">
        <f t="shared" si="785"/>
        <v>30</v>
      </c>
      <c r="AP392" s="52" t="e">
        <f t="shared" si="894"/>
        <v>#N/A</v>
      </c>
      <c r="AQ392" s="53" t="e">
        <f t="shared" si="894"/>
        <v>#N/A</v>
      </c>
      <c r="AR392" s="54" t="e">
        <f t="shared" si="894"/>
        <v>#N/A</v>
      </c>
      <c r="AS392" s="316">
        <f t="shared" si="922"/>
        <v>0</v>
      </c>
      <c r="AT392" s="106">
        <f>_xlfn.IFNA($M392/VLOOKUP($BT392,'Unit information'!$A$2:$K$29,2,FALSE)*R392,0)*(1+$E$9)</f>
        <v>0</v>
      </c>
      <c r="AU392" s="107">
        <f>_xlfn.IFNA($M392/VLOOKUP($BT392,'Unit information'!$A$2:$K$29,3,FALSE)*S392,0)*(1+$E$9)</f>
        <v>0</v>
      </c>
      <c r="AV392" s="107">
        <f>_xlfn.IFNA($M392/VLOOKUP($BT392,'Unit information'!$A$2:$K$29,4,FALSE)*T392,0)*(1+$E$9)</f>
        <v>0</v>
      </c>
      <c r="AW392" s="107">
        <f>_xlfn.IFNA($M392/VLOOKUP($BT392,'Unit information'!$A$2:$K$29,5,FALSE)*U392,0)*(1+$E$9)</f>
        <v>0</v>
      </c>
      <c r="AX392" s="107">
        <f>_xlfn.IFNA($M392/VLOOKUP($BU392,'Unit information'!$A$2:$K$29,6,FALSE)*V392,0)*(1+$E$9)</f>
        <v>0</v>
      </c>
      <c r="AY392" s="107">
        <f>_xlfn.IFNA($M392/VLOOKUP($BU392,'Unit information'!$A$2:$K$29,7,FALSE)*W392,0)*(1+$E$9)</f>
        <v>0</v>
      </c>
      <c r="AZ392" s="107">
        <f>_xlfn.IFNA($M392/VLOOKUP($BU392,'Unit information'!$A$2:$K$29,8,FALSE)*X392,0)*(1+$E$9)</f>
        <v>0</v>
      </c>
      <c r="BA392" s="107">
        <f>_xlfn.IFNA($M392/VLOOKUP($BU392,'Unit information'!$A$2:$K$29,9,FALSE)*Y392,0)*(1+$E$9)</f>
        <v>0</v>
      </c>
      <c r="BB392" s="107">
        <f>_xlfn.IFNA($M392/VLOOKUP($BV392,'Unit information'!$A$2:$K$29,10,FALSE)*Z392,0)*(1+$E$9)</f>
        <v>0</v>
      </c>
      <c r="BC392" s="108">
        <f>_xlfn.IFNA($M392/VLOOKUP($BV392,'Unit information'!$A$2:$K$29,11,FALSE)*AA392,0)*(1+$E$9)</f>
        <v>0</v>
      </c>
      <c r="BD392" s="106">
        <f t="shared" si="786"/>
        <v>0</v>
      </c>
      <c r="BE392" s="107">
        <f t="shared" si="787"/>
        <v>0</v>
      </c>
      <c r="BF392" s="108">
        <f t="shared" si="788"/>
        <v>0</v>
      </c>
      <c r="BG392" s="25" t="e">
        <f t="shared" si="789"/>
        <v>#N/A</v>
      </c>
      <c r="BH392" s="25" t="e">
        <f t="shared" si="790"/>
        <v>#N/A</v>
      </c>
      <c r="BI392" s="25" t="e">
        <f t="shared" si="791"/>
        <v>#N/A</v>
      </c>
      <c r="BJ392" s="27" t="e">
        <f t="shared" si="792"/>
        <v>#N/A</v>
      </c>
      <c r="BK392" s="18" t="e">
        <f t="shared" si="793"/>
        <v>#N/A</v>
      </c>
      <c r="BL392" s="18" t="e">
        <f t="shared" si="794"/>
        <v>#N/A</v>
      </c>
      <c r="BM392" s="28" t="e">
        <f t="shared" si="846"/>
        <v>#N/A</v>
      </c>
      <c r="BN392" s="33">
        <f>HLOOKUP("maximum population",Miscelaneous!$C$1:$C$33,CH392+3,FALSE)</f>
        <v>240</v>
      </c>
      <c r="BO392" s="14">
        <f t="shared" si="808"/>
        <v>32</v>
      </c>
      <c r="BP392" s="14">
        <f t="shared" si="809"/>
        <v>0</v>
      </c>
      <c r="BQ392" s="14">
        <f t="shared" si="810"/>
        <v>208</v>
      </c>
      <c r="BR392" s="34" t="e">
        <f>HLOOKUP(J392,Villagers!$B$1:$V$33,L392+3,FALSE)-HLOOKUP(J392,Villagers!$B$1:$V$33,L392+2,FALSE)</f>
        <v>#N/A</v>
      </c>
      <c r="BS392" s="49">
        <f t="shared" si="811"/>
        <v>1</v>
      </c>
      <c r="BT392" s="50">
        <f t="shared" si="812"/>
        <v>0</v>
      </c>
      <c r="BU392" s="50">
        <f t="shared" si="813"/>
        <v>0</v>
      </c>
      <c r="BV392" s="50">
        <f t="shared" si="814"/>
        <v>0</v>
      </c>
      <c r="BW392" s="50">
        <f t="shared" si="926"/>
        <v>0</v>
      </c>
      <c r="BX392" s="50">
        <f t="shared" si="927"/>
        <v>0</v>
      </c>
      <c r="BY392" s="50">
        <f t="shared" si="927"/>
        <v>0</v>
      </c>
      <c r="BZ392" s="50">
        <f t="shared" si="860"/>
        <v>0</v>
      </c>
      <c r="CA392" s="50">
        <f t="shared" si="861"/>
        <v>0</v>
      </c>
      <c r="CB392" s="50">
        <f t="shared" si="862"/>
        <v>1</v>
      </c>
      <c r="CC392" s="50">
        <f t="shared" si="863"/>
        <v>0</v>
      </c>
      <c r="CD392" s="50">
        <f t="shared" si="864"/>
        <v>0</v>
      </c>
      <c r="CE392" s="50">
        <f t="shared" si="865"/>
        <v>1</v>
      </c>
      <c r="CF392" s="50">
        <f t="shared" si="866"/>
        <v>1</v>
      </c>
      <c r="CG392" s="50">
        <f t="shared" si="867"/>
        <v>1</v>
      </c>
      <c r="CH392" s="50">
        <f t="shared" si="868"/>
        <v>1</v>
      </c>
      <c r="CI392" s="50">
        <f t="shared" si="869"/>
        <v>1</v>
      </c>
      <c r="CJ392" s="50">
        <f t="shared" si="870"/>
        <v>1</v>
      </c>
      <c r="CK392" s="50">
        <f t="shared" si="870"/>
        <v>0</v>
      </c>
      <c r="CL392" s="50">
        <f t="shared" si="870"/>
        <v>0</v>
      </c>
      <c r="CM392" s="51">
        <f t="shared" si="795"/>
        <v>0</v>
      </c>
      <c r="CN392" s="33">
        <f>ROUND(IF(BS392=0,0,HLOOKUP(BS$14,Villagers!$B$1:$V$33,BS392+3,FALSE)),)</f>
        <v>5</v>
      </c>
      <c r="CO392" s="14">
        <f>ROUND(IF(BT392=0,0,HLOOKUP(BT$14,Villagers!$B$1:$V$33,BT392+3,FALSE)),)</f>
        <v>0</v>
      </c>
      <c r="CP392" s="14">
        <f>ROUND(IF(BU392=0,0,HLOOKUP(BU$14,Villagers!$B$1:$V$33,BU392+3,FALSE)),)</f>
        <v>0</v>
      </c>
      <c r="CQ392" s="14">
        <f>ROUND(IF(BV392=0,0,HLOOKUP(BV$14,Villagers!$B$1:$V$33,BV392+3,FALSE)),)</f>
        <v>0</v>
      </c>
      <c r="CR392" s="14">
        <f>ROUND(IF(BW392=0,0,HLOOKUP(BW$14,Villagers!$B$1:$V$33,BW392+3,FALSE)),)</f>
        <v>0</v>
      </c>
      <c r="CS392" s="14">
        <f>ROUND(IF(BX392=0,0,HLOOKUP(BX$14,Villagers!$B$1:$V$33,BX392+3,FALSE)),)</f>
        <v>0</v>
      </c>
      <c r="CT392" s="14">
        <f>ROUND(IF(BY392=0,0,HLOOKUP(BY$14,Villagers!$B$1:$V$33,BY392+3,FALSE)),)</f>
        <v>0</v>
      </c>
      <c r="CU392" s="14">
        <f>ROUND(IF(BZ392=0,0,HLOOKUP(BZ$14,Villagers!$B$1:$V$33,BZ392+3,FALSE)),)</f>
        <v>0</v>
      </c>
      <c r="CV392" s="14">
        <f>ROUND(IF(CA392=0,0,HLOOKUP(CA$14,Villagers!$B$1:$V$33,CA392+3,FALSE)),)</f>
        <v>0</v>
      </c>
      <c r="CW392" s="14">
        <f>ROUND(IF(CB392=0,0,HLOOKUP(CB$14,Villagers!$B$1:$V$33,CB392+3,FALSE)),)</f>
        <v>0</v>
      </c>
      <c r="CX392" s="14">
        <f>ROUND(IF(CC392=0,0,HLOOKUP(CC$14,Villagers!$B$1:$V$33,CC392+3,FALSE)),)</f>
        <v>0</v>
      </c>
      <c r="CY392" s="14">
        <f>ROUND(IF(CD392=0,0,HLOOKUP(CD$14,Villagers!$B$1:$V$33,CD392+3,FALSE)),)</f>
        <v>0</v>
      </c>
      <c r="CZ392" s="14">
        <f>ROUND(IF(CE392=0,0,HLOOKUP(CE$14,Villagers!$B$1:$V$33,CE392+3,FALSE)),)</f>
        <v>5</v>
      </c>
      <c r="DA392" s="14">
        <f>ROUND(IF(CF392=0,0,HLOOKUP(CF$14,Villagers!$B$1:$V$33,CF392+3,FALSE)),)</f>
        <v>10</v>
      </c>
      <c r="DB392" s="14">
        <f>ROUND(IF(CG392=0,0,HLOOKUP(CG$14,Villagers!$B$1:$V$33,CG392+3,FALSE)),)</f>
        <v>10</v>
      </c>
      <c r="DC392" s="14">
        <f>ROUND(IF(CH392=0,0,HLOOKUP(CH$14,Villagers!$B$1:$V$33,CH392+3,FALSE)),)</f>
        <v>0</v>
      </c>
      <c r="DD392" s="14">
        <f>ROUND(IF(CI392=0,0,HLOOKUP(CI$14,Villagers!$B$1:$V$33,CI392+3,FALSE)),)</f>
        <v>0</v>
      </c>
      <c r="DE392" s="14">
        <f>ROUND(IF(CJ392=0,0,HLOOKUP(CJ$14,Villagers!$B$1:$V$33,CJ392+3,FALSE)),)</f>
        <v>2</v>
      </c>
      <c r="DF392" s="370">
        <f>ROUND(IF(CK392=0,0,HLOOKUP(CK$14,Villagers!$B$1:$V$33,CK392+3,FALSE)),)</f>
        <v>0</v>
      </c>
      <c r="DG392" s="370">
        <f>ROUND(IF(CL392=0,0,HLOOKUP(CL$14,Villagers!$B$1:$V$33,CL392+3,FALSE)),)</f>
        <v>0</v>
      </c>
      <c r="DH392" s="34">
        <f>ROUND(IF(CM392=0,0,HLOOKUP(CM$14,Villagers!$B$1:$V$33,CM392+3,FALSE)),)</f>
        <v>0</v>
      </c>
      <c r="DI392" s="109">
        <f t="shared" si="832"/>
        <v>0</v>
      </c>
      <c r="DJ392" s="50">
        <f t="shared" si="833"/>
        <v>0</v>
      </c>
      <c r="DK392" s="50">
        <f t="shared" si="834"/>
        <v>0</v>
      </c>
      <c r="DL392" s="50">
        <f t="shared" si="835"/>
        <v>0</v>
      </c>
      <c r="DM392" s="50">
        <f t="shared" si="836"/>
        <v>0</v>
      </c>
      <c r="DN392" s="50">
        <f t="shared" si="837"/>
        <v>0</v>
      </c>
      <c r="DO392" s="50">
        <f t="shared" si="838"/>
        <v>0</v>
      </c>
      <c r="DP392" s="50">
        <f t="shared" si="839"/>
        <v>0</v>
      </c>
      <c r="DQ392" s="50">
        <f t="shared" si="816"/>
        <v>0</v>
      </c>
      <c r="DR392" s="50">
        <f t="shared" si="817"/>
        <v>0</v>
      </c>
      <c r="DS392" s="96">
        <f>Miscelaneous!$D$4*Miscelaneous!$D$2^($CI392-1)</f>
        <v>1000</v>
      </c>
      <c r="DT392" s="333">
        <f t="shared" si="796"/>
        <v>1</v>
      </c>
      <c r="DU392" s="81">
        <v>1</v>
      </c>
      <c r="DV392" s="79">
        <f t="shared" si="818"/>
        <v>0</v>
      </c>
      <c r="DW392" s="79">
        <f t="shared" si="819"/>
        <v>0</v>
      </c>
      <c r="DX392" s="79">
        <f t="shared" si="820"/>
        <v>0</v>
      </c>
      <c r="DY392" s="79">
        <v>1</v>
      </c>
      <c r="DZ392" s="79">
        <f t="shared" si="821"/>
        <v>0</v>
      </c>
      <c r="EA392" s="79">
        <f t="shared" si="822"/>
        <v>0</v>
      </c>
      <c r="EB392" s="79">
        <f t="shared" si="823"/>
        <v>0</v>
      </c>
      <c r="EC392" s="79">
        <f t="shared" si="824"/>
        <v>0</v>
      </c>
      <c r="ED392" s="79">
        <v>1</v>
      </c>
      <c r="EE392" s="79">
        <v>1</v>
      </c>
      <c r="EF392" s="79">
        <f t="shared" si="825"/>
        <v>0</v>
      </c>
      <c r="EG392" s="79">
        <v>1</v>
      </c>
      <c r="EH392" s="79">
        <v>1</v>
      </c>
      <c r="EI392" s="79">
        <v>1</v>
      </c>
      <c r="EJ392" s="79">
        <v>1</v>
      </c>
      <c r="EK392" s="79">
        <v>1</v>
      </c>
      <c r="EL392" s="79">
        <v>1</v>
      </c>
      <c r="EM392" s="143">
        <f t="shared" si="826"/>
        <v>0</v>
      </c>
      <c r="EN392" s="143">
        <f t="shared" si="827"/>
        <v>0</v>
      </c>
      <c r="EO392" s="82">
        <f t="shared" si="828"/>
        <v>0</v>
      </c>
    </row>
    <row r="393" spans="1:145" x14ac:dyDescent="0.25">
      <c r="A393">
        <v>379</v>
      </c>
      <c r="B393" s="172" t="e">
        <f t="shared" si="797"/>
        <v>#N/A</v>
      </c>
      <c r="C393" s="121" t="e">
        <f t="shared" ref="C393:E393" si="929">AJ393-SUM(AB393:AB397)</f>
        <v>#N/A</v>
      </c>
      <c r="D393" s="122" t="e">
        <f t="shared" si="929"/>
        <v>#N/A</v>
      </c>
      <c r="E393" s="122" t="e">
        <f t="shared" si="929"/>
        <v>#N/A</v>
      </c>
      <c r="F393" s="176" t="e">
        <f t="shared" si="778"/>
        <v>#N/A</v>
      </c>
      <c r="G393" s="121">
        <f t="shared" si="799"/>
        <v>208</v>
      </c>
      <c r="H393" s="176" t="e">
        <f t="shared" si="800"/>
        <v>#N/A</v>
      </c>
      <c r="I393" s="48">
        <v>1</v>
      </c>
      <c r="J393" s="39"/>
      <c r="K393" s="350">
        <v>1</v>
      </c>
      <c r="L393" s="34" t="e">
        <f t="shared" si="779"/>
        <v>#N/A</v>
      </c>
      <c r="M393" s="38" t="e">
        <f>(HLOOKUP(J393,'Construction Times'!$B$3:$W$34,L393+2,FALSE)*HLOOKUP("hq modifier",'Construction Times'!$W$3:$W$34,BS393+2,FALSE))*(1-$H$9)</f>
        <v>#N/A</v>
      </c>
      <c r="N393" s="426" t="e">
        <f t="shared" si="801"/>
        <v>#N/A</v>
      </c>
      <c r="O393" s="427"/>
      <c r="P393" s="430" t="e">
        <f t="shared" si="802"/>
        <v>#N/A</v>
      </c>
      <c r="Q393" s="431"/>
      <c r="R393" s="103">
        <f t="shared" si="897"/>
        <v>0</v>
      </c>
      <c r="S393" s="104">
        <f t="shared" si="897"/>
        <v>0</v>
      </c>
      <c r="T393" s="104">
        <f t="shared" si="898"/>
        <v>0</v>
      </c>
      <c r="U393" s="104">
        <f t="shared" si="898"/>
        <v>0</v>
      </c>
      <c r="V393" s="104">
        <f t="shared" si="898"/>
        <v>9.9999999999999995E-8</v>
      </c>
      <c r="W393" s="104">
        <f t="shared" si="898"/>
        <v>0</v>
      </c>
      <c r="X393" s="104">
        <f t="shared" si="890"/>
        <v>0</v>
      </c>
      <c r="Y393" s="104">
        <f t="shared" si="890"/>
        <v>9.9999999999999995E-8</v>
      </c>
      <c r="Z393" s="104">
        <f t="shared" si="890"/>
        <v>9.9999999999999995E-8</v>
      </c>
      <c r="AA393" s="105">
        <f t="shared" si="890"/>
        <v>9.9999999999999995E-8</v>
      </c>
      <c r="AB393" s="101" t="e">
        <f>$DT393*HLOOKUP($J393,'Construction Costs (timber)'!$B$1:$V$32,'Construction Planner'!$L393+2,FALSE)</f>
        <v>#N/A</v>
      </c>
      <c r="AC393" s="14" t="e">
        <f>$DT393*HLOOKUP($J393,'Construction Costs (clay)'!$B$1:$V$32,'Construction Planner'!$L393+2,FALSE)</f>
        <v>#N/A</v>
      </c>
      <c r="AD393" s="14" t="e">
        <f>$DT393*HLOOKUP($J393,'Construction Costs (iron)'!$B$1:$V$32,'Construction Planner'!$L393+2,FALSE)</f>
        <v>#N/A</v>
      </c>
      <c r="AE393" s="34" t="e">
        <f t="shared" si="843"/>
        <v>#N/A</v>
      </c>
      <c r="AF393" s="33" t="e">
        <f t="shared" si="780"/>
        <v>#N/A</v>
      </c>
      <c r="AG393" s="14" t="e">
        <f t="shared" si="781"/>
        <v>#N/A</v>
      </c>
      <c r="AH393" s="14" t="e">
        <f t="shared" si="782"/>
        <v>#N/A</v>
      </c>
      <c r="AI393" s="34" t="e">
        <f t="shared" si="844"/>
        <v>#N/A</v>
      </c>
      <c r="AJ393" s="49" t="e">
        <f t="shared" si="804"/>
        <v>#N/A</v>
      </c>
      <c r="AK393" s="49" t="e">
        <f t="shared" si="805"/>
        <v>#N/A</v>
      </c>
      <c r="AL393" s="49" t="e">
        <f t="shared" si="806"/>
        <v>#N/A</v>
      </c>
      <c r="AM393" s="25">
        <f t="shared" si="783"/>
        <v>30</v>
      </c>
      <c r="AN393" s="25">
        <f t="shared" si="784"/>
        <v>30</v>
      </c>
      <c r="AO393" s="25">
        <f t="shared" si="785"/>
        <v>30</v>
      </c>
      <c r="AP393" s="52" t="e">
        <f t="shared" si="894"/>
        <v>#N/A</v>
      </c>
      <c r="AQ393" s="53" t="e">
        <f t="shared" si="894"/>
        <v>#N/A</v>
      </c>
      <c r="AR393" s="54" t="e">
        <f t="shared" si="894"/>
        <v>#N/A</v>
      </c>
      <c r="AS393" s="316">
        <f t="shared" si="922"/>
        <v>0</v>
      </c>
      <c r="AT393" s="106">
        <f>_xlfn.IFNA($M393/VLOOKUP($BT393,'Unit information'!$A$2:$K$29,2,FALSE)*R393,0)*(1+$E$9)</f>
        <v>0</v>
      </c>
      <c r="AU393" s="107">
        <f>_xlfn.IFNA($M393/VLOOKUP($BT393,'Unit information'!$A$2:$K$29,3,FALSE)*S393,0)*(1+$E$9)</f>
        <v>0</v>
      </c>
      <c r="AV393" s="107">
        <f>_xlfn.IFNA($M393/VLOOKUP($BT393,'Unit information'!$A$2:$K$29,4,FALSE)*T393,0)*(1+$E$9)</f>
        <v>0</v>
      </c>
      <c r="AW393" s="107">
        <f>_xlfn.IFNA($M393/VLOOKUP($BT393,'Unit information'!$A$2:$K$29,5,FALSE)*U393,0)*(1+$E$9)</f>
        <v>0</v>
      </c>
      <c r="AX393" s="107">
        <f>_xlfn.IFNA($M393/VLOOKUP($BU393,'Unit information'!$A$2:$K$29,6,FALSE)*V393,0)*(1+$E$9)</f>
        <v>0</v>
      </c>
      <c r="AY393" s="107">
        <f>_xlfn.IFNA($M393/VLOOKUP($BU393,'Unit information'!$A$2:$K$29,7,FALSE)*W393,0)*(1+$E$9)</f>
        <v>0</v>
      </c>
      <c r="AZ393" s="107">
        <f>_xlfn.IFNA($M393/VLOOKUP($BU393,'Unit information'!$A$2:$K$29,8,FALSE)*X393,0)*(1+$E$9)</f>
        <v>0</v>
      </c>
      <c r="BA393" s="107">
        <f>_xlfn.IFNA($M393/VLOOKUP($BU393,'Unit information'!$A$2:$K$29,9,FALSE)*Y393,0)*(1+$E$9)</f>
        <v>0</v>
      </c>
      <c r="BB393" s="107">
        <f>_xlfn.IFNA($M393/VLOOKUP($BV393,'Unit information'!$A$2:$K$29,10,FALSE)*Z393,0)*(1+$E$9)</f>
        <v>0</v>
      </c>
      <c r="BC393" s="108">
        <f>_xlfn.IFNA($M393/VLOOKUP($BV393,'Unit information'!$A$2:$K$29,11,FALSE)*AA393,0)*(1+$E$9)</f>
        <v>0</v>
      </c>
      <c r="BD393" s="106">
        <f t="shared" si="786"/>
        <v>0</v>
      </c>
      <c r="BE393" s="107">
        <f t="shared" si="787"/>
        <v>0</v>
      </c>
      <c r="BF393" s="108">
        <f t="shared" si="788"/>
        <v>0</v>
      </c>
      <c r="BG393" s="25" t="e">
        <f t="shared" si="789"/>
        <v>#N/A</v>
      </c>
      <c r="BH393" s="25" t="e">
        <f t="shared" si="790"/>
        <v>#N/A</v>
      </c>
      <c r="BI393" s="25" t="e">
        <f t="shared" si="791"/>
        <v>#N/A</v>
      </c>
      <c r="BJ393" s="27" t="e">
        <f t="shared" si="792"/>
        <v>#N/A</v>
      </c>
      <c r="BK393" s="18" t="e">
        <f t="shared" si="793"/>
        <v>#N/A</v>
      </c>
      <c r="BL393" s="18" t="e">
        <f t="shared" si="794"/>
        <v>#N/A</v>
      </c>
      <c r="BM393" s="28" t="e">
        <f t="shared" si="846"/>
        <v>#N/A</v>
      </c>
      <c r="BN393" s="33">
        <f>HLOOKUP("maximum population",Miscelaneous!$C$1:$C$33,CH393+3,FALSE)</f>
        <v>240</v>
      </c>
      <c r="BO393" s="14">
        <f t="shared" si="808"/>
        <v>32</v>
      </c>
      <c r="BP393" s="14">
        <f t="shared" si="809"/>
        <v>0</v>
      </c>
      <c r="BQ393" s="14">
        <f t="shared" si="810"/>
        <v>208</v>
      </c>
      <c r="BR393" s="34" t="e">
        <f>HLOOKUP(J393,Villagers!$B$1:$V$33,L393+3,FALSE)-HLOOKUP(J393,Villagers!$B$1:$V$33,L393+2,FALSE)</f>
        <v>#N/A</v>
      </c>
      <c r="BS393" s="49">
        <f t="shared" si="811"/>
        <v>1</v>
      </c>
      <c r="BT393" s="50">
        <f t="shared" si="812"/>
        <v>0</v>
      </c>
      <c r="BU393" s="50">
        <f t="shared" si="813"/>
        <v>0</v>
      </c>
      <c r="BV393" s="50">
        <f t="shared" si="814"/>
        <v>0</v>
      </c>
      <c r="BW393" s="50">
        <f t="shared" si="926"/>
        <v>0</v>
      </c>
      <c r="BX393" s="50">
        <f t="shared" si="927"/>
        <v>0</v>
      </c>
      <c r="BY393" s="50">
        <f t="shared" si="927"/>
        <v>0</v>
      </c>
      <c r="BZ393" s="50">
        <f t="shared" si="860"/>
        <v>0</v>
      </c>
      <c r="CA393" s="50">
        <f t="shared" si="861"/>
        <v>0</v>
      </c>
      <c r="CB393" s="50">
        <f t="shared" si="862"/>
        <v>1</v>
      </c>
      <c r="CC393" s="50">
        <f t="shared" si="863"/>
        <v>0</v>
      </c>
      <c r="CD393" s="50">
        <f t="shared" si="864"/>
        <v>0</v>
      </c>
      <c r="CE393" s="50">
        <f t="shared" si="865"/>
        <v>1</v>
      </c>
      <c r="CF393" s="50">
        <f t="shared" si="866"/>
        <v>1</v>
      </c>
      <c r="CG393" s="50">
        <f t="shared" si="867"/>
        <v>1</v>
      </c>
      <c r="CH393" s="50">
        <f t="shared" si="868"/>
        <v>1</v>
      </c>
      <c r="CI393" s="50">
        <f t="shared" si="869"/>
        <v>1</v>
      </c>
      <c r="CJ393" s="50">
        <f t="shared" si="870"/>
        <v>1</v>
      </c>
      <c r="CK393" s="50">
        <f t="shared" si="870"/>
        <v>0</v>
      </c>
      <c r="CL393" s="50">
        <f t="shared" si="870"/>
        <v>0</v>
      </c>
      <c r="CM393" s="51">
        <f t="shared" si="795"/>
        <v>0</v>
      </c>
      <c r="CN393" s="33">
        <f>ROUND(IF(BS393=0,0,HLOOKUP(BS$14,Villagers!$B$1:$V$33,BS393+3,FALSE)),)</f>
        <v>5</v>
      </c>
      <c r="CO393" s="14">
        <f>ROUND(IF(BT393=0,0,HLOOKUP(BT$14,Villagers!$B$1:$V$33,BT393+3,FALSE)),)</f>
        <v>0</v>
      </c>
      <c r="CP393" s="14">
        <f>ROUND(IF(BU393=0,0,HLOOKUP(BU$14,Villagers!$B$1:$V$33,BU393+3,FALSE)),)</f>
        <v>0</v>
      </c>
      <c r="CQ393" s="14">
        <f>ROUND(IF(BV393=0,0,HLOOKUP(BV$14,Villagers!$B$1:$V$33,BV393+3,FALSE)),)</f>
        <v>0</v>
      </c>
      <c r="CR393" s="14">
        <f>ROUND(IF(BW393=0,0,HLOOKUP(BW$14,Villagers!$B$1:$V$33,BW393+3,FALSE)),)</f>
        <v>0</v>
      </c>
      <c r="CS393" s="14">
        <f>ROUND(IF(BX393=0,0,HLOOKUP(BX$14,Villagers!$B$1:$V$33,BX393+3,FALSE)),)</f>
        <v>0</v>
      </c>
      <c r="CT393" s="14">
        <f>ROUND(IF(BY393=0,0,HLOOKUP(BY$14,Villagers!$B$1:$V$33,BY393+3,FALSE)),)</f>
        <v>0</v>
      </c>
      <c r="CU393" s="14">
        <f>ROUND(IF(BZ393=0,0,HLOOKUP(BZ$14,Villagers!$B$1:$V$33,BZ393+3,FALSE)),)</f>
        <v>0</v>
      </c>
      <c r="CV393" s="14">
        <f>ROUND(IF(CA393=0,0,HLOOKUP(CA$14,Villagers!$B$1:$V$33,CA393+3,FALSE)),)</f>
        <v>0</v>
      </c>
      <c r="CW393" s="14">
        <f>ROUND(IF(CB393=0,0,HLOOKUP(CB$14,Villagers!$B$1:$V$33,CB393+3,FALSE)),)</f>
        <v>0</v>
      </c>
      <c r="CX393" s="14">
        <f>ROUND(IF(CC393=0,0,HLOOKUP(CC$14,Villagers!$B$1:$V$33,CC393+3,FALSE)),)</f>
        <v>0</v>
      </c>
      <c r="CY393" s="14">
        <f>ROUND(IF(CD393=0,0,HLOOKUP(CD$14,Villagers!$B$1:$V$33,CD393+3,FALSE)),)</f>
        <v>0</v>
      </c>
      <c r="CZ393" s="14">
        <f>ROUND(IF(CE393=0,0,HLOOKUP(CE$14,Villagers!$B$1:$V$33,CE393+3,FALSE)),)</f>
        <v>5</v>
      </c>
      <c r="DA393" s="14">
        <f>ROUND(IF(CF393=0,0,HLOOKUP(CF$14,Villagers!$B$1:$V$33,CF393+3,FALSE)),)</f>
        <v>10</v>
      </c>
      <c r="DB393" s="14">
        <f>ROUND(IF(CG393=0,0,HLOOKUP(CG$14,Villagers!$B$1:$V$33,CG393+3,FALSE)),)</f>
        <v>10</v>
      </c>
      <c r="DC393" s="14">
        <f>ROUND(IF(CH393=0,0,HLOOKUP(CH$14,Villagers!$B$1:$V$33,CH393+3,FALSE)),)</f>
        <v>0</v>
      </c>
      <c r="DD393" s="14">
        <f>ROUND(IF(CI393=0,0,HLOOKUP(CI$14,Villagers!$B$1:$V$33,CI393+3,FALSE)),)</f>
        <v>0</v>
      </c>
      <c r="DE393" s="14">
        <f>ROUND(IF(CJ393=0,0,HLOOKUP(CJ$14,Villagers!$B$1:$V$33,CJ393+3,FALSE)),)</f>
        <v>2</v>
      </c>
      <c r="DF393" s="370">
        <f>ROUND(IF(CK393=0,0,HLOOKUP(CK$14,Villagers!$B$1:$V$33,CK393+3,FALSE)),)</f>
        <v>0</v>
      </c>
      <c r="DG393" s="370">
        <f>ROUND(IF(CL393=0,0,HLOOKUP(CL$14,Villagers!$B$1:$V$33,CL393+3,FALSE)),)</f>
        <v>0</v>
      </c>
      <c r="DH393" s="34">
        <f>ROUND(IF(CM393=0,0,HLOOKUP(CM$14,Villagers!$B$1:$V$33,CM393+3,FALSE)),)</f>
        <v>0</v>
      </c>
      <c r="DI393" s="109">
        <f t="shared" si="832"/>
        <v>0</v>
      </c>
      <c r="DJ393" s="50">
        <f t="shared" si="833"/>
        <v>0</v>
      </c>
      <c r="DK393" s="50">
        <f t="shared" si="834"/>
        <v>0</v>
      </c>
      <c r="DL393" s="50">
        <f t="shared" si="835"/>
        <v>0</v>
      </c>
      <c r="DM393" s="50">
        <f t="shared" si="836"/>
        <v>0</v>
      </c>
      <c r="DN393" s="50">
        <f t="shared" si="837"/>
        <v>0</v>
      </c>
      <c r="DO393" s="50">
        <f t="shared" si="838"/>
        <v>0</v>
      </c>
      <c r="DP393" s="50">
        <f t="shared" si="839"/>
        <v>0</v>
      </c>
      <c r="DQ393" s="50">
        <f t="shared" si="816"/>
        <v>0</v>
      </c>
      <c r="DR393" s="50">
        <f t="shared" si="817"/>
        <v>0</v>
      </c>
      <c r="DS393" s="96">
        <f>Miscelaneous!$D$4*Miscelaneous!$D$2^($CI393-1)</f>
        <v>1000</v>
      </c>
      <c r="DT393" s="333">
        <f t="shared" si="796"/>
        <v>1</v>
      </c>
      <c r="DU393" s="81">
        <v>1</v>
      </c>
      <c r="DV393" s="79">
        <f t="shared" si="818"/>
        <v>0</v>
      </c>
      <c r="DW393" s="79">
        <f t="shared" si="819"/>
        <v>0</v>
      </c>
      <c r="DX393" s="79">
        <f t="shared" si="820"/>
        <v>0</v>
      </c>
      <c r="DY393" s="79">
        <v>1</v>
      </c>
      <c r="DZ393" s="79">
        <f t="shared" si="821"/>
        <v>0</v>
      </c>
      <c r="EA393" s="79">
        <f t="shared" si="822"/>
        <v>0</v>
      </c>
      <c r="EB393" s="79">
        <f t="shared" si="823"/>
        <v>0</v>
      </c>
      <c r="EC393" s="79">
        <f t="shared" si="824"/>
        <v>0</v>
      </c>
      <c r="ED393" s="79">
        <v>1</v>
      </c>
      <c r="EE393" s="79">
        <v>1</v>
      </c>
      <c r="EF393" s="79">
        <f t="shared" si="825"/>
        <v>0</v>
      </c>
      <c r="EG393" s="79">
        <v>1</v>
      </c>
      <c r="EH393" s="79">
        <v>1</v>
      </c>
      <c r="EI393" s="79">
        <v>1</v>
      </c>
      <c r="EJ393" s="79">
        <v>1</v>
      </c>
      <c r="EK393" s="79">
        <v>1</v>
      </c>
      <c r="EL393" s="79">
        <v>1</v>
      </c>
      <c r="EM393" s="143">
        <f t="shared" si="826"/>
        <v>0</v>
      </c>
      <c r="EN393" s="143">
        <f t="shared" si="827"/>
        <v>0</v>
      </c>
      <c r="EO393" s="82">
        <f t="shared" si="828"/>
        <v>0</v>
      </c>
    </row>
    <row r="394" spans="1:145" x14ac:dyDescent="0.25">
      <c r="A394">
        <v>380</v>
      </c>
      <c r="B394" s="172" t="e">
        <f t="shared" si="797"/>
        <v>#N/A</v>
      </c>
      <c r="C394" s="121" t="e">
        <f t="shared" ref="C394:E394" si="930">AJ394-SUM(AB394:AB398)</f>
        <v>#N/A</v>
      </c>
      <c r="D394" s="122" t="e">
        <f t="shared" si="930"/>
        <v>#N/A</v>
      </c>
      <c r="E394" s="122" t="e">
        <f t="shared" si="930"/>
        <v>#N/A</v>
      </c>
      <c r="F394" s="176" t="e">
        <f t="shared" si="778"/>
        <v>#N/A</v>
      </c>
      <c r="G394" s="121">
        <f t="shared" si="799"/>
        <v>208</v>
      </c>
      <c r="H394" s="176" t="e">
        <f t="shared" si="800"/>
        <v>#N/A</v>
      </c>
      <c r="I394" s="48">
        <v>1</v>
      </c>
      <c r="J394" s="39"/>
      <c r="K394" s="350">
        <v>1</v>
      </c>
      <c r="L394" s="34" t="e">
        <f t="shared" si="779"/>
        <v>#N/A</v>
      </c>
      <c r="M394" s="38" t="e">
        <f>(HLOOKUP(J394,'Construction Times'!$B$3:$W$34,L394+2,FALSE)*HLOOKUP("hq modifier",'Construction Times'!$W$3:$W$34,BS394+2,FALSE))*(1-$H$9)</f>
        <v>#N/A</v>
      </c>
      <c r="N394" s="426" t="e">
        <f t="shared" si="801"/>
        <v>#N/A</v>
      </c>
      <c r="O394" s="427"/>
      <c r="P394" s="430" t="e">
        <f t="shared" si="802"/>
        <v>#N/A</v>
      </c>
      <c r="Q394" s="431"/>
      <c r="R394" s="103">
        <f t="shared" si="897"/>
        <v>0</v>
      </c>
      <c r="S394" s="104">
        <f t="shared" si="897"/>
        <v>0</v>
      </c>
      <c r="T394" s="104">
        <f t="shared" si="898"/>
        <v>0</v>
      </c>
      <c r="U394" s="104">
        <f t="shared" si="898"/>
        <v>0</v>
      </c>
      <c r="V394" s="104">
        <f t="shared" si="898"/>
        <v>9.9999999999999995E-8</v>
      </c>
      <c r="W394" s="104">
        <f t="shared" si="898"/>
        <v>0</v>
      </c>
      <c r="X394" s="104">
        <f t="shared" si="890"/>
        <v>0</v>
      </c>
      <c r="Y394" s="104">
        <f t="shared" si="890"/>
        <v>9.9999999999999995E-8</v>
      </c>
      <c r="Z394" s="104">
        <f t="shared" si="890"/>
        <v>9.9999999999999995E-8</v>
      </c>
      <c r="AA394" s="105">
        <f t="shared" si="890"/>
        <v>9.9999999999999995E-8</v>
      </c>
      <c r="AB394" s="101" t="e">
        <f>$DT394*HLOOKUP($J394,'Construction Costs (timber)'!$B$1:$V$32,'Construction Planner'!$L394+2,FALSE)</f>
        <v>#N/A</v>
      </c>
      <c r="AC394" s="14" t="e">
        <f>$DT394*HLOOKUP($J394,'Construction Costs (clay)'!$B$1:$V$32,'Construction Planner'!$L394+2,FALSE)</f>
        <v>#N/A</v>
      </c>
      <c r="AD394" s="14" t="e">
        <f>$DT394*HLOOKUP($J394,'Construction Costs (iron)'!$B$1:$V$32,'Construction Planner'!$L394+2,FALSE)</f>
        <v>#N/A</v>
      </c>
      <c r="AE394" s="34" t="e">
        <f t="shared" si="843"/>
        <v>#N/A</v>
      </c>
      <c r="AF394" s="33" t="e">
        <f t="shared" si="780"/>
        <v>#N/A</v>
      </c>
      <c r="AG394" s="14" t="e">
        <f t="shared" si="781"/>
        <v>#N/A</v>
      </c>
      <c r="AH394" s="14" t="e">
        <f t="shared" si="782"/>
        <v>#N/A</v>
      </c>
      <c r="AI394" s="34" t="e">
        <f t="shared" si="844"/>
        <v>#N/A</v>
      </c>
      <c r="AJ394" s="49" t="e">
        <f t="shared" si="804"/>
        <v>#N/A</v>
      </c>
      <c r="AK394" s="49" t="e">
        <f t="shared" si="805"/>
        <v>#N/A</v>
      </c>
      <c r="AL394" s="49" t="e">
        <f t="shared" si="806"/>
        <v>#N/A</v>
      </c>
      <c r="AM394" s="25">
        <f t="shared" si="783"/>
        <v>30</v>
      </c>
      <c r="AN394" s="25">
        <f t="shared" si="784"/>
        <v>30</v>
      </c>
      <c r="AO394" s="25">
        <f t="shared" si="785"/>
        <v>30</v>
      </c>
      <c r="AP394" s="52" t="e">
        <f t="shared" si="894"/>
        <v>#N/A</v>
      </c>
      <c r="AQ394" s="53" t="e">
        <f t="shared" si="894"/>
        <v>#N/A</v>
      </c>
      <c r="AR394" s="54" t="e">
        <f t="shared" si="894"/>
        <v>#N/A</v>
      </c>
      <c r="AS394" s="316">
        <f t="shared" si="922"/>
        <v>0</v>
      </c>
      <c r="AT394" s="106">
        <f>_xlfn.IFNA($M394/VLOOKUP($BT394,'Unit information'!$A$2:$K$29,2,FALSE)*R394,0)*(1+$E$9)</f>
        <v>0</v>
      </c>
      <c r="AU394" s="107">
        <f>_xlfn.IFNA($M394/VLOOKUP($BT394,'Unit information'!$A$2:$K$29,3,FALSE)*S394,0)*(1+$E$9)</f>
        <v>0</v>
      </c>
      <c r="AV394" s="107">
        <f>_xlfn.IFNA($M394/VLOOKUP($BT394,'Unit information'!$A$2:$K$29,4,FALSE)*T394,0)*(1+$E$9)</f>
        <v>0</v>
      </c>
      <c r="AW394" s="107">
        <f>_xlfn.IFNA($M394/VLOOKUP($BT394,'Unit information'!$A$2:$K$29,5,FALSE)*U394,0)*(1+$E$9)</f>
        <v>0</v>
      </c>
      <c r="AX394" s="107">
        <f>_xlfn.IFNA($M394/VLOOKUP($BU394,'Unit information'!$A$2:$K$29,6,FALSE)*V394,0)*(1+$E$9)</f>
        <v>0</v>
      </c>
      <c r="AY394" s="107">
        <f>_xlfn.IFNA($M394/VLOOKUP($BU394,'Unit information'!$A$2:$K$29,7,FALSE)*W394,0)*(1+$E$9)</f>
        <v>0</v>
      </c>
      <c r="AZ394" s="107">
        <f>_xlfn.IFNA($M394/VLOOKUP($BU394,'Unit information'!$A$2:$K$29,8,FALSE)*X394,0)*(1+$E$9)</f>
        <v>0</v>
      </c>
      <c r="BA394" s="107">
        <f>_xlfn.IFNA($M394/VLOOKUP($BU394,'Unit information'!$A$2:$K$29,9,FALSE)*Y394,0)*(1+$E$9)</f>
        <v>0</v>
      </c>
      <c r="BB394" s="107">
        <f>_xlfn.IFNA($M394/VLOOKUP($BV394,'Unit information'!$A$2:$K$29,10,FALSE)*Z394,0)*(1+$E$9)</f>
        <v>0</v>
      </c>
      <c r="BC394" s="108">
        <f>_xlfn.IFNA($M394/VLOOKUP($BV394,'Unit information'!$A$2:$K$29,11,FALSE)*AA394,0)*(1+$E$9)</f>
        <v>0</v>
      </c>
      <c r="BD394" s="106">
        <f t="shared" si="786"/>
        <v>0</v>
      </c>
      <c r="BE394" s="107">
        <f t="shared" si="787"/>
        <v>0</v>
      </c>
      <c r="BF394" s="108">
        <f t="shared" si="788"/>
        <v>0</v>
      </c>
      <c r="BG394" s="25" t="e">
        <f t="shared" si="789"/>
        <v>#N/A</v>
      </c>
      <c r="BH394" s="25" t="e">
        <f t="shared" si="790"/>
        <v>#N/A</v>
      </c>
      <c r="BI394" s="25" t="e">
        <f t="shared" si="791"/>
        <v>#N/A</v>
      </c>
      <c r="BJ394" s="27" t="e">
        <f t="shared" si="792"/>
        <v>#N/A</v>
      </c>
      <c r="BK394" s="18" t="e">
        <f t="shared" si="793"/>
        <v>#N/A</v>
      </c>
      <c r="BL394" s="18" t="e">
        <f t="shared" si="794"/>
        <v>#N/A</v>
      </c>
      <c r="BM394" s="28" t="e">
        <f t="shared" si="846"/>
        <v>#N/A</v>
      </c>
      <c r="BN394" s="33">
        <f>HLOOKUP("maximum population",Miscelaneous!$C$1:$C$33,CH394+3,FALSE)</f>
        <v>240</v>
      </c>
      <c r="BO394" s="14">
        <f t="shared" si="808"/>
        <v>32</v>
      </c>
      <c r="BP394" s="14">
        <f t="shared" si="809"/>
        <v>0</v>
      </c>
      <c r="BQ394" s="14">
        <f t="shared" si="810"/>
        <v>208</v>
      </c>
      <c r="BR394" s="34" t="e">
        <f>HLOOKUP(J394,Villagers!$B$1:$V$33,L394+3,FALSE)-HLOOKUP(J394,Villagers!$B$1:$V$33,L394+2,FALSE)</f>
        <v>#N/A</v>
      </c>
      <c r="BS394" s="49">
        <f t="shared" si="811"/>
        <v>1</v>
      </c>
      <c r="BT394" s="50">
        <f t="shared" si="812"/>
        <v>0</v>
      </c>
      <c r="BU394" s="50">
        <f t="shared" si="813"/>
        <v>0</v>
      </c>
      <c r="BV394" s="50">
        <f t="shared" si="814"/>
        <v>0</v>
      </c>
      <c r="BW394" s="50">
        <f t="shared" si="926"/>
        <v>0</v>
      </c>
      <c r="BX394" s="50">
        <f t="shared" si="927"/>
        <v>0</v>
      </c>
      <c r="BY394" s="50">
        <f t="shared" si="927"/>
        <v>0</v>
      </c>
      <c r="BZ394" s="50">
        <f t="shared" si="860"/>
        <v>0</v>
      </c>
      <c r="CA394" s="50">
        <f t="shared" si="861"/>
        <v>0</v>
      </c>
      <c r="CB394" s="50">
        <f t="shared" si="862"/>
        <v>1</v>
      </c>
      <c r="CC394" s="50">
        <f t="shared" si="863"/>
        <v>0</v>
      </c>
      <c r="CD394" s="50">
        <f t="shared" si="864"/>
        <v>0</v>
      </c>
      <c r="CE394" s="50">
        <f t="shared" si="865"/>
        <v>1</v>
      </c>
      <c r="CF394" s="50">
        <f t="shared" si="866"/>
        <v>1</v>
      </c>
      <c r="CG394" s="50">
        <f t="shared" si="867"/>
        <v>1</v>
      </c>
      <c r="CH394" s="50">
        <f t="shared" si="868"/>
        <v>1</v>
      </c>
      <c r="CI394" s="50">
        <f t="shared" si="869"/>
        <v>1</v>
      </c>
      <c r="CJ394" s="50">
        <f t="shared" si="870"/>
        <v>1</v>
      </c>
      <c r="CK394" s="50">
        <f t="shared" si="870"/>
        <v>0</v>
      </c>
      <c r="CL394" s="50">
        <f t="shared" si="870"/>
        <v>0</v>
      </c>
      <c r="CM394" s="51">
        <f t="shared" si="795"/>
        <v>0</v>
      </c>
      <c r="CN394" s="33">
        <f>ROUND(IF(BS394=0,0,HLOOKUP(BS$14,Villagers!$B$1:$V$33,BS394+3,FALSE)),)</f>
        <v>5</v>
      </c>
      <c r="CO394" s="14">
        <f>ROUND(IF(BT394=0,0,HLOOKUP(BT$14,Villagers!$B$1:$V$33,BT394+3,FALSE)),)</f>
        <v>0</v>
      </c>
      <c r="CP394" s="14">
        <f>ROUND(IF(BU394=0,0,HLOOKUP(BU$14,Villagers!$B$1:$V$33,BU394+3,FALSE)),)</f>
        <v>0</v>
      </c>
      <c r="CQ394" s="14">
        <f>ROUND(IF(BV394=0,0,HLOOKUP(BV$14,Villagers!$B$1:$V$33,BV394+3,FALSE)),)</f>
        <v>0</v>
      </c>
      <c r="CR394" s="14">
        <f>ROUND(IF(BW394=0,0,HLOOKUP(BW$14,Villagers!$B$1:$V$33,BW394+3,FALSE)),)</f>
        <v>0</v>
      </c>
      <c r="CS394" s="14">
        <f>ROUND(IF(BX394=0,0,HLOOKUP(BX$14,Villagers!$B$1:$V$33,BX394+3,FALSE)),)</f>
        <v>0</v>
      </c>
      <c r="CT394" s="14">
        <f>ROUND(IF(BY394=0,0,HLOOKUP(BY$14,Villagers!$B$1:$V$33,BY394+3,FALSE)),)</f>
        <v>0</v>
      </c>
      <c r="CU394" s="14">
        <f>ROUND(IF(BZ394=0,0,HLOOKUP(BZ$14,Villagers!$B$1:$V$33,BZ394+3,FALSE)),)</f>
        <v>0</v>
      </c>
      <c r="CV394" s="14">
        <f>ROUND(IF(CA394=0,0,HLOOKUP(CA$14,Villagers!$B$1:$V$33,CA394+3,FALSE)),)</f>
        <v>0</v>
      </c>
      <c r="CW394" s="14">
        <f>ROUND(IF(CB394=0,0,HLOOKUP(CB$14,Villagers!$B$1:$V$33,CB394+3,FALSE)),)</f>
        <v>0</v>
      </c>
      <c r="CX394" s="14">
        <f>ROUND(IF(CC394=0,0,HLOOKUP(CC$14,Villagers!$B$1:$V$33,CC394+3,FALSE)),)</f>
        <v>0</v>
      </c>
      <c r="CY394" s="14">
        <f>ROUND(IF(CD394=0,0,HLOOKUP(CD$14,Villagers!$B$1:$V$33,CD394+3,FALSE)),)</f>
        <v>0</v>
      </c>
      <c r="CZ394" s="14">
        <f>ROUND(IF(CE394=0,0,HLOOKUP(CE$14,Villagers!$B$1:$V$33,CE394+3,FALSE)),)</f>
        <v>5</v>
      </c>
      <c r="DA394" s="14">
        <f>ROUND(IF(CF394=0,0,HLOOKUP(CF$14,Villagers!$B$1:$V$33,CF394+3,FALSE)),)</f>
        <v>10</v>
      </c>
      <c r="DB394" s="14">
        <f>ROUND(IF(CG394=0,0,HLOOKUP(CG$14,Villagers!$B$1:$V$33,CG394+3,FALSE)),)</f>
        <v>10</v>
      </c>
      <c r="DC394" s="14">
        <f>ROUND(IF(CH394=0,0,HLOOKUP(CH$14,Villagers!$B$1:$V$33,CH394+3,FALSE)),)</f>
        <v>0</v>
      </c>
      <c r="DD394" s="14">
        <f>ROUND(IF(CI394=0,0,HLOOKUP(CI$14,Villagers!$B$1:$V$33,CI394+3,FALSE)),)</f>
        <v>0</v>
      </c>
      <c r="DE394" s="14">
        <f>ROUND(IF(CJ394=0,0,HLOOKUP(CJ$14,Villagers!$B$1:$V$33,CJ394+3,FALSE)),)</f>
        <v>2</v>
      </c>
      <c r="DF394" s="370">
        <f>ROUND(IF(CK394=0,0,HLOOKUP(CK$14,Villagers!$B$1:$V$33,CK394+3,FALSE)),)</f>
        <v>0</v>
      </c>
      <c r="DG394" s="370">
        <f>ROUND(IF(CL394=0,0,HLOOKUP(CL$14,Villagers!$B$1:$V$33,CL394+3,FALSE)),)</f>
        <v>0</v>
      </c>
      <c r="DH394" s="34">
        <f>ROUND(IF(CM394=0,0,HLOOKUP(CM$14,Villagers!$B$1:$V$33,CM394+3,FALSE)),)</f>
        <v>0</v>
      </c>
      <c r="DI394" s="109">
        <f t="shared" si="832"/>
        <v>0</v>
      </c>
      <c r="DJ394" s="50">
        <f t="shared" si="833"/>
        <v>0</v>
      </c>
      <c r="DK394" s="50">
        <f t="shared" si="834"/>
        <v>0</v>
      </c>
      <c r="DL394" s="50">
        <f t="shared" si="835"/>
        <v>0</v>
      </c>
      <c r="DM394" s="50">
        <f t="shared" si="836"/>
        <v>0</v>
      </c>
      <c r="DN394" s="50">
        <f t="shared" si="837"/>
        <v>0</v>
      </c>
      <c r="DO394" s="50">
        <f t="shared" si="838"/>
        <v>0</v>
      </c>
      <c r="DP394" s="50">
        <f t="shared" si="839"/>
        <v>0</v>
      </c>
      <c r="DQ394" s="50">
        <f t="shared" si="816"/>
        <v>0</v>
      </c>
      <c r="DR394" s="50">
        <f t="shared" si="817"/>
        <v>0</v>
      </c>
      <c r="DS394" s="96">
        <f>Miscelaneous!$D$4*Miscelaneous!$D$2^($CI394-1)</f>
        <v>1000</v>
      </c>
      <c r="DT394" s="333">
        <f t="shared" si="796"/>
        <v>1</v>
      </c>
      <c r="DU394" s="81">
        <v>1</v>
      </c>
      <c r="DV394" s="79">
        <f t="shared" si="818"/>
        <v>0</v>
      </c>
      <c r="DW394" s="79">
        <f t="shared" si="819"/>
        <v>0</v>
      </c>
      <c r="DX394" s="79">
        <f t="shared" si="820"/>
        <v>0</v>
      </c>
      <c r="DY394" s="79">
        <v>1</v>
      </c>
      <c r="DZ394" s="79">
        <f t="shared" si="821"/>
        <v>0</v>
      </c>
      <c r="EA394" s="79">
        <f t="shared" si="822"/>
        <v>0</v>
      </c>
      <c r="EB394" s="79">
        <f t="shared" si="823"/>
        <v>0</v>
      </c>
      <c r="EC394" s="79">
        <f t="shared" si="824"/>
        <v>0</v>
      </c>
      <c r="ED394" s="79">
        <v>1</v>
      </c>
      <c r="EE394" s="79">
        <v>1</v>
      </c>
      <c r="EF394" s="79">
        <f t="shared" si="825"/>
        <v>0</v>
      </c>
      <c r="EG394" s="79">
        <v>1</v>
      </c>
      <c r="EH394" s="79">
        <v>1</v>
      </c>
      <c r="EI394" s="79">
        <v>1</v>
      </c>
      <c r="EJ394" s="79">
        <v>1</v>
      </c>
      <c r="EK394" s="79">
        <v>1</v>
      </c>
      <c r="EL394" s="79">
        <v>1</v>
      </c>
      <c r="EM394" s="143">
        <f t="shared" si="826"/>
        <v>0</v>
      </c>
      <c r="EN394" s="143">
        <f t="shared" si="827"/>
        <v>0</v>
      </c>
      <c r="EO394" s="82">
        <f t="shared" si="828"/>
        <v>0</v>
      </c>
    </row>
    <row r="395" spans="1:145" x14ac:dyDescent="0.25">
      <c r="A395">
        <v>381</v>
      </c>
      <c r="B395" s="172" t="e">
        <f t="shared" si="797"/>
        <v>#N/A</v>
      </c>
      <c r="C395" s="121" t="e">
        <f t="shared" ref="C395:E395" si="931">AJ395-SUM(AB395:AB399)</f>
        <v>#N/A</v>
      </c>
      <c r="D395" s="122" t="e">
        <f t="shared" si="931"/>
        <v>#N/A</v>
      </c>
      <c r="E395" s="122" t="e">
        <f t="shared" si="931"/>
        <v>#N/A</v>
      </c>
      <c r="F395" s="176" t="e">
        <f t="shared" si="778"/>
        <v>#N/A</v>
      </c>
      <c r="G395" s="121">
        <f t="shared" si="799"/>
        <v>208</v>
      </c>
      <c r="H395" s="176" t="e">
        <f t="shared" si="800"/>
        <v>#N/A</v>
      </c>
      <c r="I395" s="48">
        <v>1</v>
      </c>
      <c r="J395" s="39"/>
      <c r="K395" s="350">
        <v>1</v>
      </c>
      <c r="L395" s="34" t="e">
        <f t="shared" si="779"/>
        <v>#N/A</v>
      </c>
      <c r="M395" s="38" t="e">
        <f>(HLOOKUP(J395,'Construction Times'!$B$3:$W$34,L395+2,FALSE)*HLOOKUP("hq modifier",'Construction Times'!$W$3:$W$34,BS395+2,FALSE))*(1-$H$9)</f>
        <v>#N/A</v>
      </c>
      <c r="N395" s="426" t="e">
        <f t="shared" si="801"/>
        <v>#N/A</v>
      </c>
      <c r="O395" s="427"/>
      <c r="P395" s="430" t="e">
        <f t="shared" si="802"/>
        <v>#N/A</v>
      </c>
      <c r="Q395" s="431"/>
      <c r="R395" s="103">
        <f t="shared" si="897"/>
        <v>0</v>
      </c>
      <c r="S395" s="104">
        <f t="shared" si="897"/>
        <v>0</v>
      </c>
      <c r="T395" s="104">
        <f t="shared" si="898"/>
        <v>0</v>
      </c>
      <c r="U395" s="104">
        <f t="shared" si="898"/>
        <v>0</v>
      </c>
      <c r="V395" s="104">
        <f t="shared" si="898"/>
        <v>9.9999999999999995E-8</v>
      </c>
      <c r="W395" s="104">
        <f t="shared" si="898"/>
        <v>0</v>
      </c>
      <c r="X395" s="104">
        <f t="shared" si="890"/>
        <v>0</v>
      </c>
      <c r="Y395" s="104">
        <f t="shared" si="890"/>
        <v>9.9999999999999995E-8</v>
      </c>
      <c r="Z395" s="104">
        <f t="shared" si="890"/>
        <v>9.9999999999999995E-8</v>
      </c>
      <c r="AA395" s="105">
        <f t="shared" si="890"/>
        <v>9.9999999999999995E-8</v>
      </c>
      <c r="AB395" s="101" t="e">
        <f>$DT395*HLOOKUP($J395,'Construction Costs (timber)'!$B$1:$V$32,'Construction Planner'!$L395+2,FALSE)</f>
        <v>#N/A</v>
      </c>
      <c r="AC395" s="14" t="e">
        <f>$DT395*HLOOKUP($J395,'Construction Costs (clay)'!$B$1:$V$32,'Construction Planner'!$L395+2,FALSE)</f>
        <v>#N/A</v>
      </c>
      <c r="AD395" s="14" t="e">
        <f>$DT395*HLOOKUP($J395,'Construction Costs (iron)'!$B$1:$V$32,'Construction Planner'!$L395+2,FALSE)</f>
        <v>#N/A</v>
      </c>
      <c r="AE395" s="34" t="e">
        <f t="shared" si="843"/>
        <v>#N/A</v>
      </c>
      <c r="AF395" s="33" t="e">
        <f t="shared" si="780"/>
        <v>#N/A</v>
      </c>
      <c r="AG395" s="14" t="e">
        <f t="shared" si="781"/>
        <v>#N/A</v>
      </c>
      <c r="AH395" s="14" t="e">
        <f t="shared" si="782"/>
        <v>#N/A</v>
      </c>
      <c r="AI395" s="34" t="e">
        <f t="shared" si="844"/>
        <v>#N/A</v>
      </c>
      <c r="AJ395" s="49" t="e">
        <f t="shared" si="804"/>
        <v>#N/A</v>
      </c>
      <c r="AK395" s="49" t="e">
        <f t="shared" si="805"/>
        <v>#N/A</v>
      </c>
      <c r="AL395" s="49" t="e">
        <f t="shared" si="806"/>
        <v>#N/A</v>
      </c>
      <c r="AM395" s="25">
        <f t="shared" si="783"/>
        <v>30</v>
      </c>
      <c r="AN395" s="25">
        <f t="shared" si="784"/>
        <v>30</v>
      </c>
      <c r="AO395" s="25">
        <f t="shared" si="785"/>
        <v>30</v>
      </c>
      <c r="AP395" s="52" t="e">
        <f t="shared" si="894"/>
        <v>#N/A</v>
      </c>
      <c r="AQ395" s="53" t="e">
        <f t="shared" si="894"/>
        <v>#N/A</v>
      </c>
      <c r="AR395" s="54" t="e">
        <f t="shared" si="894"/>
        <v>#N/A</v>
      </c>
      <c r="AS395" s="316">
        <f t="shared" si="922"/>
        <v>0</v>
      </c>
      <c r="AT395" s="106">
        <f>_xlfn.IFNA($M395/VLOOKUP($BT395,'Unit information'!$A$2:$K$29,2,FALSE)*R395,0)*(1+$E$9)</f>
        <v>0</v>
      </c>
      <c r="AU395" s="107">
        <f>_xlfn.IFNA($M395/VLOOKUP($BT395,'Unit information'!$A$2:$K$29,3,FALSE)*S395,0)*(1+$E$9)</f>
        <v>0</v>
      </c>
      <c r="AV395" s="107">
        <f>_xlfn.IFNA($M395/VLOOKUP($BT395,'Unit information'!$A$2:$K$29,4,FALSE)*T395,0)*(1+$E$9)</f>
        <v>0</v>
      </c>
      <c r="AW395" s="107">
        <f>_xlfn.IFNA($M395/VLOOKUP($BT395,'Unit information'!$A$2:$K$29,5,FALSE)*U395,0)*(1+$E$9)</f>
        <v>0</v>
      </c>
      <c r="AX395" s="107">
        <f>_xlfn.IFNA($M395/VLOOKUP($BU395,'Unit information'!$A$2:$K$29,6,FALSE)*V395,0)*(1+$E$9)</f>
        <v>0</v>
      </c>
      <c r="AY395" s="107">
        <f>_xlfn.IFNA($M395/VLOOKUP($BU395,'Unit information'!$A$2:$K$29,7,FALSE)*W395,0)*(1+$E$9)</f>
        <v>0</v>
      </c>
      <c r="AZ395" s="107">
        <f>_xlfn.IFNA($M395/VLOOKUP($BU395,'Unit information'!$A$2:$K$29,8,FALSE)*X395,0)*(1+$E$9)</f>
        <v>0</v>
      </c>
      <c r="BA395" s="107">
        <f>_xlfn.IFNA($M395/VLOOKUP($BU395,'Unit information'!$A$2:$K$29,9,FALSE)*Y395,0)*(1+$E$9)</f>
        <v>0</v>
      </c>
      <c r="BB395" s="107">
        <f>_xlfn.IFNA($M395/VLOOKUP($BV395,'Unit information'!$A$2:$K$29,10,FALSE)*Z395,0)*(1+$E$9)</f>
        <v>0</v>
      </c>
      <c r="BC395" s="108">
        <f>_xlfn.IFNA($M395/VLOOKUP($BV395,'Unit information'!$A$2:$K$29,11,FALSE)*AA395,0)*(1+$E$9)</f>
        <v>0</v>
      </c>
      <c r="BD395" s="106">
        <f t="shared" si="786"/>
        <v>0</v>
      </c>
      <c r="BE395" s="107">
        <f t="shared" si="787"/>
        <v>0</v>
      </c>
      <c r="BF395" s="108">
        <f t="shared" si="788"/>
        <v>0</v>
      </c>
      <c r="BG395" s="25" t="e">
        <f t="shared" si="789"/>
        <v>#N/A</v>
      </c>
      <c r="BH395" s="25" t="e">
        <f t="shared" si="790"/>
        <v>#N/A</v>
      </c>
      <c r="BI395" s="25" t="e">
        <f t="shared" si="791"/>
        <v>#N/A</v>
      </c>
      <c r="BJ395" s="27" t="e">
        <f t="shared" si="792"/>
        <v>#N/A</v>
      </c>
      <c r="BK395" s="18" t="e">
        <f t="shared" si="793"/>
        <v>#N/A</v>
      </c>
      <c r="BL395" s="18" t="e">
        <f t="shared" si="794"/>
        <v>#N/A</v>
      </c>
      <c r="BM395" s="28" t="e">
        <f t="shared" si="846"/>
        <v>#N/A</v>
      </c>
      <c r="BN395" s="33">
        <f>HLOOKUP("maximum population",Miscelaneous!$C$1:$C$33,CH395+3,FALSE)</f>
        <v>240</v>
      </c>
      <c r="BO395" s="14">
        <f t="shared" si="808"/>
        <v>32</v>
      </c>
      <c r="BP395" s="14">
        <f t="shared" si="809"/>
        <v>0</v>
      </c>
      <c r="BQ395" s="14">
        <f t="shared" si="810"/>
        <v>208</v>
      </c>
      <c r="BR395" s="34" t="e">
        <f>HLOOKUP(J395,Villagers!$B$1:$V$33,L395+3,FALSE)-HLOOKUP(J395,Villagers!$B$1:$V$33,L395+2,FALSE)</f>
        <v>#N/A</v>
      </c>
      <c r="BS395" s="49">
        <f t="shared" si="811"/>
        <v>1</v>
      </c>
      <c r="BT395" s="50">
        <f t="shared" si="812"/>
        <v>0</v>
      </c>
      <c r="BU395" s="50">
        <f t="shared" si="813"/>
        <v>0</v>
      </c>
      <c r="BV395" s="50">
        <f t="shared" si="814"/>
        <v>0</v>
      </c>
      <c r="BW395" s="50">
        <f t="shared" si="926"/>
        <v>0</v>
      </c>
      <c r="BX395" s="50">
        <f t="shared" si="927"/>
        <v>0</v>
      </c>
      <c r="BY395" s="50">
        <f t="shared" si="927"/>
        <v>0</v>
      </c>
      <c r="BZ395" s="50">
        <f t="shared" si="860"/>
        <v>0</v>
      </c>
      <c r="CA395" s="50">
        <f t="shared" si="861"/>
        <v>0</v>
      </c>
      <c r="CB395" s="50">
        <f t="shared" si="862"/>
        <v>1</v>
      </c>
      <c r="CC395" s="50">
        <f t="shared" si="863"/>
        <v>0</v>
      </c>
      <c r="CD395" s="50">
        <f t="shared" si="864"/>
        <v>0</v>
      </c>
      <c r="CE395" s="50">
        <f t="shared" si="865"/>
        <v>1</v>
      </c>
      <c r="CF395" s="50">
        <f t="shared" si="866"/>
        <v>1</v>
      </c>
      <c r="CG395" s="50">
        <f t="shared" si="867"/>
        <v>1</v>
      </c>
      <c r="CH395" s="50">
        <f t="shared" si="868"/>
        <v>1</v>
      </c>
      <c r="CI395" s="50">
        <f t="shared" si="869"/>
        <v>1</v>
      </c>
      <c r="CJ395" s="50">
        <f t="shared" si="870"/>
        <v>1</v>
      </c>
      <c r="CK395" s="50">
        <f t="shared" si="870"/>
        <v>0</v>
      </c>
      <c r="CL395" s="50">
        <f t="shared" si="870"/>
        <v>0</v>
      </c>
      <c r="CM395" s="51">
        <f t="shared" si="795"/>
        <v>0</v>
      </c>
      <c r="CN395" s="33">
        <f>ROUND(IF(BS395=0,0,HLOOKUP(BS$14,Villagers!$B$1:$V$33,BS395+3,FALSE)),)</f>
        <v>5</v>
      </c>
      <c r="CO395" s="14">
        <f>ROUND(IF(BT395=0,0,HLOOKUP(BT$14,Villagers!$B$1:$V$33,BT395+3,FALSE)),)</f>
        <v>0</v>
      </c>
      <c r="CP395" s="14">
        <f>ROUND(IF(BU395=0,0,HLOOKUP(BU$14,Villagers!$B$1:$V$33,BU395+3,FALSE)),)</f>
        <v>0</v>
      </c>
      <c r="CQ395" s="14">
        <f>ROUND(IF(BV395=0,0,HLOOKUP(BV$14,Villagers!$B$1:$V$33,BV395+3,FALSE)),)</f>
        <v>0</v>
      </c>
      <c r="CR395" s="14">
        <f>ROUND(IF(BW395=0,0,HLOOKUP(BW$14,Villagers!$B$1:$V$33,BW395+3,FALSE)),)</f>
        <v>0</v>
      </c>
      <c r="CS395" s="14">
        <f>ROUND(IF(BX395=0,0,HLOOKUP(BX$14,Villagers!$B$1:$V$33,BX395+3,FALSE)),)</f>
        <v>0</v>
      </c>
      <c r="CT395" s="14">
        <f>ROUND(IF(BY395=0,0,HLOOKUP(BY$14,Villagers!$B$1:$V$33,BY395+3,FALSE)),)</f>
        <v>0</v>
      </c>
      <c r="CU395" s="14">
        <f>ROUND(IF(BZ395=0,0,HLOOKUP(BZ$14,Villagers!$B$1:$V$33,BZ395+3,FALSE)),)</f>
        <v>0</v>
      </c>
      <c r="CV395" s="14">
        <f>ROUND(IF(CA395=0,0,HLOOKUP(CA$14,Villagers!$B$1:$V$33,CA395+3,FALSE)),)</f>
        <v>0</v>
      </c>
      <c r="CW395" s="14">
        <f>ROUND(IF(CB395=0,0,HLOOKUP(CB$14,Villagers!$B$1:$V$33,CB395+3,FALSE)),)</f>
        <v>0</v>
      </c>
      <c r="CX395" s="14">
        <f>ROUND(IF(CC395=0,0,HLOOKUP(CC$14,Villagers!$B$1:$V$33,CC395+3,FALSE)),)</f>
        <v>0</v>
      </c>
      <c r="CY395" s="14">
        <f>ROUND(IF(CD395=0,0,HLOOKUP(CD$14,Villagers!$B$1:$V$33,CD395+3,FALSE)),)</f>
        <v>0</v>
      </c>
      <c r="CZ395" s="14">
        <f>ROUND(IF(CE395=0,0,HLOOKUP(CE$14,Villagers!$B$1:$V$33,CE395+3,FALSE)),)</f>
        <v>5</v>
      </c>
      <c r="DA395" s="14">
        <f>ROUND(IF(CF395=0,0,HLOOKUP(CF$14,Villagers!$B$1:$V$33,CF395+3,FALSE)),)</f>
        <v>10</v>
      </c>
      <c r="DB395" s="14">
        <f>ROUND(IF(CG395=0,0,HLOOKUP(CG$14,Villagers!$B$1:$V$33,CG395+3,FALSE)),)</f>
        <v>10</v>
      </c>
      <c r="DC395" s="14">
        <f>ROUND(IF(CH395=0,0,HLOOKUP(CH$14,Villagers!$B$1:$V$33,CH395+3,FALSE)),)</f>
        <v>0</v>
      </c>
      <c r="DD395" s="14">
        <f>ROUND(IF(CI395=0,0,HLOOKUP(CI$14,Villagers!$B$1:$V$33,CI395+3,FALSE)),)</f>
        <v>0</v>
      </c>
      <c r="DE395" s="14">
        <f>ROUND(IF(CJ395=0,0,HLOOKUP(CJ$14,Villagers!$B$1:$V$33,CJ395+3,FALSE)),)</f>
        <v>2</v>
      </c>
      <c r="DF395" s="370">
        <f>ROUND(IF(CK395=0,0,HLOOKUP(CK$14,Villagers!$B$1:$V$33,CK395+3,FALSE)),)</f>
        <v>0</v>
      </c>
      <c r="DG395" s="370">
        <f>ROUND(IF(CL395=0,0,HLOOKUP(CL$14,Villagers!$B$1:$V$33,CL395+3,FALSE)),)</f>
        <v>0</v>
      </c>
      <c r="DH395" s="34">
        <f>ROUND(IF(CM395=0,0,HLOOKUP(CM$14,Villagers!$B$1:$V$33,CM395+3,FALSE)),)</f>
        <v>0</v>
      </c>
      <c r="DI395" s="109">
        <f t="shared" si="832"/>
        <v>0</v>
      </c>
      <c r="DJ395" s="50">
        <f t="shared" si="833"/>
        <v>0</v>
      </c>
      <c r="DK395" s="50">
        <f t="shared" si="834"/>
        <v>0</v>
      </c>
      <c r="DL395" s="50">
        <f t="shared" si="835"/>
        <v>0</v>
      </c>
      <c r="DM395" s="50">
        <f t="shared" si="836"/>
        <v>0</v>
      </c>
      <c r="DN395" s="50">
        <f t="shared" si="837"/>
        <v>0</v>
      </c>
      <c r="DO395" s="50">
        <f t="shared" si="838"/>
        <v>0</v>
      </c>
      <c r="DP395" s="50">
        <f t="shared" si="839"/>
        <v>0</v>
      </c>
      <c r="DQ395" s="50">
        <f t="shared" si="816"/>
        <v>0</v>
      </c>
      <c r="DR395" s="50">
        <f t="shared" si="817"/>
        <v>0</v>
      </c>
      <c r="DS395" s="96">
        <f>Miscelaneous!$D$4*Miscelaneous!$D$2^($CI395-1)</f>
        <v>1000</v>
      </c>
      <c r="DT395" s="333">
        <f t="shared" si="796"/>
        <v>1</v>
      </c>
      <c r="DU395" s="81">
        <v>1</v>
      </c>
      <c r="DV395" s="79">
        <f t="shared" si="818"/>
        <v>0</v>
      </c>
      <c r="DW395" s="79">
        <f t="shared" si="819"/>
        <v>0</v>
      </c>
      <c r="DX395" s="79">
        <f t="shared" si="820"/>
        <v>0</v>
      </c>
      <c r="DY395" s="79">
        <v>1</v>
      </c>
      <c r="DZ395" s="79">
        <f t="shared" si="821"/>
        <v>0</v>
      </c>
      <c r="EA395" s="79">
        <f t="shared" si="822"/>
        <v>0</v>
      </c>
      <c r="EB395" s="79">
        <f t="shared" si="823"/>
        <v>0</v>
      </c>
      <c r="EC395" s="79">
        <f t="shared" si="824"/>
        <v>0</v>
      </c>
      <c r="ED395" s="79">
        <v>1</v>
      </c>
      <c r="EE395" s="79">
        <v>1</v>
      </c>
      <c r="EF395" s="79">
        <f t="shared" si="825"/>
        <v>0</v>
      </c>
      <c r="EG395" s="79">
        <v>1</v>
      </c>
      <c r="EH395" s="79">
        <v>1</v>
      </c>
      <c r="EI395" s="79">
        <v>1</v>
      </c>
      <c r="EJ395" s="79">
        <v>1</v>
      </c>
      <c r="EK395" s="79">
        <v>1</v>
      </c>
      <c r="EL395" s="79">
        <v>1</v>
      </c>
      <c r="EM395" s="143">
        <f t="shared" si="826"/>
        <v>0</v>
      </c>
      <c r="EN395" s="143">
        <f t="shared" si="827"/>
        <v>0</v>
      </c>
      <c r="EO395" s="82">
        <f t="shared" si="828"/>
        <v>0</v>
      </c>
    </row>
    <row r="396" spans="1:145" x14ac:dyDescent="0.25">
      <c r="A396">
        <v>382</v>
      </c>
      <c r="B396" s="172" t="e">
        <f t="shared" si="797"/>
        <v>#N/A</v>
      </c>
      <c r="C396" s="121" t="e">
        <f t="shared" ref="C396:E396" si="932">AJ396-SUM(AB396:AB400)</f>
        <v>#N/A</v>
      </c>
      <c r="D396" s="122" t="e">
        <f t="shared" si="932"/>
        <v>#N/A</v>
      </c>
      <c r="E396" s="122" t="e">
        <f t="shared" si="932"/>
        <v>#N/A</v>
      </c>
      <c r="F396" s="176" t="e">
        <f t="shared" si="778"/>
        <v>#N/A</v>
      </c>
      <c r="G396" s="121">
        <f t="shared" si="799"/>
        <v>208</v>
      </c>
      <c r="H396" s="176" t="e">
        <f t="shared" si="800"/>
        <v>#N/A</v>
      </c>
      <c r="I396" s="48">
        <v>1</v>
      </c>
      <c r="J396" s="39"/>
      <c r="K396" s="350">
        <v>1</v>
      </c>
      <c r="L396" s="34" t="e">
        <f t="shared" si="779"/>
        <v>#N/A</v>
      </c>
      <c r="M396" s="38" t="e">
        <f>(HLOOKUP(J396,'Construction Times'!$B$3:$W$34,L396+2,FALSE)*HLOOKUP("hq modifier",'Construction Times'!$W$3:$W$34,BS396+2,FALSE))*(1-$H$9)</f>
        <v>#N/A</v>
      </c>
      <c r="N396" s="426" t="e">
        <f t="shared" si="801"/>
        <v>#N/A</v>
      </c>
      <c r="O396" s="427"/>
      <c r="P396" s="430" t="e">
        <f t="shared" si="802"/>
        <v>#N/A</v>
      </c>
      <c r="Q396" s="431"/>
      <c r="R396" s="103">
        <f t="shared" si="897"/>
        <v>0</v>
      </c>
      <c r="S396" s="104">
        <f t="shared" si="897"/>
        <v>0</v>
      </c>
      <c r="T396" s="104">
        <f t="shared" si="898"/>
        <v>0</v>
      </c>
      <c r="U396" s="104">
        <f t="shared" si="898"/>
        <v>0</v>
      </c>
      <c r="V396" s="104">
        <f t="shared" si="898"/>
        <v>9.9999999999999995E-8</v>
      </c>
      <c r="W396" s="104">
        <f t="shared" si="898"/>
        <v>0</v>
      </c>
      <c r="X396" s="104">
        <f t="shared" si="890"/>
        <v>0</v>
      </c>
      <c r="Y396" s="104">
        <f t="shared" si="890"/>
        <v>9.9999999999999995E-8</v>
      </c>
      <c r="Z396" s="104">
        <f t="shared" si="890"/>
        <v>9.9999999999999995E-8</v>
      </c>
      <c r="AA396" s="105">
        <f t="shared" si="890"/>
        <v>9.9999999999999995E-8</v>
      </c>
      <c r="AB396" s="101" t="e">
        <f>$DT396*HLOOKUP($J396,'Construction Costs (timber)'!$B$1:$V$32,'Construction Planner'!$L396+2,FALSE)</f>
        <v>#N/A</v>
      </c>
      <c r="AC396" s="14" t="e">
        <f>$DT396*HLOOKUP($J396,'Construction Costs (clay)'!$B$1:$V$32,'Construction Planner'!$L396+2,FALSE)</f>
        <v>#N/A</v>
      </c>
      <c r="AD396" s="14" t="e">
        <f>$DT396*HLOOKUP($J396,'Construction Costs (iron)'!$B$1:$V$32,'Construction Planner'!$L396+2,FALSE)</f>
        <v>#N/A</v>
      </c>
      <c r="AE396" s="34" t="e">
        <f t="shared" si="843"/>
        <v>#N/A</v>
      </c>
      <c r="AF396" s="33" t="e">
        <f t="shared" si="780"/>
        <v>#N/A</v>
      </c>
      <c r="AG396" s="14" t="e">
        <f t="shared" si="781"/>
        <v>#N/A</v>
      </c>
      <c r="AH396" s="14" t="e">
        <f t="shared" si="782"/>
        <v>#N/A</v>
      </c>
      <c r="AI396" s="34" t="e">
        <f t="shared" si="844"/>
        <v>#N/A</v>
      </c>
      <c r="AJ396" s="49" t="e">
        <f t="shared" si="804"/>
        <v>#N/A</v>
      </c>
      <c r="AK396" s="49" t="e">
        <f t="shared" si="805"/>
        <v>#N/A</v>
      </c>
      <c r="AL396" s="49" t="e">
        <f t="shared" si="806"/>
        <v>#N/A</v>
      </c>
      <c r="AM396" s="25">
        <f t="shared" si="783"/>
        <v>30</v>
      </c>
      <c r="AN396" s="25">
        <f t="shared" si="784"/>
        <v>30</v>
      </c>
      <c r="AO396" s="25">
        <f t="shared" si="785"/>
        <v>30</v>
      </c>
      <c r="AP396" s="52" t="e">
        <f t="shared" si="894"/>
        <v>#N/A</v>
      </c>
      <c r="AQ396" s="53" t="e">
        <f t="shared" si="894"/>
        <v>#N/A</v>
      </c>
      <c r="AR396" s="54" t="e">
        <f t="shared" si="894"/>
        <v>#N/A</v>
      </c>
      <c r="AS396" s="316">
        <f t="shared" si="922"/>
        <v>0</v>
      </c>
      <c r="AT396" s="106">
        <f>_xlfn.IFNA($M396/VLOOKUP($BT396,'Unit information'!$A$2:$K$29,2,FALSE)*R396,0)*(1+$E$9)</f>
        <v>0</v>
      </c>
      <c r="AU396" s="107">
        <f>_xlfn.IFNA($M396/VLOOKUP($BT396,'Unit information'!$A$2:$K$29,3,FALSE)*S396,0)*(1+$E$9)</f>
        <v>0</v>
      </c>
      <c r="AV396" s="107">
        <f>_xlfn.IFNA($M396/VLOOKUP($BT396,'Unit information'!$A$2:$K$29,4,FALSE)*T396,0)*(1+$E$9)</f>
        <v>0</v>
      </c>
      <c r="AW396" s="107">
        <f>_xlfn.IFNA($M396/VLOOKUP($BT396,'Unit information'!$A$2:$K$29,5,FALSE)*U396,0)*(1+$E$9)</f>
        <v>0</v>
      </c>
      <c r="AX396" s="107">
        <f>_xlfn.IFNA($M396/VLOOKUP($BU396,'Unit information'!$A$2:$K$29,6,FALSE)*V396,0)*(1+$E$9)</f>
        <v>0</v>
      </c>
      <c r="AY396" s="107">
        <f>_xlfn.IFNA($M396/VLOOKUP($BU396,'Unit information'!$A$2:$K$29,7,FALSE)*W396,0)*(1+$E$9)</f>
        <v>0</v>
      </c>
      <c r="AZ396" s="107">
        <f>_xlfn.IFNA($M396/VLOOKUP($BU396,'Unit information'!$A$2:$K$29,8,FALSE)*X396,0)*(1+$E$9)</f>
        <v>0</v>
      </c>
      <c r="BA396" s="107">
        <f>_xlfn.IFNA($M396/VLOOKUP($BU396,'Unit information'!$A$2:$K$29,9,FALSE)*Y396,0)*(1+$E$9)</f>
        <v>0</v>
      </c>
      <c r="BB396" s="107">
        <f>_xlfn.IFNA($M396/VLOOKUP($BV396,'Unit information'!$A$2:$K$29,10,FALSE)*Z396,0)*(1+$E$9)</f>
        <v>0</v>
      </c>
      <c r="BC396" s="108">
        <f>_xlfn.IFNA($M396/VLOOKUP($BV396,'Unit information'!$A$2:$K$29,11,FALSE)*AA396,0)*(1+$E$9)</f>
        <v>0</v>
      </c>
      <c r="BD396" s="106">
        <f t="shared" si="786"/>
        <v>0</v>
      </c>
      <c r="BE396" s="107">
        <f t="shared" si="787"/>
        <v>0</v>
      </c>
      <c r="BF396" s="108">
        <f t="shared" si="788"/>
        <v>0</v>
      </c>
      <c r="BG396" s="25" t="e">
        <f t="shared" si="789"/>
        <v>#N/A</v>
      </c>
      <c r="BH396" s="25" t="e">
        <f t="shared" si="790"/>
        <v>#N/A</v>
      </c>
      <c r="BI396" s="25" t="e">
        <f t="shared" si="791"/>
        <v>#N/A</v>
      </c>
      <c r="BJ396" s="27" t="e">
        <f t="shared" si="792"/>
        <v>#N/A</v>
      </c>
      <c r="BK396" s="18" t="e">
        <f t="shared" si="793"/>
        <v>#N/A</v>
      </c>
      <c r="BL396" s="18" t="e">
        <f t="shared" si="794"/>
        <v>#N/A</v>
      </c>
      <c r="BM396" s="28" t="e">
        <f t="shared" si="846"/>
        <v>#N/A</v>
      </c>
      <c r="BN396" s="33">
        <f>HLOOKUP("maximum population",Miscelaneous!$C$1:$C$33,CH396+3,FALSE)</f>
        <v>240</v>
      </c>
      <c r="BO396" s="14">
        <f t="shared" si="808"/>
        <v>32</v>
      </c>
      <c r="BP396" s="14">
        <f t="shared" si="809"/>
        <v>0</v>
      </c>
      <c r="BQ396" s="14">
        <f t="shared" si="810"/>
        <v>208</v>
      </c>
      <c r="BR396" s="34" t="e">
        <f>HLOOKUP(J396,Villagers!$B$1:$V$33,L396+3,FALSE)-HLOOKUP(J396,Villagers!$B$1:$V$33,L396+2,FALSE)</f>
        <v>#N/A</v>
      </c>
      <c r="BS396" s="49">
        <f t="shared" si="811"/>
        <v>1</v>
      </c>
      <c r="BT396" s="50">
        <f t="shared" si="812"/>
        <v>0</v>
      </c>
      <c r="BU396" s="50">
        <f t="shared" si="813"/>
        <v>0</v>
      </c>
      <c r="BV396" s="50">
        <f t="shared" si="814"/>
        <v>0</v>
      </c>
      <c r="BW396" s="50">
        <f t="shared" si="926"/>
        <v>0</v>
      </c>
      <c r="BX396" s="50">
        <f t="shared" si="927"/>
        <v>0</v>
      </c>
      <c r="BY396" s="50">
        <f t="shared" si="927"/>
        <v>0</v>
      </c>
      <c r="BZ396" s="50">
        <f t="shared" si="860"/>
        <v>0</v>
      </c>
      <c r="CA396" s="50">
        <f t="shared" si="861"/>
        <v>0</v>
      </c>
      <c r="CB396" s="50">
        <f t="shared" si="862"/>
        <v>1</v>
      </c>
      <c r="CC396" s="50">
        <f t="shared" si="863"/>
        <v>0</v>
      </c>
      <c r="CD396" s="50">
        <f t="shared" si="864"/>
        <v>0</v>
      </c>
      <c r="CE396" s="50">
        <f t="shared" si="865"/>
        <v>1</v>
      </c>
      <c r="CF396" s="50">
        <f t="shared" si="866"/>
        <v>1</v>
      </c>
      <c r="CG396" s="50">
        <f t="shared" si="867"/>
        <v>1</v>
      </c>
      <c r="CH396" s="50">
        <f t="shared" si="868"/>
        <v>1</v>
      </c>
      <c r="CI396" s="50">
        <f t="shared" si="869"/>
        <v>1</v>
      </c>
      <c r="CJ396" s="50">
        <f t="shared" si="870"/>
        <v>1</v>
      </c>
      <c r="CK396" s="50">
        <f t="shared" si="870"/>
        <v>0</v>
      </c>
      <c r="CL396" s="50">
        <f t="shared" si="870"/>
        <v>0</v>
      </c>
      <c r="CM396" s="51">
        <f t="shared" si="795"/>
        <v>0</v>
      </c>
      <c r="CN396" s="33">
        <f>ROUND(IF(BS396=0,0,HLOOKUP(BS$14,Villagers!$B$1:$V$33,BS396+3,FALSE)),)</f>
        <v>5</v>
      </c>
      <c r="CO396" s="14">
        <f>ROUND(IF(BT396=0,0,HLOOKUP(BT$14,Villagers!$B$1:$V$33,BT396+3,FALSE)),)</f>
        <v>0</v>
      </c>
      <c r="CP396" s="14">
        <f>ROUND(IF(BU396=0,0,HLOOKUP(BU$14,Villagers!$B$1:$V$33,BU396+3,FALSE)),)</f>
        <v>0</v>
      </c>
      <c r="CQ396" s="14">
        <f>ROUND(IF(BV396=0,0,HLOOKUP(BV$14,Villagers!$B$1:$V$33,BV396+3,FALSE)),)</f>
        <v>0</v>
      </c>
      <c r="CR396" s="14">
        <f>ROUND(IF(BW396=0,0,HLOOKUP(BW$14,Villagers!$B$1:$V$33,BW396+3,FALSE)),)</f>
        <v>0</v>
      </c>
      <c r="CS396" s="14">
        <f>ROUND(IF(BX396=0,0,HLOOKUP(BX$14,Villagers!$B$1:$V$33,BX396+3,FALSE)),)</f>
        <v>0</v>
      </c>
      <c r="CT396" s="14">
        <f>ROUND(IF(BY396=0,0,HLOOKUP(BY$14,Villagers!$B$1:$V$33,BY396+3,FALSE)),)</f>
        <v>0</v>
      </c>
      <c r="CU396" s="14">
        <f>ROUND(IF(BZ396=0,0,HLOOKUP(BZ$14,Villagers!$B$1:$V$33,BZ396+3,FALSE)),)</f>
        <v>0</v>
      </c>
      <c r="CV396" s="14">
        <f>ROUND(IF(CA396=0,0,HLOOKUP(CA$14,Villagers!$B$1:$V$33,CA396+3,FALSE)),)</f>
        <v>0</v>
      </c>
      <c r="CW396" s="14">
        <f>ROUND(IF(CB396=0,0,HLOOKUP(CB$14,Villagers!$B$1:$V$33,CB396+3,FALSE)),)</f>
        <v>0</v>
      </c>
      <c r="CX396" s="14">
        <f>ROUND(IF(CC396=0,0,HLOOKUP(CC$14,Villagers!$B$1:$V$33,CC396+3,FALSE)),)</f>
        <v>0</v>
      </c>
      <c r="CY396" s="14">
        <f>ROUND(IF(CD396=0,0,HLOOKUP(CD$14,Villagers!$B$1:$V$33,CD396+3,FALSE)),)</f>
        <v>0</v>
      </c>
      <c r="CZ396" s="14">
        <f>ROUND(IF(CE396=0,0,HLOOKUP(CE$14,Villagers!$B$1:$V$33,CE396+3,FALSE)),)</f>
        <v>5</v>
      </c>
      <c r="DA396" s="14">
        <f>ROUND(IF(CF396=0,0,HLOOKUP(CF$14,Villagers!$B$1:$V$33,CF396+3,FALSE)),)</f>
        <v>10</v>
      </c>
      <c r="DB396" s="14">
        <f>ROUND(IF(CG396=0,0,HLOOKUP(CG$14,Villagers!$B$1:$V$33,CG396+3,FALSE)),)</f>
        <v>10</v>
      </c>
      <c r="DC396" s="14">
        <f>ROUND(IF(CH396=0,0,HLOOKUP(CH$14,Villagers!$B$1:$V$33,CH396+3,FALSE)),)</f>
        <v>0</v>
      </c>
      <c r="DD396" s="14">
        <f>ROUND(IF(CI396=0,0,HLOOKUP(CI$14,Villagers!$B$1:$V$33,CI396+3,FALSE)),)</f>
        <v>0</v>
      </c>
      <c r="DE396" s="14">
        <f>ROUND(IF(CJ396=0,0,HLOOKUP(CJ$14,Villagers!$B$1:$V$33,CJ396+3,FALSE)),)</f>
        <v>2</v>
      </c>
      <c r="DF396" s="370">
        <f>ROUND(IF(CK396=0,0,HLOOKUP(CK$14,Villagers!$B$1:$V$33,CK396+3,FALSE)),)</f>
        <v>0</v>
      </c>
      <c r="DG396" s="370">
        <f>ROUND(IF(CL396=0,0,HLOOKUP(CL$14,Villagers!$B$1:$V$33,CL396+3,FALSE)),)</f>
        <v>0</v>
      </c>
      <c r="DH396" s="34">
        <f>ROUND(IF(CM396=0,0,HLOOKUP(CM$14,Villagers!$B$1:$V$33,CM396+3,FALSE)),)</f>
        <v>0</v>
      </c>
      <c r="DI396" s="109">
        <f t="shared" si="832"/>
        <v>0</v>
      </c>
      <c r="DJ396" s="50">
        <f t="shared" si="833"/>
        <v>0</v>
      </c>
      <c r="DK396" s="50">
        <f t="shared" si="834"/>
        <v>0</v>
      </c>
      <c r="DL396" s="50">
        <f t="shared" si="835"/>
        <v>0</v>
      </c>
      <c r="DM396" s="50">
        <f t="shared" si="836"/>
        <v>0</v>
      </c>
      <c r="DN396" s="50">
        <f t="shared" si="837"/>
        <v>0</v>
      </c>
      <c r="DO396" s="50">
        <f t="shared" si="838"/>
        <v>0</v>
      </c>
      <c r="DP396" s="50">
        <f t="shared" si="839"/>
        <v>0</v>
      </c>
      <c r="DQ396" s="50">
        <f t="shared" si="816"/>
        <v>0</v>
      </c>
      <c r="DR396" s="50">
        <f t="shared" si="817"/>
        <v>0</v>
      </c>
      <c r="DS396" s="96">
        <f>Miscelaneous!$D$4*Miscelaneous!$D$2^($CI396-1)</f>
        <v>1000</v>
      </c>
      <c r="DT396" s="333">
        <f t="shared" si="796"/>
        <v>1</v>
      </c>
      <c r="DU396" s="81">
        <v>1</v>
      </c>
      <c r="DV396" s="79">
        <f t="shared" si="818"/>
        <v>0</v>
      </c>
      <c r="DW396" s="79">
        <f t="shared" si="819"/>
        <v>0</v>
      </c>
      <c r="DX396" s="79">
        <f t="shared" si="820"/>
        <v>0</v>
      </c>
      <c r="DY396" s="79">
        <v>1</v>
      </c>
      <c r="DZ396" s="79">
        <f t="shared" si="821"/>
        <v>0</v>
      </c>
      <c r="EA396" s="79">
        <f t="shared" si="822"/>
        <v>0</v>
      </c>
      <c r="EB396" s="79">
        <f t="shared" si="823"/>
        <v>0</v>
      </c>
      <c r="EC396" s="79">
        <f t="shared" si="824"/>
        <v>0</v>
      </c>
      <c r="ED396" s="79">
        <v>1</v>
      </c>
      <c r="EE396" s="79">
        <v>1</v>
      </c>
      <c r="EF396" s="79">
        <f t="shared" si="825"/>
        <v>0</v>
      </c>
      <c r="EG396" s="79">
        <v>1</v>
      </c>
      <c r="EH396" s="79">
        <v>1</v>
      </c>
      <c r="EI396" s="79">
        <v>1</v>
      </c>
      <c r="EJ396" s="79">
        <v>1</v>
      </c>
      <c r="EK396" s="79">
        <v>1</v>
      </c>
      <c r="EL396" s="79">
        <v>1</v>
      </c>
      <c r="EM396" s="143">
        <f t="shared" si="826"/>
        <v>0</v>
      </c>
      <c r="EN396" s="143">
        <f t="shared" si="827"/>
        <v>0</v>
      </c>
      <c r="EO396" s="82">
        <f t="shared" si="828"/>
        <v>0</v>
      </c>
    </row>
    <row r="397" spans="1:145" x14ac:dyDescent="0.25">
      <c r="A397">
        <v>383</v>
      </c>
      <c r="B397" s="172" t="e">
        <f t="shared" si="797"/>
        <v>#N/A</v>
      </c>
      <c r="C397" s="121" t="e">
        <f t="shared" ref="C397:E397" si="933">AJ397-SUM(AB397:AB401)</f>
        <v>#N/A</v>
      </c>
      <c r="D397" s="122" t="e">
        <f t="shared" si="933"/>
        <v>#N/A</v>
      </c>
      <c r="E397" s="122" t="e">
        <f t="shared" si="933"/>
        <v>#N/A</v>
      </c>
      <c r="F397" s="176" t="e">
        <f t="shared" si="778"/>
        <v>#N/A</v>
      </c>
      <c r="G397" s="121">
        <f t="shared" si="799"/>
        <v>208</v>
      </c>
      <c r="H397" s="176" t="e">
        <f t="shared" si="800"/>
        <v>#N/A</v>
      </c>
      <c r="I397" s="48">
        <v>1</v>
      </c>
      <c r="J397" s="39"/>
      <c r="K397" s="350">
        <v>1</v>
      </c>
      <c r="L397" s="34" t="e">
        <f t="shared" si="779"/>
        <v>#N/A</v>
      </c>
      <c r="M397" s="38" t="e">
        <f>(HLOOKUP(J397,'Construction Times'!$B$3:$W$34,L397+2,FALSE)*HLOOKUP("hq modifier",'Construction Times'!$W$3:$W$34,BS397+2,FALSE))*(1-$H$9)</f>
        <v>#N/A</v>
      </c>
      <c r="N397" s="426" t="e">
        <f t="shared" si="801"/>
        <v>#N/A</v>
      </c>
      <c r="O397" s="427"/>
      <c r="P397" s="430" t="e">
        <f t="shared" si="802"/>
        <v>#N/A</v>
      </c>
      <c r="Q397" s="431"/>
      <c r="R397" s="103">
        <f t="shared" si="897"/>
        <v>0</v>
      </c>
      <c r="S397" s="104">
        <f t="shared" si="897"/>
        <v>0</v>
      </c>
      <c r="T397" s="104">
        <f t="shared" si="898"/>
        <v>0</v>
      </c>
      <c r="U397" s="104">
        <f t="shared" si="898"/>
        <v>0</v>
      </c>
      <c r="V397" s="104">
        <f t="shared" si="898"/>
        <v>9.9999999999999995E-8</v>
      </c>
      <c r="W397" s="104">
        <f t="shared" si="898"/>
        <v>0</v>
      </c>
      <c r="X397" s="104">
        <f t="shared" ref="X397:AA428" si="934">X396</f>
        <v>0</v>
      </c>
      <c r="Y397" s="104">
        <f t="shared" si="934"/>
        <v>9.9999999999999995E-8</v>
      </c>
      <c r="Z397" s="104">
        <f t="shared" si="934"/>
        <v>9.9999999999999995E-8</v>
      </c>
      <c r="AA397" s="105">
        <f t="shared" si="934"/>
        <v>9.9999999999999995E-8</v>
      </c>
      <c r="AB397" s="101" t="e">
        <f>$DT397*HLOOKUP($J397,'Construction Costs (timber)'!$B$1:$V$32,'Construction Planner'!$L397+2,FALSE)</f>
        <v>#N/A</v>
      </c>
      <c r="AC397" s="14" t="e">
        <f>$DT397*HLOOKUP($J397,'Construction Costs (clay)'!$B$1:$V$32,'Construction Planner'!$L397+2,FALSE)</f>
        <v>#N/A</v>
      </c>
      <c r="AD397" s="14" t="e">
        <f>$DT397*HLOOKUP($J397,'Construction Costs (iron)'!$B$1:$V$32,'Construction Planner'!$L397+2,FALSE)</f>
        <v>#N/A</v>
      </c>
      <c r="AE397" s="34" t="e">
        <f t="shared" si="843"/>
        <v>#N/A</v>
      </c>
      <c r="AF397" s="33" t="e">
        <f t="shared" si="780"/>
        <v>#N/A</v>
      </c>
      <c r="AG397" s="14" t="e">
        <f t="shared" si="781"/>
        <v>#N/A</v>
      </c>
      <c r="AH397" s="14" t="e">
        <f t="shared" si="782"/>
        <v>#N/A</v>
      </c>
      <c r="AI397" s="34" t="e">
        <f t="shared" si="844"/>
        <v>#N/A</v>
      </c>
      <c r="AJ397" s="49" t="e">
        <f t="shared" si="804"/>
        <v>#N/A</v>
      </c>
      <c r="AK397" s="49" t="e">
        <f t="shared" si="805"/>
        <v>#N/A</v>
      </c>
      <c r="AL397" s="49" t="e">
        <f t="shared" si="806"/>
        <v>#N/A</v>
      </c>
      <c r="AM397" s="25">
        <f t="shared" si="783"/>
        <v>30</v>
      </c>
      <c r="AN397" s="25">
        <f t="shared" si="784"/>
        <v>30</v>
      </c>
      <c r="AO397" s="25">
        <f t="shared" si="785"/>
        <v>30</v>
      </c>
      <c r="AP397" s="52" t="e">
        <f t="shared" si="894"/>
        <v>#N/A</v>
      </c>
      <c r="AQ397" s="53" t="e">
        <f t="shared" si="894"/>
        <v>#N/A</v>
      </c>
      <c r="AR397" s="54" t="e">
        <f t="shared" si="894"/>
        <v>#N/A</v>
      </c>
      <c r="AS397" s="316">
        <f t="shared" si="922"/>
        <v>0</v>
      </c>
      <c r="AT397" s="106">
        <f>_xlfn.IFNA($M397/VLOOKUP($BT397,'Unit information'!$A$2:$K$29,2,FALSE)*R397,0)*(1+$E$9)</f>
        <v>0</v>
      </c>
      <c r="AU397" s="107">
        <f>_xlfn.IFNA($M397/VLOOKUP($BT397,'Unit information'!$A$2:$K$29,3,FALSE)*S397,0)*(1+$E$9)</f>
        <v>0</v>
      </c>
      <c r="AV397" s="107">
        <f>_xlfn.IFNA($M397/VLOOKUP($BT397,'Unit information'!$A$2:$K$29,4,FALSE)*T397,0)*(1+$E$9)</f>
        <v>0</v>
      </c>
      <c r="AW397" s="107">
        <f>_xlfn.IFNA($M397/VLOOKUP($BT397,'Unit information'!$A$2:$K$29,5,FALSE)*U397,0)*(1+$E$9)</f>
        <v>0</v>
      </c>
      <c r="AX397" s="107">
        <f>_xlfn.IFNA($M397/VLOOKUP($BU397,'Unit information'!$A$2:$K$29,6,FALSE)*V397,0)*(1+$E$9)</f>
        <v>0</v>
      </c>
      <c r="AY397" s="107">
        <f>_xlfn.IFNA($M397/VLOOKUP($BU397,'Unit information'!$A$2:$K$29,7,FALSE)*W397,0)*(1+$E$9)</f>
        <v>0</v>
      </c>
      <c r="AZ397" s="107">
        <f>_xlfn.IFNA($M397/VLOOKUP($BU397,'Unit information'!$A$2:$K$29,8,FALSE)*X397,0)*(1+$E$9)</f>
        <v>0</v>
      </c>
      <c r="BA397" s="107">
        <f>_xlfn.IFNA($M397/VLOOKUP($BU397,'Unit information'!$A$2:$K$29,9,FALSE)*Y397,0)*(1+$E$9)</f>
        <v>0</v>
      </c>
      <c r="BB397" s="107">
        <f>_xlfn.IFNA($M397/VLOOKUP($BV397,'Unit information'!$A$2:$K$29,10,FALSE)*Z397,0)*(1+$E$9)</f>
        <v>0</v>
      </c>
      <c r="BC397" s="108">
        <f>_xlfn.IFNA($M397/VLOOKUP($BV397,'Unit information'!$A$2:$K$29,11,FALSE)*AA397,0)*(1+$E$9)</f>
        <v>0</v>
      </c>
      <c r="BD397" s="106">
        <f t="shared" si="786"/>
        <v>0</v>
      </c>
      <c r="BE397" s="107">
        <f t="shared" si="787"/>
        <v>0</v>
      </c>
      <c r="BF397" s="108">
        <f t="shared" si="788"/>
        <v>0</v>
      </c>
      <c r="BG397" s="25" t="e">
        <f t="shared" si="789"/>
        <v>#N/A</v>
      </c>
      <c r="BH397" s="25" t="e">
        <f t="shared" si="790"/>
        <v>#N/A</v>
      </c>
      <c r="BI397" s="25" t="e">
        <f t="shared" si="791"/>
        <v>#N/A</v>
      </c>
      <c r="BJ397" s="27" t="e">
        <f t="shared" si="792"/>
        <v>#N/A</v>
      </c>
      <c r="BK397" s="18" t="e">
        <f t="shared" si="793"/>
        <v>#N/A</v>
      </c>
      <c r="BL397" s="18" t="e">
        <f t="shared" si="794"/>
        <v>#N/A</v>
      </c>
      <c r="BM397" s="28" t="e">
        <f t="shared" si="846"/>
        <v>#N/A</v>
      </c>
      <c r="BN397" s="33">
        <f>HLOOKUP("maximum population",Miscelaneous!$C$1:$C$33,CH397+3,FALSE)</f>
        <v>240</v>
      </c>
      <c r="BO397" s="14">
        <f t="shared" si="808"/>
        <v>32</v>
      </c>
      <c r="BP397" s="14">
        <f t="shared" si="809"/>
        <v>0</v>
      </c>
      <c r="BQ397" s="14">
        <f t="shared" si="810"/>
        <v>208</v>
      </c>
      <c r="BR397" s="34" t="e">
        <f>HLOOKUP(J397,Villagers!$B$1:$V$33,L397+3,FALSE)-HLOOKUP(J397,Villagers!$B$1:$V$33,L397+2,FALSE)</f>
        <v>#N/A</v>
      </c>
      <c r="BS397" s="49">
        <f t="shared" si="811"/>
        <v>1</v>
      </c>
      <c r="BT397" s="50">
        <f t="shared" si="812"/>
        <v>0</v>
      </c>
      <c r="BU397" s="50">
        <f t="shared" si="813"/>
        <v>0</v>
      </c>
      <c r="BV397" s="50">
        <f t="shared" si="814"/>
        <v>0</v>
      </c>
      <c r="BW397" s="50">
        <f t="shared" si="926"/>
        <v>0</v>
      </c>
      <c r="BX397" s="50">
        <f t="shared" si="927"/>
        <v>0</v>
      </c>
      <c r="BY397" s="50">
        <f t="shared" si="927"/>
        <v>0</v>
      </c>
      <c r="BZ397" s="50">
        <f t="shared" si="860"/>
        <v>0</v>
      </c>
      <c r="CA397" s="50">
        <f t="shared" si="861"/>
        <v>0</v>
      </c>
      <c r="CB397" s="50">
        <f t="shared" si="862"/>
        <v>1</v>
      </c>
      <c r="CC397" s="50">
        <f t="shared" si="863"/>
        <v>0</v>
      </c>
      <c r="CD397" s="50">
        <f t="shared" si="864"/>
        <v>0</v>
      </c>
      <c r="CE397" s="50">
        <f t="shared" si="865"/>
        <v>1</v>
      </c>
      <c r="CF397" s="50">
        <f t="shared" si="866"/>
        <v>1</v>
      </c>
      <c r="CG397" s="50">
        <f t="shared" si="867"/>
        <v>1</v>
      </c>
      <c r="CH397" s="50">
        <f t="shared" si="868"/>
        <v>1</v>
      </c>
      <c r="CI397" s="50">
        <f t="shared" si="869"/>
        <v>1</v>
      </c>
      <c r="CJ397" s="50">
        <f t="shared" si="870"/>
        <v>1</v>
      </c>
      <c r="CK397" s="50">
        <f t="shared" si="870"/>
        <v>0</v>
      </c>
      <c r="CL397" s="50">
        <f t="shared" si="870"/>
        <v>0</v>
      </c>
      <c r="CM397" s="51">
        <f t="shared" si="795"/>
        <v>0</v>
      </c>
      <c r="CN397" s="33">
        <f>ROUND(IF(BS397=0,0,HLOOKUP(BS$14,Villagers!$B$1:$V$33,BS397+3,FALSE)),)</f>
        <v>5</v>
      </c>
      <c r="CO397" s="14">
        <f>ROUND(IF(BT397=0,0,HLOOKUP(BT$14,Villagers!$B$1:$V$33,BT397+3,FALSE)),)</f>
        <v>0</v>
      </c>
      <c r="CP397" s="14">
        <f>ROUND(IF(BU397=0,0,HLOOKUP(BU$14,Villagers!$B$1:$V$33,BU397+3,FALSE)),)</f>
        <v>0</v>
      </c>
      <c r="CQ397" s="14">
        <f>ROUND(IF(BV397=0,0,HLOOKUP(BV$14,Villagers!$B$1:$V$33,BV397+3,FALSE)),)</f>
        <v>0</v>
      </c>
      <c r="CR397" s="14">
        <f>ROUND(IF(BW397=0,0,HLOOKUP(BW$14,Villagers!$B$1:$V$33,BW397+3,FALSE)),)</f>
        <v>0</v>
      </c>
      <c r="CS397" s="14">
        <f>ROUND(IF(BX397=0,0,HLOOKUP(BX$14,Villagers!$B$1:$V$33,BX397+3,FALSE)),)</f>
        <v>0</v>
      </c>
      <c r="CT397" s="14">
        <f>ROUND(IF(BY397=0,0,HLOOKUP(BY$14,Villagers!$B$1:$V$33,BY397+3,FALSE)),)</f>
        <v>0</v>
      </c>
      <c r="CU397" s="14">
        <f>ROUND(IF(BZ397=0,0,HLOOKUP(BZ$14,Villagers!$B$1:$V$33,BZ397+3,FALSE)),)</f>
        <v>0</v>
      </c>
      <c r="CV397" s="14">
        <f>ROUND(IF(CA397=0,0,HLOOKUP(CA$14,Villagers!$B$1:$V$33,CA397+3,FALSE)),)</f>
        <v>0</v>
      </c>
      <c r="CW397" s="14">
        <f>ROUND(IF(CB397=0,0,HLOOKUP(CB$14,Villagers!$B$1:$V$33,CB397+3,FALSE)),)</f>
        <v>0</v>
      </c>
      <c r="CX397" s="14">
        <f>ROUND(IF(CC397=0,0,HLOOKUP(CC$14,Villagers!$B$1:$V$33,CC397+3,FALSE)),)</f>
        <v>0</v>
      </c>
      <c r="CY397" s="14">
        <f>ROUND(IF(CD397=0,0,HLOOKUP(CD$14,Villagers!$B$1:$V$33,CD397+3,FALSE)),)</f>
        <v>0</v>
      </c>
      <c r="CZ397" s="14">
        <f>ROUND(IF(CE397=0,0,HLOOKUP(CE$14,Villagers!$B$1:$V$33,CE397+3,FALSE)),)</f>
        <v>5</v>
      </c>
      <c r="DA397" s="14">
        <f>ROUND(IF(CF397=0,0,HLOOKUP(CF$14,Villagers!$B$1:$V$33,CF397+3,FALSE)),)</f>
        <v>10</v>
      </c>
      <c r="DB397" s="14">
        <f>ROUND(IF(CG397=0,0,HLOOKUP(CG$14,Villagers!$B$1:$V$33,CG397+3,FALSE)),)</f>
        <v>10</v>
      </c>
      <c r="DC397" s="14">
        <f>ROUND(IF(CH397=0,0,HLOOKUP(CH$14,Villagers!$B$1:$V$33,CH397+3,FALSE)),)</f>
        <v>0</v>
      </c>
      <c r="DD397" s="14">
        <f>ROUND(IF(CI397=0,0,HLOOKUP(CI$14,Villagers!$B$1:$V$33,CI397+3,FALSE)),)</f>
        <v>0</v>
      </c>
      <c r="DE397" s="14">
        <f>ROUND(IF(CJ397=0,0,HLOOKUP(CJ$14,Villagers!$B$1:$V$33,CJ397+3,FALSE)),)</f>
        <v>2</v>
      </c>
      <c r="DF397" s="370">
        <f>ROUND(IF(CK397=0,0,HLOOKUP(CK$14,Villagers!$B$1:$V$33,CK397+3,FALSE)),)</f>
        <v>0</v>
      </c>
      <c r="DG397" s="370">
        <f>ROUND(IF(CL397=0,0,HLOOKUP(CL$14,Villagers!$B$1:$V$33,CL397+3,FALSE)),)</f>
        <v>0</v>
      </c>
      <c r="DH397" s="34">
        <f>ROUND(IF(CM397=0,0,HLOOKUP(CM$14,Villagers!$B$1:$V$33,CM397+3,FALSE)),)</f>
        <v>0</v>
      </c>
      <c r="DI397" s="109">
        <f t="shared" si="832"/>
        <v>0</v>
      </c>
      <c r="DJ397" s="50">
        <f t="shared" si="833"/>
        <v>0</v>
      </c>
      <c r="DK397" s="50">
        <f t="shared" si="834"/>
        <v>0</v>
      </c>
      <c r="DL397" s="50">
        <f t="shared" si="835"/>
        <v>0</v>
      </c>
      <c r="DM397" s="50">
        <f t="shared" si="836"/>
        <v>0</v>
      </c>
      <c r="DN397" s="50">
        <f t="shared" si="837"/>
        <v>0</v>
      </c>
      <c r="DO397" s="50">
        <f t="shared" si="838"/>
        <v>0</v>
      </c>
      <c r="DP397" s="50">
        <f t="shared" si="839"/>
        <v>0</v>
      </c>
      <c r="DQ397" s="50">
        <f t="shared" si="816"/>
        <v>0</v>
      </c>
      <c r="DR397" s="50">
        <f t="shared" si="817"/>
        <v>0</v>
      </c>
      <c r="DS397" s="96">
        <f>Miscelaneous!$D$4*Miscelaneous!$D$2^($CI397-1)</f>
        <v>1000</v>
      </c>
      <c r="DT397" s="333">
        <f t="shared" si="796"/>
        <v>1</v>
      </c>
      <c r="DU397" s="81">
        <v>1</v>
      </c>
      <c r="DV397" s="79">
        <f t="shared" si="818"/>
        <v>0</v>
      </c>
      <c r="DW397" s="79">
        <f t="shared" si="819"/>
        <v>0</v>
      </c>
      <c r="DX397" s="79">
        <f t="shared" si="820"/>
        <v>0</v>
      </c>
      <c r="DY397" s="79">
        <v>1</v>
      </c>
      <c r="DZ397" s="79">
        <f t="shared" si="821"/>
        <v>0</v>
      </c>
      <c r="EA397" s="79">
        <f t="shared" si="822"/>
        <v>0</v>
      </c>
      <c r="EB397" s="79">
        <f t="shared" si="823"/>
        <v>0</v>
      </c>
      <c r="EC397" s="79">
        <f t="shared" si="824"/>
        <v>0</v>
      </c>
      <c r="ED397" s="79">
        <v>1</v>
      </c>
      <c r="EE397" s="79">
        <v>1</v>
      </c>
      <c r="EF397" s="79">
        <f t="shared" si="825"/>
        <v>0</v>
      </c>
      <c r="EG397" s="79">
        <v>1</v>
      </c>
      <c r="EH397" s="79">
        <v>1</v>
      </c>
      <c r="EI397" s="79">
        <v>1</v>
      </c>
      <c r="EJ397" s="79">
        <v>1</v>
      </c>
      <c r="EK397" s="79">
        <v>1</v>
      </c>
      <c r="EL397" s="79">
        <v>1</v>
      </c>
      <c r="EM397" s="143">
        <f t="shared" si="826"/>
        <v>0</v>
      </c>
      <c r="EN397" s="143">
        <f t="shared" si="827"/>
        <v>0</v>
      </c>
      <c r="EO397" s="82">
        <f t="shared" si="828"/>
        <v>0</v>
      </c>
    </row>
    <row r="398" spans="1:145" x14ac:dyDescent="0.25">
      <c r="A398">
        <v>384</v>
      </c>
      <c r="B398" s="172" t="e">
        <f t="shared" si="797"/>
        <v>#N/A</v>
      </c>
      <c r="C398" s="121" t="e">
        <f t="shared" ref="C398:E398" si="935">AJ398-SUM(AB398:AB402)</f>
        <v>#N/A</v>
      </c>
      <c r="D398" s="122" t="e">
        <f t="shared" si="935"/>
        <v>#N/A</v>
      </c>
      <c r="E398" s="122" t="e">
        <f t="shared" si="935"/>
        <v>#N/A</v>
      </c>
      <c r="F398" s="176" t="e">
        <f t="shared" si="778"/>
        <v>#N/A</v>
      </c>
      <c r="G398" s="121">
        <f t="shared" si="799"/>
        <v>208</v>
      </c>
      <c r="H398" s="176" t="e">
        <f t="shared" si="800"/>
        <v>#N/A</v>
      </c>
      <c r="I398" s="48">
        <v>1</v>
      </c>
      <c r="J398" s="39"/>
      <c r="K398" s="350">
        <v>1</v>
      </c>
      <c r="L398" s="34" t="e">
        <f t="shared" si="779"/>
        <v>#N/A</v>
      </c>
      <c r="M398" s="38" t="e">
        <f>(HLOOKUP(J398,'Construction Times'!$B$3:$W$34,L398+2,FALSE)*HLOOKUP("hq modifier",'Construction Times'!$W$3:$W$34,BS398+2,FALSE))*(1-$H$9)</f>
        <v>#N/A</v>
      </c>
      <c r="N398" s="426" t="e">
        <f t="shared" si="801"/>
        <v>#N/A</v>
      </c>
      <c r="O398" s="427"/>
      <c r="P398" s="430" t="e">
        <f t="shared" si="802"/>
        <v>#N/A</v>
      </c>
      <c r="Q398" s="431"/>
      <c r="R398" s="103">
        <f t="shared" si="897"/>
        <v>0</v>
      </c>
      <c r="S398" s="104">
        <f t="shared" si="897"/>
        <v>0</v>
      </c>
      <c r="T398" s="104">
        <f t="shared" si="898"/>
        <v>0</v>
      </c>
      <c r="U398" s="104">
        <f t="shared" si="898"/>
        <v>0</v>
      </c>
      <c r="V398" s="104">
        <f t="shared" si="898"/>
        <v>9.9999999999999995E-8</v>
      </c>
      <c r="W398" s="104">
        <f t="shared" si="898"/>
        <v>0</v>
      </c>
      <c r="X398" s="104">
        <f t="shared" si="934"/>
        <v>0</v>
      </c>
      <c r="Y398" s="104">
        <f t="shared" si="934"/>
        <v>9.9999999999999995E-8</v>
      </c>
      <c r="Z398" s="104">
        <f t="shared" si="934"/>
        <v>9.9999999999999995E-8</v>
      </c>
      <c r="AA398" s="105">
        <f t="shared" si="934"/>
        <v>9.9999999999999995E-8</v>
      </c>
      <c r="AB398" s="101" t="e">
        <f>$DT398*HLOOKUP($J398,'Construction Costs (timber)'!$B$1:$V$32,'Construction Planner'!$L398+2,FALSE)</f>
        <v>#N/A</v>
      </c>
      <c r="AC398" s="14" t="e">
        <f>$DT398*HLOOKUP($J398,'Construction Costs (clay)'!$B$1:$V$32,'Construction Planner'!$L398+2,FALSE)</f>
        <v>#N/A</v>
      </c>
      <c r="AD398" s="14" t="e">
        <f>$DT398*HLOOKUP($J398,'Construction Costs (iron)'!$B$1:$V$32,'Construction Planner'!$L398+2,FALSE)</f>
        <v>#N/A</v>
      </c>
      <c r="AE398" s="34" t="e">
        <f t="shared" si="843"/>
        <v>#N/A</v>
      </c>
      <c r="AF398" s="33" t="e">
        <f t="shared" si="780"/>
        <v>#N/A</v>
      </c>
      <c r="AG398" s="14" t="e">
        <f t="shared" si="781"/>
        <v>#N/A</v>
      </c>
      <c r="AH398" s="14" t="e">
        <f t="shared" si="782"/>
        <v>#N/A</v>
      </c>
      <c r="AI398" s="34" t="e">
        <f t="shared" si="844"/>
        <v>#N/A</v>
      </c>
      <c r="AJ398" s="49" t="e">
        <f t="shared" si="804"/>
        <v>#N/A</v>
      </c>
      <c r="AK398" s="49" t="e">
        <f t="shared" si="805"/>
        <v>#N/A</v>
      </c>
      <c r="AL398" s="49" t="e">
        <f t="shared" si="806"/>
        <v>#N/A</v>
      </c>
      <c r="AM398" s="25">
        <f t="shared" si="783"/>
        <v>30</v>
      </c>
      <c r="AN398" s="25">
        <f t="shared" si="784"/>
        <v>30</v>
      </c>
      <c r="AO398" s="25">
        <f t="shared" si="785"/>
        <v>30</v>
      </c>
      <c r="AP398" s="52" t="e">
        <f t="shared" si="894"/>
        <v>#N/A</v>
      </c>
      <c r="AQ398" s="53" t="e">
        <f t="shared" si="894"/>
        <v>#N/A</v>
      </c>
      <c r="AR398" s="54" t="e">
        <f t="shared" si="894"/>
        <v>#N/A</v>
      </c>
      <c r="AS398" s="316">
        <f t="shared" si="922"/>
        <v>0</v>
      </c>
      <c r="AT398" s="106">
        <f>_xlfn.IFNA($M398/VLOOKUP($BT398,'Unit information'!$A$2:$K$29,2,FALSE)*R398,0)*(1+$E$9)</f>
        <v>0</v>
      </c>
      <c r="AU398" s="107">
        <f>_xlfn.IFNA($M398/VLOOKUP($BT398,'Unit information'!$A$2:$K$29,3,FALSE)*S398,0)*(1+$E$9)</f>
        <v>0</v>
      </c>
      <c r="AV398" s="107">
        <f>_xlfn.IFNA($M398/VLOOKUP($BT398,'Unit information'!$A$2:$K$29,4,FALSE)*T398,0)*(1+$E$9)</f>
        <v>0</v>
      </c>
      <c r="AW398" s="107">
        <f>_xlfn.IFNA($M398/VLOOKUP($BT398,'Unit information'!$A$2:$K$29,5,FALSE)*U398,0)*(1+$E$9)</f>
        <v>0</v>
      </c>
      <c r="AX398" s="107">
        <f>_xlfn.IFNA($M398/VLOOKUP($BU398,'Unit information'!$A$2:$K$29,6,FALSE)*V398,0)*(1+$E$9)</f>
        <v>0</v>
      </c>
      <c r="AY398" s="107">
        <f>_xlfn.IFNA($M398/VLOOKUP($BU398,'Unit information'!$A$2:$K$29,7,FALSE)*W398,0)*(1+$E$9)</f>
        <v>0</v>
      </c>
      <c r="AZ398" s="107">
        <f>_xlfn.IFNA($M398/VLOOKUP($BU398,'Unit information'!$A$2:$K$29,8,FALSE)*X398,0)*(1+$E$9)</f>
        <v>0</v>
      </c>
      <c r="BA398" s="107">
        <f>_xlfn.IFNA($M398/VLOOKUP($BU398,'Unit information'!$A$2:$K$29,9,FALSE)*Y398,0)*(1+$E$9)</f>
        <v>0</v>
      </c>
      <c r="BB398" s="107">
        <f>_xlfn.IFNA($M398/VLOOKUP($BV398,'Unit information'!$A$2:$K$29,10,FALSE)*Z398,0)*(1+$E$9)</f>
        <v>0</v>
      </c>
      <c r="BC398" s="108">
        <f>_xlfn.IFNA($M398/VLOOKUP($BV398,'Unit information'!$A$2:$K$29,11,FALSE)*AA398,0)*(1+$E$9)</f>
        <v>0</v>
      </c>
      <c r="BD398" s="106">
        <f t="shared" si="786"/>
        <v>0</v>
      </c>
      <c r="BE398" s="107">
        <f t="shared" si="787"/>
        <v>0</v>
      </c>
      <c r="BF398" s="108">
        <f t="shared" si="788"/>
        <v>0</v>
      </c>
      <c r="BG398" s="25" t="e">
        <f t="shared" si="789"/>
        <v>#N/A</v>
      </c>
      <c r="BH398" s="25" t="e">
        <f t="shared" si="790"/>
        <v>#N/A</v>
      </c>
      <c r="BI398" s="25" t="e">
        <f t="shared" si="791"/>
        <v>#N/A</v>
      </c>
      <c r="BJ398" s="27" t="e">
        <f t="shared" si="792"/>
        <v>#N/A</v>
      </c>
      <c r="BK398" s="18" t="e">
        <f t="shared" si="793"/>
        <v>#N/A</v>
      </c>
      <c r="BL398" s="18" t="e">
        <f t="shared" si="794"/>
        <v>#N/A</v>
      </c>
      <c r="BM398" s="28" t="e">
        <f t="shared" si="846"/>
        <v>#N/A</v>
      </c>
      <c r="BN398" s="33">
        <f>HLOOKUP("maximum population",Miscelaneous!$C$1:$C$33,CH398+3,FALSE)</f>
        <v>240</v>
      </c>
      <c r="BO398" s="14">
        <f t="shared" si="808"/>
        <v>32</v>
      </c>
      <c r="BP398" s="14">
        <f t="shared" si="809"/>
        <v>0</v>
      </c>
      <c r="BQ398" s="14">
        <f t="shared" si="810"/>
        <v>208</v>
      </c>
      <c r="BR398" s="34" t="e">
        <f>HLOOKUP(J398,Villagers!$B$1:$V$33,L398+3,FALSE)-HLOOKUP(J398,Villagers!$B$1:$V$33,L398+2,FALSE)</f>
        <v>#N/A</v>
      </c>
      <c r="BS398" s="49">
        <f t="shared" si="811"/>
        <v>1</v>
      </c>
      <c r="BT398" s="50">
        <f t="shared" si="812"/>
        <v>0</v>
      </c>
      <c r="BU398" s="50">
        <f t="shared" si="813"/>
        <v>0</v>
      </c>
      <c r="BV398" s="50">
        <f t="shared" si="814"/>
        <v>0</v>
      </c>
      <c r="BW398" s="50">
        <f t="shared" si="926"/>
        <v>0</v>
      </c>
      <c r="BX398" s="50">
        <f t="shared" si="927"/>
        <v>0</v>
      </c>
      <c r="BY398" s="50">
        <f t="shared" si="927"/>
        <v>0</v>
      </c>
      <c r="BZ398" s="50">
        <f t="shared" si="860"/>
        <v>0</v>
      </c>
      <c r="CA398" s="50">
        <f t="shared" si="861"/>
        <v>0</v>
      </c>
      <c r="CB398" s="50">
        <f t="shared" si="862"/>
        <v>1</v>
      </c>
      <c r="CC398" s="50">
        <f t="shared" si="863"/>
        <v>0</v>
      </c>
      <c r="CD398" s="50">
        <f t="shared" si="864"/>
        <v>0</v>
      </c>
      <c r="CE398" s="50">
        <f t="shared" si="865"/>
        <v>1</v>
      </c>
      <c r="CF398" s="50">
        <f t="shared" si="866"/>
        <v>1</v>
      </c>
      <c r="CG398" s="50">
        <f t="shared" si="867"/>
        <v>1</v>
      </c>
      <c r="CH398" s="50">
        <f t="shared" si="868"/>
        <v>1</v>
      </c>
      <c r="CI398" s="50">
        <f t="shared" si="869"/>
        <v>1</v>
      </c>
      <c r="CJ398" s="50">
        <f t="shared" si="870"/>
        <v>1</v>
      </c>
      <c r="CK398" s="50">
        <f t="shared" si="870"/>
        <v>0</v>
      </c>
      <c r="CL398" s="50">
        <f t="shared" si="870"/>
        <v>0</v>
      </c>
      <c r="CM398" s="51">
        <f t="shared" si="795"/>
        <v>0</v>
      </c>
      <c r="CN398" s="33">
        <f>ROUND(IF(BS398=0,0,HLOOKUP(BS$14,Villagers!$B$1:$V$33,BS398+3,FALSE)),)</f>
        <v>5</v>
      </c>
      <c r="CO398" s="14">
        <f>ROUND(IF(BT398=0,0,HLOOKUP(BT$14,Villagers!$B$1:$V$33,BT398+3,FALSE)),)</f>
        <v>0</v>
      </c>
      <c r="CP398" s="14">
        <f>ROUND(IF(BU398=0,0,HLOOKUP(BU$14,Villagers!$B$1:$V$33,BU398+3,FALSE)),)</f>
        <v>0</v>
      </c>
      <c r="CQ398" s="14">
        <f>ROUND(IF(BV398=0,0,HLOOKUP(BV$14,Villagers!$B$1:$V$33,BV398+3,FALSE)),)</f>
        <v>0</v>
      </c>
      <c r="CR398" s="14">
        <f>ROUND(IF(BW398=0,0,HLOOKUP(BW$14,Villagers!$B$1:$V$33,BW398+3,FALSE)),)</f>
        <v>0</v>
      </c>
      <c r="CS398" s="14">
        <f>ROUND(IF(BX398=0,0,HLOOKUP(BX$14,Villagers!$B$1:$V$33,BX398+3,FALSE)),)</f>
        <v>0</v>
      </c>
      <c r="CT398" s="14">
        <f>ROUND(IF(BY398=0,0,HLOOKUP(BY$14,Villagers!$B$1:$V$33,BY398+3,FALSE)),)</f>
        <v>0</v>
      </c>
      <c r="CU398" s="14">
        <f>ROUND(IF(BZ398=0,0,HLOOKUP(BZ$14,Villagers!$B$1:$V$33,BZ398+3,FALSE)),)</f>
        <v>0</v>
      </c>
      <c r="CV398" s="14">
        <f>ROUND(IF(CA398=0,0,HLOOKUP(CA$14,Villagers!$B$1:$V$33,CA398+3,FALSE)),)</f>
        <v>0</v>
      </c>
      <c r="CW398" s="14">
        <f>ROUND(IF(CB398=0,0,HLOOKUP(CB$14,Villagers!$B$1:$V$33,CB398+3,FALSE)),)</f>
        <v>0</v>
      </c>
      <c r="CX398" s="14">
        <f>ROUND(IF(CC398=0,0,HLOOKUP(CC$14,Villagers!$B$1:$V$33,CC398+3,FALSE)),)</f>
        <v>0</v>
      </c>
      <c r="CY398" s="14">
        <f>ROUND(IF(CD398=0,0,HLOOKUP(CD$14,Villagers!$B$1:$V$33,CD398+3,FALSE)),)</f>
        <v>0</v>
      </c>
      <c r="CZ398" s="14">
        <f>ROUND(IF(CE398=0,0,HLOOKUP(CE$14,Villagers!$B$1:$V$33,CE398+3,FALSE)),)</f>
        <v>5</v>
      </c>
      <c r="DA398" s="14">
        <f>ROUND(IF(CF398=0,0,HLOOKUP(CF$14,Villagers!$B$1:$V$33,CF398+3,FALSE)),)</f>
        <v>10</v>
      </c>
      <c r="DB398" s="14">
        <f>ROUND(IF(CG398=0,0,HLOOKUP(CG$14,Villagers!$B$1:$V$33,CG398+3,FALSE)),)</f>
        <v>10</v>
      </c>
      <c r="DC398" s="14">
        <f>ROUND(IF(CH398=0,0,HLOOKUP(CH$14,Villagers!$B$1:$V$33,CH398+3,FALSE)),)</f>
        <v>0</v>
      </c>
      <c r="DD398" s="14">
        <f>ROUND(IF(CI398=0,0,HLOOKUP(CI$14,Villagers!$B$1:$V$33,CI398+3,FALSE)),)</f>
        <v>0</v>
      </c>
      <c r="DE398" s="14">
        <f>ROUND(IF(CJ398=0,0,HLOOKUP(CJ$14,Villagers!$B$1:$V$33,CJ398+3,FALSE)),)</f>
        <v>2</v>
      </c>
      <c r="DF398" s="370">
        <f>ROUND(IF(CK398=0,0,HLOOKUP(CK$14,Villagers!$B$1:$V$33,CK398+3,FALSE)),)</f>
        <v>0</v>
      </c>
      <c r="DG398" s="370">
        <f>ROUND(IF(CL398=0,0,HLOOKUP(CL$14,Villagers!$B$1:$V$33,CL398+3,FALSE)),)</f>
        <v>0</v>
      </c>
      <c r="DH398" s="34">
        <f>ROUND(IF(CM398=0,0,HLOOKUP(CM$14,Villagers!$B$1:$V$33,CM398+3,FALSE)),)</f>
        <v>0</v>
      </c>
      <c r="DI398" s="109">
        <f t="shared" si="832"/>
        <v>0</v>
      </c>
      <c r="DJ398" s="50">
        <f t="shared" si="833"/>
        <v>0</v>
      </c>
      <c r="DK398" s="50">
        <f t="shared" si="834"/>
        <v>0</v>
      </c>
      <c r="DL398" s="50">
        <f t="shared" si="835"/>
        <v>0</v>
      </c>
      <c r="DM398" s="50">
        <f t="shared" si="836"/>
        <v>0</v>
      </c>
      <c r="DN398" s="50">
        <f t="shared" si="837"/>
        <v>0</v>
      </c>
      <c r="DO398" s="50">
        <f t="shared" si="838"/>
        <v>0</v>
      </c>
      <c r="DP398" s="50">
        <f t="shared" si="839"/>
        <v>0</v>
      </c>
      <c r="DQ398" s="50">
        <f t="shared" si="816"/>
        <v>0</v>
      </c>
      <c r="DR398" s="50">
        <f t="shared" si="817"/>
        <v>0</v>
      </c>
      <c r="DS398" s="96">
        <f>Miscelaneous!$D$4*Miscelaneous!$D$2^($CI398-1)</f>
        <v>1000</v>
      </c>
      <c r="DT398" s="333">
        <f t="shared" si="796"/>
        <v>1</v>
      </c>
      <c r="DU398" s="81">
        <v>1</v>
      </c>
      <c r="DV398" s="79">
        <f t="shared" si="818"/>
        <v>0</v>
      </c>
      <c r="DW398" s="79">
        <f t="shared" si="819"/>
        <v>0</v>
      </c>
      <c r="DX398" s="79">
        <f t="shared" si="820"/>
        <v>0</v>
      </c>
      <c r="DY398" s="79">
        <v>1</v>
      </c>
      <c r="DZ398" s="79">
        <f t="shared" si="821"/>
        <v>0</v>
      </c>
      <c r="EA398" s="79">
        <f t="shared" si="822"/>
        <v>0</v>
      </c>
      <c r="EB398" s="79">
        <f t="shared" si="823"/>
        <v>0</v>
      </c>
      <c r="EC398" s="79">
        <f t="shared" si="824"/>
        <v>0</v>
      </c>
      <c r="ED398" s="79">
        <v>1</v>
      </c>
      <c r="EE398" s="79">
        <v>1</v>
      </c>
      <c r="EF398" s="79">
        <f t="shared" si="825"/>
        <v>0</v>
      </c>
      <c r="EG398" s="79">
        <v>1</v>
      </c>
      <c r="EH398" s="79">
        <v>1</v>
      </c>
      <c r="EI398" s="79">
        <v>1</v>
      </c>
      <c r="EJ398" s="79">
        <v>1</v>
      </c>
      <c r="EK398" s="79">
        <v>1</v>
      </c>
      <c r="EL398" s="79">
        <v>1</v>
      </c>
      <c r="EM398" s="143">
        <f t="shared" si="826"/>
        <v>0</v>
      </c>
      <c r="EN398" s="143">
        <f t="shared" si="827"/>
        <v>0</v>
      </c>
      <c r="EO398" s="82">
        <f t="shared" si="828"/>
        <v>0</v>
      </c>
    </row>
    <row r="399" spans="1:145" x14ac:dyDescent="0.25">
      <c r="A399">
        <v>385</v>
      </c>
      <c r="B399" s="172" t="e">
        <f t="shared" si="797"/>
        <v>#N/A</v>
      </c>
      <c r="C399" s="121" t="e">
        <f t="shared" ref="C399:E399" si="936">AJ399-SUM(AB399:AB403)</f>
        <v>#N/A</v>
      </c>
      <c r="D399" s="122" t="e">
        <f t="shared" si="936"/>
        <v>#N/A</v>
      </c>
      <c r="E399" s="122" t="e">
        <f t="shared" si="936"/>
        <v>#N/A</v>
      </c>
      <c r="F399" s="176" t="e">
        <f t="shared" ref="F399:F462" si="937">IF(AND(MAX(C399:E399)&gt;0,DS399-MAX(C399:E399)&lt;DS399),DS399-MAX(C399:E399),DS399)</f>
        <v>#N/A</v>
      </c>
      <c r="G399" s="121">
        <f t="shared" si="799"/>
        <v>208</v>
      </c>
      <c r="H399" s="176" t="e">
        <f t="shared" si="800"/>
        <v>#N/A</v>
      </c>
      <c r="I399" s="48">
        <v>1</v>
      </c>
      <c r="J399" s="39"/>
      <c r="K399" s="350">
        <v>1</v>
      </c>
      <c r="L399" s="34" t="e">
        <f t="shared" ref="L399:L462" si="938">HLOOKUP(J399,$BS$14:$CM$508,A400,FALSE)+K399</f>
        <v>#N/A</v>
      </c>
      <c r="M399" s="38" t="e">
        <f>(HLOOKUP(J399,'Construction Times'!$B$3:$W$34,L399+2,FALSE)*HLOOKUP("hq modifier",'Construction Times'!$W$3:$W$34,BS399+2,FALSE))*(1-$H$9)</f>
        <v>#N/A</v>
      </c>
      <c r="N399" s="426" t="e">
        <f t="shared" si="801"/>
        <v>#N/A</v>
      </c>
      <c r="O399" s="427"/>
      <c r="P399" s="430" t="e">
        <f t="shared" si="802"/>
        <v>#N/A</v>
      </c>
      <c r="Q399" s="431"/>
      <c r="R399" s="103">
        <f t="shared" si="897"/>
        <v>0</v>
      </c>
      <c r="S399" s="104">
        <f t="shared" si="897"/>
        <v>0</v>
      </c>
      <c r="T399" s="104">
        <f t="shared" si="898"/>
        <v>0</v>
      </c>
      <c r="U399" s="104">
        <f t="shared" si="898"/>
        <v>0</v>
      </c>
      <c r="V399" s="104">
        <f t="shared" si="898"/>
        <v>9.9999999999999995E-8</v>
      </c>
      <c r="W399" s="104">
        <f t="shared" si="898"/>
        <v>0</v>
      </c>
      <c r="X399" s="104">
        <f t="shared" si="934"/>
        <v>0</v>
      </c>
      <c r="Y399" s="104">
        <f t="shared" si="934"/>
        <v>9.9999999999999995E-8</v>
      </c>
      <c r="Z399" s="104">
        <f t="shared" si="934"/>
        <v>9.9999999999999995E-8</v>
      </c>
      <c r="AA399" s="105">
        <f t="shared" si="934"/>
        <v>9.9999999999999995E-8</v>
      </c>
      <c r="AB399" s="101" t="e">
        <f>$DT399*HLOOKUP($J399,'Construction Costs (timber)'!$B$1:$V$32,'Construction Planner'!$L399+2,FALSE)</f>
        <v>#N/A</v>
      </c>
      <c r="AC399" s="14" t="e">
        <f>$DT399*HLOOKUP($J399,'Construction Costs (clay)'!$B$1:$V$32,'Construction Planner'!$L399+2,FALSE)</f>
        <v>#N/A</v>
      </c>
      <c r="AD399" s="14" t="e">
        <f>$DT399*HLOOKUP($J399,'Construction Costs (iron)'!$B$1:$V$32,'Construction Planner'!$L399+2,FALSE)</f>
        <v>#N/A</v>
      </c>
      <c r="AE399" s="34" t="e">
        <f t="shared" si="843"/>
        <v>#N/A</v>
      </c>
      <c r="AF399" s="33" t="e">
        <f t="shared" ref="AF399:AF462" si="939">AB399*($AH$3/$M399)</f>
        <v>#N/A</v>
      </c>
      <c r="AG399" s="14" t="e">
        <f t="shared" ref="AG399:AG462" si="940">AC399*($AH$3/$M399)</f>
        <v>#N/A</v>
      </c>
      <c r="AH399" s="14" t="e">
        <f t="shared" ref="AH399:AH462" si="941">AD399*($AH$3/$M399)</f>
        <v>#N/A</v>
      </c>
      <c r="AI399" s="34" t="e">
        <f t="shared" si="844"/>
        <v>#N/A</v>
      </c>
      <c r="AJ399" s="49" t="e">
        <f t="shared" si="804"/>
        <v>#N/A</v>
      </c>
      <c r="AK399" s="49" t="e">
        <f t="shared" si="805"/>
        <v>#N/A</v>
      </c>
      <c r="AL399" s="49" t="e">
        <f t="shared" si="806"/>
        <v>#N/A</v>
      </c>
      <c r="AM399" s="25">
        <f t="shared" ref="AM399:AM462" si="942">IF(CE399 = 0,$E$3*5,$E$3*30*1.163118^(CE399-1))*(1+$B$10)</f>
        <v>30</v>
      </c>
      <c r="AN399" s="25">
        <f t="shared" ref="AN399:AN462" si="943">IF(CF399 = 0,$E$3*5,$E$3*30*1.163118^(CF399-1))*(1+$B$10)</f>
        <v>30</v>
      </c>
      <c r="AO399" s="25">
        <f t="shared" ref="AO399:AO462" si="944">IF(CG399 = 0,$E$3*5,$E$3*30*1.163118^(CG399-1))*(1+$B$10)</f>
        <v>30</v>
      </c>
      <c r="AP399" s="52" t="e">
        <f t="shared" si="894"/>
        <v>#N/A</v>
      </c>
      <c r="AQ399" s="53" t="e">
        <f t="shared" si="894"/>
        <v>#N/A</v>
      </c>
      <c r="AR399" s="54" t="e">
        <f t="shared" si="894"/>
        <v>#N/A</v>
      </c>
      <c r="AS399" s="316">
        <f t="shared" si="922"/>
        <v>0</v>
      </c>
      <c r="AT399" s="106">
        <f>_xlfn.IFNA($M399/VLOOKUP($BT399,'Unit information'!$A$2:$K$29,2,FALSE)*R399,0)*(1+$E$9)</f>
        <v>0</v>
      </c>
      <c r="AU399" s="107">
        <f>_xlfn.IFNA($M399/VLOOKUP($BT399,'Unit information'!$A$2:$K$29,3,FALSE)*S399,0)*(1+$E$9)</f>
        <v>0</v>
      </c>
      <c r="AV399" s="107">
        <f>_xlfn.IFNA($M399/VLOOKUP($BT399,'Unit information'!$A$2:$K$29,4,FALSE)*T399,0)*(1+$E$9)</f>
        <v>0</v>
      </c>
      <c r="AW399" s="107">
        <f>_xlfn.IFNA($M399/VLOOKUP($BT399,'Unit information'!$A$2:$K$29,5,FALSE)*U399,0)*(1+$E$9)</f>
        <v>0</v>
      </c>
      <c r="AX399" s="107">
        <f>_xlfn.IFNA($M399/VLOOKUP($BU399,'Unit information'!$A$2:$K$29,6,FALSE)*V399,0)*(1+$E$9)</f>
        <v>0</v>
      </c>
      <c r="AY399" s="107">
        <f>_xlfn.IFNA($M399/VLOOKUP($BU399,'Unit information'!$A$2:$K$29,7,FALSE)*W399,0)*(1+$E$9)</f>
        <v>0</v>
      </c>
      <c r="AZ399" s="107">
        <f>_xlfn.IFNA($M399/VLOOKUP($BU399,'Unit information'!$A$2:$K$29,8,FALSE)*X399,0)*(1+$E$9)</f>
        <v>0</v>
      </c>
      <c r="BA399" s="107">
        <f>_xlfn.IFNA($M399/VLOOKUP($BU399,'Unit information'!$A$2:$K$29,9,FALSE)*Y399,0)*(1+$E$9)</f>
        <v>0</v>
      </c>
      <c r="BB399" s="107">
        <f>_xlfn.IFNA($M399/VLOOKUP($BV399,'Unit information'!$A$2:$K$29,10,FALSE)*Z399,0)*(1+$E$9)</f>
        <v>0</v>
      </c>
      <c r="BC399" s="108">
        <f>_xlfn.IFNA($M399/VLOOKUP($BV399,'Unit information'!$A$2:$K$29,11,FALSE)*AA399,0)*(1+$E$9)</f>
        <v>0</v>
      </c>
      <c r="BD399" s="106">
        <f t="shared" ref="BD399:BD462" si="945">$AT399*50+$AU399*30+$AV399*60+$AX399*50+$AY399*125+$BA399*200+$BB399*300+$BC399*320</f>
        <v>0</v>
      </c>
      <c r="BE399" s="107">
        <f t="shared" ref="BE399:BE462" si="946">$AT399*30+$AU399*30+$AV399*30+$AX399*50+$AY399*100+$BA399*150+$BB399*200+$BC399*400</f>
        <v>0</v>
      </c>
      <c r="BF399" s="108">
        <f t="shared" ref="BF399:BF462" si="947">$AT399*10+$AU399*70+$AV399*40+$AX399*20+$AY399*250+$BA399*600+$BB399*200+$BC399*100</f>
        <v>0</v>
      </c>
      <c r="BG399" s="25" t="e">
        <f t="shared" ref="BG399:BG462" si="948">AM399+AP399</f>
        <v>#N/A</v>
      </c>
      <c r="BH399" s="25" t="e">
        <f t="shared" ref="BH399:BH462" si="949">AN399+AQ399</f>
        <v>#N/A</v>
      </c>
      <c r="BI399" s="25" t="e">
        <f t="shared" ref="BI399:BI462" si="950">AO399+AR399</f>
        <v>#N/A</v>
      </c>
      <c r="BJ399" s="27" t="e">
        <f t="shared" ref="BJ399:BJ462" si="951">IF(AJ399&gt;AB399,0,(AB399-AJ399)/BG399*$AK$3)</f>
        <v>#N/A</v>
      </c>
      <c r="BK399" s="18" t="e">
        <f t="shared" ref="BK399:BK462" si="952">IF(AK399&gt;AC399,0,(AC399-AK399)/BH399*$AK$3)</f>
        <v>#N/A</v>
      </c>
      <c r="BL399" s="18" t="e">
        <f t="shared" ref="BL399:BL462" si="953">IF(AL399&gt;AD399,0,(AD399-AL399)/BI399*$AK$3)</f>
        <v>#N/A</v>
      </c>
      <c r="BM399" s="28" t="e">
        <f t="shared" si="846"/>
        <v>#N/A</v>
      </c>
      <c r="BN399" s="33">
        <f>HLOOKUP("maximum population",Miscelaneous!$C$1:$C$33,CH399+3,FALSE)</f>
        <v>240</v>
      </c>
      <c r="BO399" s="14">
        <f t="shared" si="808"/>
        <v>32</v>
      </c>
      <c r="BP399" s="14">
        <f t="shared" si="809"/>
        <v>0</v>
      </c>
      <c r="BQ399" s="14">
        <f t="shared" si="810"/>
        <v>208</v>
      </c>
      <c r="BR399" s="34" t="e">
        <f>HLOOKUP(J399,Villagers!$B$1:$V$33,L399+3,FALSE)-HLOOKUP(J399,Villagers!$B$1:$V$33,L399+2,FALSE)</f>
        <v>#N/A</v>
      </c>
      <c r="BS399" s="49">
        <f t="shared" si="811"/>
        <v>1</v>
      </c>
      <c r="BT399" s="50">
        <f t="shared" si="812"/>
        <v>0</v>
      </c>
      <c r="BU399" s="50">
        <f t="shared" si="813"/>
        <v>0</v>
      </c>
      <c r="BV399" s="50">
        <f t="shared" si="814"/>
        <v>0</v>
      </c>
      <c r="BW399" s="50">
        <f t="shared" si="926"/>
        <v>0</v>
      </c>
      <c r="BX399" s="50">
        <f t="shared" si="927"/>
        <v>0</v>
      </c>
      <c r="BY399" s="50">
        <f t="shared" si="927"/>
        <v>0</v>
      </c>
      <c r="BZ399" s="50">
        <f t="shared" si="860"/>
        <v>0</v>
      </c>
      <c r="CA399" s="50">
        <f t="shared" si="861"/>
        <v>0</v>
      </c>
      <c r="CB399" s="50">
        <f t="shared" si="862"/>
        <v>1</v>
      </c>
      <c r="CC399" s="50">
        <f t="shared" si="863"/>
        <v>0</v>
      </c>
      <c r="CD399" s="50">
        <f t="shared" si="864"/>
        <v>0</v>
      </c>
      <c r="CE399" s="50">
        <f t="shared" si="865"/>
        <v>1</v>
      </c>
      <c r="CF399" s="50">
        <f t="shared" si="866"/>
        <v>1</v>
      </c>
      <c r="CG399" s="50">
        <f t="shared" si="867"/>
        <v>1</v>
      </c>
      <c r="CH399" s="50">
        <f t="shared" si="868"/>
        <v>1</v>
      </c>
      <c r="CI399" s="50">
        <f t="shared" si="869"/>
        <v>1</v>
      </c>
      <c r="CJ399" s="50">
        <f t="shared" si="870"/>
        <v>1</v>
      </c>
      <c r="CK399" s="50">
        <f t="shared" si="870"/>
        <v>0</v>
      </c>
      <c r="CL399" s="50">
        <f t="shared" si="870"/>
        <v>0</v>
      </c>
      <c r="CM399" s="51">
        <f t="shared" ref="CM399:CM414" si="954">IF($J398=CM$14,$L398,CM398)</f>
        <v>0</v>
      </c>
      <c r="CN399" s="33">
        <f>ROUND(IF(BS399=0,0,HLOOKUP(BS$14,Villagers!$B$1:$V$33,BS399+3,FALSE)),)</f>
        <v>5</v>
      </c>
      <c r="CO399" s="14">
        <f>ROUND(IF(BT399=0,0,HLOOKUP(BT$14,Villagers!$B$1:$V$33,BT399+3,FALSE)),)</f>
        <v>0</v>
      </c>
      <c r="CP399" s="14">
        <f>ROUND(IF(BU399=0,0,HLOOKUP(BU$14,Villagers!$B$1:$V$33,BU399+3,FALSE)),)</f>
        <v>0</v>
      </c>
      <c r="CQ399" s="14">
        <f>ROUND(IF(BV399=0,0,HLOOKUP(BV$14,Villagers!$B$1:$V$33,BV399+3,FALSE)),)</f>
        <v>0</v>
      </c>
      <c r="CR399" s="14">
        <f>ROUND(IF(BW399=0,0,HLOOKUP(BW$14,Villagers!$B$1:$V$33,BW399+3,FALSE)),)</f>
        <v>0</v>
      </c>
      <c r="CS399" s="14">
        <f>ROUND(IF(BX399=0,0,HLOOKUP(BX$14,Villagers!$B$1:$V$33,BX399+3,FALSE)),)</f>
        <v>0</v>
      </c>
      <c r="CT399" s="14">
        <f>ROUND(IF(BY399=0,0,HLOOKUP(BY$14,Villagers!$B$1:$V$33,BY399+3,FALSE)),)</f>
        <v>0</v>
      </c>
      <c r="CU399" s="14">
        <f>ROUND(IF(BZ399=0,0,HLOOKUP(BZ$14,Villagers!$B$1:$V$33,BZ399+3,FALSE)),)</f>
        <v>0</v>
      </c>
      <c r="CV399" s="14">
        <f>ROUND(IF(CA399=0,0,HLOOKUP(CA$14,Villagers!$B$1:$V$33,CA399+3,FALSE)),)</f>
        <v>0</v>
      </c>
      <c r="CW399" s="14">
        <f>ROUND(IF(CB399=0,0,HLOOKUP(CB$14,Villagers!$B$1:$V$33,CB399+3,FALSE)),)</f>
        <v>0</v>
      </c>
      <c r="CX399" s="14">
        <f>ROUND(IF(CC399=0,0,HLOOKUP(CC$14,Villagers!$B$1:$V$33,CC399+3,FALSE)),)</f>
        <v>0</v>
      </c>
      <c r="CY399" s="14">
        <f>ROUND(IF(CD399=0,0,HLOOKUP(CD$14,Villagers!$B$1:$V$33,CD399+3,FALSE)),)</f>
        <v>0</v>
      </c>
      <c r="CZ399" s="14">
        <f>ROUND(IF(CE399=0,0,HLOOKUP(CE$14,Villagers!$B$1:$V$33,CE399+3,FALSE)),)</f>
        <v>5</v>
      </c>
      <c r="DA399" s="14">
        <f>ROUND(IF(CF399=0,0,HLOOKUP(CF$14,Villagers!$B$1:$V$33,CF399+3,FALSE)),)</f>
        <v>10</v>
      </c>
      <c r="DB399" s="14">
        <f>ROUND(IF(CG399=0,0,HLOOKUP(CG$14,Villagers!$B$1:$V$33,CG399+3,FALSE)),)</f>
        <v>10</v>
      </c>
      <c r="DC399" s="14">
        <f>ROUND(IF(CH399=0,0,HLOOKUP(CH$14,Villagers!$B$1:$V$33,CH399+3,FALSE)),)</f>
        <v>0</v>
      </c>
      <c r="DD399" s="14">
        <f>ROUND(IF(CI399=0,0,HLOOKUP(CI$14,Villagers!$B$1:$V$33,CI399+3,FALSE)),)</f>
        <v>0</v>
      </c>
      <c r="DE399" s="14">
        <f>ROUND(IF(CJ399=0,0,HLOOKUP(CJ$14,Villagers!$B$1:$V$33,CJ399+3,FALSE)),)</f>
        <v>2</v>
      </c>
      <c r="DF399" s="370">
        <f>ROUND(IF(CK399=0,0,HLOOKUP(CK$14,Villagers!$B$1:$V$33,CK399+3,FALSE)),)</f>
        <v>0</v>
      </c>
      <c r="DG399" s="370">
        <f>ROUND(IF(CL399=0,0,HLOOKUP(CL$14,Villagers!$B$1:$V$33,CL399+3,FALSE)),)</f>
        <v>0</v>
      </c>
      <c r="DH399" s="34">
        <f>ROUND(IF(CM399=0,0,HLOOKUP(CM$14,Villagers!$B$1:$V$33,CM399+3,FALSE)),)</f>
        <v>0</v>
      </c>
      <c r="DI399" s="109">
        <f t="shared" si="832"/>
        <v>0</v>
      </c>
      <c r="DJ399" s="50">
        <f t="shared" si="833"/>
        <v>0</v>
      </c>
      <c r="DK399" s="50">
        <f t="shared" si="834"/>
        <v>0</v>
      </c>
      <c r="DL399" s="50">
        <f t="shared" si="835"/>
        <v>0</v>
      </c>
      <c r="DM399" s="50">
        <f t="shared" si="836"/>
        <v>0</v>
      </c>
      <c r="DN399" s="50">
        <f t="shared" si="837"/>
        <v>0</v>
      </c>
      <c r="DO399" s="50">
        <f t="shared" si="838"/>
        <v>0</v>
      </c>
      <c r="DP399" s="50">
        <f t="shared" si="839"/>
        <v>0</v>
      </c>
      <c r="DQ399" s="50">
        <f t="shared" si="816"/>
        <v>0</v>
      </c>
      <c r="DR399" s="50">
        <f t="shared" si="817"/>
        <v>0</v>
      </c>
      <c r="DS399" s="96">
        <f>Miscelaneous!$D$4*Miscelaneous!$D$2^($CI399-1)</f>
        <v>1000</v>
      </c>
      <c r="DT399" s="333">
        <f t="shared" ref="DT399:DT462" si="955">IF(I399&lt;3,1,1.125^(I399-3))</f>
        <v>1</v>
      </c>
      <c r="DU399" s="81">
        <v>1</v>
      </c>
      <c r="DV399" s="79">
        <f t="shared" si="818"/>
        <v>0</v>
      </c>
      <c r="DW399" s="79">
        <f t="shared" si="819"/>
        <v>0</v>
      </c>
      <c r="DX399" s="79">
        <f t="shared" si="820"/>
        <v>0</v>
      </c>
      <c r="DY399" s="79">
        <v>1</v>
      </c>
      <c r="DZ399" s="79">
        <f t="shared" si="821"/>
        <v>0</v>
      </c>
      <c r="EA399" s="79">
        <f t="shared" si="822"/>
        <v>0</v>
      </c>
      <c r="EB399" s="79">
        <f t="shared" si="823"/>
        <v>0</v>
      </c>
      <c r="EC399" s="79">
        <f t="shared" si="824"/>
        <v>0</v>
      </c>
      <c r="ED399" s="79">
        <v>1</v>
      </c>
      <c r="EE399" s="79">
        <v>1</v>
      </c>
      <c r="EF399" s="79">
        <f t="shared" si="825"/>
        <v>0</v>
      </c>
      <c r="EG399" s="79">
        <v>1</v>
      </c>
      <c r="EH399" s="79">
        <v>1</v>
      </c>
      <c r="EI399" s="79">
        <v>1</v>
      </c>
      <c r="EJ399" s="79">
        <v>1</v>
      </c>
      <c r="EK399" s="79">
        <v>1</v>
      </c>
      <c r="EL399" s="79">
        <v>1</v>
      </c>
      <c r="EM399" s="143">
        <f t="shared" si="826"/>
        <v>0</v>
      </c>
      <c r="EN399" s="143">
        <f t="shared" si="827"/>
        <v>0</v>
      </c>
      <c r="EO399" s="82">
        <f t="shared" si="828"/>
        <v>0</v>
      </c>
    </row>
    <row r="400" spans="1:145" x14ac:dyDescent="0.25">
      <c r="A400">
        <v>386</v>
      </c>
      <c r="B400" s="172" t="e">
        <f t="shared" ref="B400:B463" si="956">BM400</f>
        <v>#N/A</v>
      </c>
      <c r="C400" s="121" t="e">
        <f t="shared" ref="C400:E400" si="957">AJ400-SUM(AB400:AB404)</f>
        <v>#N/A</v>
      </c>
      <c r="D400" s="122" t="e">
        <f t="shared" si="957"/>
        <v>#N/A</v>
      </c>
      <c r="E400" s="122" t="e">
        <f t="shared" si="957"/>
        <v>#N/A</v>
      </c>
      <c r="F400" s="176" t="e">
        <f t="shared" si="937"/>
        <v>#N/A</v>
      </c>
      <c r="G400" s="121">
        <f t="shared" ref="G400:G463" si="958">BQ400</f>
        <v>208</v>
      </c>
      <c r="H400" s="176" t="e">
        <f t="shared" ref="H400:H463" si="959">BQ400-SUM(BR400:BR404)</f>
        <v>#N/A</v>
      </c>
      <c r="I400" s="48">
        <v>1</v>
      </c>
      <c r="J400" s="39"/>
      <c r="K400" s="350">
        <v>1</v>
      </c>
      <c r="L400" s="34" t="e">
        <f t="shared" si="938"/>
        <v>#N/A</v>
      </c>
      <c r="M400" s="38" t="e">
        <f>(HLOOKUP(J400,'Construction Times'!$B$3:$W$34,L400+2,FALSE)*HLOOKUP("hq modifier",'Construction Times'!$W$3:$W$34,BS400+2,FALSE))*(1-$H$9)</f>
        <v>#N/A</v>
      </c>
      <c r="N400" s="426" t="e">
        <f t="shared" ref="N400:N463" si="960">P399+M399</f>
        <v>#N/A</v>
      </c>
      <c r="O400" s="427"/>
      <c r="P400" s="430" t="e">
        <f t="shared" ref="P400:P463" si="961">IF(MAX(AB400:AD400)&gt;DS400,"Speicher zu klein",IF(HLOOKUP(J400,$DU$14:$EO$509,A400+2,FALSE)=0,"Gebäude Vor. nicht erfüllt",N400+BM400))</f>
        <v>#N/A</v>
      </c>
      <c r="Q400" s="431"/>
      <c r="R400" s="103">
        <f t="shared" si="897"/>
        <v>0</v>
      </c>
      <c r="S400" s="104">
        <f t="shared" si="897"/>
        <v>0</v>
      </c>
      <c r="T400" s="104">
        <f t="shared" si="898"/>
        <v>0</v>
      </c>
      <c r="U400" s="104">
        <f t="shared" si="898"/>
        <v>0</v>
      </c>
      <c r="V400" s="104">
        <f t="shared" si="898"/>
        <v>9.9999999999999995E-8</v>
      </c>
      <c r="W400" s="104">
        <f t="shared" si="898"/>
        <v>0</v>
      </c>
      <c r="X400" s="104">
        <f t="shared" si="934"/>
        <v>0</v>
      </c>
      <c r="Y400" s="104">
        <f t="shared" si="934"/>
        <v>9.9999999999999995E-8</v>
      </c>
      <c r="Z400" s="104">
        <f t="shared" si="934"/>
        <v>9.9999999999999995E-8</v>
      </c>
      <c r="AA400" s="105">
        <f t="shared" si="934"/>
        <v>9.9999999999999995E-8</v>
      </c>
      <c r="AB400" s="101" t="e">
        <f>$DT400*HLOOKUP($J400,'Construction Costs (timber)'!$B$1:$V$32,'Construction Planner'!$L400+2,FALSE)</f>
        <v>#N/A</v>
      </c>
      <c r="AC400" s="14" t="e">
        <f>$DT400*HLOOKUP($J400,'Construction Costs (clay)'!$B$1:$V$32,'Construction Planner'!$L400+2,FALSE)</f>
        <v>#N/A</v>
      </c>
      <c r="AD400" s="14" t="e">
        <f>$DT400*HLOOKUP($J400,'Construction Costs (iron)'!$B$1:$V$32,'Construction Planner'!$L400+2,FALSE)</f>
        <v>#N/A</v>
      </c>
      <c r="AE400" s="34" t="e">
        <f t="shared" si="843"/>
        <v>#N/A</v>
      </c>
      <c r="AF400" s="33" t="e">
        <f t="shared" si="939"/>
        <v>#N/A</v>
      </c>
      <c r="AG400" s="14" t="e">
        <f t="shared" si="940"/>
        <v>#N/A</v>
      </c>
      <c r="AH400" s="14" t="e">
        <f t="shared" si="941"/>
        <v>#N/A</v>
      </c>
      <c r="AI400" s="34" t="e">
        <f t="shared" si="844"/>
        <v>#N/A</v>
      </c>
      <c r="AJ400" s="49" t="e">
        <f t="shared" ref="AJ400:AJ463" si="962">(($N400-$N399)/$AK$3)*BG399+AJ399-AB399-BD399</f>
        <v>#N/A</v>
      </c>
      <c r="AK400" s="49" t="e">
        <f t="shared" ref="AK400:AK463" si="963">(($N400-$N399)/$AK$3)*BH399+AK399-AC399-BE399</f>
        <v>#N/A</v>
      </c>
      <c r="AL400" s="49" t="e">
        <f t="shared" ref="AL400:AL463" si="964">(($N400-$N399)/$AK$3)*BI399+AL399-AD399-BF399</f>
        <v>#N/A</v>
      </c>
      <c r="AM400" s="25">
        <f t="shared" si="942"/>
        <v>30</v>
      </c>
      <c r="AN400" s="25">
        <f t="shared" si="943"/>
        <v>30</v>
      </c>
      <c r="AO400" s="25">
        <f t="shared" si="944"/>
        <v>30</v>
      </c>
      <c r="AP400" s="52" t="e">
        <f t="shared" ref="AP400:AR431" si="965">($N400-$AK$6+$AK$9+1)*$AK$5/24/3*$AS400</f>
        <v>#N/A</v>
      </c>
      <c r="AQ400" s="53" t="e">
        <f t="shared" si="965"/>
        <v>#N/A</v>
      </c>
      <c r="AR400" s="54" t="e">
        <f t="shared" si="965"/>
        <v>#N/A</v>
      </c>
      <c r="AS400" s="316">
        <f t="shared" si="922"/>
        <v>0</v>
      </c>
      <c r="AT400" s="106">
        <f>_xlfn.IFNA($M400/VLOOKUP($BT400,'Unit information'!$A$2:$K$29,2,FALSE)*R400,0)*(1+$E$9)</f>
        <v>0</v>
      </c>
      <c r="AU400" s="107">
        <f>_xlfn.IFNA($M400/VLOOKUP($BT400,'Unit information'!$A$2:$K$29,3,FALSE)*S400,0)*(1+$E$9)</f>
        <v>0</v>
      </c>
      <c r="AV400" s="107">
        <f>_xlfn.IFNA($M400/VLOOKUP($BT400,'Unit information'!$A$2:$K$29,4,FALSE)*T400,0)*(1+$E$9)</f>
        <v>0</v>
      </c>
      <c r="AW400" s="107">
        <f>_xlfn.IFNA($M400/VLOOKUP($BT400,'Unit information'!$A$2:$K$29,5,FALSE)*U400,0)*(1+$E$9)</f>
        <v>0</v>
      </c>
      <c r="AX400" s="107">
        <f>_xlfn.IFNA($M400/VLOOKUP($BU400,'Unit information'!$A$2:$K$29,6,FALSE)*V400,0)*(1+$E$9)</f>
        <v>0</v>
      </c>
      <c r="AY400" s="107">
        <f>_xlfn.IFNA($M400/VLOOKUP($BU400,'Unit information'!$A$2:$K$29,7,FALSE)*W400,0)*(1+$E$9)</f>
        <v>0</v>
      </c>
      <c r="AZ400" s="107">
        <f>_xlfn.IFNA($M400/VLOOKUP($BU400,'Unit information'!$A$2:$K$29,8,FALSE)*X400,0)*(1+$E$9)</f>
        <v>0</v>
      </c>
      <c r="BA400" s="107">
        <f>_xlfn.IFNA($M400/VLOOKUP($BU400,'Unit information'!$A$2:$K$29,9,FALSE)*Y400,0)*(1+$E$9)</f>
        <v>0</v>
      </c>
      <c r="BB400" s="107">
        <f>_xlfn.IFNA($M400/VLOOKUP($BV400,'Unit information'!$A$2:$K$29,10,FALSE)*Z400,0)*(1+$E$9)</f>
        <v>0</v>
      </c>
      <c r="BC400" s="108">
        <f>_xlfn.IFNA($M400/VLOOKUP($BV400,'Unit information'!$A$2:$K$29,11,FALSE)*AA400,0)*(1+$E$9)</f>
        <v>0</v>
      </c>
      <c r="BD400" s="106">
        <f t="shared" si="945"/>
        <v>0</v>
      </c>
      <c r="BE400" s="107">
        <f t="shared" si="946"/>
        <v>0</v>
      </c>
      <c r="BF400" s="108">
        <f t="shared" si="947"/>
        <v>0</v>
      </c>
      <c r="BG400" s="25" t="e">
        <f t="shared" si="948"/>
        <v>#N/A</v>
      </c>
      <c r="BH400" s="25" t="e">
        <f t="shared" si="949"/>
        <v>#N/A</v>
      </c>
      <c r="BI400" s="25" t="e">
        <f t="shared" si="950"/>
        <v>#N/A</v>
      </c>
      <c r="BJ400" s="27" t="e">
        <f t="shared" si="951"/>
        <v>#N/A</v>
      </c>
      <c r="BK400" s="18" t="e">
        <f t="shared" si="952"/>
        <v>#N/A</v>
      </c>
      <c r="BL400" s="18" t="e">
        <f t="shared" si="953"/>
        <v>#N/A</v>
      </c>
      <c r="BM400" s="28" t="e">
        <f t="shared" si="846"/>
        <v>#N/A</v>
      </c>
      <c r="BN400" s="33">
        <f>HLOOKUP("maximum population",Miscelaneous!$C$1:$C$33,CH400+3,FALSE)</f>
        <v>240</v>
      </c>
      <c r="BO400" s="14">
        <f t="shared" ref="BO400:BO463" si="966">SUM(CN401:DH401)</f>
        <v>32</v>
      </c>
      <c r="BP400" s="14">
        <f t="shared" ref="BP400:BP463" si="967">SUM(DI400:DL400)+DM400*2+DN400*4+DO400*5+DP400*6+DQ400*5+DR400*8</f>
        <v>0</v>
      </c>
      <c r="BQ400" s="14">
        <f t="shared" ref="BQ400:BQ463" si="968">BN400-BO400-BP400</f>
        <v>208</v>
      </c>
      <c r="BR400" s="34" t="e">
        <f>HLOOKUP(J400,Villagers!$B$1:$V$33,L400+3,FALSE)-HLOOKUP(J400,Villagers!$B$1:$V$33,L400+2,FALSE)</f>
        <v>#N/A</v>
      </c>
      <c r="BS400" s="49">
        <f t="shared" ref="BS400:BS463" si="969">IF($J399=BS$14,$L399,BS399)</f>
        <v>1</v>
      </c>
      <c r="BT400" s="50">
        <f t="shared" ref="BT400:BT463" si="970">IF($J399=BT$14,$L399,BT399)</f>
        <v>0</v>
      </c>
      <c r="BU400" s="50">
        <f t="shared" ref="BU400:BU463" si="971">IF($J399=BU$14,$L399,BU399)</f>
        <v>0</v>
      </c>
      <c r="BV400" s="50">
        <f t="shared" ref="BV400:BV463" si="972">IF($J399=BV$14,$L399,BV399)</f>
        <v>0</v>
      </c>
      <c r="BW400" s="50">
        <f t="shared" si="926"/>
        <v>0</v>
      </c>
      <c r="BX400" s="50">
        <f t="shared" si="927"/>
        <v>0</v>
      </c>
      <c r="BY400" s="50">
        <f t="shared" si="927"/>
        <v>0</v>
      </c>
      <c r="BZ400" s="50">
        <f t="shared" si="860"/>
        <v>0</v>
      </c>
      <c r="CA400" s="50">
        <f t="shared" si="861"/>
        <v>0</v>
      </c>
      <c r="CB400" s="50">
        <f t="shared" si="862"/>
        <v>1</v>
      </c>
      <c r="CC400" s="50">
        <f t="shared" si="863"/>
        <v>0</v>
      </c>
      <c r="CD400" s="50">
        <f t="shared" si="864"/>
        <v>0</v>
      </c>
      <c r="CE400" s="50">
        <f t="shared" si="865"/>
        <v>1</v>
      </c>
      <c r="CF400" s="50">
        <f t="shared" si="866"/>
        <v>1</v>
      </c>
      <c r="CG400" s="50">
        <f t="shared" si="867"/>
        <v>1</v>
      </c>
      <c r="CH400" s="50">
        <f t="shared" si="868"/>
        <v>1</v>
      </c>
      <c r="CI400" s="50">
        <f t="shared" si="869"/>
        <v>1</v>
      </c>
      <c r="CJ400" s="50">
        <f t="shared" si="870"/>
        <v>1</v>
      </c>
      <c r="CK400" s="50">
        <f t="shared" si="870"/>
        <v>0</v>
      </c>
      <c r="CL400" s="50">
        <f t="shared" si="870"/>
        <v>0</v>
      </c>
      <c r="CM400" s="51">
        <f t="shared" si="954"/>
        <v>0</v>
      </c>
      <c r="CN400" s="33">
        <f>ROUND(IF(BS400=0,0,HLOOKUP(BS$14,Villagers!$B$1:$V$33,BS400+3,FALSE)),)</f>
        <v>5</v>
      </c>
      <c r="CO400" s="14">
        <f>ROUND(IF(BT400=0,0,HLOOKUP(BT$14,Villagers!$B$1:$V$33,BT400+3,FALSE)),)</f>
        <v>0</v>
      </c>
      <c r="CP400" s="14">
        <f>ROUND(IF(BU400=0,0,HLOOKUP(BU$14,Villagers!$B$1:$V$33,BU400+3,FALSE)),)</f>
        <v>0</v>
      </c>
      <c r="CQ400" s="14">
        <f>ROUND(IF(BV400=0,0,HLOOKUP(BV$14,Villagers!$B$1:$V$33,BV400+3,FALSE)),)</f>
        <v>0</v>
      </c>
      <c r="CR400" s="14">
        <f>ROUND(IF(BW400=0,0,HLOOKUP(BW$14,Villagers!$B$1:$V$33,BW400+3,FALSE)),)</f>
        <v>0</v>
      </c>
      <c r="CS400" s="14">
        <f>ROUND(IF(BX400=0,0,HLOOKUP(BX$14,Villagers!$B$1:$V$33,BX400+3,FALSE)),)</f>
        <v>0</v>
      </c>
      <c r="CT400" s="14">
        <f>ROUND(IF(BY400=0,0,HLOOKUP(BY$14,Villagers!$B$1:$V$33,BY400+3,FALSE)),)</f>
        <v>0</v>
      </c>
      <c r="CU400" s="14">
        <f>ROUND(IF(BZ400=0,0,HLOOKUP(BZ$14,Villagers!$B$1:$V$33,BZ400+3,FALSE)),)</f>
        <v>0</v>
      </c>
      <c r="CV400" s="14">
        <f>ROUND(IF(CA400=0,0,HLOOKUP(CA$14,Villagers!$B$1:$V$33,CA400+3,FALSE)),)</f>
        <v>0</v>
      </c>
      <c r="CW400" s="14">
        <f>ROUND(IF(CB400=0,0,HLOOKUP(CB$14,Villagers!$B$1:$V$33,CB400+3,FALSE)),)</f>
        <v>0</v>
      </c>
      <c r="CX400" s="14">
        <f>ROUND(IF(CC400=0,0,HLOOKUP(CC$14,Villagers!$B$1:$V$33,CC400+3,FALSE)),)</f>
        <v>0</v>
      </c>
      <c r="CY400" s="14">
        <f>ROUND(IF(CD400=0,0,HLOOKUP(CD$14,Villagers!$B$1:$V$33,CD400+3,FALSE)),)</f>
        <v>0</v>
      </c>
      <c r="CZ400" s="14">
        <f>ROUND(IF(CE400=0,0,HLOOKUP(CE$14,Villagers!$B$1:$V$33,CE400+3,FALSE)),)</f>
        <v>5</v>
      </c>
      <c r="DA400" s="14">
        <f>ROUND(IF(CF400=0,0,HLOOKUP(CF$14,Villagers!$B$1:$V$33,CF400+3,FALSE)),)</f>
        <v>10</v>
      </c>
      <c r="DB400" s="14">
        <f>ROUND(IF(CG400=0,0,HLOOKUP(CG$14,Villagers!$B$1:$V$33,CG400+3,FALSE)),)</f>
        <v>10</v>
      </c>
      <c r="DC400" s="14">
        <f>ROUND(IF(CH400=0,0,HLOOKUP(CH$14,Villagers!$B$1:$V$33,CH400+3,FALSE)),)</f>
        <v>0</v>
      </c>
      <c r="DD400" s="14">
        <f>ROUND(IF(CI400=0,0,HLOOKUP(CI$14,Villagers!$B$1:$V$33,CI400+3,FALSE)),)</f>
        <v>0</v>
      </c>
      <c r="DE400" s="14">
        <f>ROUND(IF(CJ400=0,0,HLOOKUP(CJ$14,Villagers!$B$1:$V$33,CJ400+3,FALSE)),)</f>
        <v>2</v>
      </c>
      <c r="DF400" s="370">
        <f>ROUND(IF(CK400=0,0,HLOOKUP(CK$14,Villagers!$B$1:$V$33,CK400+3,FALSE)),)</f>
        <v>0</v>
      </c>
      <c r="DG400" s="370">
        <f>ROUND(IF(CL400=0,0,HLOOKUP(CL$14,Villagers!$B$1:$V$33,CL400+3,FALSE)),)</f>
        <v>0</v>
      </c>
      <c r="DH400" s="34">
        <f>ROUND(IF(CM400=0,0,HLOOKUP(CM$14,Villagers!$B$1:$V$33,CM400+3,FALSE)),)</f>
        <v>0</v>
      </c>
      <c r="DI400" s="109">
        <f t="shared" si="832"/>
        <v>0</v>
      </c>
      <c r="DJ400" s="50">
        <f t="shared" si="833"/>
        <v>0</v>
      </c>
      <c r="DK400" s="50">
        <f t="shared" si="834"/>
        <v>0</v>
      </c>
      <c r="DL400" s="50">
        <f t="shared" si="835"/>
        <v>0</v>
      </c>
      <c r="DM400" s="50">
        <f t="shared" si="836"/>
        <v>0</v>
      </c>
      <c r="DN400" s="50">
        <f t="shared" si="837"/>
        <v>0</v>
      </c>
      <c r="DO400" s="50">
        <f t="shared" si="838"/>
        <v>0</v>
      </c>
      <c r="DP400" s="50">
        <f t="shared" si="839"/>
        <v>0</v>
      </c>
      <c r="DQ400" s="50">
        <f t="shared" ref="DQ400:DQ463" si="973">ROUND(_xlfn.IFNA(DQ399+BB400,DQ399),0)</f>
        <v>0</v>
      </c>
      <c r="DR400" s="50">
        <f t="shared" ref="DR400:DR463" si="974">ROUND(_xlfn.IFNA(DR399+BC400,DR399),0)</f>
        <v>0</v>
      </c>
      <c r="DS400" s="96">
        <f>Miscelaneous!$D$4*Miscelaneous!$D$2^($CI400-1)</f>
        <v>1000</v>
      </c>
      <c r="DT400" s="333">
        <f t="shared" si="955"/>
        <v>1</v>
      </c>
      <c r="DU400" s="81">
        <v>1</v>
      </c>
      <c r="DV400" s="79">
        <f t="shared" ref="DV400:DV463" si="975">IF(BS400&gt;2,1,0)</f>
        <v>0</v>
      </c>
      <c r="DW400" s="79">
        <f t="shared" ref="DW400:DW463" si="976">IF(AND(BS400&gt;9,CA400&gt;4,BT400&gt;4)=TRUE,1,0)</f>
        <v>0</v>
      </c>
      <c r="DX400" s="79">
        <f t="shared" ref="DX400:DX463" si="977">IF(AND(BS400&gt;9,CA400&gt;9)=TRUE,1,0)</f>
        <v>0</v>
      </c>
      <c r="DY400" s="79">
        <v>1</v>
      </c>
      <c r="DZ400" s="79">
        <f t="shared" ref="DZ400:DZ463" si="978">IF(AND(BS400&gt;4,CH400&gt;4),1,0)</f>
        <v>0</v>
      </c>
      <c r="EA400" s="79">
        <f t="shared" ref="EA400:EA463" si="979">IF(AND(BS400&gt;4,CH400&gt;4),1,0)</f>
        <v>0</v>
      </c>
      <c r="EB400" s="79">
        <f t="shared" ref="EB400:EB463" si="980">IF(AND(BS400&gt;19,CA400&gt;19,CD400&gt;9)=TRUE,1,0)</f>
        <v>0</v>
      </c>
      <c r="EC400" s="79">
        <f t="shared" ref="EC400:EC463" si="981">IF(AND(BS400&gt;4,BT400&gt;0)=TRUE,1,0)</f>
        <v>0</v>
      </c>
      <c r="ED400" s="79">
        <v>1</v>
      </c>
      <c r="EE400" s="79">
        <v>1</v>
      </c>
      <c r="EF400" s="79">
        <f t="shared" ref="EF400:EF463" si="982">IF(AND(BS400&gt;2,CI400&gt;1),1,0)</f>
        <v>0</v>
      </c>
      <c r="EG400" s="79">
        <v>1</v>
      </c>
      <c r="EH400" s="79">
        <v>1</v>
      </c>
      <c r="EI400" s="79">
        <v>1</v>
      </c>
      <c r="EJ400" s="79">
        <v>1</v>
      </c>
      <c r="EK400" s="79">
        <v>1</v>
      </c>
      <c r="EL400" s="79">
        <v>1</v>
      </c>
      <c r="EM400" s="143">
        <f t="shared" ref="EM400:EM463" si="983">IF(CL400&gt;0,1,0)</f>
        <v>0</v>
      </c>
      <c r="EN400" s="143">
        <f t="shared" ref="EN400:EN463" si="984">IF(BZ400&gt;0,1,0)</f>
        <v>0</v>
      </c>
      <c r="EO400" s="82">
        <f t="shared" ref="EO400:EO463" si="985">IF(BT400&gt;0,1,0)</f>
        <v>0</v>
      </c>
    </row>
    <row r="401" spans="1:145" x14ac:dyDescent="0.25">
      <c r="A401">
        <v>387</v>
      </c>
      <c r="B401" s="172" t="e">
        <f t="shared" si="956"/>
        <v>#N/A</v>
      </c>
      <c r="C401" s="121" t="e">
        <f t="shared" ref="C401:E401" si="986">AJ401-SUM(AB401:AB405)</f>
        <v>#N/A</v>
      </c>
      <c r="D401" s="122" t="e">
        <f t="shared" si="986"/>
        <v>#N/A</v>
      </c>
      <c r="E401" s="122" t="e">
        <f t="shared" si="986"/>
        <v>#N/A</v>
      </c>
      <c r="F401" s="176" t="e">
        <f t="shared" si="937"/>
        <v>#N/A</v>
      </c>
      <c r="G401" s="121">
        <f t="shared" si="958"/>
        <v>208</v>
      </c>
      <c r="H401" s="176" t="e">
        <f t="shared" si="959"/>
        <v>#N/A</v>
      </c>
      <c r="I401" s="48">
        <v>1</v>
      </c>
      <c r="J401" s="39"/>
      <c r="K401" s="350">
        <v>1</v>
      </c>
      <c r="L401" s="34" t="e">
        <f t="shared" si="938"/>
        <v>#N/A</v>
      </c>
      <c r="M401" s="38" t="e">
        <f>(HLOOKUP(J401,'Construction Times'!$B$3:$W$34,L401+2,FALSE)*HLOOKUP("hq modifier",'Construction Times'!$W$3:$W$34,BS401+2,FALSE))*(1-$H$9)</f>
        <v>#N/A</v>
      </c>
      <c r="N401" s="426" t="e">
        <f t="shared" si="960"/>
        <v>#N/A</v>
      </c>
      <c r="O401" s="427"/>
      <c r="P401" s="430" t="e">
        <f t="shared" si="961"/>
        <v>#N/A</v>
      </c>
      <c r="Q401" s="431"/>
      <c r="R401" s="103">
        <f t="shared" ref="R401:S432" si="987">R400</f>
        <v>0</v>
      </c>
      <c r="S401" s="104">
        <f t="shared" si="987"/>
        <v>0</v>
      </c>
      <c r="T401" s="104">
        <f t="shared" ref="T401:W432" si="988">T400</f>
        <v>0</v>
      </c>
      <c r="U401" s="104">
        <f t="shared" si="988"/>
        <v>0</v>
      </c>
      <c r="V401" s="104">
        <f t="shared" si="988"/>
        <v>9.9999999999999995E-8</v>
      </c>
      <c r="W401" s="104">
        <f t="shared" si="988"/>
        <v>0</v>
      </c>
      <c r="X401" s="104">
        <f t="shared" si="934"/>
        <v>0</v>
      </c>
      <c r="Y401" s="104">
        <f t="shared" si="934"/>
        <v>9.9999999999999995E-8</v>
      </c>
      <c r="Z401" s="104">
        <f t="shared" si="934"/>
        <v>9.9999999999999995E-8</v>
      </c>
      <c r="AA401" s="105">
        <f t="shared" si="934"/>
        <v>9.9999999999999995E-8</v>
      </c>
      <c r="AB401" s="101" t="e">
        <f>$DT401*HLOOKUP($J401,'Construction Costs (timber)'!$B$1:$V$32,'Construction Planner'!$L401+2,FALSE)</f>
        <v>#N/A</v>
      </c>
      <c r="AC401" s="14" t="e">
        <f>$DT401*HLOOKUP($J401,'Construction Costs (clay)'!$B$1:$V$32,'Construction Planner'!$L401+2,FALSE)</f>
        <v>#N/A</v>
      </c>
      <c r="AD401" s="14" t="e">
        <f>$DT401*HLOOKUP($J401,'Construction Costs (iron)'!$B$1:$V$32,'Construction Planner'!$L401+2,FALSE)</f>
        <v>#N/A</v>
      </c>
      <c r="AE401" s="34" t="e">
        <f t="shared" si="843"/>
        <v>#N/A</v>
      </c>
      <c r="AF401" s="33" t="e">
        <f t="shared" si="939"/>
        <v>#N/A</v>
      </c>
      <c r="AG401" s="14" t="e">
        <f t="shared" si="940"/>
        <v>#N/A</v>
      </c>
      <c r="AH401" s="14" t="e">
        <f t="shared" si="941"/>
        <v>#N/A</v>
      </c>
      <c r="AI401" s="34" t="e">
        <f t="shared" si="844"/>
        <v>#N/A</v>
      </c>
      <c r="AJ401" s="49" t="e">
        <f t="shared" si="962"/>
        <v>#N/A</v>
      </c>
      <c r="AK401" s="49" t="e">
        <f t="shared" si="963"/>
        <v>#N/A</v>
      </c>
      <c r="AL401" s="49" t="e">
        <f t="shared" si="964"/>
        <v>#N/A</v>
      </c>
      <c r="AM401" s="25">
        <f t="shared" si="942"/>
        <v>30</v>
      </c>
      <c r="AN401" s="25">
        <f t="shared" si="943"/>
        <v>30</v>
      </c>
      <c r="AO401" s="25">
        <f t="shared" si="944"/>
        <v>30</v>
      </c>
      <c r="AP401" s="52" t="e">
        <f t="shared" si="965"/>
        <v>#N/A</v>
      </c>
      <c r="AQ401" s="53" t="e">
        <f t="shared" si="965"/>
        <v>#N/A</v>
      </c>
      <c r="AR401" s="54" t="e">
        <f t="shared" si="965"/>
        <v>#N/A</v>
      </c>
      <c r="AS401" s="316">
        <f t="shared" si="922"/>
        <v>0</v>
      </c>
      <c r="AT401" s="106">
        <f>_xlfn.IFNA($M401/VLOOKUP($BT401,'Unit information'!$A$2:$K$29,2,FALSE)*R401,0)*(1+$E$9)</f>
        <v>0</v>
      </c>
      <c r="AU401" s="107">
        <f>_xlfn.IFNA($M401/VLOOKUP($BT401,'Unit information'!$A$2:$K$29,3,FALSE)*S401,0)*(1+$E$9)</f>
        <v>0</v>
      </c>
      <c r="AV401" s="107">
        <f>_xlfn.IFNA($M401/VLOOKUP($BT401,'Unit information'!$A$2:$K$29,4,FALSE)*T401,0)*(1+$E$9)</f>
        <v>0</v>
      </c>
      <c r="AW401" s="107">
        <f>_xlfn.IFNA($M401/VLOOKUP($BT401,'Unit information'!$A$2:$K$29,5,FALSE)*U401,0)*(1+$E$9)</f>
        <v>0</v>
      </c>
      <c r="AX401" s="107">
        <f>_xlfn.IFNA($M401/VLOOKUP($BU401,'Unit information'!$A$2:$K$29,6,FALSE)*V401,0)*(1+$E$9)</f>
        <v>0</v>
      </c>
      <c r="AY401" s="107">
        <f>_xlfn.IFNA($M401/VLOOKUP($BU401,'Unit information'!$A$2:$K$29,7,FALSE)*W401,0)*(1+$E$9)</f>
        <v>0</v>
      </c>
      <c r="AZ401" s="107">
        <f>_xlfn.IFNA($M401/VLOOKUP($BU401,'Unit information'!$A$2:$K$29,8,FALSE)*X401,0)*(1+$E$9)</f>
        <v>0</v>
      </c>
      <c r="BA401" s="107">
        <f>_xlfn.IFNA($M401/VLOOKUP($BU401,'Unit information'!$A$2:$K$29,9,FALSE)*Y401,0)*(1+$E$9)</f>
        <v>0</v>
      </c>
      <c r="BB401" s="107">
        <f>_xlfn.IFNA($M401/VLOOKUP($BV401,'Unit information'!$A$2:$K$29,10,FALSE)*Z401,0)*(1+$E$9)</f>
        <v>0</v>
      </c>
      <c r="BC401" s="108">
        <f>_xlfn.IFNA($M401/VLOOKUP($BV401,'Unit information'!$A$2:$K$29,11,FALSE)*AA401,0)*(1+$E$9)</f>
        <v>0</v>
      </c>
      <c r="BD401" s="106">
        <f t="shared" si="945"/>
        <v>0</v>
      </c>
      <c r="BE401" s="107">
        <f t="shared" si="946"/>
        <v>0</v>
      </c>
      <c r="BF401" s="108">
        <f t="shared" si="947"/>
        <v>0</v>
      </c>
      <c r="BG401" s="25" t="e">
        <f t="shared" si="948"/>
        <v>#N/A</v>
      </c>
      <c r="BH401" s="25" t="e">
        <f t="shared" si="949"/>
        <v>#N/A</v>
      </c>
      <c r="BI401" s="25" t="e">
        <f t="shared" si="950"/>
        <v>#N/A</v>
      </c>
      <c r="BJ401" s="27" t="e">
        <f t="shared" si="951"/>
        <v>#N/A</v>
      </c>
      <c r="BK401" s="18" t="e">
        <f t="shared" si="952"/>
        <v>#N/A</v>
      </c>
      <c r="BL401" s="18" t="e">
        <f t="shared" si="953"/>
        <v>#N/A</v>
      </c>
      <c r="BM401" s="28" t="e">
        <f t="shared" si="846"/>
        <v>#N/A</v>
      </c>
      <c r="BN401" s="33">
        <f>HLOOKUP("maximum population",Miscelaneous!$C$1:$C$33,CH401+3,FALSE)</f>
        <v>240</v>
      </c>
      <c r="BO401" s="14">
        <f t="shared" si="966"/>
        <v>32</v>
      </c>
      <c r="BP401" s="14">
        <f t="shared" si="967"/>
        <v>0</v>
      </c>
      <c r="BQ401" s="14">
        <f t="shared" si="968"/>
        <v>208</v>
      </c>
      <c r="BR401" s="34" t="e">
        <f>HLOOKUP(J401,Villagers!$B$1:$V$33,L401+3,FALSE)-HLOOKUP(J401,Villagers!$B$1:$V$33,L401+2,FALSE)</f>
        <v>#N/A</v>
      </c>
      <c r="BS401" s="49">
        <f t="shared" si="969"/>
        <v>1</v>
      </c>
      <c r="BT401" s="50">
        <f t="shared" si="970"/>
        <v>0</v>
      </c>
      <c r="BU401" s="50">
        <f t="shared" si="971"/>
        <v>0</v>
      </c>
      <c r="BV401" s="50">
        <f t="shared" si="972"/>
        <v>0</v>
      </c>
      <c r="BW401" s="50">
        <f t="shared" si="926"/>
        <v>0</v>
      </c>
      <c r="BX401" s="50">
        <f t="shared" si="927"/>
        <v>0</v>
      </c>
      <c r="BY401" s="50">
        <f t="shared" si="927"/>
        <v>0</v>
      </c>
      <c r="BZ401" s="50">
        <f t="shared" si="860"/>
        <v>0</v>
      </c>
      <c r="CA401" s="50">
        <f t="shared" si="861"/>
        <v>0</v>
      </c>
      <c r="CB401" s="50">
        <f t="shared" si="862"/>
        <v>1</v>
      </c>
      <c r="CC401" s="50">
        <f t="shared" si="863"/>
        <v>0</v>
      </c>
      <c r="CD401" s="50">
        <f t="shared" si="864"/>
        <v>0</v>
      </c>
      <c r="CE401" s="50">
        <f t="shared" si="865"/>
        <v>1</v>
      </c>
      <c r="CF401" s="50">
        <f t="shared" si="866"/>
        <v>1</v>
      </c>
      <c r="CG401" s="50">
        <f t="shared" si="867"/>
        <v>1</v>
      </c>
      <c r="CH401" s="50">
        <f t="shared" si="868"/>
        <v>1</v>
      </c>
      <c r="CI401" s="50">
        <f t="shared" si="869"/>
        <v>1</v>
      </c>
      <c r="CJ401" s="50">
        <f t="shared" si="870"/>
        <v>1</v>
      </c>
      <c r="CK401" s="50">
        <f t="shared" si="870"/>
        <v>0</v>
      </c>
      <c r="CL401" s="50">
        <f t="shared" si="870"/>
        <v>0</v>
      </c>
      <c r="CM401" s="51">
        <f t="shared" si="954"/>
        <v>0</v>
      </c>
      <c r="CN401" s="33">
        <f>ROUND(IF(BS401=0,0,HLOOKUP(BS$14,Villagers!$B$1:$V$33,BS401+3,FALSE)),)</f>
        <v>5</v>
      </c>
      <c r="CO401" s="14">
        <f>ROUND(IF(BT401=0,0,HLOOKUP(BT$14,Villagers!$B$1:$V$33,BT401+3,FALSE)),)</f>
        <v>0</v>
      </c>
      <c r="CP401" s="14">
        <f>ROUND(IF(BU401=0,0,HLOOKUP(BU$14,Villagers!$B$1:$V$33,BU401+3,FALSE)),)</f>
        <v>0</v>
      </c>
      <c r="CQ401" s="14">
        <f>ROUND(IF(BV401=0,0,HLOOKUP(BV$14,Villagers!$B$1:$V$33,BV401+3,FALSE)),)</f>
        <v>0</v>
      </c>
      <c r="CR401" s="14">
        <f>ROUND(IF(BW401=0,0,HLOOKUP(BW$14,Villagers!$B$1:$V$33,BW401+3,FALSE)),)</f>
        <v>0</v>
      </c>
      <c r="CS401" s="14">
        <f>ROUND(IF(BX401=0,0,HLOOKUP(BX$14,Villagers!$B$1:$V$33,BX401+3,FALSE)),)</f>
        <v>0</v>
      </c>
      <c r="CT401" s="14">
        <f>ROUND(IF(BY401=0,0,HLOOKUP(BY$14,Villagers!$B$1:$V$33,BY401+3,FALSE)),)</f>
        <v>0</v>
      </c>
      <c r="CU401" s="14">
        <f>ROUND(IF(BZ401=0,0,HLOOKUP(BZ$14,Villagers!$B$1:$V$33,BZ401+3,FALSE)),)</f>
        <v>0</v>
      </c>
      <c r="CV401" s="14">
        <f>ROUND(IF(CA401=0,0,HLOOKUP(CA$14,Villagers!$B$1:$V$33,CA401+3,FALSE)),)</f>
        <v>0</v>
      </c>
      <c r="CW401" s="14">
        <f>ROUND(IF(CB401=0,0,HLOOKUP(CB$14,Villagers!$B$1:$V$33,CB401+3,FALSE)),)</f>
        <v>0</v>
      </c>
      <c r="CX401" s="14">
        <f>ROUND(IF(CC401=0,0,HLOOKUP(CC$14,Villagers!$B$1:$V$33,CC401+3,FALSE)),)</f>
        <v>0</v>
      </c>
      <c r="CY401" s="14">
        <f>ROUND(IF(CD401=0,0,HLOOKUP(CD$14,Villagers!$B$1:$V$33,CD401+3,FALSE)),)</f>
        <v>0</v>
      </c>
      <c r="CZ401" s="14">
        <f>ROUND(IF(CE401=0,0,HLOOKUP(CE$14,Villagers!$B$1:$V$33,CE401+3,FALSE)),)</f>
        <v>5</v>
      </c>
      <c r="DA401" s="14">
        <f>ROUND(IF(CF401=0,0,HLOOKUP(CF$14,Villagers!$B$1:$V$33,CF401+3,FALSE)),)</f>
        <v>10</v>
      </c>
      <c r="DB401" s="14">
        <f>ROUND(IF(CG401=0,0,HLOOKUP(CG$14,Villagers!$B$1:$V$33,CG401+3,FALSE)),)</f>
        <v>10</v>
      </c>
      <c r="DC401" s="14">
        <f>ROUND(IF(CH401=0,0,HLOOKUP(CH$14,Villagers!$B$1:$V$33,CH401+3,FALSE)),)</f>
        <v>0</v>
      </c>
      <c r="DD401" s="14">
        <f>ROUND(IF(CI401=0,0,HLOOKUP(CI$14,Villagers!$B$1:$V$33,CI401+3,FALSE)),)</f>
        <v>0</v>
      </c>
      <c r="DE401" s="14">
        <f>ROUND(IF(CJ401=0,0,HLOOKUP(CJ$14,Villagers!$B$1:$V$33,CJ401+3,FALSE)),)</f>
        <v>2</v>
      </c>
      <c r="DF401" s="370">
        <f>ROUND(IF(CK401=0,0,HLOOKUP(CK$14,Villagers!$B$1:$V$33,CK401+3,FALSE)),)</f>
        <v>0</v>
      </c>
      <c r="DG401" s="370">
        <f>ROUND(IF(CL401=0,0,HLOOKUP(CL$14,Villagers!$B$1:$V$33,CL401+3,FALSE)),)</f>
        <v>0</v>
      </c>
      <c r="DH401" s="34">
        <f>ROUND(IF(CM401=0,0,HLOOKUP(CM$14,Villagers!$B$1:$V$33,CM401+3,FALSE)),)</f>
        <v>0</v>
      </c>
      <c r="DI401" s="109">
        <f t="shared" ref="DI401:DI464" si="989">ROUND(_xlfn.IFNA(DI400+AT401,DI400),0)</f>
        <v>0</v>
      </c>
      <c r="DJ401" s="50">
        <f t="shared" ref="DJ401:DJ464" si="990">ROUND(_xlfn.IFNA(DJ400+AU401,DJ400),0)</f>
        <v>0</v>
      </c>
      <c r="DK401" s="50">
        <f t="shared" ref="DK401:DK464" si="991">ROUND(_xlfn.IFNA(DK400+AV401,DK400),0)</f>
        <v>0</v>
      </c>
      <c r="DL401" s="50">
        <f t="shared" ref="DL401:DL464" si="992">ROUND(_xlfn.IFNA(DL400+AW401,DL400),0)</f>
        <v>0</v>
      </c>
      <c r="DM401" s="50">
        <f t="shared" ref="DM401:DM464" si="993">ROUND(_xlfn.IFNA(DM400+AX401,DM400),0)</f>
        <v>0</v>
      </c>
      <c r="DN401" s="50">
        <f t="shared" ref="DN401:DN464" si="994">ROUND(_xlfn.IFNA(DN400+AY401,DN400),0)</f>
        <v>0</v>
      </c>
      <c r="DO401" s="50">
        <f t="shared" ref="DO401:DO464" si="995">ROUND(_xlfn.IFNA(DO400+AZ401,DO400),0)</f>
        <v>0</v>
      </c>
      <c r="DP401" s="50">
        <f t="shared" ref="DP401:DP464" si="996">ROUND(_xlfn.IFNA(DP400+BA401,DP400),0)</f>
        <v>0</v>
      </c>
      <c r="DQ401" s="50">
        <f t="shared" si="973"/>
        <v>0</v>
      </c>
      <c r="DR401" s="50">
        <f t="shared" si="974"/>
        <v>0</v>
      </c>
      <c r="DS401" s="96">
        <f>Miscelaneous!$D$4*Miscelaneous!$D$2^($CI401-1)</f>
        <v>1000</v>
      </c>
      <c r="DT401" s="333">
        <f t="shared" si="955"/>
        <v>1</v>
      </c>
      <c r="DU401" s="81">
        <v>1</v>
      </c>
      <c r="DV401" s="79">
        <f t="shared" si="975"/>
        <v>0</v>
      </c>
      <c r="DW401" s="79">
        <f t="shared" si="976"/>
        <v>0</v>
      </c>
      <c r="DX401" s="79">
        <f t="shared" si="977"/>
        <v>0</v>
      </c>
      <c r="DY401" s="79">
        <v>1</v>
      </c>
      <c r="DZ401" s="79">
        <f t="shared" si="978"/>
        <v>0</v>
      </c>
      <c r="EA401" s="79">
        <f t="shared" si="979"/>
        <v>0</v>
      </c>
      <c r="EB401" s="79">
        <f t="shared" si="980"/>
        <v>0</v>
      </c>
      <c r="EC401" s="79">
        <f t="shared" si="981"/>
        <v>0</v>
      </c>
      <c r="ED401" s="79">
        <v>1</v>
      </c>
      <c r="EE401" s="79">
        <v>1</v>
      </c>
      <c r="EF401" s="79">
        <f t="shared" si="982"/>
        <v>0</v>
      </c>
      <c r="EG401" s="79">
        <v>1</v>
      </c>
      <c r="EH401" s="79">
        <v>1</v>
      </c>
      <c r="EI401" s="79">
        <v>1</v>
      </c>
      <c r="EJ401" s="79">
        <v>1</v>
      </c>
      <c r="EK401" s="79">
        <v>1</v>
      </c>
      <c r="EL401" s="79">
        <v>1</v>
      </c>
      <c r="EM401" s="143">
        <f t="shared" si="983"/>
        <v>0</v>
      </c>
      <c r="EN401" s="143">
        <f t="shared" si="984"/>
        <v>0</v>
      </c>
      <c r="EO401" s="82">
        <f t="shared" si="985"/>
        <v>0</v>
      </c>
    </row>
    <row r="402" spans="1:145" x14ac:dyDescent="0.25">
      <c r="A402">
        <v>388</v>
      </c>
      <c r="B402" s="172" t="e">
        <f t="shared" si="956"/>
        <v>#N/A</v>
      </c>
      <c r="C402" s="121" t="e">
        <f t="shared" ref="C402:E402" si="997">AJ402-SUM(AB402:AB406)</f>
        <v>#N/A</v>
      </c>
      <c r="D402" s="122" t="e">
        <f t="shared" si="997"/>
        <v>#N/A</v>
      </c>
      <c r="E402" s="122" t="e">
        <f t="shared" si="997"/>
        <v>#N/A</v>
      </c>
      <c r="F402" s="176" t="e">
        <f t="shared" si="937"/>
        <v>#N/A</v>
      </c>
      <c r="G402" s="121">
        <f t="shared" si="958"/>
        <v>208</v>
      </c>
      <c r="H402" s="176" t="e">
        <f t="shared" si="959"/>
        <v>#N/A</v>
      </c>
      <c r="I402" s="48">
        <v>1</v>
      </c>
      <c r="J402" s="39"/>
      <c r="K402" s="350">
        <v>1</v>
      </c>
      <c r="L402" s="34" t="e">
        <f t="shared" si="938"/>
        <v>#N/A</v>
      </c>
      <c r="M402" s="38" t="e">
        <f>(HLOOKUP(J402,'Construction Times'!$B$3:$W$34,L402+2,FALSE)*HLOOKUP("hq modifier",'Construction Times'!$W$3:$W$34,BS402+2,FALSE))*(1-$H$9)</f>
        <v>#N/A</v>
      </c>
      <c r="N402" s="426" t="e">
        <f t="shared" si="960"/>
        <v>#N/A</v>
      </c>
      <c r="O402" s="427"/>
      <c r="P402" s="430" t="e">
        <f t="shared" si="961"/>
        <v>#N/A</v>
      </c>
      <c r="Q402" s="431"/>
      <c r="R402" s="103">
        <f t="shared" si="987"/>
        <v>0</v>
      </c>
      <c r="S402" s="104">
        <f t="shared" si="987"/>
        <v>0</v>
      </c>
      <c r="T402" s="104">
        <f t="shared" si="988"/>
        <v>0</v>
      </c>
      <c r="U402" s="104">
        <f t="shared" si="988"/>
        <v>0</v>
      </c>
      <c r="V402" s="104">
        <f t="shared" si="988"/>
        <v>9.9999999999999995E-8</v>
      </c>
      <c r="W402" s="104">
        <f t="shared" si="988"/>
        <v>0</v>
      </c>
      <c r="X402" s="104">
        <f t="shared" si="934"/>
        <v>0</v>
      </c>
      <c r="Y402" s="104">
        <f t="shared" si="934"/>
        <v>9.9999999999999995E-8</v>
      </c>
      <c r="Z402" s="104">
        <f t="shared" si="934"/>
        <v>9.9999999999999995E-8</v>
      </c>
      <c r="AA402" s="105">
        <f t="shared" si="934"/>
        <v>9.9999999999999995E-8</v>
      </c>
      <c r="AB402" s="101" t="e">
        <f>$DT402*HLOOKUP($J402,'Construction Costs (timber)'!$B$1:$V$32,'Construction Planner'!$L402+2,FALSE)</f>
        <v>#N/A</v>
      </c>
      <c r="AC402" s="14" t="e">
        <f>$DT402*HLOOKUP($J402,'Construction Costs (clay)'!$B$1:$V$32,'Construction Planner'!$L402+2,FALSE)</f>
        <v>#N/A</v>
      </c>
      <c r="AD402" s="14" t="e">
        <f>$DT402*HLOOKUP($J402,'Construction Costs (iron)'!$B$1:$V$32,'Construction Planner'!$L402+2,FALSE)</f>
        <v>#N/A</v>
      </c>
      <c r="AE402" s="34" t="e">
        <f t="shared" si="843"/>
        <v>#N/A</v>
      </c>
      <c r="AF402" s="33" t="e">
        <f t="shared" si="939"/>
        <v>#N/A</v>
      </c>
      <c r="AG402" s="14" t="e">
        <f t="shared" si="940"/>
        <v>#N/A</v>
      </c>
      <c r="AH402" s="14" t="e">
        <f t="shared" si="941"/>
        <v>#N/A</v>
      </c>
      <c r="AI402" s="34" t="e">
        <f t="shared" si="844"/>
        <v>#N/A</v>
      </c>
      <c r="AJ402" s="49" t="e">
        <f t="shared" si="962"/>
        <v>#N/A</v>
      </c>
      <c r="AK402" s="49" t="e">
        <f t="shared" si="963"/>
        <v>#N/A</v>
      </c>
      <c r="AL402" s="49" t="e">
        <f t="shared" si="964"/>
        <v>#N/A</v>
      </c>
      <c r="AM402" s="25">
        <f t="shared" si="942"/>
        <v>30</v>
      </c>
      <c r="AN402" s="25">
        <f t="shared" si="943"/>
        <v>30</v>
      </c>
      <c r="AO402" s="25">
        <f t="shared" si="944"/>
        <v>30</v>
      </c>
      <c r="AP402" s="52" t="e">
        <f t="shared" si="965"/>
        <v>#N/A</v>
      </c>
      <c r="AQ402" s="53" t="e">
        <f t="shared" si="965"/>
        <v>#N/A</v>
      </c>
      <c r="AR402" s="54" t="e">
        <f t="shared" si="965"/>
        <v>#N/A</v>
      </c>
      <c r="AS402" s="316">
        <f t="shared" si="922"/>
        <v>0</v>
      </c>
      <c r="AT402" s="106">
        <f>_xlfn.IFNA($M402/VLOOKUP($BT402,'Unit information'!$A$2:$K$29,2,FALSE)*R402,0)*(1+$E$9)</f>
        <v>0</v>
      </c>
      <c r="AU402" s="107">
        <f>_xlfn.IFNA($M402/VLOOKUP($BT402,'Unit information'!$A$2:$K$29,3,FALSE)*S402,0)*(1+$E$9)</f>
        <v>0</v>
      </c>
      <c r="AV402" s="107">
        <f>_xlfn.IFNA($M402/VLOOKUP($BT402,'Unit information'!$A$2:$K$29,4,FALSE)*T402,0)*(1+$E$9)</f>
        <v>0</v>
      </c>
      <c r="AW402" s="107">
        <f>_xlfn.IFNA($M402/VLOOKUP($BT402,'Unit information'!$A$2:$K$29,5,FALSE)*U402,0)*(1+$E$9)</f>
        <v>0</v>
      </c>
      <c r="AX402" s="107">
        <f>_xlfn.IFNA($M402/VLOOKUP($BU402,'Unit information'!$A$2:$K$29,6,FALSE)*V402,0)*(1+$E$9)</f>
        <v>0</v>
      </c>
      <c r="AY402" s="107">
        <f>_xlfn.IFNA($M402/VLOOKUP($BU402,'Unit information'!$A$2:$K$29,7,FALSE)*W402,0)*(1+$E$9)</f>
        <v>0</v>
      </c>
      <c r="AZ402" s="107">
        <f>_xlfn.IFNA($M402/VLOOKUP($BU402,'Unit information'!$A$2:$K$29,8,FALSE)*X402,0)*(1+$E$9)</f>
        <v>0</v>
      </c>
      <c r="BA402" s="107">
        <f>_xlfn.IFNA($M402/VLOOKUP($BU402,'Unit information'!$A$2:$K$29,9,FALSE)*Y402,0)*(1+$E$9)</f>
        <v>0</v>
      </c>
      <c r="BB402" s="107">
        <f>_xlfn.IFNA($M402/VLOOKUP($BV402,'Unit information'!$A$2:$K$29,10,FALSE)*Z402,0)*(1+$E$9)</f>
        <v>0</v>
      </c>
      <c r="BC402" s="108">
        <f>_xlfn.IFNA($M402/VLOOKUP($BV402,'Unit information'!$A$2:$K$29,11,FALSE)*AA402,0)*(1+$E$9)</f>
        <v>0</v>
      </c>
      <c r="BD402" s="106">
        <f t="shared" si="945"/>
        <v>0</v>
      </c>
      <c r="BE402" s="107">
        <f t="shared" si="946"/>
        <v>0</v>
      </c>
      <c r="BF402" s="108">
        <f t="shared" si="947"/>
        <v>0</v>
      </c>
      <c r="BG402" s="25" t="e">
        <f t="shared" si="948"/>
        <v>#N/A</v>
      </c>
      <c r="BH402" s="25" t="e">
        <f t="shared" si="949"/>
        <v>#N/A</v>
      </c>
      <c r="BI402" s="25" t="e">
        <f t="shared" si="950"/>
        <v>#N/A</v>
      </c>
      <c r="BJ402" s="27" t="e">
        <f t="shared" si="951"/>
        <v>#N/A</v>
      </c>
      <c r="BK402" s="18" t="e">
        <f t="shared" si="952"/>
        <v>#N/A</v>
      </c>
      <c r="BL402" s="18" t="e">
        <f t="shared" si="953"/>
        <v>#N/A</v>
      </c>
      <c r="BM402" s="28" t="e">
        <f t="shared" si="846"/>
        <v>#N/A</v>
      </c>
      <c r="BN402" s="33">
        <f>HLOOKUP("maximum population",Miscelaneous!$C$1:$C$33,CH402+3,FALSE)</f>
        <v>240</v>
      </c>
      <c r="BO402" s="14">
        <f t="shared" si="966"/>
        <v>32</v>
      </c>
      <c r="BP402" s="14">
        <f t="shared" si="967"/>
        <v>0</v>
      </c>
      <c r="BQ402" s="14">
        <f t="shared" si="968"/>
        <v>208</v>
      </c>
      <c r="BR402" s="34" t="e">
        <f>HLOOKUP(J402,Villagers!$B$1:$V$33,L402+3,FALSE)-HLOOKUP(J402,Villagers!$B$1:$V$33,L402+2,FALSE)</f>
        <v>#N/A</v>
      </c>
      <c r="BS402" s="49">
        <f t="shared" si="969"/>
        <v>1</v>
      </c>
      <c r="BT402" s="50">
        <f t="shared" si="970"/>
        <v>0</v>
      </c>
      <c r="BU402" s="50">
        <f t="shared" si="971"/>
        <v>0</v>
      </c>
      <c r="BV402" s="50">
        <f t="shared" si="972"/>
        <v>0</v>
      </c>
      <c r="BW402" s="50">
        <f t="shared" si="926"/>
        <v>0</v>
      </c>
      <c r="BX402" s="50">
        <f t="shared" si="927"/>
        <v>0</v>
      </c>
      <c r="BY402" s="50">
        <f t="shared" si="927"/>
        <v>0</v>
      </c>
      <c r="BZ402" s="50">
        <f t="shared" si="860"/>
        <v>0</v>
      </c>
      <c r="CA402" s="50">
        <f t="shared" si="861"/>
        <v>0</v>
      </c>
      <c r="CB402" s="50">
        <f t="shared" si="862"/>
        <v>1</v>
      </c>
      <c r="CC402" s="50">
        <f t="shared" si="863"/>
        <v>0</v>
      </c>
      <c r="CD402" s="50">
        <f t="shared" si="864"/>
        <v>0</v>
      </c>
      <c r="CE402" s="50">
        <f t="shared" si="865"/>
        <v>1</v>
      </c>
      <c r="CF402" s="50">
        <f t="shared" si="866"/>
        <v>1</v>
      </c>
      <c r="CG402" s="50">
        <f t="shared" si="867"/>
        <v>1</v>
      </c>
      <c r="CH402" s="50">
        <f t="shared" si="868"/>
        <v>1</v>
      </c>
      <c r="CI402" s="50">
        <f t="shared" si="869"/>
        <v>1</v>
      </c>
      <c r="CJ402" s="50">
        <f t="shared" si="870"/>
        <v>1</v>
      </c>
      <c r="CK402" s="50">
        <f t="shared" si="870"/>
        <v>0</v>
      </c>
      <c r="CL402" s="50">
        <f t="shared" si="870"/>
        <v>0</v>
      </c>
      <c r="CM402" s="51">
        <f t="shared" si="954"/>
        <v>0</v>
      </c>
      <c r="CN402" s="33">
        <f>ROUND(IF(BS402=0,0,HLOOKUP(BS$14,Villagers!$B$1:$V$33,BS402+3,FALSE)),)</f>
        <v>5</v>
      </c>
      <c r="CO402" s="14">
        <f>ROUND(IF(BT402=0,0,HLOOKUP(BT$14,Villagers!$B$1:$V$33,BT402+3,FALSE)),)</f>
        <v>0</v>
      </c>
      <c r="CP402" s="14">
        <f>ROUND(IF(BU402=0,0,HLOOKUP(BU$14,Villagers!$B$1:$V$33,BU402+3,FALSE)),)</f>
        <v>0</v>
      </c>
      <c r="CQ402" s="14">
        <f>ROUND(IF(BV402=0,0,HLOOKUP(BV$14,Villagers!$B$1:$V$33,BV402+3,FALSE)),)</f>
        <v>0</v>
      </c>
      <c r="CR402" s="14">
        <f>ROUND(IF(BW402=0,0,HLOOKUP(BW$14,Villagers!$B$1:$V$33,BW402+3,FALSE)),)</f>
        <v>0</v>
      </c>
      <c r="CS402" s="14">
        <f>ROUND(IF(BX402=0,0,HLOOKUP(BX$14,Villagers!$B$1:$V$33,BX402+3,FALSE)),)</f>
        <v>0</v>
      </c>
      <c r="CT402" s="14">
        <f>ROUND(IF(BY402=0,0,HLOOKUP(BY$14,Villagers!$B$1:$V$33,BY402+3,FALSE)),)</f>
        <v>0</v>
      </c>
      <c r="CU402" s="14">
        <f>ROUND(IF(BZ402=0,0,HLOOKUP(BZ$14,Villagers!$B$1:$V$33,BZ402+3,FALSE)),)</f>
        <v>0</v>
      </c>
      <c r="CV402" s="14">
        <f>ROUND(IF(CA402=0,0,HLOOKUP(CA$14,Villagers!$B$1:$V$33,CA402+3,FALSE)),)</f>
        <v>0</v>
      </c>
      <c r="CW402" s="14">
        <f>ROUND(IF(CB402=0,0,HLOOKUP(CB$14,Villagers!$B$1:$V$33,CB402+3,FALSE)),)</f>
        <v>0</v>
      </c>
      <c r="CX402" s="14">
        <f>ROUND(IF(CC402=0,0,HLOOKUP(CC$14,Villagers!$B$1:$V$33,CC402+3,FALSE)),)</f>
        <v>0</v>
      </c>
      <c r="CY402" s="14">
        <f>ROUND(IF(CD402=0,0,HLOOKUP(CD$14,Villagers!$B$1:$V$33,CD402+3,FALSE)),)</f>
        <v>0</v>
      </c>
      <c r="CZ402" s="14">
        <f>ROUND(IF(CE402=0,0,HLOOKUP(CE$14,Villagers!$B$1:$V$33,CE402+3,FALSE)),)</f>
        <v>5</v>
      </c>
      <c r="DA402" s="14">
        <f>ROUND(IF(CF402=0,0,HLOOKUP(CF$14,Villagers!$B$1:$V$33,CF402+3,FALSE)),)</f>
        <v>10</v>
      </c>
      <c r="DB402" s="14">
        <f>ROUND(IF(CG402=0,0,HLOOKUP(CG$14,Villagers!$B$1:$V$33,CG402+3,FALSE)),)</f>
        <v>10</v>
      </c>
      <c r="DC402" s="14">
        <f>ROUND(IF(CH402=0,0,HLOOKUP(CH$14,Villagers!$B$1:$V$33,CH402+3,FALSE)),)</f>
        <v>0</v>
      </c>
      <c r="DD402" s="14">
        <f>ROUND(IF(CI402=0,0,HLOOKUP(CI$14,Villagers!$B$1:$V$33,CI402+3,FALSE)),)</f>
        <v>0</v>
      </c>
      <c r="DE402" s="14">
        <f>ROUND(IF(CJ402=0,0,HLOOKUP(CJ$14,Villagers!$B$1:$V$33,CJ402+3,FALSE)),)</f>
        <v>2</v>
      </c>
      <c r="DF402" s="370">
        <f>ROUND(IF(CK402=0,0,HLOOKUP(CK$14,Villagers!$B$1:$V$33,CK402+3,FALSE)),)</f>
        <v>0</v>
      </c>
      <c r="DG402" s="370">
        <f>ROUND(IF(CL402=0,0,HLOOKUP(CL$14,Villagers!$B$1:$V$33,CL402+3,FALSE)),)</f>
        <v>0</v>
      </c>
      <c r="DH402" s="34">
        <f>ROUND(IF(CM402=0,0,HLOOKUP(CM$14,Villagers!$B$1:$V$33,CM402+3,FALSE)),)</f>
        <v>0</v>
      </c>
      <c r="DI402" s="109">
        <f t="shared" si="989"/>
        <v>0</v>
      </c>
      <c r="DJ402" s="50">
        <f t="shared" si="990"/>
        <v>0</v>
      </c>
      <c r="DK402" s="50">
        <f t="shared" si="991"/>
        <v>0</v>
      </c>
      <c r="DL402" s="50">
        <f t="shared" si="992"/>
        <v>0</v>
      </c>
      <c r="DM402" s="50">
        <f t="shared" si="993"/>
        <v>0</v>
      </c>
      <c r="DN402" s="50">
        <f t="shared" si="994"/>
        <v>0</v>
      </c>
      <c r="DO402" s="50">
        <f t="shared" si="995"/>
        <v>0</v>
      </c>
      <c r="DP402" s="50">
        <f t="shared" si="996"/>
        <v>0</v>
      </c>
      <c r="DQ402" s="50">
        <f t="shared" si="973"/>
        <v>0</v>
      </c>
      <c r="DR402" s="50">
        <f t="shared" si="974"/>
        <v>0</v>
      </c>
      <c r="DS402" s="96">
        <f>Miscelaneous!$D$4*Miscelaneous!$D$2^($CI402-1)</f>
        <v>1000</v>
      </c>
      <c r="DT402" s="333">
        <f t="shared" si="955"/>
        <v>1</v>
      </c>
      <c r="DU402" s="81">
        <v>1</v>
      </c>
      <c r="DV402" s="79">
        <f t="shared" si="975"/>
        <v>0</v>
      </c>
      <c r="DW402" s="79">
        <f t="shared" si="976"/>
        <v>0</v>
      </c>
      <c r="DX402" s="79">
        <f t="shared" si="977"/>
        <v>0</v>
      </c>
      <c r="DY402" s="79">
        <v>1</v>
      </c>
      <c r="DZ402" s="79">
        <f t="shared" si="978"/>
        <v>0</v>
      </c>
      <c r="EA402" s="79">
        <f t="shared" si="979"/>
        <v>0</v>
      </c>
      <c r="EB402" s="79">
        <f t="shared" si="980"/>
        <v>0</v>
      </c>
      <c r="EC402" s="79">
        <f t="shared" si="981"/>
        <v>0</v>
      </c>
      <c r="ED402" s="79">
        <v>1</v>
      </c>
      <c r="EE402" s="79">
        <v>1</v>
      </c>
      <c r="EF402" s="79">
        <f t="shared" si="982"/>
        <v>0</v>
      </c>
      <c r="EG402" s="79">
        <v>1</v>
      </c>
      <c r="EH402" s="79">
        <v>1</v>
      </c>
      <c r="EI402" s="79">
        <v>1</v>
      </c>
      <c r="EJ402" s="79">
        <v>1</v>
      </c>
      <c r="EK402" s="79">
        <v>1</v>
      </c>
      <c r="EL402" s="79">
        <v>1</v>
      </c>
      <c r="EM402" s="143">
        <f t="shared" si="983"/>
        <v>0</v>
      </c>
      <c r="EN402" s="143">
        <f t="shared" si="984"/>
        <v>0</v>
      </c>
      <c r="EO402" s="82">
        <f t="shared" si="985"/>
        <v>0</v>
      </c>
    </row>
    <row r="403" spans="1:145" x14ac:dyDescent="0.25">
      <c r="A403">
        <v>389</v>
      </c>
      <c r="B403" s="172" t="e">
        <f t="shared" si="956"/>
        <v>#N/A</v>
      </c>
      <c r="C403" s="121" t="e">
        <f t="shared" ref="C403:E403" si="998">AJ403-SUM(AB403:AB407)</f>
        <v>#N/A</v>
      </c>
      <c r="D403" s="122" t="e">
        <f t="shared" si="998"/>
        <v>#N/A</v>
      </c>
      <c r="E403" s="122" t="e">
        <f t="shared" si="998"/>
        <v>#N/A</v>
      </c>
      <c r="F403" s="176" t="e">
        <f t="shared" si="937"/>
        <v>#N/A</v>
      </c>
      <c r="G403" s="121">
        <f t="shared" si="958"/>
        <v>208</v>
      </c>
      <c r="H403" s="176" t="e">
        <f t="shared" si="959"/>
        <v>#N/A</v>
      </c>
      <c r="I403" s="48">
        <v>1</v>
      </c>
      <c r="J403" s="39"/>
      <c r="K403" s="350">
        <v>1</v>
      </c>
      <c r="L403" s="34" t="e">
        <f t="shared" si="938"/>
        <v>#N/A</v>
      </c>
      <c r="M403" s="38" t="e">
        <f>(HLOOKUP(J403,'Construction Times'!$B$3:$W$34,L403+2,FALSE)*HLOOKUP("hq modifier",'Construction Times'!$W$3:$W$34,BS403+2,FALSE))*(1-$H$9)</f>
        <v>#N/A</v>
      </c>
      <c r="N403" s="426" t="e">
        <f t="shared" si="960"/>
        <v>#N/A</v>
      </c>
      <c r="O403" s="427"/>
      <c r="P403" s="430" t="e">
        <f t="shared" si="961"/>
        <v>#N/A</v>
      </c>
      <c r="Q403" s="431"/>
      <c r="R403" s="103">
        <f t="shared" si="987"/>
        <v>0</v>
      </c>
      <c r="S403" s="104">
        <f t="shared" si="987"/>
        <v>0</v>
      </c>
      <c r="T403" s="104">
        <f t="shared" si="988"/>
        <v>0</v>
      </c>
      <c r="U403" s="104">
        <f t="shared" si="988"/>
        <v>0</v>
      </c>
      <c r="V403" s="104">
        <f t="shared" si="988"/>
        <v>9.9999999999999995E-8</v>
      </c>
      <c r="W403" s="104">
        <f t="shared" si="988"/>
        <v>0</v>
      </c>
      <c r="X403" s="104">
        <f t="shared" si="934"/>
        <v>0</v>
      </c>
      <c r="Y403" s="104">
        <f t="shared" si="934"/>
        <v>9.9999999999999995E-8</v>
      </c>
      <c r="Z403" s="104">
        <f t="shared" si="934"/>
        <v>9.9999999999999995E-8</v>
      </c>
      <c r="AA403" s="105">
        <f t="shared" si="934"/>
        <v>9.9999999999999995E-8</v>
      </c>
      <c r="AB403" s="101" t="e">
        <f>$DT403*HLOOKUP($J403,'Construction Costs (timber)'!$B$1:$V$32,'Construction Planner'!$L403+2,FALSE)</f>
        <v>#N/A</v>
      </c>
      <c r="AC403" s="14" t="e">
        <f>$DT403*HLOOKUP($J403,'Construction Costs (clay)'!$B$1:$V$32,'Construction Planner'!$L403+2,FALSE)</f>
        <v>#N/A</v>
      </c>
      <c r="AD403" s="14" t="e">
        <f>$DT403*HLOOKUP($J403,'Construction Costs (iron)'!$B$1:$V$32,'Construction Planner'!$L403+2,FALSE)</f>
        <v>#N/A</v>
      </c>
      <c r="AE403" s="34" t="e">
        <f t="shared" si="843"/>
        <v>#N/A</v>
      </c>
      <c r="AF403" s="33" t="e">
        <f t="shared" si="939"/>
        <v>#N/A</v>
      </c>
      <c r="AG403" s="14" t="e">
        <f t="shared" si="940"/>
        <v>#N/A</v>
      </c>
      <c r="AH403" s="14" t="e">
        <f t="shared" si="941"/>
        <v>#N/A</v>
      </c>
      <c r="AI403" s="34" t="e">
        <f t="shared" si="844"/>
        <v>#N/A</v>
      </c>
      <c r="AJ403" s="49" t="e">
        <f t="shared" si="962"/>
        <v>#N/A</v>
      </c>
      <c r="AK403" s="49" t="e">
        <f t="shared" si="963"/>
        <v>#N/A</v>
      </c>
      <c r="AL403" s="49" t="e">
        <f t="shared" si="964"/>
        <v>#N/A</v>
      </c>
      <c r="AM403" s="25">
        <f t="shared" si="942"/>
        <v>30</v>
      </c>
      <c r="AN403" s="25">
        <f t="shared" si="943"/>
        <v>30</v>
      </c>
      <c r="AO403" s="25">
        <f t="shared" si="944"/>
        <v>30</v>
      </c>
      <c r="AP403" s="52" t="e">
        <f t="shared" si="965"/>
        <v>#N/A</v>
      </c>
      <c r="AQ403" s="53" t="e">
        <f t="shared" si="965"/>
        <v>#N/A</v>
      </c>
      <c r="AR403" s="54" t="e">
        <f t="shared" si="965"/>
        <v>#N/A</v>
      </c>
      <c r="AS403" s="316">
        <f t="shared" si="922"/>
        <v>0</v>
      </c>
      <c r="AT403" s="106">
        <f>_xlfn.IFNA($M403/VLOOKUP($BT403,'Unit information'!$A$2:$K$29,2,FALSE)*R403,0)*(1+$E$9)</f>
        <v>0</v>
      </c>
      <c r="AU403" s="107">
        <f>_xlfn.IFNA($M403/VLOOKUP($BT403,'Unit information'!$A$2:$K$29,3,FALSE)*S403,0)*(1+$E$9)</f>
        <v>0</v>
      </c>
      <c r="AV403" s="107">
        <f>_xlfn.IFNA($M403/VLOOKUP($BT403,'Unit information'!$A$2:$K$29,4,FALSE)*T403,0)*(1+$E$9)</f>
        <v>0</v>
      </c>
      <c r="AW403" s="107">
        <f>_xlfn.IFNA($M403/VLOOKUP($BT403,'Unit information'!$A$2:$K$29,5,FALSE)*U403,0)*(1+$E$9)</f>
        <v>0</v>
      </c>
      <c r="AX403" s="107">
        <f>_xlfn.IFNA($M403/VLOOKUP($BU403,'Unit information'!$A$2:$K$29,6,FALSE)*V403,0)*(1+$E$9)</f>
        <v>0</v>
      </c>
      <c r="AY403" s="107">
        <f>_xlfn.IFNA($M403/VLOOKUP($BU403,'Unit information'!$A$2:$K$29,7,FALSE)*W403,0)*(1+$E$9)</f>
        <v>0</v>
      </c>
      <c r="AZ403" s="107">
        <f>_xlfn.IFNA($M403/VLOOKUP($BU403,'Unit information'!$A$2:$K$29,8,FALSE)*X403,0)*(1+$E$9)</f>
        <v>0</v>
      </c>
      <c r="BA403" s="107">
        <f>_xlfn.IFNA($M403/VLOOKUP($BU403,'Unit information'!$A$2:$K$29,9,FALSE)*Y403,0)*(1+$E$9)</f>
        <v>0</v>
      </c>
      <c r="BB403" s="107">
        <f>_xlfn.IFNA($M403/VLOOKUP($BV403,'Unit information'!$A$2:$K$29,10,FALSE)*Z403,0)*(1+$E$9)</f>
        <v>0</v>
      </c>
      <c r="BC403" s="108">
        <f>_xlfn.IFNA($M403/VLOOKUP($BV403,'Unit information'!$A$2:$K$29,11,FALSE)*AA403,0)*(1+$E$9)</f>
        <v>0</v>
      </c>
      <c r="BD403" s="106">
        <f t="shared" si="945"/>
        <v>0</v>
      </c>
      <c r="BE403" s="107">
        <f t="shared" si="946"/>
        <v>0</v>
      </c>
      <c r="BF403" s="108">
        <f t="shared" si="947"/>
        <v>0</v>
      </c>
      <c r="BG403" s="25" t="e">
        <f t="shared" si="948"/>
        <v>#N/A</v>
      </c>
      <c r="BH403" s="25" t="e">
        <f t="shared" si="949"/>
        <v>#N/A</v>
      </c>
      <c r="BI403" s="25" t="e">
        <f t="shared" si="950"/>
        <v>#N/A</v>
      </c>
      <c r="BJ403" s="27" t="e">
        <f t="shared" si="951"/>
        <v>#N/A</v>
      </c>
      <c r="BK403" s="18" t="e">
        <f t="shared" si="952"/>
        <v>#N/A</v>
      </c>
      <c r="BL403" s="18" t="e">
        <f t="shared" si="953"/>
        <v>#N/A</v>
      </c>
      <c r="BM403" s="28" t="e">
        <f t="shared" si="846"/>
        <v>#N/A</v>
      </c>
      <c r="BN403" s="33">
        <f>HLOOKUP("maximum population",Miscelaneous!$C$1:$C$33,CH403+3,FALSE)</f>
        <v>240</v>
      </c>
      <c r="BO403" s="14">
        <f t="shared" si="966"/>
        <v>32</v>
      </c>
      <c r="BP403" s="14">
        <f t="shared" si="967"/>
        <v>0</v>
      </c>
      <c r="BQ403" s="14">
        <f t="shared" si="968"/>
        <v>208</v>
      </c>
      <c r="BR403" s="34" t="e">
        <f>HLOOKUP(J403,Villagers!$B$1:$V$33,L403+3,FALSE)-HLOOKUP(J403,Villagers!$B$1:$V$33,L403+2,FALSE)</f>
        <v>#N/A</v>
      </c>
      <c r="BS403" s="49">
        <f t="shared" si="969"/>
        <v>1</v>
      </c>
      <c r="BT403" s="50">
        <f t="shared" si="970"/>
        <v>0</v>
      </c>
      <c r="BU403" s="50">
        <f t="shared" si="971"/>
        <v>0</v>
      </c>
      <c r="BV403" s="50">
        <f t="shared" si="972"/>
        <v>0</v>
      </c>
      <c r="BW403" s="50">
        <f t="shared" si="926"/>
        <v>0</v>
      </c>
      <c r="BX403" s="50">
        <f t="shared" si="927"/>
        <v>0</v>
      </c>
      <c r="BY403" s="50">
        <f t="shared" si="927"/>
        <v>0</v>
      </c>
      <c r="BZ403" s="50">
        <f t="shared" si="860"/>
        <v>0</v>
      </c>
      <c r="CA403" s="50">
        <f t="shared" si="861"/>
        <v>0</v>
      </c>
      <c r="CB403" s="50">
        <f t="shared" si="862"/>
        <v>1</v>
      </c>
      <c r="CC403" s="50">
        <f t="shared" si="863"/>
        <v>0</v>
      </c>
      <c r="CD403" s="50">
        <f t="shared" si="864"/>
        <v>0</v>
      </c>
      <c r="CE403" s="50">
        <f t="shared" si="865"/>
        <v>1</v>
      </c>
      <c r="CF403" s="50">
        <f t="shared" si="866"/>
        <v>1</v>
      </c>
      <c r="CG403" s="50">
        <f t="shared" si="867"/>
        <v>1</v>
      </c>
      <c r="CH403" s="50">
        <f t="shared" si="868"/>
        <v>1</v>
      </c>
      <c r="CI403" s="50">
        <f t="shared" si="869"/>
        <v>1</v>
      </c>
      <c r="CJ403" s="50">
        <f t="shared" si="870"/>
        <v>1</v>
      </c>
      <c r="CK403" s="50">
        <f t="shared" si="870"/>
        <v>0</v>
      </c>
      <c r="CL403" s="50">
        <f t="shared" si="870"/>
        <v>0</v>
      </c>
      <c r="CM403" s="51">
        <f t="shared" si="954"/>
        <v>0</v>
      </c>
      <c r="CN403" s="33">
        <f>ROUND(IF(BS403=0,0,HLOOKUP(BS$14,Villagers!$B$1:$V$33,BS403+3,FALSE)),)</f>
        <v>5</v>
      </c>
      <c r="CO403" s="14">
        <f>ROUND(IF(BT403=0,0,HLOOKUP(BT$14,Villagers!$B$1:$V$33,BT403+3,FALSE)),)</f>
        <v>0</v>
      </c>
      <c r="CP403" s="14">
        <f>ROUND(IF(BU403=0,0,HLOOKUP(BU$14,Villagers!$B$1:$V$33,BU403+3,FALSE)),)</f>
        <v>0</v>
      </c>
      <c r="CQ403" s="14">
        <f>ROUND(IF(BV403=0,0,HLOOKUP(BV$14,Villagers!$B$1:$V$33,BV403+3,FALSE)),)</f>
        <v>0</v>
      </c>
      <c r="CR403" s="14">
        <f>ROUND(IF(BW403=0,0,HLOOKUP(BW$14,Villagers!$B$1:$V$33,BW403+3,FALSE)),)</f>
        <v>0</v>
      </c>
      <c r="CS403" s="14">
        <f>ROUND(IF(BX403=0,0,HLOOKUP(BX$14,Villagers!$B$1:$V$33,BX403+3,FALSE)),)</f>
        <v>0</v>
      </c>
      <c r="CT403" s="14">
        <f>ROUND(IF(BY403=0,0,HLOOKUP(BY$14,Villagers!$B$1:$V$33,BY403+3,FALSE)),)</f>
        <v>0</v>
      </c>
      <c r="CU403" s="14">
        <f>ROUND(IF(BZ403=0,0,HLOOKUP(BZ$14,Villagers!$B$1:$V$33,BZ403+3,FALSE)),)</f>
        <v>0</v>
      </c>
      <c r="CV403" s="14">
        <f>ROUND(IF(CA403=0,0,HLOOKUP(CA$14,Villagers!$B$1:$V$33,CA403+3,FALSE)),)</f>
        <v>0</v>
      </c>
      <c r="CW403" s="14">
        <f>ROUND(IF(CB403=0,0,HLOOKUP(CB$14,Villagers!$B$1:$V$33,CB403+3,FALSE)),)</f>
        <v>0</v>
      </c>
      <c r="CX403" s="14">
        <f>ROUND(IF(CC403=0,0,HLOOKUP(CC$14,Villagers!$B$1:$V$33,CC403+3,FALSE)),)</f>
        <v>0</v>
      </c>
      <c r="CY403" s="14">
        <f>ROUND(IF(CD403=0,0,HLOOKUP(CD$14,Villagers!$B$1:$V$33,CD403+3,FALSE)),)</f>
        <v>0</v>
      </c>
      <c r="CZ403" s="14">
        <f>ROUND(IF(CE403=0,0,HLOOKUP(CE$14,Villagers!$B$1:$V$33,CE403+3,FALSE)),)</f>
        <v>5</v>
      </c>
      <c r="DA403" s="14">
        <f>ROUND(IF(CF403=0,0,HLOOKUP(CF$14,Villagers!$B$1:$V$33,CF403+3,FALSE)),)</f>
        <v>10</v>
      </c>
      <c r="DB403" s="14">
        <f>ROUND(IF(CG403=0,0,HLOOKUP(CG$14,Villagers!$B$1:$V$33,CG403+3,FALSE)),)</f>
        <v>10</v>
      </c>
      <c r="DC403" s="14">
        <f>ROUND(IF(CH403=0,0,HLOOKUP(CH$14,Villagers!$B$1:$V$33,CH403+3,FALSE)),)</f>
        <v>0</v>
      </c>
      <c r="DD403" s="14">
        <f>ROUND(IF(CI403=0,0,HLOOKUP(CI$14,Villagers!$B$1:$V$33,CI403+3,FALSE)),)</f>
        <v>0</v>
      </c>
      <c r="DE403" s="14">
        <f>ROUND(IF(CJ403=0,0,HLOOKUP(CJ$14,Villagers!$B$1:$V$33,CJ403+3,FALSE)),)</f>
        <v>2</v>
      </c>
      <c r="DF403" s="370">
        <f>ROUND(IF(CK403=0,0,HLOOKUP(CK$14,Villagers!$B$1:$V$33,CK403+3,FALSE)),)</f>
        <v>0</v>
      </c>
      <c r="DG403" s="370">
        <f>ROUND(IF(CL403=0,0,HLOOKUP(CL$14,Villagers!$B$1:$V$33,CL403+3,FALSE)),)</f>
        <v>0</v>
      </c>
      <c r="DH403" s="34">
        <f>ROUND(IF(CM403=0,0,HLOOKUP(CM$14,Villagers!$B$1:$V$33,CM403+3,FALSE)),)</f>
        <v>0</v>
      </c>
      <c r="DI403" s="109">
        <f t="shared" si="989"/>
        <v>0</v>
      </c>
      <c r="DJ403" s="50">
        <f t="shared" si="990"/>
        <v>0</v>
      </c>
      <c r="DK403" s="50">
        <f t="shared" si="991"/>
        <v>0</v>
      </c>
      <c r="DL403" s="50">
        <f t="shared" si="992"/>
        <v>0</v>
      </c>
      <c r="DM403" s="50">
        <f t="shared" si="993"/>
        <v>0</v>
      </c>
      <c r="DN403" s="50">
        <f t="shared" si="994"/>
        <v>0</v>
      </c>
      <c r="DO403" s="50">
        <f t="shared" si="995"/>
        <v>0</v>
      </c>
      <c r="DP403" s="50">
        <f t="shared" si="996"/>
        <v>0</v>
      </c>
      <c r="DQ403" s="50">
        <f t="shared" si="973"/>
        <v>0</v>
      </c>
      <c r="DR403" s="50">
        <f t="shared" si="974"/>
        <v>0</v>
      </c>
      <c r="DS403" s="96">
        <f>Miscelaneous!$D$4*Miscelaneous!$D$2^($CI403-1)</f>
        <v>1000</v>
      </c>
      <c r="DT403" s="333">
        <f t="shared" si="955"/>
        <v>1</v>
      </c>
      <c r="DU403" s="81">
        <v>1</v>
      </c>
      <c r="DV403" s="79">
        <f t="shared" si="975"/>
        <v>0</v>
      </c>
      <c r="DW403" s="79">
        <f t="shared" si="976"/>
        <v>0</v>
      </c>
      <c r="DX403" s="79">
        <f t="shared" si="977"/>
        <v>0</v>
      </c>
      <c r="DY403" s="79">
        <v>1</v>
      </c>
      <c r="DZ403" s="79">
        <f t="shared" si="978"/>
        <v>0</v>
      </c>
      <c r="EA403" s="79">
        <f t="shared" si="979"/>
        <v>0</v>
      </c>
      <c r="EB403" s="79">
        <f t="shared" si="980"/>
        <v>0</v>
      </c>
      <c r="EC403" s="79">
        <f t="shared" si="981"/>
        <v>0</v>
      </c>
      <c r="ED403" s="79">
        <v>1</v>
      </c>
      <c r="EE403" s="79">
        <v>1</v>
      </c>
      <c r="EF403" s="79">
        <f t="shared" si="982"/>
        <v>0</v>
      </c>
      <c r="EG403" s="79">
        <v>1</v>
      </c>
      <c r="EH403" s="79">
        <v>1</v>
      </c>
      <c r="EI403" s="79">
        <v>1</v>
      </c>
      <c r="EJ403" s="79">
        <v>1</v>
      </c>
      <c r="EK403" s="79">
        <v>1</v>
      </c>
      <c r="EL403" s="79">
        <v>1</v>
      </c>
      <c r="EM403" s="143">
        <f t="shared" si="983"/>
        <v>0</v>
      </c>
      <c r="EN403" s="143">
        <f t="shared" si="984"/>
        <v>0</v>
      </c>
      <c r="EO403" s="82">
        <f t="shared" si="985"/>
        <v>0</v>
      </c>
    </row>
    <row r="404" spans="1:145" x14ac:dyDescent="0.25">
      <c r="A404">
        <v>390</v>
      </c>
      <c r="B404" s="172" t="e">
        <f t="shared" si="956"/>
        <v>#N/A</v>
      </c>
      <c r="C404" s="121" t="e">
        <f t="shared" ref="C404:E404" si="999">AJ404-SUM(AB404:AB408)</f>
        <v>#N/A</v>
      </c>
      <c r="D404" s="122" t="e">
        <f t="shared" si="999"/>
        <v>#N/A</v>
      </c>
      <c r="E404" s="122" t="e">
        <f t="shared" si="999"/>
        <v>#N/A</v>
      </c>
      <c r="F404" s="176" t="e">
        <f t="shared" si="937"/>
        <v>#N/A</v>
      </c>
      <c r="G404" s="121">
        <f t="shared" si="958"/>
        <v>208</v>
      </c>
      <c r="H404" s="176" t="e">
        <f t="shared" si="959"/>
        <v>#N/A</v>
      </c>
      <c r="I404" s="48">
        <v>1</v>
      </c>
      <c r="J404" s="39"/>
      <c r="K404" s="350">
        <v>1</v>
      </c>
      <c r="L404" s="34" t="e">
        <f t="shared" si="938"/>
        <v>#N/A</v>
      </c>
      <c r="M404" s="38" t="e">
        <f>(HLOOKUP(J404,'Construction Times'!$B$3:$W$34,L404+2,FALSE)*HLOOKUP("hq modifier",'Construction Times'!$W$3:$W$34,BS404+2,FALSE))*(1-$H$9)</f>
        <v>#N/A</v>
      </c>
      <c r="N404" s="426" t="e">
        <f t="shared" si="960"/>
        <v>#N/A</v>
      </c>
      <c r="O404" s="427"/>
      <c r="P404" s="430" t="e">
        <f t="shared" si="961"/>
        <v>#N/A</v>
      </c>
      <c r="Q404" s="431"/>
      <c r="R404" s="103">
        <f t="shared" si="987"/>
        <v>0</v>
      </c>
      <c r="S404" s="104">
        <f t="shared" si="987"/>
        <v>0</v>
      </c>
      <c r="T404" s="104">
        <f t="shared" si="988"/>
        <v>0</v>
      </c>
      <c r="U404" s="104">
        <f t="shared" si="988"/>
        <v>0</v>
      </c>
      <c r="V404" s="104">
        <f t="shared" si="988"/>
        <v>9.9999999999999995E-8</v>
      </c>
      <c r="W404" s="104">
        <f t="shared" si="988"/>
        <v>0</v>
      </c>
      <c r="X404" s="104">
        <f t="shared" si="934"/>
        <v>0</v>
      </c>
      <c r="Y404" s="104">
        <f t="shared" si="934"/>
        <v>9.9999999999999995E-8</v>
      </c>
      <c r="Z404" s="104">
        <f t="shared" si="934"/>
        <v>9.9999999999999995E-8</v>
      </c>
      <c r="AA404" s="105">
        <f t="shared" si="934"/>
        <v>9.9999999999999995E-8</v>
      </c>
      <c r="AB404" s="101" t="e">
        <f>$DT404*HLOOKUP($J404,'Construction Costs (timber)'!$B$1:$V$32,'Construction Planner'!$L404+2,FALSE)</f>
        <v>#N/A</v>
      </c>
      <c r="AC404" s="14" t="e">
        <f>$DT404*HLOOKUP($J404,'Construction Costs (clay)'!$B$1:$V$32,'Construction Planner'!$L404+2,FALSE)</f>
        <v>#N/A</v>
      </c>
      <c r="AD404" s="14" t="e">
        <f>$DT404*HLOOKUP($J404,'Construction Costs (iron)'!$B$1:$V$32,'Construction Planner'!$L404+2,FALSE)</f>
        <v>#N/A</v>
      </c>
      <c r="AE404" s="34" t="e">
        <f t="shared" ref="AE404:AE467" si="1000">SUM(AB404:AD404)</f>
        <v>#N/A</v>
      </c>
      <c r="AF404" s="33" t="e">
        <f t="shared" si="939"/>
        <v>#N/A</v>
      </c>
      <c r="AG404" s="14" t="e">
        <f t="shared" si="940"/>
        <v>#N/A</v>
      </c>
      <c r="AH404" s="14" t="e">
        <f t="shared" si="941"/>
        <v>#N/A</v>
      </c>
      <c r="AI404" s="34" t="e">
        <f t="shared" ref="AI404:AI467" si="1001">SUM(AF404:AH404)</f>
        <v>#N/A</v>
      </c>
      <c r="AJ404" s="49" t="e">
        <f t="shared" si="962"/>
        <v>#N/A</v>
      </c>
      <c r="AK404" s="49" t="e">
        <f t="shared" si="963"/>
        <v>#N/A</v>
      </c>
      <c r="AL404" s="49" t="e">
        <f t="shared" si="964"/>
        <v>#N/A</v>
      </c>
      <c r="AM404" s="25">
        <f t="shared" si="942"/>
        <v>30</v>
      </c>
      <c r="AN404" s="25">
        <f t="shared" si="943"/>
        <v>30</v>
      </c>
      <c r="AO404" s="25">
        <f t="shared" si="944"/>
        <v>30</v>
      </c>
      <c r="AP404" s="52" t="e">
        <f t="shared" si="965"/>
        <v>#N/A</v>
      </c>
      <c r="AQ404" s="53" t="e">
        <f t="shared" si="965"/>
        <v>#N/A</v>
      </c>
      <c r="AR404" s="54" t="e">
        <f t="shared" si="965"/>
        <v>#N/A</v>
      </c>
      <c r="AS404" s="316">
        <f t="shared" ref="AS404:AS419" si="1002">AS403</f>
        <v>0</v>
      </c>
      <c r="AT404" s="106">
        <f>_xlfn.IFNA($M404/VLOOKUP($BT404,'Unit information'!$A$2:$K$29,2,FALSE)*R404,0)*(1+$E$9)</f>
        <v>0</v>
      </c>
      <c r="AU404" s="107">
        <f>_xlfn.IFNA($M404/VLOOKUP($BT404,'Unit information'!$A$2:$K$29,3,FALSE)*S404,0)*(1+$E$9)</f>
        <v>0</v>
      </c>
      <c r="AV404" s="107">
        <f>_xlfn.IFNA($M404/VLOOKUP($BT404,'Unit information'!$A$2:$K$29,4,FALSE)*T404,0)*(1+$E$9)</f>
        <v>0</v>
      </c>
      <c r="AW404" s="107">
        <f>_xlfn.IFNA($M404/VLOOKUP($BT404,'Unit information'!$A$2:$K$29,5,FALSE)*U404,0)*(1+$E$9)</f>
        <v>0</v>
      </c>
      <c r="AX404" s="107">
        <f>_xlfn.IFNA($M404/VLOOKUP($BU404,'Unit information'!$A$2:$K$29,6,FALSE)*V404,0)*(1+$E$9)</f>
        <v>0</v>
      </c>
      <c r="AY404" s="107">
        <f>_xlfn.IFNA($M404/VLOOKUP($BU404,'Unit information'!$A$2:$K$29,7,FALSE)*W404,0)*(1+$E$9)</f>
        <v>0</v>
      </c>
      <c r="AZ404" s="107">
        <f>_xlfn.IFNA($M404/VLOOKUP($BU404,'Unit information'!$A$2:$K$29,8,FALSE)*X404,0)*(1+$E$9)</f>
        <v>0</v>
      </c>
      <c r="BA404" s="107">
        <f>_xlfn.IFNA($M404/VLOOKUP($BU404,'Unit information'!$A$2:$K$29,9,FALSE)*Y404,0)*(1+$E$9)</f>
        <v>0</v>
      </c>
      <c r="BB404" s="107">
        <f>_xlfn.IFNA($M404/VLOOKUP($BV404,'Unit information'!$A$2:$K$29,10,FALSE)*Z404,0)*(1+$E$9)</f>
        <v>0</v>
      </c>
      <c r="BC404" s="108">
        <f>_xlfn.IFNA($M404/VLOOKUP($BV404,'Unit information'!$A$2:$K$29,11,FALSE)*AA404,0)*(1+$E$9)</f>
        <v>0</v>
      </c>
      <c r="BD404" s="106">
        <f t="shared" si="945"/>
        <v>0</v>
      </c>
      <c r="BE404" s="107">
        <f t="shared" si="946"/>
        <v>0</v>
      </c>
      <c r="BF404" s="108">
        <f t="shared" si="947"/>
        <v>0</v>
      </c>
      <c r="BG404" s="25" t="e">
        <f t="shared" si="948"/>
        <v>#N/A</v>
      </c>
      <c r="BH404" s="25" t="e">
        <f t="shared" si="949"/>
        <v>#N/A</v>
      </c>
      <c r="BI404" s="25" t="e">
        <f t="shared" si="950"/>
        <v>#N/A</v>
      </c>
      <c r="BJ404" s="27" t="e">
        <f t="shared" si="951"/>
        <v>#N/A</v>
      </c>
      <c r="BK404" s="18" t="e">
        <f t="shared" si="952"/>
        <v>#N/A</v>
      </c>
      <c r="BL404" s="18" t="e">
        <f t="shared" si="953"/>
        <v>#N/A</v>
      </c>
      <c r="BM404" s="28" t="e">
        <f t="shared" ref="BM404:BM467" si="1003">MAX(BJ404:BL404)</f>
        <v>#N/A</v>
      </c>
      <c r="BN404" s="33">
        <f>HLOOKUP("maximum population",Miscelaneous!$C$1:$C$33,CH404+3,FALSE)</f>
        <v>240</v>
      </c>
      <c r="BO404" s="14">
        <f t="shared" si="966"/>
        <v>32</v>
      </c>
      <c r="BP404" s="14">
        <f t="shared" si="967"/>
        <v>0</v>
      </c>
      <c r="BQ404" s="14">
        <f t="shared" si="968"/>
        <v>208</v>
      </c>
      <c r="BR404" s="34" t="e">
        <f>HLOOKUP(J404,Villagers!$B$1:$V$33,L404+3,FALSE)-HLOOKUP(J404,Villagers!$B$1:$V$33,L404+2,FALSE)</f>
        <v>#N/A</v>
      </c>
      <c r="BS404" s="49">
        <f t="shared" si="969"/>
        <v>1</v>
      </c>
      <c r="BT404" s="50">
        <f t="shared" si="970"/>
        <v>0</v>
      </c>
      <c r="BU404" s="50">
        <f t="shared" si="971"/>
        <v>0</v>
      </c>
      <c r="BV404" s="50">
        <f t="shared" si="972"/>
        <v>0</v>
      </c>
      <c r="BW404" s="50">
        <f t="shared" si="926"/>
        <v>0</v>
      </c>
      <c r="BX404" s="50">
        <f t="shared" si="927"/>
        <v>0</v>
      </c>
      <c r="BY404" s="50">
        <f t="shared" si="927"/>
        <v>0</v>
      </c>
      <c r="BZ404" s="50">
        <f t="shared" si="860"/>
        <v>0</v>
      </c>
      <c r="CA404" s="50">
        <f t="shared" si="861"/>
        <v>0</v>
      </c>
      <c r="CB404" s="50">
        <f t="shared" si="862"/>
        <v>1</v>
      </c>
      <c r="CC404" s="50">
        <f t="shared" si="863"/>
        <v>0</v>
      </c>
      <c r="CD404" s="50">
        <f t="shared" si="864"/>
        <v>0</v>
      </c>
      <c r="CE404" s="50">
        <f t="shared" si="865"/>
        <v>1</v>
      </c>
      <c r="CF404" s="50">
        <f t="shared" si="866"/>
        <v>1</v>
      </c>
      <c r="CG404" s="50">
        <f t="shared" si="867"/>
        <v>1</v>
      </c>
      <c r="CH404" s="50">
        <f t="shared" si="868"/>
        <v>1</v>
      </c>
      <c r="CI404" s="50">
        <f t="shared" si="869"/>
        <v>1</v>
      </c>
      <c r="CJ404" s="50">
        <f t="shared" si="870"/>
        <v>1</v>
      </c>
      <c r="CK404" s="50">
        <f t="shared" si="870"/>
        <v>0</v>
      </c>
      <c r="CL404" s="50">
        <f t="shared" si="870"/>
        <v>0</v>
      </c>
      <c r="CM404" s="51">
        <f t="shared" si="954"/>
        <v>0</v>
      </c>
      <c r="CN404" s="33">
        <f>ROUND(IF(BS404=0,0,HLOOKUP(BS$14,Villagers!$B$1:$V$33,BS404+3,FALSE)),)</f>
        <v>5</v>
      </c>
      <c r="CO404" s="14">
        <f>ROUND(IF(BT404=0,0,HLOOKUP(BT$14,Villagers!$B$1:$V$33,BT404+3,FALSE)),)</f>
        <v>0</v>
      </c>
      <c r="CP404" s="14">
        <f>ROUND(IF(BU404=0,0,HLOOKUP(BU$14,Villagers!$B$1:$V$33,BU404+3,FALSE)),)</f>
        <v>0</v>
      </c>
      <c r="CQ404" s="14">
        <f>ROUND(IF(BV404=0,0,HLOOKUP(BV$14,Villagers!$B$1:$V$33,BV404+3,FALSE)),)</f>
        <v>0</v>
      </c>
      <c r="CR404" s="14">
        <f>ROUND(IF(BW404=0,0,HLOOKUP(BW$14,Villagers!$B$1:$V$33,BW404+3,FALSE)),)</f>
        <v>0</v>
      </c>
      <c r="CS404" s="14">
        <f>ROUND(IF(BX404=0,0,HLOOKUP(BX$14,Villagers!$B$1:$V$33,BX404+3,FALSE)),)</f>
        <v>0</v>
      </c>
      <c r="CT404" s="14">
        <f>ROUND(IF(BY404=0,0,HLOOKUP(BY$14,Villagers!$B$1:$V$33,BY404+3,FALSE)),)</f>
        <v>0</v>
      </c>
      <c r="CU404" s="14">
        <f>ROUND(IF(BZ404=0,0,HLOOKUP(BZ$14,Villagers!$B$1:$V$33,BZ404+3,FALSE)),)</f>
        <v>0</v>
      </c>
      <c r="CV404" s="14">
        <f>ROUND(IF(CA404=0,0,HLOOKUP(CA$14,Villagers!$B$1:$V$33,CA404+3,FALSE)),)</f>
        <v>0</v>
      </c>
      <c r="CW404" s="14">
        <f>ROUND(IF(CB404=0,0,HLOOKUP(CB$14,Villagers!$B$1:$V$33,CB404+3,FALSE)),)</f>
        <v>0</v>
      </c>
      <c r="CX404" s="14">
        <f>ROUND(IF(CC404=0,0,HLOOKUP(CC$14,Villagers!$B$1:$V$33,CC404+3,FALSE)),)</f>
        <v>0</v>
      </c>
      <c r="CY404" s="14">
        <f>ROUND(IF(CD404=0,0,HLOOKUP(CD$14,Villagers!$B$1:$V$33,CD404+3,FALSE)),)</f>
        <v>0</v>
      </c>
      <c r="CZ404" s="14">
        <f>ROUND(IF(CE404=0,0,HLOOKUP(CE$14,Villagers!$B$1:$V$33,CE404+3,FALSE)),)</f>
        <v>5</v>
      </c>
      <c r="DA404" s="14">
        <f>ROUND(IF(CF404=0,0,HLOOKUP(CF$14,Villagers!$B$1:$V$33,CF404+3,FALSE)),)</f>
        <v>10</v>
      </c>
      <c r="DB404" s="14">
        <f>ROUND(IF(CG404=0,0,HLOOKUP(CG$14,Villagers!$B$1:$V$33,CG404+3,FALSE)),)</f>
        <v>10</v>
      </c>
      <c r="DC404" s="14">
        <f>ROUND(IF(CH404=0,0,HLOOKUP(CH$14,Villagers!$B$1:$V$33,CH404+3,FALSE)),)</f>
        <v>0</v>
      </c>
      <c r="DD404" s="14">
        <f>ROUND(IF(CI404=0,0,HLOOKUP(CI$14,Villagers!$B$1:$V$33,CI404+3,FALSE)),)</f>
        <v>0</v>
      </c>
      <c r="DE404" s="14">
        <f>ROUND(IF(CJ404=0,0,HLOOKUP(CJ$14,Villagers!$B$1:$V$33,CJ404+3,FALSE)),)</f>
        <v>2</v>
      </c>
      <c r="DF404" s="370">
        <f>ROUND(IF(CK404=0,0,HLOOKUP(CK$14,Villagers!$B$1:$V$33,CK404+3,FALSE)),)</f>
        <v>0</v>
      </c>
      <c r="DG404" s="370">
        <f>ROUND(IF(CL404=0,0,HLOOKUP(CL$14,Villagers!$B$1:$V$33,CL404+3,FALSE)),)</f>
        <v>0</v>
      </c>
      <c r="DH404" s="34">
        <f>ROUND(IF(CM404=0,0,HLOOKUP(CM$14,Villagers!$B$1:$V$33,CM404+3,FALSE)),)</f>
        <v>0</v>
      </c>
      <c r="DI404" s="109">
        <f t="shared" si="989"/>
        <v>0</v>
      </c>
      <c r="DJ404" s="50">
        <f t="shared" si="990"/>
        <v>0</v>
      </c>
      <c r="DK404" s="50">
        <f t="shared" si="991"/>
        <v>0</v>
      </c>
      <c r="DL404" s="50">
        <f t="shared" si="992"/>
        <v>0</v>
      </c>
      <c r="DM404" s="50">
        <f t="shared" si="993"/>
        <v>0</v>
      </c>
      <c r="DN404" s="50">
        <f t="shared" si="994"/>
        <v>0</v>
      </c>
      <c r="DO404" s="50">
        <f t="shared" si="995"/>
        <v>0</v>
      </c>
      <c r="DP404" s="50">
        <f t="shared" si="996"/>
        <v>0</v>
      </c>
      <c r="DQ404" s="50">
        <f t="shared" si="973"/>
        <v>0</v>
      </c>
      <c r="DR404" s="50">
        <f t="shared" si="974"/>
        <v>0</v>
      </c>
      <c r="DS404" s="96">
        <f>Miscelaneous!$D$4*Miscelaneous!$D$2^($CI404-1)</f>
        <v>1000</v>
      </c>
      <c r="DT404" s="333">
        <f t="shared" si="955"/>
        <v>1</v>
      </c>
      <c r="DU404" s="81">
        <v>1</v>
      </c>
      <c r="DV404" s="79">
        <f t="shared" si="975"/>
        <v>0</v>
      </c>
      <c r="DW404" s="79">
        <f t="shared" si="976"/>
        <v>0</v>
      </c>
      <c r="DX404" s="79">
        <f t="shared" si="977"/>
        <v>0</v>
      </c>
      <c r="DY404" s="79">
        <v>1</v>
      </c>
      <c r="DZ404" s="79">
        <f t="shared" si="978"/>
        <v>0</v>
      </c>
      <c r="EA404" s="79">
        <f t="shared" si="979"/>
        <v>0</v>
      </c>
      <c r="EB404" s="79">
        <f t="shared" si="980"/>
        <v>0</v>
      </c>
      <c r="EC404" s="79">
        <f t="shared" si="981"/>
        <v>0</v>
      </c>
      <c r="ED404" s="79">
        <v>1</v>
      </c>
      <c r="EE404" s="79">
        <v>1</v>
      </c>
      <c r="EF404" s="79">
        <f t="shared" si="982"/>
        <v>0</v>
      </c>
      <c r="EG404" s="79">
        <v>1</v>
      </c>
      <c r="EH404" s="79">
        <v>1</v>
      </c>
      <c r="EI404" s="79">
        <v>1</v>
      </c>
      <c r="EJ404" s="79">
        <v>1</v>
      </c>
      <c r="EK404" s="79">
        <v>1</v>
      </c>
      <c r="EL404" s="79">
        <v>1</v>
      </c>
      <c r="EM404" s="143">
        <f t="shared" si="983"/>
        <v>0</v>
      </c>
      <c r="EN404" s="143">
        <f t="shared" si="984"/>
        <v>0</v>
      </c>
      <c r="EO404" s="82">
        <f t="shared" si="985"/>
        <v>0</v>
      </c>
    </row>
    <row r="405" spans="1:145" x14ac:dyDescent="0.25">
      <c r="A405">
        <v>391</v>
      </c>
      <c r="B405" s="172" t="e">
        <f t="shared" si="956"/>
        <v>#N/A</v>
      </c>
      <c r="C405" s="121" t="e">
        <f t="shared" ref="C405:E405" si="1004">AJ405-SUM(AB405:AB409)</f>
        <v>#N/A</v>
      </c>
      <c r="D405" s="122" t="e">
        <f t="shared" si="1004"/>
        <v>#N/A</v>
      </c>
      <c r="E405" s="122" t="e">
        <f t="shared" si="1004"/>
        <v>#N/A</v>
      </c>
      <c r="F405" s="176" t="e">
        <f t="shared" si="937"/>
        <v>#N/A</v>
      </c>
      <c r="G405" s="121">
        <f t="shared" si="958"/>
        <v>208</v>
      </c>
      <c r="H405" s="176" t="e">
        <f t="shared" si="959"/>
        <v>#N/A</v>
      </c>
      <c r="I405" s="48">
        <v>1</v>
      </c>
      <c r="J405" s="39"/>
      <c r="K405" s="350">
        <v>1</v>
      </c>
      <c r="L405" s="34" t="e">
        <f t="shared" si="938"/>
        <v>#N/A</v>
      </c>
      <c r="M405" s="38" t="e">
        <f>(HLOOKUP(J405,'Construction Times'!$B$3:$W$34,L405+2,FALSE)*HLOOKUP("hq modifier",'Construction Times'!$W$3:$W$34,BS405+2,FALSE))*(1-$H$9)</f>
        <v>#N/A</v>
      </c>
      <c r="N405" s="426" t="e">
        <f t="shared" si="960"/>
        <v>#N/A</v>
      </c>
      <c r="O405" s="427"/>
      <c r="P405" s="430" t="e">
        <f t="shared" si="961"/>
        <v>#N/A</v>
      </c>
      <c r="Q405" s="431"/>
      <c r="R405" s="103">
        <f t="shared" si="987"/>
        <v>0</v>
      </c>
      <c r="S405" s="104">
        <f t="shared" si="987"/>
        <v>0</v>
      </c>
      <c r="T405" s="104">
        <f t="shared" si="988"/>
        <v>0</v>
      </c>
      <c r="U405" s="104">
        <f t="shared" si="988"/>
        <v>0</v>
      </c>
      <c r="V405" s="104">
        <f t="shared" si="988"/>
        <v>9.9999999999999995E-8</v>
      </c>
      <c r="W405" s="104">
        <f t="shared" si="988"/>
        <v>0</v>
      </c>
      <c r="X405" s="104">
        <f t="shared" si="934"/>
        <v>0</v>
      </c>
      <c r="Y405" s="104">
        <f t="shared" si="934"/>
        <v>9.9999999999999995E-8</v>
      </c>
      <c r="Z405" s="104">
        <f t="shared" si="934"/>
        <v>9.9999999999999995E-8</v>
      </c>
      <c r="AA405" s="105">
        <f t="shared" si="934"/>
        <v>9.9999999999999995E-8</v>
      </c>
      <c r="AB405" s="101" t="e">
        <f>$DT405*HLOOKUP($J405,'Construction Costs (timber)'!$B$1:$V$32,'Construction Planner'!$L405+2,FALSE)</f>
        <v>#N/A</v>
      </c>
      <c r="AC405" s="14" t="e">
        <f>$DT405*HLOOKUP($J405,'Construction Costs (clay)'!$B$1:$V$32,'Construction Planner'!$L405+2,FALSE)</f>
        <v>#N/A</v>
      </c>
      <c r="AD405" s="14" t="e">
        <f>$DT405*HLOOKUP($J405,'Construction Costs (iron)'!$B$1:$V$32,'Construction Planner'!$L405+2,FALSE)</f>
        <v>#N/A</v>
      </c>
      <c r="AE405" s="34" t="e">
        <f t="shared" si="1000"/>
        <v>#N/A</v>
      </c>
      <c r="AF405" s="33" t="e">
        <f t="shared" si="939"/>
        <v>#N/A</v>
      </c>
      <c r="AG405" s="14" t="e">
        <f t="shared" si="940"/>
        <v>#N/A</v>
      </c>
      <c r="AH405" s="14" t="e">
        <f t="shared" si="941"/>
        <v>#N/A</v>
      </c>
      <c r="AI405" s="34" t="e">
        <f t="shared" si="1001"/>
        <v>#N/A</v>
      </c>
      <c r="AJ405" s="49" t="e">
        <f t="shared" si="962"/>
        <v>#N/A</v>
      </c>
      <c r="AK405" s="49" t="e">
        <f t="shared" si="963"/>
        <v>#N/A</v>
      </c>
      <c r="AL405" s="49" t="e">
        <f t="shared" si="964"/>
        <v>#N/A</v>
      </c>
      <c r="AM405" s="25">
        <f t="shared" si="942"/>
        <v>30</v>
      </c>
      <c r="AN405" s="25">
        <f t="shared" si="943"/>
        <v>30</v>
      </c>
      <c r="AO405" s="25">
        <f t="shared" si="944"/>
        <v>30</v>
      </c>
      <c r="AP405" s="52" t="e">
        <f t="shared" si="965"/>
        <v>#N/A</v>
      </c>
      <c r="AQ405" s="53" t="e">
        <f t="shared" si="965"/>
        <v>#N/A</v>
      </c>
      <c r="AR405" s="54" t="e">
        <f t="shared" si="965"/>
        <v>#N/A</v>
      </c>
      <c r="AS405" s="316">
        <f t="shared" si="1002"/>
        <v>0</v>
      </c>
      <c r="AT405" s="106">
        <f>_xlfn.IFNA($M405/VLOOKUP($BT405,'Unit information'!$A$2:$K$29,2,FALSE)*R405,0)*(1+$E$9)</f>
        <v>0</v>
      </c>
      <c r="AU405" s="107">
        <f>_xlfn.IFNA($M405/VLOOKUP($BT405,'Unit information'!$A$2:$K$29,3,FALSE)*S405,0)*(1+$E$9)</f>
        <v>0</v>
      </c>
      <c r="AV405" s="107">
        <f>_xlfn.IFNA($M405/VLOOKUP($BT405,'Unit information'!$A$2:$K$29,4,FALSE)*T405,0)*(1+$E$9)</f>
        <v>0</v>
      </c>
      <c r="AW405" s="107">
        <f>_xlfn.IFNA($M405/VLOOKUP($BT405,'Unit information'!$A$2:$K$29,5,FALSE)*U405,0)*(1+$E$9)</f>
        <v>0</v>
      </c>
      <c r="AX405" s="107">
        <f>_xlfn.IFNA($M405/VLOOKUP($BU405,'Unit information'!$A$2:$K$29,6,FALSE)*V405,0)*(1+$E$9)</f>
        <v>0</v>
      </c>
      <c r="AY405" s="107">
        <f>_xlfn.IFNA($M405/VLOOKUP($BU405,'Unit information'!$A$2:$K$29,7,FALSE)*W405,0)*(1+$E$9)</f>
        <v>0</v>
      </c>
      <c r="AZ405" s="107">
        <f>_xlfn.IFNA($M405/VLOOKUP($BU405,'Unit information'!$A$2:$K$29,8,FALSE)*X405,0)*(1+$E$9)</f>
        <v>0</v>
      </c>
      <c r="BA405" s="107">
        <f>_xlfn.IFNA($M405/VLOOKUP($BU405,'Unit information'!$A$2:$K$29,9,FALSE)*Y405,0)*(1+$E$9)</f>
        <v>0</v>
      </c>
      <c r="BB405" s="107">
        <f>_xlfn.IFNA($M405/VLOOKUP($BV405,'Unit information'!$A$2:$K$29,10,FALSE)*Z405,0)*(1+$E$9)</f>
        <v>0</v>
      </c>
      <c r="BC405" s="108">
        <f>_xlfn.IFNA($M405/VLOOKUP($BV405,'Unit information'!$A$2:$K$29,11,FALSE)*AA405,0)*(1+$E$9)</f>
        <v>0</v>
      </c>
      <c r="BD405" s="106">
        <f t="shared" si="945"/>
        <v>0</v>
      </c>
      <c r="BE405" s="107">
        <f t="shared" si="946"/>
        <v>0</v>
      </c>
      <c r="BF405" s="108">
        <f t="shared" si="947"/>
        <v>0</v>
      </c>
      <c r="BG405" s="25" t="e">
        <f t="shared" si="948"/>
        <v>#N/A</v>
      </c>
      <c r="BH405" s="25" t="e">
        <f t="shared" si="949"/>
        <v>#N/A</v>
      </c>
      <c r="BI405" s="25" t="e">
        <f t="shared" si="950"/>
        <v>#N/A</v>
      </c>
      <c r="BJ405" s="27" t="e">
        <f t="shared" si="951"/>
        <v>#N/A</v>
      </c>
      <c r="BK405" s="18" t="e">
        <f t="shared" si="952"/>
        <v>#N/A</v>
      </c>
      <c r="BL405" s="18" t="e">
        <f t="shared" si="953"/>
        <v>#N/A</v>
      </c>
      <c r="BM405" s="28" t="e">
        <f t="shared" si="1003"/>
        <v>#N/A</v>
      </c>
      <c r="BN405" s="33">
        <f>HLOOKUP("maximum population",Miscelaneous!$C$1:$C$33,CH405+3,FALSE)</f>
        <v>240</v>
      </c>
      <c r="BO405" s="14">
        <f t="shared" si="966"/>
        <v>32</v>
      </c>
      <c r="BP405" s="14">
        <f t="shared" si="967"/>
        <v>0</v>
      </c>
      <c r="BQ405" s="14">
        <f t="shared" si="968"/>
        <v>208</v>
      </c>
      <c r="BR405" s="34" t="e">
        <f>HLOOKUP(J405,Villagers!$B$1:$V$33,L405+3,FALSE)-HLOOKUP(J405,Villagers!$B$1:$V$33,L405+2,FALSE)</f>
        <v>#N/A</v>
      </c>
      <c r="BS405" s="49">
        <f t="shared" si="969"/>
        <v>1</v>
      </c>
      <c r="BT405" s="50">
        <f t="shared" si="970"/>
        <v>0</v>
      </c>
      <c r="BU405" s="50">
        <f t="shared" si="971"/>
        <v>0</v>
      </c>
      <c r="BV405" s="50">
        <f t="shared" si="972"/>
        <v>0</v>
      </c>
      <c r="BW405" s="50">
        <f t="shared" si="926"/>
        <v>0</v>
      </c>
      <c r="BX405" s="50">
        <f t="shared" si="927"/>
        <v>0</v>
      </c>
      <c r="BY405" s="50">
        <f t="shared" si="927"/>
        <v>0</v>
      </c>
      <c r="BZ405" s="50">
        <f t="shared" si="860"/>
        <v>0</v>
      </c>
      <c r="CA405" s="50">
        <f t="shared" si="861"/>
        <v>0</v>
      </c>
      <c r="CB405" s="50">
        <f t="shared" si="862"/>
        <v>1</v>
      </c>
      <c r="CC405" s="50">
        <f t="shared" si="863"/>
        <v>0</v>
      </c>
      <c r="CD405" s="50">
        <f t="shared" si="864"/>
        <v>0</v>
      </c>
      <c r="CE405" s="50">
        <f t="shared" si="865"/>
        <v>1</v>
      </c>
      <c r="CF405" s="50">
        <f t="shared" si="866"/>
        <v>1</v>
      </c>
      <c r="CG405" s="50">
        <f t="shared" si="867"/>
        <v>1</v>
      </c>
      <c r="CH405" s="50">
        <f t="shared" si="868"/>
        <v>1</v>
      </c>
      <c r="CI405" s="50">
        <f t="shared" si="869"/>
        <v>1</v>
      </c>
      <c r="CJ405" s="50">
        <f t="shared" si="870"/>
        <v>1</v>
      </c>
      <c r="CK405" s="50">
        <f t="shared" si="870"/>
        <v>0</v>
      </c>
      <c r="CL405" s="50">
        <f t="shared" si="870"/>
        <v>0</v>
      </c>
      <c r="CM405" s="51">
        <f t="shared" si="954"/>
        <v>0</v>
      </c>
      <c r="CN405" s="33">
        <f>ROUND(IF(BS405=0,0,HLOOKUP(BS$14,Villagers!$B$1:$V$33,BS405+3,FALSE)),)</f>
        <v>5</v>
      </c>
      <c r="CO405" s="14">
        <f>ROUND(IF(BT405=0,0,HLOOKUP(BT$14,Villagers!$B$1:$V$33,BT405+3,FALSE)),)</f>
        <v>0</v>
      </c>
      <c r="CP405" s="14">
        <f>ROUND(IF(BU405=0,0,HLOOKUP(BU$14,Villagers!$B$1:$V$33,BU405+3,FALSE)),)</f>
        <v>0</v>
      </c>
      <c r="CQ405" s="14">
        <f>ROUND(IF(BV405=0,0,HLOOKUP(BV$14,Villagers!$B$1:$V$33,BV405+3,FALSE)),)</f>
        <v>0</v>
      </c>
      <c r="CR405" s="14">
        <f>ROUND(IF(BW405=0,0,HLOOKUP(BW$14,Villagers!$B$1:$V$33,BW405+3,FALSE)),)</f>
        <v>0</v>
      </c>
      <c r="CS405" s="14">
        <f>ROUND(IF(BX405=0,0,HLOOKUP(BX$14,Villagers!$B$1:$V$33,BX405+3,FALSE)),)</f>
        <v>0</v>
      </c>
      <c r="CT405" s="14">
        <f>ROUND(IF(BY405=0,0,HLOOKUP(BY$14,Villagers!$B$1:$V$33,BY405+3,FALSE)),)</f>
        <v>0</v>
      </c>
      <c r="CU405" s="14">
        <f>ROUND(IF(BZ405=0,0,HLOOKUP(BZ$14,Villagers!$B$1:$V$33,BZ405+3,FALSE)),)</f>
        <v>0</v>
      </c>
      <c r="CV405" s="14">
        <f>ROUND(IF(CA405=0,0,HLOOKUP(CA$14,Villagers!$B$1:$V$33,CA405+3,FALSE)),)</f>
        <v>0</v>
      </c>
      <c r="CW405" s="14">
        <f>ROUND(IF(CB405=0,0,HLOOKUP(CB$14,Villagers!$B$1:$V$33,CB405+3,FALSE)),)</f>
        <v>0</v>
      </c>
      <c r="CX405" s="14">
        <f>ROUND(IF(CC405=0,0,HLOOKUP(CC$14,Villagers!$B$1:$V$33,CC405+3,FALSE)),)</f>
        <v>0</v>
      </c>
      <c r="CY405" s="14">
        <f>ROUND(IF(CD405=0,0,HLOOKUP(CD$14,Villagers!$B$1:$V$33,CD405+3,FALSE)),)</f>
        <v>0</v>
      </c>
      <c r="CZ405" s="14">
        <f>ROUND(IF(CE405=0,0,HLOOKUP(CE$14,Villagers!$B$1:$V$33,CE405+3,FALSE)),)</f>
        <v>5</v>
      </c>
      <c r="DA405" s="14">
        <f>ROUND(IF(CF405=0,0,HLOOKUP(CF$14,Villagers!$B$1:$V$33,CF405+3,FALSE)),)</f>
        <v>10</v>
      </c>
      <c r="DB405" s="14">
        <f>ROUND(IF(CG405=0,0,HLOOKUP(CG$14,Villagers!$B$1:$V$33,CG405+3,FALSE)),)</f>
        <v>10</v>
      </c>
      <c r="DC405" s="14">
        <f>ROUND(IF(CH405=0,0,HLOOKUP(CH$14,Villagers!$B$1:$V$33,CH405+3,FALSE)),)</f>
        <v>0</v>
      </c>
      <c r="DD405" s="14">
        <f>ROUND(IF(CI405=0,0,HLOOKUP(CI$14,Villagers!$B$1:$V$33,CI405+3,FALSE)),)</f>
        <v>0</v>
      </c>
      <c r="DE405" s="14">
        <f>ROUND(IF(CJ405=0,0,HLOOKUP(CJ$14,Villagers!$B$1:$V$33,CJ405+3,FALSE)),)</f>
        <v>2</v>
      </c>
      <c r="DF405" s="370">
        <f>ROUND(IF(CK405=0,0,HLOOKUP(CK$14,Villagers!$B$1:$V$33,CK405+3,FALSE)),)</f>
        <v>0</v>
      </c>
      <c r="DG405" s="370">
        <f>ROUND(IF(CL405=0,0,HLOOKUP(CL$14,Villagers!$B$1:$V$33,CL405+3,FALSE)),)</f>
        <v>0</v>
      </c>
      <c r="DH405" s="34">
        <f>ROUND(IF(CM405=0,0,HLOOKUP(CM$14,Villagers!$B$1:$V$33,CM405+3,FALSE)),)</f>
        <v>0</v>
      </c>
      <c r="DI405" s="109">
        <f t="shared" si="989"/>
        <v>0</v>
      </c>
      <c r="DJ405" s="50">
        <f t="shared" si="990"/>
        <v>0</v>
      </c>
      <c r="DK405" s="50">
        <f t="shared" si="991"/>
        <v>0</v>
      </c>
      <c r="DL405" s="50">
        <f t="shared" si="992"/>
        <v>0</v>
      </c>
      <c r="DM405" s="50">
        <f t="shared" si="993"/>
        <v>0</v>
      </c>
      <c r="DN405" s="50">
        <f t="shared" si="994"/>
        <v>0</v>
      </c>
      <c r="DO405" s="50">
        <f t="shared" si="995"/>
        <v>0</v>
      </c>
      <c r="DP405" s="50">
        <f t="shared" si="996"/>
        <v>0</v>
      </c>
      <c r="DQ405" s="50">
        <f t="shared" si="973"/>
        <v>0</v>
      </c>
      <c r="DR405" s="50">
        <f t="shared" si="974"/>
        <v>0</v>
      </c>
      <c r="DS405" s="96">
        <f>Miscelaneous!$D$4*Miscelaneous!$D$2^($CI405-1)</f>
        <v>1000</v>
      </c>
      <c r="DT405" s="333">
        <f t="shared" si="955"/>
        <v>1</v>
      </c>
      <c r="DU405" s="81">
        <v>1</v>
      </c>
      <c r="DV405" s="79">
        <f t="shared" si="975"/>
        <v>0</v>
      </c>
      <c r="DW405" s="79">
        <f t="shared" si="976"/>
        <v>0</v>
      </c>
      <c r="DX405" s="79">
        <f t="shared" si="977"/>
        <v>0</v>
      </c>
      <c r="DY405" s="79">
        <v>1</v>
      </c>
      <c r="DZ405" s="79">
        <f t="shared" si="978"/>
        <v>0</v>
      </c>
      <c r="EA405" s="79">
        <f t="shared" si="979"/>
        <v>0</v>
      </c>
      <c r="EB405" s="79">
        <f t="shared" si="980"/>
        <v>0</v>
      </c>
      <c r="EC405" s="79">
        <f t="shared" si="981"/>
        <v>0</v>
      </c>
      <c r="ED405" s="79">
        <v>1</v>
      </c>
      <c r="EE405" s="79">
        <v>1</v>
      </c>
      <c r="EF405" s="79">
        <f t="shared" si="982"/>
        <v>0</v>
      </c>
      <c r="EG405" s="79">
        <v>1</v>
      </c>
      <c r="EH405" s="79">
        <v>1</v>
      </c>
      <c r="EI405" s="79">
        <v>1</v>
      </c>
      <c r="EJ405" s="79">
        <v>1</v>
      </c>
      <c r="EK405" s="79">
        <v>1</v>
      </c>
      <c r="EL405" s="79">
        <v>1</v>
      </c>
      <c r="EM405" s="143">
        <f t="shared" si="983"/>
        <v>0</v>
      </c>
      <c r="EN405" s="143">
        <f t="shared" si="984"/>
        <v>0</v>
      </c>
      <c r="EO405" s="82">
        <f t="shared" si="985"/>
        <v>0</v>
      </c>
    </row>
    <row r="406" spans="1:145" x14ac:dyDescent="0.25">
      <c r="A406">
        <v>392</v>
      </c>
      <c r="B406" s="172" t="e">
        <f t="shared" si="956"/>
        <v>#N/A</v>
      </c>
      <c r="C406" s="121" t="e">
        <f t="shared" ref="C406:E406" si="1005">AJ406-SUM(AB406:AB410)</f>
        <v>#N/A</v>
      </c>
      <c r="D406" s="122" t="e">
        <f t="shared" si="1005"/>
        <v>#N/A</v>
      </c>
      <c r="E406" s="122" t="e">
        <f t="shared" si="1005"/>
        <v>#N/A</v>
      </c>
      <c r="F406" s="176" t="e">
        <f t="shared" si="937"/>
        <v>#N/A</v>
      </c>
      <c r="G406" s="121">
        <f t="shared" si="958"/>
        <v>208</v>
      </c>
      <c r="H406" s="176" t="e">
        <f t="shared" si="959"/>
        <v>#N/A</v>
      </c>
      <c r="I406" s="48">
        <v>1</v>
      </c>
      <c r="J406" s="39"/>
      <c r="K406" s="350">
        <v>1</v>
      </c>
      <c r="L406" s="34" t="e">
        <f t="shared" si="938"/>
        <v>#N/A</v>
      </c>
      <c r="M406" s="38" t="e">
        <f>(HLOOKUP(J406,'Construction Times'!$B$3:$W$34,L406+2,FALSE)*HLOOKUP("hq modifier",'Construction Times'!$W$3:$W$34,BS406+2,FALSE))*(1-$H$9)</f>
        <v>#N/A</v>
      </c>
      <c r="N406" s="426" t="e">
        <f t="shared" si="960"/>
        <v>#N/A</v>
      </c>
      <c r="O406" s="427"/>
      <c r="P406" s="430" t="e">
        <f t="shared" si="961"/>
        <v>#N/A</v>
      </c>
      <c r="Q406" s="431"/>
      <c r="R406" s="103">
        <f t="shared" si="987"/>
        <v>0</v>
      </c>
      <c r="S406" s="104">
        <f t="shared" si="987"/>
        <v>0</v>
      </c>
      <c r="T406" s="104">
        <f t="shared" si="988"/>
        <v>0</v>
      </c>
      <c r="U406" s="104">
        <f t="shared" si="988"/>
        <v>0</v>
      </c>
      <c r="V406" s="104">
        <f t="shared" si="988"/>
        <v>9.9999999999999995E-8</v>
      </c>
      <c r="W406" s="104">
        <f t="shared" si="988"/>
        <v>0</v>
      </c>
      <c r="X406" s="104">
        <f t="shared" si="934"/>
        <v>0</v>
      </c>
      <c r="Y406" s="104">
        <f t="shared" si="934"/>
        <v>9.9999999999999995E-8</v>
      </c>
      <c r="Z406" s="104">
        <f t="shared" si="934"/>
        <v>9.9999999999999995E-8</v>
      </c>
      <c r="AA406" s="105">
        <f t="shared" si="934"/>
        <v>9.9999999999999995E-8</v>
      </c>
      <c r="AB406" s="101" t="e">
        <f>$DT406*HLOOKUP($J406,'Construction Costs (timber)'!$B$1:$V$32,'Construction Planner'!$L406+2,FALSE)</f>
        <v>#N/A</v>
      </c>
      <c r="AC406" s="14" t="e">
        <f>$DT406*HLOOKUP($J406,'Construction Costs (clay)'!$B$1:$V$32,'Construction Planner'!$L406+2,FALSE)</f>
        <v>#N/A</v>
      </c>
      <c r="AD406" s="14" t="e">
        <f>$DT406*HLOOKUP($J406,'Construction Costs (iron)'!$B$1:$V$32,'Construction Planner'!$L406+2,FALSE)</f>
        <v>#N/A</v>
      </c>
      <c r="AE406" s="34" t="e">
        <f t="shared" si="1000"/>
        <v>#N/A</v>
      </c>
      <c r="AF406" s="33" t="e">
        <f t="shared" si="939"/>
        <v>#N/A</v>
      </c>
      <c r="AG406" s="14" t="e">
        <f t="shared" si="940"/>
        <v>#N/A</v>
      </c>
      <c r="AH406" s="14" t="e">
        <f t="shared" si="941"/>
        <v>#N/A</v>
      </c>
      <c r="AI406" s="34" t="e">
        <f t="shared" si="1001"/>
        <v>#N/A</v>
      </c>
      <c r="AJ406" s="49" t="e">
        <f t="shared" si="962"/>
        <v>#N/A</v>
      </c>
      <c r="AK406" s="49" t="e">
        <f t="shared" si="963"/>
        <v>#N/A</v>
      </c>
      <c r="AL406" s="49" t="e">
        <f t="shared" si="964"/>
        <v>#N/A</v>
      </c>
      <c r="AM406" s="25">
        <f t="shared" si="942"/>
        <v>30</v>
      </c>
      <c r="AN406" s="25">
        <f t="shared" si="943"/>
        <v>30</v>
      </c>
      <c r="AO406" s="25">
        <f t="shared" si="944"/>
        <v>30</v>
      </c>
      <c r="AP406" s="52" t="e">
        <f t="shared" si="965"/>
        <v>#N/A</v>
      </c>
      <c r="AQ406" s="53" t="e">
        <f t="shared" si="965"/>
        <v>#N/A</v>
      </c>
      <c r="AR406" s="54" t="e">
        <f t="shared" si="965"/>
        <v>#N/A</v>
      </c>
      <c r="AS406" s="316">
        <f t="shared" si="1002"/>
        <v>0</v>
      </c>
      <c r="AT406" s="106">
        <f>_xlfn.IFNA($M406/VLOOKUP($BT406,'Unit information'!$A$2:$K$29,2,FALSE)*R406,0)*(1+$E$9)</f>
        <v>0</v>
      </c>
      <c r="AU406" s="107">
        <f>_xlfn.IFNA($M406/VLOOKUP($BT406,'Unit information'!$A$2:$K$29,3,FALSE)*S406,0)*(1+$E$9)</f>
        <v>0</v>
      </c>
      <c r="AV406" s="107">
        <f>_xlfn.IFNA($M406/VLOOKUP($BT406,'Unit information'!$A$2:$K$29,4,FALSE)*T406,0)*(1+$E$9)</f>
        <v>0</v>
      </c>
      <c r="AW406" s="107">
        <f>_xlfn.IFNA($M406/VLOOKUP($BT406,'Unit information'!$A$2:$K$29,5,FALSE)*U406,0)*(1+$E$9)</f>
        <v>0</v>
      </c>
      <c r="AX406" s="107">
        <f>_xlfn.IFNA($M406/VLOOKUP($BU406,'Unit information'!$A$2:$K$29,6,FALSE)*V406,0)*(1+$E$9)</f>
        <v>0</v>
      </c>
      <c r="AY406" s="107">
        <f>_xlfn.IFNA($M406/VLOOKUP($BU406,'Unit information'!$A$2:$K$29,7,FALSE)*W406,0)*(1+$E$9)</f>
        <v>0</v>
      </c>
      <c r="AZ406" s="107">
        <f>_xlfn.IFNA($M406/VLOOKUP($BU406,'Unit information'!$A$2:$K$29,8,FALSE)*X406,0)*(1+$E$9)</f>
        <v>0</v>
      </c>
      <c r="BA406" s="107">
        <f>_xlfn.IFNA($M406/VLOOKUP($BU406,'Unit information'!$A$2:$K$29,9,FALSE)*Y406,0)*(1+$E$9)</f>
        <v>0</v>
      </c>
      <c r="BB406" s="107">
        <f>_xlfn.IFNA($M406/VLOOKUP($BV406,'Unit information'!$A$2:$K$29,10,FALSE)*Z406,0)*(1+$E$9)</f>
        <v>0</v>
      </c>
      <c r="BC406" s="108">
        <f>_xlfn.IFNA($M406/VLOOKUP($BV406,'Unit information'!$A$2:$K$29,11,FALSE)*AA406,0)*(1+$E$9)</f>
        <v>0</v>
      </c>
      <c r="BD406" s="106">
        <f t="shared" si="945"/>
        <v>0</v>
      </c>
      <c r="BE406" s="107">
        <f t="shared" si="946"/>
        <v>0</v>
      </c>
      <c r="BF406" s="108">
        <f t="shared" si="947"/>
        <v>0</v>
      </c>
      <c r="BG406" s="25" t="e">
        <f t="shared" si="948"/>
        <v>#N/A</v>
      </c>
      <c r="BH406" s="25" t="e">
        <f t="shared" si="949"/>
        <v>#N/A</v>
      </c>
      <c r="BI406" s="25" t="e">
        <f t="shared" si="950"/>
        <v>#N/A</v>
      </c>
      <c r="BJ406" s="27" t="e">
        <f t="shared" si="951"/>
        <v>#N/A</v>
      </c>
      <c r="BK406" s="18" t="e">
        <f t="shared" si="952"/>
        <v>#N/A</v>
      </c>
      <c r="BL406" s="18" t="e">
        <f t="shared" si="953"/>
        <v>#N/A</v>
      </c>
      <c r="BM406" s="28" t="e">
        <f t="shared" si="1003"/>
        <v>#N/A</v>
      </c>
      <c r="BN406" s="33">
        <f>HLOOKUP("maximum population",Miscelaneous!$C$1:$C$33,CH406+3,FALSE)</f>
        <v>240</v>
      </c>
      <c r="BO406" s="14">
        <f t="shared" si="966"/>
        <v>32</v>
      </c>
      <c r="BP406" s="14">
        <f t="shared" si="967"/>
        <v>0</v>
      </c>
      <c r="BQ406" s="14">
        <f t="shared" si="968"/>
        <v>208</v>
      </c>
      <c r="BR406" s="34" t="e">
        <f>HLOOKUP(J406,Villagers!$B$1:$V$33,L406+3,FALSE)-HLOOKUP(J406,Villagers!$B$1:$V$33,L406+2,FALSE)</f>
        <v>#N/A</v>
      </c>
      <c r="BS406" s="49">
        <f t="shared" si="969"/>
        <v>1</v>
      </c>
      <c r="BT406" s="50">
        <f t="shared" si="970"/>
        <v>0</v>
      </c>
      <c r="BU406" s="50">
        <f t="shared" si="971"/>
        <v>0</v>
      </c>
      <c r="BV406" s="50">
        <f t="shared" si="972"/>
        <v>0</v>
      </c>
      <c r="BW406" s="50">
        <f t="shared" si="926"/>
        <v>0</v>
      </c>
      <c r="BX406" s="50">
        <f t="shared" si="927"/>
        <v>0</v>
      </c>
      <c r="BY406" s="50">
        <f t="shared" si="927"/>
        <v>0</v>
      </c>
      <c r="BZ406" s="50">
        <f t="shared" si="860"/>
        <v>0</v>
      </c>
      <c r="CA406" s="50">
        <f t="shared" si="861"/>
        <v>0</v>
      </c>
      <c r="CB406" s="50">
        <f t="shared" si="862"/>
        <v>1</v>
      </c>
      <c r="CC406" s="50">
        <f t="shared" si="863"/>
        <v>0</v>
      </c>
      <c r="CD406" s="50">
        <f t="shared" si="864"/>
        <v>0</v>
      </c>
      <c r="CE406" s="50">
        <f t="shared" si="865"/>
        <v>1</v>
      </c>
      <c r="CF406" s="50">
        <f t="shared" si="866"/>
        <v>1</v>
      </c>
      <c r="CG406" s="50">
        <f t="shared" si="867"/>
        <v>1</v>
      </c>
      <c r="CH406" s="50">
        <f t="shared" si="868"/>
        <v>1</v>
      </c>
      <c r="CI406" s="50">
        <f t="shared" si="869"/>
        <v>1</v>
      </c>
      <c r="CJ406" s="50">
        <f t="shared" si="870"/>
        <v>1</v>
      </c>
      <c r="CK406" s="50">
        <f t="shared" si="870"/>
        <v>0</v>
      </c>
      <c r="CL406" s="50">
        <f t="shared" si="870"/>
        <v>0</v>
      </c>
      <c r="CM406" s="51">
        <f t="shared" si="954"/>
        <v>0</v>
      </c>
      <c r="CN406" s="33">
        <f>ROUND(IF(BS406=0,0,HLOOKUP(BS$14,Villagers!$B$1:$V$33,BS406+3,FALSE)),)</f>
        <v>5</v>
      </c>
      <c r="CO406" s="14">
        <f>ROUND(IF(BT406=0,0,HLOOKUP(BT$14,Villagers!$B$1:$V$33,BT406+3,FALSE)),)</f>
        <v>0</v>
      </c>
      <c r="CP406" s="14">
        <f>ROUND(IF(BU406=0,0,HLOOKUP(BU$14,Villagers!$B$1:$V$33,BU406+3,FALSE)),)</f>
        <v>0</v>
      </c>
      <c r="CQ406" s="14">
        <f>ROUND(IF(BV406=0,0,HLOOKUP(BV$14,Villagers!$B$1:$V$33,BV406+3,FALSE)),)</f>
        <v>0</v>
      </c>
      <c r="CR406" s="14">
        <f>ROUND(IF(BW406=0,0,HLOOKUP(BW$14,Villagers!$B$1:$V$33,BW406+3,FALSE)),)</f>
        <v>0</v>
      </c>
      <c r="CS406" s="14">
        <f>ROUND(IF(BX406=0,0,HLOOKUP(BX$14,Villagers!$B$1:$V$33,BX406+3,FALSE)),)</f>
        <v>0</v>
      </c>
      <c r="CT406" s="14">
        <f>ROUND(IF(BY406=0,0,HLOOKUP(BY$14,Villagers!$B$1:$V$33,BY406+3,FALSE)),)</f>
        <v>0</v>
      </c>
      <c r="CU406" s="14">
        <f>ROUND(IF(BZ406=0,0,HLOOKUP(BZ$14,Villagers!$B$1:$V$33,BZ406+3,FALSE)),)</f>
        <v>0</v>
      </c>
      <c r="CV406" s="14">
        <f>ROUND(IF(CA406=0,0,HLOOKUP(CA$14,Villagers!$B$1:$V$33,CA406+3,FALSE)),)</f>
        <v>0</v>
      </c>
      <c r="CW406" s="14">
        <f>ROUND(IF(CB406=0,0,HLOOKUP(CB$14,Villagers!$B$1:$V$33,CB406+3,FALSE)),)</f>
        <v>0</v>
      </c>
      <c r="CX406" s="14">
        <f>ROUND(IF(CC406=0,0,HLOOKUP(CC$14,Villagers!$B$1:$V$33,CC406+3,FALSE)),)</f>
        <v>0</v>
      </c>
      <c r="CY406" s="14">
        <f>ROUND(IF(CD406=0,0,HLOOKUP(CD$14,Villagers!$B$1:$V$33,CD406+3,FALSE)),)</f>
        <v>0</v>
      </c>
      <c r="CZ406" s="14">
        <f>ROUND(IF(CE406=0,0,HLOOKUP(CE$14,Villagers!$B$1:$V$33,CE406+3,FALSE)),)</f>
        <v>5</v>
      </c>
      <c r="DA406" s="14">
        <f>ROUND(IF(CF406=0,0,HLOOKUP(CF$14,Villagers!$B$1:$V$33,CF406+3,FALSE)),)</f>
        <v>10</v>
      </c>
      <c r="DB406" s="14">
        <f>ROUND(IF(CG406=0,0,HLOOKUP(CG$14,Villagers!$B$1:$V$33,CG406+3,FALSE)),)</f>
        <v>10</v>
      </c>
      <c r="DC406" s="14">
        <f>ROUND(IF(CH406=0,0,HLOOKUP(CH$14,Villagers!$B$1:$V$33,CH406+3,FALSE)),)</f>
        <v>0</v>
      </c>
      <c r="DD406" s="14">
        <f>ROUND(IF(CI406=0,0,HLOOKUP(CI$14,Villagers!$B$1:$V$33,CI406+3,FALSE)),)</f>
        <v>0</v>
      </c>
      <c r="DE406" s="14">
        <f>ROUND(IF(CJ406=0,0,HLOOKUP(CJ$14,Villagers!$B$1:$V$33,CJ406+3,FALSE)),)</f>
        <v>2</v>
      </c>
      <c r="DF406" s="370">
        <f>ROUND(IF(CK406=0,0,HLOOKUP(CK$14,Villagers!$B$1:$V$33,CK406+3,FALSE)),)</f>
        <v>0</v>
      </c>
      <c r="DG406" s="370">
        <f>ROUND(IF(CL406=0,0,HLOOKUP(CL$14,Villagers!$B$1:$V$33,CL406+3,FALSE)),)</f>
        <v>0</v>
      </c>
      <c r="DH406" s="34">
        <f>ROUND(IF(CM406=0,0,HLOOKUP(CM$14,Villagers!$B$1:$V$33,CM406+3,FALSE)),)</f>
        <v>0</v>
      </c>
      <c r="DI406" s="109">
        <f t="shared" si="989"/>
        <v>0</v>
      </c>
      <c r="DJ406" s="50">
        <f t="shared" si="990"/>
        <v>0</v>
      </c>
      <c r="DK406" s="50">
        <f t="shared" si="991"/>
        <v>0</v>
      </c>
      <c r="DL406" s="50">
        <f t="shared" si="992"/>
        <v>0</v>
      </c>
      <c r="DM406" s="50">
        <f t="shared" si="993"/>
        <v>0</v>
      </c>
      <c r="DN406" s="50">
        <f t="shared" si="994"/>
        <v>0</v>
      </c>
      <c r="DO406" s="50">
        <f t="shared" si="995"/>
        <v>0</v>
      </c>
      <c r="DP406" s="50">
        <f t="shared" si="996"/>
        <v>0</v>
      </c>
      <c r="DQ406" s="50">
        <f t="shared" si="973"/>
        <v>0</v>
      </c>
      <c r="DR406" s="50">
        <f t="shared" si="974"/>
        <v>0</v>
      </c>
      <c r="DS406" s="96">
        <f>Miscelaneous!$D$4*Miscelaneous!$D$2^($CI406-1)</f>
        <v>1000</v>
      </c>
      <c r="DT406" s="333">
        <f t="shared" si="955"/>
        <v>1</v>
      </c>
      <c r="DU406" s="81">
        <v>1</v>
      </c>
      <c r="DV406" s="79">
        <f t="shared" si="975"/>
        <v>0</v>
      </c>
      <c r="DW406" s="79">
        <f t="shared" si="976"/>
        <v>0</v>
      </c>
      <c r="DX406" s="79">
        <f t="shared" si="977"/>
        <v>0</v>
      </c>
      <c r="DY406" s="79">
        <v>1</v>
      </c>
      <c r="DZ406" s="79">
        <f t="shared" si="978"/>
        <v>0</v>
      </c>
      <c r="EA406" s="79">
        <f t="shared" si="979"/>
        <v>0</v>
      </c>
      <c r="EB406" s="79">
        <f t="shared" si="980"/>
        <v>0</v>
      </c>
      <c r="EC406" s="79">
        <f t="shared" si="981"/>
        <v>0</v>
      </c>
      <c r="ED406" s="79">
        <v>1</v>
      </c>
      <c r="EE406" s="79">
        <v>1</v>
      </c>
      <c r="EF406" s="79">
        <f t="shared" si="982"/>
        <v>0</v>
      </c>
      <c r="EG406" s="79">
        <v>1</v>
      </c>
      <c r="EH406" s="79">
        <v>1</v>
      </c>
      <c r="EI406" s="79">
        <v>1</v>
      </c>
      <c r="EJ406" s="79">
        <v>1</v>
      </c>
      <c r="EK406" s="79">
        <v>1</v>
      </c>
      <c r="EL406" s="79">
        <v>1</v>
      </c>
      <c r="EM406" s="143">
        <f t="shared" si="983"/>
        <v>0</v>
      </c>
      <c r="EN406" s="143">
        <f t="shared" si="984"/>
        <v>0</v>
      </c>
      <c r="EO406" s="82">
        <f t="shared" si="985"/>
        <v>0</v>
      </c>
    </row>
    <row r="407" spans="1:145" x14ac:dyDescent="0.25">
      <c r="A407">
        <v>393</v>
      </c>
      <c r="B407" s="172" t="e">
        <f t="shared" si="956"/>
        <v>#N/A</v>
      </c>
      <c r="C407" s="121" t="e">
        <f t="shared" ref="C407:E407" si="1006">AJ407-SUM(AB407:AB411)</f>
        <v>#N/A</v>
      </c>
      <c r="D407" s="122" t="e">
        <f t="shared" si="1006"/>
        <v>#N/A</v>
      </c>
      <c r="E407" s="122" t="e">
        <f t="shared" si="1006"/>
        <v>#N/A</v>
      </c>
      <c r="F407" s="176" t="e">
        <f t="shared" si="937"/>
        <v>#N/A</v>
      </c>
      <c r="G407" s="121">
        <f t="shared" si="958"/>
        <v>208</v>
      </c>
      <c r="H407" s="176" t="e">
        <f t="shared" si="959"/>
        <v>#N/A</v>
      </c>
      <c r="I407" s="48">
        <v>1</v>
      </c>
      <c r="J407" s="39"/>
      <c r="K407" s="350">
        <v>1</v>
      </c>
      <c r="L407" s="34" t="e">
        <f t="shared" si="938"/>
        <v>#N/A</v>
      </c>
      <c r="M407" s="38" t="e">
        <f>(HLOOKUP(J407,'Construction Times'!$B$3:$W$34,L407+2,FALSE)*HLOOKUP("hq modifier",'Construction Times'!$W$3:$W$34,BS407+2,FALSE))*(1-$H$9)</f>
        <v>#N/A</v>
      </c>
      <c r="N407" s="426" t="e">
        <f t="shared" si="960"/>
        <v>#N/A</v>
      </c>
      <c r="O407" s="427"/>
      <c r="P407" s="430" t="e">
        <f t="shared" si="961"/>
        <v>#N/A</v>
      </c>
      <c r="Q407" s="431"/>
      <c r="R407" s="103">
        <f t="shared" si="987"/>
        <v>0</v>
      </c>
      <c r="S407" s="104">
        <f t="shared" si="987"/>
        <v>0</v>
      </c>
      <c r="T407" s="104">
        <f t="shared" si="988"/>
        <v>0</v>
      </c>
      <c r="U407" s="104">
        <f t="shared" si="988"/>
        <v>0</v>
      </c>
      <c r="V407" s="104">
        <f t="shared" si="988"/>
        <v>9.9999999999999995E-8</v>
      </c>
      <c r="W407" s="104">
        <f t="shared" si="988"/>
        <v>0</v>
      </c>
      <c r="X407" s="104">
        <f t="shared" si="934"/>
        <v>0</v>
      </c>
      <c r="Y407" s="104">
        <f t="shared" si="934"/>
        <v>9.9999999999999995E-8</v>
      </c>
      <c r="Z407" s="104">
        <f t="shared" si="934"/>
        <v>9.9999999999999995E-8</v>
      </c>
      <c r="AA407" s="105">
        <f t="shared" si="934"/>
        <v>9.9999999999999995E-8</v>
      </c>
      <c r="AB407" s="101" t="e">
        <f>$DT407*HLOOKUP($J407,'Construction Costs (timber)'!$B$1:$V$32,'Construction Planner'!$L407+2,FALSE)</f>
        <v>#N/A</v>
      </c>
      <c r="AC407" s="14" t="e">
        <f>$DT407*HLOOKUP($J407,'Construction Costs (clay)'!$B$1:$V$32,'Construction Planner'!$L407+2,FALSE)</f>
        <v>#N/A</v>
      </c>
      <c r="AD407" s="14" t="e">
        <f>$DT407*HLOOKUP($J407,'Construction Costs (iron)'!$B$1:$V$32,'Construction Planner'!$L407+2,FALSE)</f>
        <v>#N/A</v>
      </c>
      <c r="AE407" s="34" t="e">
        <f t="shared" si="1000"/>
        <v>#N/A</v>
      </c>
      <c r="AF407" s="33" t="e">
        <f t="shared" si="939"/>
        <v>#N/A</v>
      </c>
      <c r="AG407" s="14" t="e">
        <f t="shared" si="940"/>
        <v>#N/A</v>
      </c>
      <c r="AH407" s="14" t="e">
        <f t="shared" si="941"/>
        <v>#N/A</v>
      </c>
      <c r="AI407" s="34" t="e">
        <f t="shared" si="1001"/>
        <v>#N/A</v>
      </c>
      <c r="AJ407" s="49" t="e">
        <f t="shared" si="962"/>
        <v>#N/A</v>
      </c>
      <c r="AK407" s="49" t="e">
        <f t="shared" si="963"/>
        <v>#N/A</v>
      </c>
      <c r="AL407" s="49" t="e">
        <f t="shared" si="964"/>
        <v>#N/A</v>
      </c>
      <c r="AM407" s="25">
        <f t="shared" si="942"/>
        <v>30</v>
      </c>
      <c r="AN407" s="25">
        <f t="shared" si="943"/>
        <v>30</v>
      </c>
      <c r="AO407" s="25">
        <f t="shared" si="944"/>
        <v>30</v>
      </c>
      <c r="AP407" s="52" t="e">
        <f t="shared" si="965"/>
        <v>#N/A</v>
      </c>
      <c r="AQ407" s="53" t="e">
        <f t="shared" si="965"/>
        <v>#N/A</v>
      </c>
      <c r="AR407" s="54" t="e">
        <f t="shared" si="965"/>
        <v>#N/A</v>
      </c>
      <c r="AS407" s="316">
        <f t="shared" si="1002"/>
        <v>0</v>
      </c>
      <c r="AT407" s="106">
        <f>_xlfn.IFNA($M407/VLOOKUP($BT407,'Unit information'!$A$2:$K$29,2,FALSE)*R407,0)*(1+$E$9)</f>
        <v>0</v>
      </c>
      <c r="AU407" s="107">
        <f>_xlfn.IFNA($M407/VLOOKUP($BT407,'Unit information'!$A$2:$K$29,3,FALSE)*S407,0)*(1+$E$9)</f>
        <v>0</v>
      </c>
      <c r="AV407" s="107">
        <f>_xlfn.IFNA($M407/VLOOKUP($BT407,'Unit information'!$A$2:$K$29,4,FALSE)*T407,0)*(1+$E$9)</f>
        <v>0</v>
      </c>
      <c r="AW407" s="107">
        <f>_xlfn.IFNA($M407/VLOOKUP($BT407,'Unit information'!$A$2:$K$29,5,FALSE)*U407,0)*(1+$E$9)</f>
        <v>0</v>
      </c>
      <c r="AX407" s="107">
        <f>_xlfn.IFNA($M407/VLOOKUP($BU407,'Unit information'!$A$2:$K$29,6,FALSE)*V407,0)*(1+$E$9)</f>
        <v>0</v>
      </c>
      <c r="AY407" s="107">
        <f>_xlfn.IFNA($M407/VLOOKUP($BU407,'Unit information'!$A$2:$K$29,7,FALSE)*W407,0)*(1+$E$9)</f>
        <v>0</v>
      </c>
      <c r="AZ407" s="107">
        <f>_xlfn.IFNA($M407/VLOOKUP($BU407,'Unit information'!$A$2:$K$29,8,FALSE)*X407,0)*(1+$E$9)</f>
        <v>0</v>
      </c>
      <c r="BA407" s="107">
        <f>_xlfn.IFNA($M407/VLOOKUP($BU407,'Unit information'!$A$2:$K$29,9,FALSE)*Y407,0)*(1+$E$9)</f>
        <v>0</v>
      </c>
      <c r="BB407" s="107">
        <f>_xlfn.IFNA($M407/VLOOKUP($BV407,'Unit information'!$A$2:$K$29,10,FALSE)*Z407,0)*(1+$E$9)</f>
        <v>0</v>
      </c>
      <c r="BC407" s="108">
        <f>_xlfn.IFNA($M407/VLOOKUP($BV407,'Unit information'!$A$2:$K$29,11,FALSE)*AA407,0)*(1+$E$9)</f>
        <v>0</v>
      </c>
      <c r="BD407" s="106">
        <f t="shared" si="945"/>
        <v>0</v>
      </c>
      <c r="BE407" s="107">
        <f t="shared" si="946"/>
        <v>0</v>
      </c>
      <c r="BF407" s="108">
        <f t="shared" si="947"/>
        <v>0</v>
      </c>
      <c r="BG407" s="25" t="e">
        <f t="shared" si="948"/>
        <v>#N/A</v>
      </c>
      <c r="BH407" s="25" t="e">
        <f t="shared" si="949"/>
        <v>#N/A</v>
      </c>
      <c r="BI407" s="25" t="e">
        <f t="shared" si="950"/>
        <v>#N/A</v>
      </c>
      <c r="BJ407" s="27" t="e">
        <f t="shared" si="951"/>
        <v>#N/A</v>
      </c>
      <c r="BK407" s="18" t="e">
        <f t="shared" si="952"/>
        <v>#N/A</v>
      </c>
      <c r="BL407" s="18" t="e">
        <f t="shared" si="953"/>
        <v>#N/A</v>
      </c>
      <c r="BM407" s="28" t="e">
        <f t="shared" si="1003"/>
        <v>#N/A</v>
      </c>
      <c r="BN407" s="33">
        <f>HLOOKUP("maximum population",Miscelaneous!$C$1:$C$33,CH407+3,FALSE)</f>
        <v>240</v>
      </c>
      <c r="BO407" s="14">
        <f t="shared" si="966"/>
        <v>32</v>
      </c>
      <c r="BP407" s="14">
        <f t="shared" si="967"/>
        <v>0</v>
      </c>
      <c r="BQ407" s="14">
        <f t="shared" si="968"/>
        <v>208</v>
      </c>
      <c r="BR407" s="34" t="e">
        <f>HLOOKUP(J407,Villagers!$B$1:$V$33,L407+3,FALSE)-HLOOKUP(J407,Villagers!$B$1:$V$33,L407+2,FALSE)</f>
        <v>#N/A</v>
      </c>
      <c r="BS407" s="49">
        <f t="shared" si="969"/>
        <v>1</v>
      </c>
      <c r="BT407" s="50">
        <f t="shared" si="970"/>
        <v>0</v>
      </c>
      <c r="BU407" s="50">
        <f t="shared" si="971"/>
        <v>0</v>
      </c>
      <c r="BV407" s="50">
        <f t="shared" si="972"/>
        <v>0</v>
      </c>
      <c r="BW407" s="50">
        <f t="shared" si="926"/>
        <v>0</v>
      </c>
      <c r="BX407" s="50">
        <f t="shared" si="927"/>
        <v>0</v>
      </c>
      <c r="BY407" s="50">
        <f t="shared" si="927"/>
        <v>0</v>
      </c>
      <c r="BZ407" s="50">
        <f t="shared" si="860"/>
        <v>0</v>
      </c>
      <c r="CA407" s="50">
        <f t="shared" si="861"/>
        <v>0</v>
      </c>
      <c r="CB407" s="50">
        <f t="shared" si="862"/>
        <v>1</v>
      </c>
      <c r="CC407" s="50">
        <f t="shared" si="863"/>
        <v>0</v>
      </c>
      <c r="CD407" s="50">
        <f t="shared" si="864"/>
        <v>0</v>
      </c>
      <c r="CE407" s="50">
        <f t="shared" si="865"/>
        <v>1</v>
      </c>
      <c r="CF407" s="50">
        <f t="shared" si="866"/>
        <v>1</v>
      </c>
      <c r="CG407" s="50">
        <f t="shared" si="867"/>
        <v>1</v>
      </c>
      <c r="CH407" s="50">
        <f t="shared" si="868"/>
        <v>1</v>
      </c>
      <c r="CI407" s="50">
        <f t="shared" si="869"/>
        <v>1</v>
      </c>
      <c r="CJ407" s="50">
        <f t="shared" si="870"/>
        <v>1</v>
      </c>
      <c r="CK407" s="50">
        <f t="shared" si="870"/>
        <v>0</v>
      </c>
      <c r="CL407" s="50">
        <f t="shared" si="870"/>
        <v>0</v>
      </c>
      <c r="CM407" s="51">
        <f t="shared" si="954"/>
        <v>0</v>
      </c>
      <c r="CN407" s="33">
        <f>ROUND(IF(BS407=0,0,HLOOKUP(BS$14,Villagers!$B$1:$V$33,BS407+3,FALSE)),)</f>
        <v>5</v>
      </c>
      <c r="CO407" s="14">
        <f>ROUND(IF(BT407=0,0,HLOOKUP(BT$14,Villagers!$B$1:$V$33,BT407+3,FALSE)),)</f>
        <v>0</v>
      </c>
      <c r="CP407" s="14">
        <f>ROUND(IF(BU407=0,0,HLOOKUP(BU$14,Villagers!$B$1:$V$33,BU407+3,FALSE)),)</f>
        <v>0</v>
      </c>
      <c r="CQ407" s="14">
        <f>ROUND(IF(BV407=0,0,HLOOKUP(BV$14,Villagers!$B$1:$V$33,BV407+3,FALSE)),)</f>
        <v>0</v>
      </c>
      <c r="CR407" s="14">
        <f>ROUND(IF(BW407=0,0,HLOOKUP(BW$14,Villagers!$B$1:$V$33,BW407+3,FALSE)),)</f>
        <v>0</v>
      </c>
      <c r="CS407" s="14">
        <f>ROUND(IF(BX407=0,0,HLOOKUP(BX$14,Villagers!$B$1:$V$33,BX407+3,FALSE)),)</f>
        <v>0</v>
      </c>
      <c r="CT407" s="14">
        <f>ROUND(IF(BY407=0,0,HLOOKUP(BY$14,Villagers!$B$1:$V$33,BY407+3,FALSE)),)</f>
        <v>0</v>
      </c>
      <c r="CU407" s="14">
        <f>ROUND(IF(BZ407=0,0,HLOOKUP(BZ$14,Villagers!$B$1:$V$33,BZ407+3,FALSE)),)</f>
        <v>0</v>
      </c>
      <c r="CV407" s="14">
        <f>ROUND(IF(CA407=0,0,HLOOKUP(CA$14,Villagers!$B$1:$V$33,CA407+3,FALSE)),)</f>
        <v>0</v>
      </c>
      <c r="CW407" s="14">
        <f>ROUND(IF(CB407=0,0,HLOOKUP(CB$14,Villagers!$B$1:$V$33,CB407+3,FALSE)),)</f>
        <v>0</v>
      </c>
      <c r="CX407" s="14">
        <f>ROUND(IF(CC407=0,0,HLOOKUP(CC$14,Villagers!$B$1:$V$33,CC407+3,FALSE)),)</f>
        <v>0</v>
      </c>
      <c r="CY407" s="14">
        <f>ROUND(IF(CD407=0,0,HLOOKUP(CD$14,Villagers!$B$1:$V$33,CD407+3,FALSE)),)</f>
        <v>0</v>
      </c>
      <c r="CZ407" s="14">
        <f>ROUND(IF(CE407=0,0,HLOOKUP(CE$14,Villagers!$B$1:$V$33,CE407+3,FALSE)),)</f>
        <v>5</v>
      </c>
      <c r="DA407" s="14">
        <f>ROUND(IF(CF407=0,0,HLOOKUP(CF$14,Villagers!$B$1:$V$33,CF407+3,FALSE)),)</f>
        <v>10</v>
      </c>
      <c r="DB407" s="14">
        <f>ROUND(IF(CG407=0,0,HLOOKUP(CG$14,Villagers!$B$1:$V$33,CG407+3,FALSE)),)</f>
        <v>10</v>
      </c>
      <c r="DC407" s="14">
        <f>ROUND(IF(CH407=0,0,HLOOKUP(CH$14,Villagers!$B$1:$V$33,CH407+3,FALSE)),)</f>
        <v>0</v>
      </c>
      <c r="DD407" s="14">
        <f>ROUND(IF(CI407=0,0,HLOOKUP(CI$14,Villagers!$B$1:$V$33,CI407+3,FALSE)),)</f>
        <v>0</v>
      </c>
      <c r="DE407" s="14">
        <f>ROUND(IF(CJ407=0,0,HLOOKUP(CJ$14,Villagers!$B$1:$V$33,CJ407+3,FALSE)),)</f>
        <v>2</v>
      </c>
      <c r="DF407" s="370">
        <f>ROUND(IF(CK407=0,0,HLOOKUP(CK$14,Villagers!$B$1:$V$33,CK407+3,FALSE)),)</f>
        <v>0</v>
      </c>
      <c r="DG407" s="370">
        <f>ROUND(IF(CL407=0,0,HLOOKUP(CL$14,Villagers!$B$1:$V$33,CL407+3,FALSE)),)</f>
        <v>0</v>
      </c>
      <c r="DH407" s="34">
        <f>ROUND(IF(CM407=0,0,HLOOKUP(CM$14,Villagers!$B$1:$V$33,CM407+3,FALSE)),)</f>
        <v>0</v>
      </c>
      <c r="DI407" s="109">
        <f t="shared" si="989"/>
        <v>0</v>
      </c>
      <c r="DJ407" s="50">
        <f t="shared" si="990"/>
        <v>0</v>
      </c>
      <c r="DK407" s="50">
        <f t="shared" si="991"/>
        <v>0</v>
      </c>
      <c r="DL407" s="50">
        <f t="shared" si="992"/>
        <v>0</v>
      </c>
      <c r="DM407" s="50">
        <f t="shared" si="993"/>
        <v>0</v>
      </c>
      <c r="DN407" s="50">
        <f t="shared" si="994"/>
        <v>0</v>
      </c>
      <c r="DO407" s="50">
        <f t="shared" si="995"/>
        <v>0</v>
      </c>
      <c r="DP407" s="50">
        <f t="shared" si="996"/>
        <v>0</v>
      </c>
      <c r="DQ407" s="50">
        <f t="shared" si="973"/>
        <v>0</v>
      </c>
      <c r="DR407" s="50">
        <f t="shared" si="974"/>
        <v>0</v>
      </c>
      <c r="DS407" s="96">
        <f>Miscelaneous!$D$4*Miscelaneous!$D$2^($CI407-1)</f>
        <v>1000</v>
      </c>
      <c r="DT407" s="333">
        <f t="shared" si="955"/>
        <v>1</v>
      </c>
      <c r="DU407" s="81">
        <v>1</v>
      </c>
      <c r="DV407" s="79">
        <f t="shared" si="975"/>
        <v>0</v>
      </c>
      <c r="DW407" s="79">
        <f t="shared" si="976"/>
        <v>0</v>
      </c>
      <c r="DX407" s="79">
        <f t="shared" si="977"/>
        <v>0</v>
      </c>
      <c r="DY407" s="79">
        <v>1</v>
      </c>
      <c r="DZ407" s="79">
        <f t="shared" si="978"/>
        <v>0</v>
      </c>
      <c r="EA407" s="79">
        <f t="shared" si="979"/>
        <v>0</v>
      </c>
      <c r="EB407" s="79">
        <f t="shared" si="980"/>
        <v>0</v>
      </c>
      <c r="EC407" s="79">
        <f t="shared" si="981"/>
        <v>0</v>
      </c>
      <c r="ED407" s="79">
        <v>1</v>
      </c>
      <c r="EE407" s="79">
        <v>1</v>
      </c>
      <c r="EF407" s="79">
        <f t="shared" si="982"/>
        <v>0</v>
      </c>
      <c r="EG407" s="79">
        <v>1</v>
      </c>
      <c r="EH407" s="79">
        <v>1</v>
      </c>
      <c r="EI407" s="79">
        <v>1</v>
      </c>
      <c r="EJ407" s="79">
        <v>1</v>
      </c>
      <c r="EK407" s="79">
        <v>1</v>
      </c>
      <c r="EL407" s="79">
        <v>1</v>
      </c>
      <c r="EM407" s="143">
        <f t="shared" si="983"/>
        <v>0</v>
      </c>
      <c r="EN407" s="143">
        <f t="shared" si="984"/>
        <v>0</v>
      </c>
      <c r="EO407" s="82">
        <f t="shared" si="985"/>
        <v>0</v>
      </c>
    </row>
    <row r="408" spans="1:145" x14ac:dyDescent="0.25">
      <c r="A408">
        <v>394</v>
      </c>
      <c r="B408" s="172" t="e">
        <f t="shared" si="956"/>
        <v>#N/A</v>
      </c>
      <c r="C408" s="121" t="e">
        <f t="shared" ref="C408:E408" si="1007">AJ408-SUM(AB408:AB412)</f>
        <v>#N/A</v>
      </c>
      <c r="D408" s="122" t="e">
        <f t="shared" si="1007"/>
        <v>#N/A</v>
      </c>
      <c r="E408" s="122" t="e">
        <f t="shared" si="1007"/>
        <v>#N/A</v>
      </c>
      <c r="F408" s="176" t="e">
        <f t="shared" si="937"/>
        <v>#N/A</v>
      </c>
      <c r="G408" s="121">
        <f t="shared" si="958"/>
        <v>208</v>
      </c>
      <c r="H408" s="176" t="e">
        <f t="shared" si="959"/>
        <v>#N/A</v>
      </c>
      <c r="I408" s="48">
        <v>1</v>
      </c>
      <c r="J408" s="39"/>
      <c r="K408" s="350">
        <v>1</v>
      </c>
      <c r="L408" s="34" t="e">
        <f t="shared" si="938"/>
        <v>#N/A</v>
      </c>
      <c r="M408" s="38" t="e">
        <f>(HLOOKUP(J408,'Construction Times'!$B$3:$W$34,L408+2,FALSE)*HLOOKUP("hq modifier",'Construction Times'!$W$3:$W$34,BS408+2,FALSE))*(1-$H$9)</f>
        <v>#N/A</v>
      </c>
      <c r="N408" s="426" t="e">
        <f t="shared" si="960"/>
        <v>#N/A</v>
      </c>
      <c r="O408" s="427"/>
      <c r="P408" s="430" t="e">
        <f t="shared" si="961"/>
        <v>#N/A</v>
      </c>
      <c r="Q408" s="431"/>
      <c r="R408" s="103">
        <f t="shared" si="987"/>
        <v>0</v>
      </c>
      <c r="S408" s="104">
        <f t="shared" si="987"/>
        <v>0</v>
      </c>
      <c r="T408" s="104">
        <f t="shared" si="988"/>
        <v>0</v>
      </c>
      <c r="U408" s="104">
        <f t="shared" si="988"/>
        <v>0</v>
      </c>
      <c r="V408" s="104">
        <f t="shared" si="988"/>
        <v>9.9999999999999995E-8</v>
      </c>
      <c r="W408" s="104">
        <f t="shared" si="988"/>
        <v>0</v>
      </c>
      <c r="X408" s="104">
        <f t="shared" si="934"/>
        <v>0</v>
      </c>
      <c r="Y408" s="104">
        <f t="shared" si="934"/>
        <v>9.9999999999999995E-8</v>
      </c>
      <c r="Z408" s="104">
        <f t="shared" si="934"/>
        <v>9.9999999999999995E-8</v>
      </c>
      <c r="AA408" s="105">
        <f t="shared" si="934"/>
        <v>9.9999999999999995E-8</v>
      </c>
      <c r="AB408" s="101" t="e">
        <f>$DT408*HLOOKUP($J408,'Construction Costs (timber)'!$B$1:$V$32,'Construction Planner'!$L408+2,FALSE)</f>
        <v>#N/A</v>
      </c>
      <c r="AC408" s="14" t="e">
        <f>$DT408*HLOOKUP($J408,'Construction Costs (clay)'!$B$1:$V$32,'Construction Planner'!$L408+2,FALSE)</f>
        <v>#N/A</v>
      </c>
      <c r="AD408" s="14" t="e">
        <f>$DT408*HLOOKUP($J408,'Construction Costs (iron)'!$B$1:$V$32,'Construction Planner'!$L408+2,FALSE)</f>
        <v>#N/A</v>
      </c>
      <c r="AE408" s="34" t="e">
        <f t="shared" si="1000"/>
        <v>#N/A</v>
      </c>
      <c r="AF408" s="33" t="e">
        <f t="shared" si="939"/>
        <v>#N/A</v>
      </c>
      <c r="AG408" s="14" t="e">
        <f t="shared" si="940"/>
        <v>#N/A</v>
      </c>
      <c r="AH408" s="14" t="e">
        <f t="shared" si="941"/>
        <v>#N/A</v>
      </c>
      <c r="AI408" s="34" t="e">
        <f t="shared" si="1001"/>
        <v>#N/A</v>
      </c>
      <c r="AJ408" s="49" t="e">
        <f t="shared" si="962"/>
        <v>#N/A</v>
      </c>
      <c r="AK408" s="49" t="e">
        <f t="shared" si="963"/>
        <v>#N/A</v>
      </c>
      <c r="AL408" s="49" t="e">
        <f t="shared" si="964"/>
        <v>#N/A</v>
      </c>
      <c r="AM408" s="25">
        <f t="shared" si="942"/>
        <v>30</v>
      </c>
      <c r="AN408" s="25">
        <f t="shared" si="943"/>
        <v>30</v>
      </c>
      <c r="AO408" s="25">
        <f t="shared" si="944"/>
        <v>30</v>
      </c>
      <c r="AP408" s="52" t="e">
        <f t="shared" si="965"/>
        <v>#N/A</v>
      </c>
      <c r="AQ408" s="53" t="e">
        <f t="shared" si="965"/>
        <v>#N/A</v>
      </c>
      <c r="AR408" s="54" t="e">
        <f t="shared" si="965"/>
        <v>#N/A</v>
      </c>
      <c r="AS408" s="316">
        <f t="shared" si="1002"/>
        <v>0</v>
      </c>
      <c r="AT408" s="106">
        <f>_xlfn.IFNA($M408/VLOOKUP($BT408,'Unit information'!$A$2:$K$29,2,FALSE)*R408,0)*(1+$E$9)</f>
        <v>0</v>
      </c>
      <c r="AU408" s="107">
        <f>_xlfn.IFNA($M408/VLOOKUP($BT408,'Unit information'!$A$2:$K$29,3,FALSE)*S408,0)*(1+$E$9)</f>
        <v>0</v>
      </c>
      <c r="AV408" s="107">
        <f>_xlfn.IFNA($M408/VLOOKUP($BT408,'Unit information'!$A$2:$K$29,4,FALSE)*T408,0)*(1+$E$9)</f>
        <v>0</v>
      </c>
      <c r="AW408" s="107">
        <f>_xlfn.IFNA($M408/VLOOKUP($BT408,'Unit information'!$A$2:$K$29,5,FALSE)*U408,0)*(1+$E$9)</f>
        <v>0</v>
      </c>
      <c r="AX408" s="107">
        <f>_xlfn.IFNA($M408/VLOOKUP($BU408,'Unit information'!$A$2:$K$29,6,FALSE)*V408,0)*(1+$E$9)</f>
        <v>0</v>
      </c>
      <c r="AY408" s="107">
        <f>_xlfn.IFNA($M408/VLOOKUP($BU408,'Unit information'!$A$2:$K$29,7,FALSE)*W408,0)*(1+$E$9)</f>
        <v>0</v>
      </c>
      <c r="AZ408" s="107">
        <f>_xlfn.IFNA($M408/VLOOKUP($BU408,'Unit information'!$A$2:$K$29,8,FALSE)*X408,0)*(1+$E$9)</f>
        <v>0</v>
      </c>
      <c r="BA408" s="107">
        <f>_xlfn.IFNA($M408/VLOOKUP($BU408,'Unit information'!$A$2:$K$29,9,FALSE)*Y408,0)*(1+$E$9)</f>
        <v>0</v>
      </c>
      <c r="BB408" s="107">
        <f>_xlfn.IFNA($M408/VLOOKUP($BV408,'Unit information'!$A$2:$K$29,10,FALSE)*Z408,0)*(1+$E$9)</f>
        <v>0</v>
      </c>
      <c r="BC408" s="108">
        <f>_xlfn.IFNA($M408/VLOOKUP($BV408,'Unit information'!$A$2:$K$29,11,FALSE)*AA408,0)*(1+$E$9)</f>
        <v>0</v>
      </c>
      <c r="BD408" s="106">
        <f t="shared" si="945"/>
        <v>0</v>
      </c>
      <c r="BE408" s="107">
        <f t="shared" si="946"/>
        <v>0</v>
      </c>
      <c r="BF408" s="108">
        <f t="shared" si="947"/>
        <v>0</v>
      </c>
      <c r="BG408" s="25" t="e">
        <f t="shared" si="948"/>
        <v>#N/A</v>
      </c>
      <c r="BH408" s="25" t="e">
        <f t="shared" si="949"/>
        <v>#N/A</v>
      </c>
      <c r="BI408" s="25" t="e">
        <f t="shared" si="950"/>
        <v>#N/A</v>
      </c>
      <c r="BJ408" s="27" t="e">
        <f t="shared" si="951"/>
        <v>#N/A</v>
      </c>
      <c r="BK408" s="18" t="e">
        <f t="shared" si="952"/>
        <v>#N/A</v>
      </c>
      <c r="BL408" s="18" t="e">
        <f t="shared" si="953"/>
        <v>#N/A</v>
      </c>
      <c r="BM408" s="28" t="e">
        <f t="shared" si="1003"/>
        <v>#N/A</v>
      </c>
      <c r="BN408" s="33">
        <f>HLOOKUP("maximum population",Miscelaneous!$C$1:$C$33,CH408+3,FALSE)</f>
        <v>240</v>
      </c>
      <c r="BO408" s="14">
        <f t="shared" si="966"/>
        <v>32</v>
      </c>
      <c r="BP408" s="14">
        <f t="shared" si="967"/>
        <v>0</v>
      </c>
      <c r="BQ408" s="14">
        <f t="shared" si="968"/>
        <v>208</v>
      </c>
      <c r="BR408" s="34" t="e">
        <f>HLOOKUP(J408,Villagers!$B$1:$V$33,L408+3,FALSE)-HLOOKUP(J408,Villagers!$B$1:$V$33,L408+2,FALSE)</f>
        <v>#N/A</v>
      </c>
      <c r="BS408" s="49">
        <f t="shared" si="969"/>
        <v>1</v>
      </c>
      <c r="BT408" s="50">
        <f t="shared" si="970"/>
        <v>0</v>
      </c>
      <c r="BU408" s="50">
        <f t="shared" si="971"/>
        <v>0</v>
      </c>
      <c r="BV408" s="50">
        <f t="shared" si="972"/>
        <v>0</v>
      </c>
      <c r="BW408" s="50">
        <f t="shared" si="926"/>
        <v>0</v>
      </c>
      <c r="BX408" s="50">
        <f t="shared" si="927"/>
        <v>0</v>
      </c>
      <c r="BY408" s="50">
        <f t="shared" si="927"/>
        <v>0</v>
      </c>
      <c r="BZ408" s="50">
        <f t="shared" si="860"/>
        <v>0</v>
      </c>
      <c r="CA408" s="50">
        <f t="shared" si="861"/>
        <v>0</v>
      </c>
      <c r="CB408" s="50">
        <f t="shared" si="862"/>
        <v>1</v>
      </c>
      <c r="CC408" s="50">
        <f t="shared" si="863"/>
        <v>0</v>
      </c>
      <c r="CD408" s="50">
        <f t="shared" si="864"/>
        <v>0</v>
      </c>
      <c r="CE408" s="50">
        <f t="shared" si="865"/>
        <v>1</v>
      </c>
      <c r="CF408" s="50">
        <f t="shared" si="866"/>
        <v>1</v>
      </c>
      <c r="CG408" s="50">
        <f t="shared" si="867"/>
        <v>1</v>
      </c>
      <c r="CH408" s="50">
        <f t="shared" si="868"/>
        <v>1</v>
      </c>
      <c r="CI408" s="50">
        <f t="shared" si="869"/>
        <v>1</v>
      </c>
      <c r="CJ408" s="50">
        <f t="shared" si="870"/>
        <v>1</v>
      </c>
      <c r="CK408" s="50">
        <f t="shared" si="870"/>
        <v>0</v>
      </c>
      <c r="CL408" s="50">
        <f t="shared" si="870"/>
        <v>0</v>
      </c>
      <c r="CM408" s="51">
        <f t="shared" si="954"/>
        <v>0</v>
      </c>
      <c r="CN408" s="33">
        <f>ROUND(IF(BS408=0,0,HLOOKUP(BS$14,Villagers!$B$1:$V$33,BS408+3,FALSE)),)</f>
        <v>5</v>
      </c>
      <c r="CO408" s="14">
        <f>ROUND(IF(BT408=0,0,HLOOKUP(BT$14,Villagers!$B$1:$V$33,BT408+3,FALSE)),)</f>
        <v>0</v>
      </c>
      <c r="CP408" s="14">
        <f>ROUND(IF(BU408=0,0,HLOOKUP(BU$14,Villagers!$B$1:$V$33,BU408+3,FALSE)),)</f>
        <v>0</v>
      </c>
      <c r="CQ408" s="14">
        <f>ROUND(IF(BV408=0,0,HLOOKUP(BV$14,Villagers!$B$1:$V$33,BV408+3,FALSE)),)</f>
        <v>0</v>
      </c>
      <c r="CR408" s="14">
        <f>ROUND(IF(BW408=0,0,HLOOKUP(BW$14,Villagers!$B$1:$V$33,BW408+3,FALSE)),)</f>
        <v>0</v>
      </c>
      <c r="CS408" s="14">
        <f>ROUND(IF(BX408=0,0,HLOOKUP(BX$14,Villagers!$B$1:$V$33,BX408+3,FALSE)),)</f>
        <v>0</v>
      </c>
      <c r="CT408" s="14">
        <f>ROUND(IF(BY408=0,0,HLOOKUP(BY$14,Villagers!$B$1:$V$33,BY408+3,FALSE)),)</f>
        <v>0</v>
      </c>
      <c r="CU408" s="14">
        <f>ROUND(IF(BZ408=0,0,HLOOKUP(BZ$14,Villagers!$B$1:$V$33,BZ408+3,FALSE)),)</f>
        <v>0</v>
      </c>
      <c r="CV408" s="14">
        <f>ROUND(IF(CA408=0,0,HLOOKUP(CA$14,Villagers!$B$1:$V$33,CA408+3,FALSE)),)</f>
        <v>0</v>
      </c>
      <c r="CW408" s="14">
        <f>ROUND(IF(CB408=0,0,HLOOKUP(CB$14,Villagers!$B$1:$V$33,CB408+3,FALSE)),)</f>
        <v>0</v>
      </c>
      <c r="CX408" s="14">
        <f>ROUND(IF(CC408=0,0,HLOOKUP(CC$14,Villagers!$B$1:$V$33,CC408+3,FALSE)),)</f>
        <v>0</v>
      </c>
      <c r="CY408" s="14">
        <f>ROUND(IF(CD408=0,0,HLOOKUP(CD$14,Villagers!$B$1:$V$33,CD408+3,FALSE)),)</f>
        <v>0</v>
      </c>
      <c r="CZ408" s="14">
        <f>ROUND(IF(CE408=0,0,HLOOKUP(CE$14,Villagers!$B$1:$V$33,CE408+3,FALSE)),)</f>
        <v>5</v>
      </c>
      <c r="DA408" s="14">
        <f>ROUND(IF(CF408=0,0,HLOOKUP(CF$14,Villagers!$B$1:$V$33,CF408+3,FALSE)),)</f>
        <v>10</v>
      </c>
      <c r="DB408" s="14">
        <f>ROUND(IF(CG408=0,0,HLOOKUP(CG$14,Villagers!$B$1:$V$33,CG408+3,FALSE)),)</f>
        <v>10</v>
      </c>
      <c r="DC408" s="14">
        <f>ROUND(IF(CH408=0,0,HLOOKUP(CH$14,Villagers!$B$1:$V$33,CH408+3,FALSE)),)</f>
        <v>0</v>
      </c>
      <c r="DD408" s="14">
        <f>ROUND(IF(CI408=0,0,HLOOKUP(CI$14,Villagers!$B$1:$V$33,CI408+3,FALSE)),)</f>
        <v>0</v>
      </c>
      <c r="DE408" s="14">
        <f>ROUND(IF(CJ408=0,0,HLOOKUP(CJ$14,Villagers!$B$1:$V$33,CJ408+3,FALSE)),)</f>
        <v>2</v>
      </c>
      <c r="DF408" s="370">
        <f>ROUND(IF(CK408=0,0,HLOOKUP(CK$14,Villagers!$B$1:$V$33,CK408+3,FALSE)),)</f>
        <v>0</v>
      </c>
      <c r="DG408" s="370">
        <f>ROUND(IF(CL408=0,0,HLOOKUP(CL$14,Villagers!$B$1:$V$33,CL408+3,FALSE)),)</f>
        <v>0</v>
      </c>
      <c r="DH408" s="34">
        <f>ROUND(IF(CM408=0,0,HLOOKUP(CM$14,Villagers!$B$1:$V$33,CM408+3,FALSE)),)</f>
        <v>0</v>
      </c>
      <c r="DI408" s="109">
        <f t="shared" si="989"/>
        <v>0</v>
      </c>
      <c r="DJ408" s="50">
        <f t="shared" si="990"/>
        <v>0</v>
      </c>
      <c r="DK408" s="50">
        <f t="shared" si="991"/>
        <v>0</v>
      </c>
      <c r="DL408" s="50">
        <f t="shared" si="992"/>
        <v>0</v>
      </c>
      <c r="DM408" s="50">
        <f t="shared" si="993"/>
        <v>0</v>
      </c>
      <c r="DN408" s="50">
        <f t="shared" si="994"/>
        <v>0</v>
      </c>
      <c r="DO408" s="50">
        <f t="shared" si="995"/>
        <v>0</v>
      </c>
      <c r="DP408" s="50">
        <f t="shared" si="996"/>
        <v>0</v>
      </c>
      <c r="DQ408" s="50">
        <f t="shared" si="973"/>
        <v>0</v>
      </c>
      <c r="DR408" s="50">
        <f t="shared" si="974"/>
        <v>0</v>
      </c>
      <c r="DS408" s="96">
        <f>Miscelaneous!$D$4*Miscelaneous!$D$2^($CI408-1)</f>
        <v>1000</v>
      </c>
      <c r="DT408" s="333">
        <f t="shared" si="955"/>
        <v>1</v>
      </c>
      <c r="DU408" s="81">
        <v>1</v>
      </c>
      <c r="DV408" s="79">
        <f t="shared" si="975"/>
        <v>0</v>
      </c>
      <c r="DW408" s="79">
        <f t="shared" si="976"/>
        <v>0</v>
      </c>
      <c r="DX408" s="79">
        <f t="shared" si="977"/>
        <v>0</v>
      </c>
      <c r="DY408" s="79">
        <v>1</v>
      </c>
      <c r="DZ408" s="79">
        <f t="shared" si="978"/>
        <v>0</v>
      </c>
      <c r="EA408" s="79">
        <f t="shared" si="979"/>
        <v>0</v>
      </c>
      <c r="EB408" s="79">
        <f t="shared" si="980"/>
        <v>0</v>
      </c>
      <c r="EC408" s="79">
        <f t="shared" si="981"/>
        <v>0</v>
      </c>
      <c r="ED408" s="79">
        <v>1</v>
      </c>
      <c r="EE408" s="79">
        <v>1</v>
      </c>
      <c r="EF408" s="79">
        <f t="shared" si="982"/>
        <v>0</v>
      </c>
      <c r="EG408" s="79">
        <v>1</v>
      </c>
      <c r="EH408" s="79">
        <v>1</v>
      </c>
      <c r="EI408" s="79">
        <v>1</v>
      </c>
      <c r="EJ408" s="79">
        <v>1</v>
      </c>
      <c r="EK408" s="79">
        <v>1</v>
      </c>
      <c r="EL408" s="79">
        <v>1</v>
      </c>
      <c r="EM408" s="143">
        <f t="shared" si="983"/>
        <v>0</v>
      </c>
      <c r="EN408" s="143">
        <f t="shared" si="984"/>
        <v>0</v>
      </c>
      <c r="EO408" s="82">
        <f t="shared" si="985"/>
        <v>0</v>
      </c>
    </row>
    <row r="409" spans="1:145" x14ac:dyDescent="0.25">
      <c r="A409">
        <v>395</v>
      </c>
      <c r="B409" s="172" t="e">
        <f t="shared" si="956"/>
        <v>#N/A</v>
      </c>
      <c r="C409" s="121" t="e">
        <f t="shared" ref="C409:E409" si="1008">AJ409-SUM(AB409:AB413)</f>
        <v>#N/A</v>
      </c>
      <c r="D409" s="122" t="e">
        <f t="shared" si="1008"/>
        <v>#N/A</v>
      </c>
      <c r="E409" s="122" t="e">
        <f t="shared" si="1008"/>
        <v>#N/A</v>
      </c>
      <c r="F409" s="176" t="e">
        <f t="shared" si="937"/>
        <v>#N/A</v>
      </c>
      <c r="G409" s="121">
        <f t="shared" si="958"/>
        <v>208</v>
      </c>
      <c r="H409" s="176" t="e">
        <f t="shared" si="959"/>
        <v>#N/A</v>
      </c>
      <c r="I409" s="48">
        <v>1</v>
      </c>
      <c r="J409" s="39"/>
      <c r="K409" s="350">
        <v>1</v>
      </c>
      <c r="L409" s="34" t="e">
        <f t="shared" si="938"/>
        <v>#N/A</v>
      </c>
      <c r="M409" s="38" t="e">
        <f>(HLOOKUP(J409,'Construction Times'!$B$3:$W$34,L409+2,FALSE)*HLOOKUP("hq modifier",'Construction Times'!$W$3:$W$34,BS409+2,FALSE))*(1-$H$9)</f>
        <v>#N/A</v>
      </c>
      <c r="N409" s="426" t="e">
        <f t="shared" si="960"/>
        <v>#N/A</v>
      </c>
      <c r="O409" s="427"/>
      <c r="P409" s="430" t="e">
        <f t="shared" si="961"/>
        <v>#N/A</v>
      </c>
      <c r="Q409" s="431"/>
      <c r="R409" s="103">
        <f t="shared" si="987"/>
        <v>0</v>
      </c>
      <c r="S409" s="104">
        <f t="shared" si="987"/>
        <v>0</v>
      </c>
      <c r="T409" s="104">
        <f t="shared" si="988"/>
        <v>0</v>
      </c>
      <c r="U409" s="104">
        <f t="shared" si="988"/>
        <v>0</v>
      </c>
      <c r="V409" s="104">
        <f t="shared" si="988"/>
        <v>9.9999999999999995E-8</v>
      </c>
      <c r="W409" s="104">
        <f t="shared" si="988"/>
        <v>0</v>
      </c>
      <c r="X409" s="104">
        <f t="shared" si="934"/>
        <v>0</v>
      </c>
      <c r="Y409" s="104">
        <f t="shared" si="934"/>
        <v>9.9999999999999995E-8</v>
      </c>
      <c r="Z409" s="104">
        <f t="shared" si="934"/>
        <v>9.9999999999999995E-8</v>
      </c>
      <c r="AA409" s="105">
        <f t="shared" si="934"/>
        <v>9.9999999999999995E-8</v>
      </c>
      <c r="AB409" s="101" t="e">
        <f>$DT409*HLOOKUP($J409,'Construction Costs (timber)'!$B$1:$V$32,'Construction Planner'!$L409+2,FALSE)</f>
        <v>#N/A</v>
      </c>
      <c r="AC409" s="14" t="e">
        <f>$DT409*HLOOKUP($J409,'Construction Costs (clay)'!$B$1:$V$32,'Construction Planner'!$L409+2,FALSE)</f>
        <v>#N/A</v>
      </c>
      <c r="AD409" s="14" t="e">
        <f>$DT409*HLOOKUP($J409,'Construction Costs (iron)'!$B$1:$V$32,'Construction Planner'!$L409+2,FALSE)</f>
        <v>#N/A</v>
      </c>
      <c r="AE409" s="34" t="e">
        <f t="shared" si="1000"/>
        <v>#N/A</v>
      </c>
      <c r="AF409" s="33" t="e">
        <f t="shared" si="939"/>
        <v>#N/A</v>
      </c>
      <c r="AG409" s="14" t="e">
        <f t="shared" si="940"/>
        <v>#N/A</v>
      </c>
      <c r="AH409" s="14" t="e">
        <f t="shared" si="941"/>
        <v>#N/A</v>
      </c>
      <c r="AI409" s="34" t="e">
        <f t="shared" si="1001"/>
        <v>#N/A</v>
      </c>
      <c r="AJ409" s="49" t="e">
        <f t="shared" si="962"/>
        <v>#N/A</v>
      </c>
      <c r="AK409" s="49" t="e">
        <f t="shared" si="963"/>
        <v>#N/A</v>
      </c>
      <c r="AL409" s="49" t="e">
        <f t="shared" si="964"/>
        <v>#N/A</v>
      </c>
      <c r="AM409" s="25">
        <f t="shared" si="942"/>
        <v>30</v>
      </c>
      <c r="AN409" s="25">
        <f t="shared" si="943"/>
        <v>30</v>
      </c>
      <c r="AO409" s="25">
        <f t="shared" si="944"/>
        <v>30</v>
      </c>
      <c r="AP409" s="52" t="e">
        <f t="shared" si="965"/>
        <v>#N/A</v>
      </c>
      <c r="AQ409" s="53" t="e">
        <f t="shared" si="965"/>
        <v>#N/A</v>
      </c>
      <c r="AR409" s="54" t="e">
        <f t="shared" si="965"/>
        <v>#N/A</v>
      </c>
      <c r="AS409" s="316">
        <f t="shared" si="1002"/>
        <v>0</v>
      </c>
      <c r="AT409" s="106">
        <f>_xlfn.IFNA($M409/VLOOKUP($BT409,'Unit information'!$A$2:$K$29,2,FALSE)*R409,0)*(1+$E$9)</f>
        <v>0</v>
      </c>
      <c r="AU409" s="107">
        <f>_xlfn.IFNA($M409/VLOOKUP($BT409,'Unit information'!$A$2:$K$29,3,FALSE)*S409,0)*(1+$E$9)</f>
        <v>0</v>
      </c>
      <c r="AV409" s="107">
        <f>_xlfn.IFNA($M409/VLOOKUP($BT409,'Unit information'!$A$2:$K$29,4,FALSE)*T409,0)*(1+$E$9)</f>
        <v>0</v>
      </c>
      <c r="AW409" s="107">
        <f>_xlfn.IFNA($M409/VLOOKUP($BT409,'Unit information'!$A$2:$K$29,5,FALSE)*U409,0)*(1+$E$9)</f>
        <v>0</v>
      </c>
      <c r="AX409" s="107">
        <f>_xlfn.IFNA($M409/VLOOKUP($BU409,'Unit information'!$A$2:$K$29,6,FALSE)*V409,0)*(1+$E$9)</f>
        <v>0</v>
      </c>
      <c r="AY409" s="107">
        <f>_xlfn.IFNA($M409/VLOOKUP($BU409,'Unit information'!$A$2:$K$29,7,FALSE)*W409,0)*(1+$E$9)</f>
        <v>0</v>
      </c>
      <c r="AZ409" s="107">
        <f>_xlfn.IFNA($M409/VLOOKUP($BU409,'Unit information'!$A$2:$K$29,8,FALSE)*X409,0)*(1+$E$9)</f>
        <v>0</v>
      </c>
      <c r="BA409" s="107">
        <f>_xlfn.IFNA($M409/VLOOKUP($BU409,'Unit information'!$A$2:$K$29,9,FALSE)*Y409,0)*(1+$E$9)</f>
        <v>0</v>
      </c>
      <c r="BB409" s="107">
        <f>_xlfn.IFNA($M409/VLOOKUP($BV409,'Unit information'!$A$2:$K$29,10,FALSE)*Z409,0)*(1+$E$9)</f>
        <v>0</v>
      </c>
      <c r="BC409" s="108">
        <f>_xlfn.IFNA($M409/VLOOKUP($BV409,'Unit information'!$A$2:$K$29,11,FALSE)*AA409,0)*(1+$E$9)</f>
        <v>0</v>
      </c>
      <c r="BD409" s="106">
        <f t="shared" si="945"/>
        <v>0</v>
      </c>
      <c r="BE409" s="107">
        <f t="shared" si="946"/>
        <v>0</v>
      </c>
      <c r="BF409" s="108">
        <f t="shared" si="947"/>
        <v>0</v>
      </c>
      <c r="BG409" s="25" t="e">
        <f t="shared" si="948"/>
        <v>#N/A</v>
      </c>
      <c r="BH409" s="25" t="e">
        <f t="shared" si="949"/>
        <v>#N/A</v>
      </c>
      <c r="BI409" s="25" t="e">
        <f t="shared" si="950"/>
        <v>#N/A</v>
      </c>
      <c r="BJ409" s="27" t="e">
        <f t="shared" si="951"/>
        <v>#N/A</v>
      </c>
      <c r="BK409" s="18" t="e">
        <f t="shared" si="952"/>
        <v>#N/A</v>
      </c>
      <c r="BL409" s="18" t="e">
        <f t="shared" si="953"/>
        <v>#N/A</v>
      </c>
      <c r="BM409" s="28" t="e">
        <f t="shared" si="1003"/>
        <v>#N/A</v>
      </c>
      <c r="BN409" s="33">
        <f>HLOOKUP("maximum population",Miscelaneous!$C$1:$C$33,CH409+3,FALSE)</f>
        <v>240</v>
      </c>
      <c r="BO409" s="14">
        <f t="shared" si="966"/>
        <v>32</v>
      </c>
      <c r="BP409" s="14">
        <f t="shared" si="967"/>
        <v>0</v>
      </c>
      <c r="BQ409" s="14">
        <f t="shared" si="968"/>
        <v>208</v>
      </c>
      <c r="BR409" s="34" t="e">
        <f>HLOOKUP(J409,Villagers!$B$1:$V$33,L409+3,FALSE)-HLOOKUP(J409,Villagers!$B$1:$V$33,L409+2,FALSE)</f>
        <v>#N/A</v>
      </c>
      <c r="BS409" s="49">
        <f t="shared" si="969"/>
        <v>1</v>
      </c>
      <c r="BT409" s="50">
        <f t="shared" si="970"/>
        <v>0</v>
      </c>
      <c r="BU409" s="50">
        <f t="shared" si="971"/>
        <v>0</v>
      </c>
      <c r="BV409" s="50">
        <f t="shared" si="972"/>
        <v>0</v>
      </c>
      <c r="BW409" s="50">
        <f t="shared" si="926"/>
        <v>0</v>
      </c>
      <c r="BX409" s="50">
        <f t="shared" si="927"/>
        <v>0</v>
      </c>
      <c r="BY409" s="50">
        <f t="shared" si="927"/>
        <v>0</v>
      </c>
      <c r="BZ409" s="50">
        <f t="shared" si="860"/>
        <v>0</v>
      </c>
      <c r="CA409" s="50">
        <f t="shared" si="861"/>
        <v>0</v>
      </c>
      <c r="CB409" s="50">
        <f t="shared" si="862"/>
        <v>1</v>
      </c>
      <c r="CC409" s="50">
        <f t="shared" si="863"/>
        <v>0</v>
      </c>
      <c r="CD409" s="50">
        <f t="shared" si="864"/>
        <v>0</v>
      </c>
      <c r="CE409" s="50">
        <f t="shared" si="865"/>
        <v>1</v>
      </c>
      <c r="CF409" s="50">
        <f t="shared" si="866"/>
        <v>1</v>
      </c>
      <c r="CG409" s="50">
        <f t="shared" si="867"/>
        <v>1</v>
      </c>
      <c r="CH409" s="50">
        <f t="shared" si="868"/>
        <v>1</v>
      </c>
      <c r="CI409" s="50">
        <f t="shared" si="869"/>
        <v>1</v>
      </c>
      <c r="CJ409" s="50">
        <f t="shared" si="870"/>
        <v>1</v>
      </c>
      <c r="CK409" s="50">
        <f t="shared" si="870"/>
        <v>0</v>
      </c>
      <c r="CL409" s="50">
        <f t="shared" si="870"/>
        <v>0</v>
      </c>
      <c r="CM409" s="51">
        <f t="shared" si="954"/>
        <v>0</v>
      </c>
      <c r="CN409" s="33">
        <f>ROUND(IF(BS409=0,0,HLOOKUP(BS$14,Villagers!$B$1:$V$33,BS409+3,FALSE)),)</f>
        <v>5</v>
      </c>
      <c r="CO409" s="14">
        <f>ROUND(IF(BT409=0,0,HLOOKUP(BT$14,Villagers!$B$1:$V$33,BT409+3,FALSE)),)</f>
        <v>0</v>
      </c>
      <c r="CP409" s="14">
        <f>ROUND(IF(BU409=0,0,HLOOKUP(BU$14,Villagers!$B$1:$V$33,BU409+3,FALSE)),)</f>
        <v>0</v>
      </c>
      <c r="CQ409" s="14">
        <f>ROUND(IF(BV409=0,0,HLOOKUP(BV$14,Villagers!$B$1:$V$33,BV409+3,FALSE)),)</f>
        <v>0</v>
      </c>
      <c r="CR409" s="14">
        <f>ROUND(IF(BW409=0,0,HLOOKUP(BW$14,Villagers!$B$1:$V$33,BW409+3,FALSE)),)</f>
        <v>0</v>
      </c>
      <c r="CS409" s="14">
        <f>ROUND(IF(BX409=0,0,HLOOKUP(BX$14,Villagers!$B$1:$V$33,BX409+3,FALSE)),)</f>
        <v>0</v>
      </c>
      <c r="CT409" s="14">
        <f>ROUND(IF(BY409=0,0,HLOOKUP(BY$14,Villagers!$B$1:$V$33,BY409+3,FALSE)),)</f>
        <v>0</v>
      </c>
      <c r="CU409" s="14">
        <f>ROUND(IF(BZ409=0,0,HLOOKUP(BZ$14,Villagers!$B$1:$V$33,BZ409+3,FALSE)),)</f>
        <v>0</v>
      </c>
      <c r="CV409" s="14">
        <f>ROUND(IF(CA409=0,0,HLOOKUP(CA$14,Villagers!$B$1:$V$33,CA409+3,FALSE)),)</f>
        <v>0</v>
      </c>
      <c r="CW409" s="14">
        <f>ROUND(IF(CB409=0,0,HLOOKUP(CB$14,Villagers!$B$1:$V$33,CB409+3,FALSE)),)</f>
        <v>0</v>
      </c>
      <c r="CX409" s="14">
        <f>ROUND(IF(CC409=0,0,HLOOKUP(CC$14,Villagers!$B$1:$V$33,CC409+3,FALSE)),)</f>
        <v>0</v>
      </c>
      <c r="CY409" s="14">
        <f>ROUND(IF(CD409=0,0,HLOOKUP(CD$14,Villagers!$B$1:$V$33,CD409+3,FALSE)),)</f>
        <v>0</v>
      </c>
      <c r="CZ409" s="14">
        <f>ROUND(IF(CE409=0,0,HLOOKUP(CE$14,Villagers!$B$1:$V$33,CE409+3,FALSE)),)</f>
        <v>5</v>
      </c>
      <c r="DA409" s="14">
        <f>ROUND(IF(CF409=0,0,HLOOKUP(CF$14,Villagers!$B$1:$V$33,CF409+3,FALSE)),)</f>
        <v>10</v>
      </c>
      <c r="DB409" s="14">
        <f>ROUND(IF(CG409=0,0,HLOOKUP(CG$14,Villagers!$B$1:$V$33,CG409+3,FALSE)),)</f>
        <v>10</v>
      </c>
      <c r="DC409" s="14">
        <f>ROUND(IF(CH409=0,0,HLOOKUP(CH$14,Villagers!$B$1:$V$33,CH409+3,FALSE)),)</f>
        <v>0</v>
      </c>
      <c r="DD409" s="14">
        <f>ROUND(IF(CI409=0,0,HLOOKUP(CI$14,Villagers!$B$1:$V$33,CI409+3,FALSE)),)</f>
        <v>0</v>
      </c>
      <c r="DE409" s="14">
        <f>ROUND(IF(CJ409=0,0,HLOOKUP(CJ$14,Villagers!$B$1:$V$33,CJ409+3,FALSE)),)</f>
        <v>2</v>
      </c>
      <c r="DF409" s="370">
        <f>ROUND(IF(CK409=0,0,HLOOKUP(CK$14,Villagers!$B$1:$V$33,CK409+3,FALSE)),)</f>
        <v>0</v>
      </c>
      <c r="DG409" s="370">
        <f>ROUND(IF(CL409=0,0,HLOOKUP(CL$14,Villagers!$B$1:$V$33,CL409+3,FALSE)),)</f>
        <v>0</v>
      </c>
      <c r="DH409" s="34">
        <f>ROUND(IF(CM409=0,0,HLOOKUP(CM$14,Villagers!$B$1:$V$33,CM409+3,FALSE)),)</f>
        <v>0</v>
      </c>
      <c r="DI409" s="109">
        <f t="shared" si="989"/>
        <v>0</v>
      </c>
      <c r="DJ409" s="50">
        <f t="shared" si="990"/>
        <v>0</v>
      </c>
      <c r="DK409" s="50">
        <f t="shared" si="991"/>
        <v>0</v>
      </c>
      <c r="DL409" s="50">
        <f t="shared" si="992"/>
        <v>0</v>
      </c>
      <c r="DM409" s="50">
        <f t="shared" si="993"/>
        <v>0</v>
      </c>
      <c r="DN409" s="50">
        <f t="shared" si="994"/>
        <v>0</v>
      </c>
      <c r="DO409" s="50">
        <f t="shared" si="995"/>
        <v>0</v>
      </c>
      <c r="DP409" s="50">
        <f t="shared" si="996"/>
        <v>0</v>
      </c>
      <c r="DQ409" s="50">
        <f t="shared" si="973"/>
        <v>0</v>
      </c>
      <c r="DR409" s="50">
        <f t="shared" si="974"/>
        <v>0</v>
      </c>
      <c r="DS409" s="96">
        <f>Miscelaneous!$D$4*Miscelaneous!$D$2^($CI409-1)</f>
        <v>1000</v>
      </c>
      <c r="DT409" s="333">
        <f t="shared" si="955"/>
        <v>1</v>
      </c>
      <c r="DU409" s="81">
        <v>1</v>
      </c>
      <c r="DV409" s="79">
        <f t="shared" si="975"/>
        <v>0</v>
      </c>
      <c r="DW409" s="79">
        <f t="shared" si="976"/>
        <v>0</v>
      </c>
      <c r="DX409" s="79">
        <f t="shared" si="977"/>
        <v>0</v>
      </c>
      <c r="DY409" s="79">
        <v>1</v>
      </c>
      <c r="DZ409" s="79">
        <f t="shared" si="978"/>
        <v>0</v>
      </c>
      <c r="EA409" s="79">
        <f t="shared" si="979"/>
        <v>0</v>
      </c>
      <c r="EB409" s="79">
        <f t="shared" si="980"/>
        <v>0</v>
      </c>
      <c r="EC409" s="79">
        <f t="shared" si="981"/>
        <v>0</v>
      </c>
      <c r="ED409" s="79">
        <v>1</v>
      </c>
      <c r="EE409" s="79">
        <v>1</v>
      </c>
      <c r="EF409" s="79">
        <f t="shared" si="982"/>
        <v>0</v>
      </c>
      <c r="EG409" s="79">
        <v>1</v>
      </c>
      <c r="EH409" s="79">
        <v>1</v>
      </c>
      <c r="EI409" s="79">
        <v>1</v>
      </c>
      <c r="EJ409" s="79">
        <v>1</v>
      </c>
      <c r="EK409" s="79">
        <v>1</v>
      </c>
      <c r="EL409" s="79">
        <v>1</v>
      </c>
      <c r="EM409" s="143">
        <f t="shared" si="983"/>
        <v>0</v>
      </c>
      <c r="EN409" s="143">
        <f t="shared" si="984"/>
        <v>0</v>
      </c>
      <c r="EO409" s="82">
        <f t="shared" si="985"/>
        <v>0</v>
      </c>
    </row>
    <row r="410" spans="1:145" x14ac:dyDescent="0.25">
      <c r="A410">
        <v>396</v>
      </c>
      <c r="B410" s="172" t="e">
        <f t="shared" si="956"/>
        <v>#N/A</v>
      </c>
      <c r="C410" s="121" t="e">
        <f t="shared" ref="C410:E410" si="1009">AJ410-SUM(AB410:AB414)</f>
        <v>#N/A</v>
      </c>
      <c r="D410" s="122" t="e">
        <f t="shared" si="1009"/>
        <v>#N/A</v>
      </c>
      <c r="E410" s="122" t="e">
        <f t="shared" si="1009"/>
        <v>#N/A</v>
      </c>
      <c r="F410" s="176" t="e">
        <f t="shared" si="937"/>
        <v>#N/A</v>
      </c>
      <c r="G410" s="121">
        <f t="shared" si="958"/>
        <v>208</v>
      </c>
      <c r="H410" s="176" t="e">
        <f t="shared" si="959"/>
        <v>#N/A</v>
      </c>
      <c r="I410" s="48">
        <v>1</v>
      </c>
      <c r="J410" s="39"/>
      <c r="K410" s="350">
        <v>1</v>
      </c>
      <c r="L410" s="34" t="e">
        <f t="shared" si="938"/>
        <v>#N/A</v>
      </c>
      <c r="M410" s="38" t="e">
        <f>(HLOOKUP(J410,'Construction Times'!$B$3:$W$34,L410+2,FALSE)*HLOOKUP("hq modifier",'Construction Times'!$W$3:$W$34,BS410+2,FALSE))*(1-$H$9)</f>
        <v>#N/A</v>
      </c>
      <c r="N410" s="426" t="e">
        <f t="shared" si="960"/>
        <v>#N/A</v>
      </c>
      <c r="O410" s="427"/>
      <c r="P410" s="430" t="e">
        <f t="shared" si="961"/>
        <v>#N/A</v>
      </c>
      <c r="Q410" s="431"/>
      <c r="R410" s="103">
        <f t="shared" si="987"/>
        <v>0</v>
      </c>
      <c r="S410" s="104">
        <f t="shared" si="987"/>
        <v>0</v>
      </c>
      <c r="T410" s="104">
        <f t="shared" si="988"/>
        <v>0</v>
      </c>
      <c r="U410" s="104">
        <f t="shared" si="988"/>
        <v>0</v>
      </c>
      <c r="V410" s="104">
        <f t="shared" si="988"/>
        <v>9.9999999999999995E-8</v>
      </c>
      <c r="W410" s="104">
        <f t="shared" si="988"/>
        <v>0</v>
      </c>
      <c r="X410" s="104">
        <f t="shared" si="934"/>
        <v>0</v>
      </c>
      <c r="Y410" s="104">
        <f t="shared" si="934"/>
        <v>9.9999999999999995E-8</v>
      </c>
      <c r="Z410" s="104">
        <f t="shared" si="934"/>
        <v>9.9999999999999995E-8</v>
      </c>
      <c r="AA410" s="105">
        <f t="shared" si="934"/>
        <v>9.9999999999999995E-8</v>
      </c>
      <c r="AB410" s="101" t="e">
        <f>$DT410*HLOOKUP($J410,'Construction Costs (timber)'!$B$1:$V$32,'Construction Planner'!$L410+2,FALSE)</f>
        <v>#N/A</v>
      </c>
      <c r="AC410" s="14" t="e">
        <f>$DT410*HLOOKUP($J410,'Construction Costs (clay)'!$B$1:$V$32,'Construction Planner'!$L410+2,FALSE)</f>
        <v>#N/A</v>
      </c>
      <c r="AD410" s="14" t="e">
        <f>$DT410*HLOOKUP($J410,'Construction Costs (iron)'!$B$1:$V$32,'Construction Planner'!$L410+2,FALSE)</f>
        <v>#N/A</v>
      </c>
      <c r="AE410" s="34" t="e">
        <f t="shared" si="1000"/>
        <v>#N/A</v>
      </c>
      <c r="AF410" s="33" t="e">
        <f t="shared" si="939"/>
        <v>#N/A</v>
      </c>
      <c r="AG410" s="14" t="e">
        <f t="shared" si="940"/>
        <v>#N/A</v>
      </c>
      <c r="AH410" s="14" t="e">
        <f t="shared" si="941"/>
        <v>#N/A</v>
      </c>
      <c r="AI410" s="34" t="e">
        <f t="shared" si="1001"/>
        <v>#N/A</v>
      </c>
      <c r="AJ410" s="49" t="e">
        <f t="shared" si="962"/>
        <v>#N/A</v>
      </c>
      <c r="AK410" s="49" t="e">
        <f t="shared" si="963"/>
        <v>#N/A</v>
      </c>
      <c r="AL410" s="49" t="e">
        <f t="shared" si="964"/>
        <v>#N/A</v>
      </c>
      <c r="AM410" s="25">
        <f t="shared" si="942"/>
        <v>30</v>
      </c>
      <c r="AN410" s="25">
        <f t="shared" si="943"/>
        <v>30</v>
      </c>
      <c r="AO410" s="25">
        <f t="shared" si="944"/>
        <v>30</v>
      </c>
      <c r="AP410" s="52" t="e">
        <f t="shared" si="965"/>
        <v>#N/A</v>
      </c>
      <c r="AQ410" s="53" t="e">
        <f t="shared" si="965"/>
        <v>#N/A</v>
      </c>
      <c r="AR410" s="54" t="e">
        <f t="shared" si="965"/>
        <v>#N/A</v>
      </c>
      <c r="AS410" s="316">
        <f t="shared" si="1002"/>
        <v>0</v>
      </c>
      <c r="AT410" s="106">
        <f>_xlfn.IFNA($M410/VLOOKUP($BT410,'Unit information'!$A$2:$K$29,2,FALSE)*R410,0)*(1+$E$9)</f>
        <v>0</v>
      </c>
      <c r="AU410" s="107">
        <f>_xlfn.IFNA($M410/VLOOKUP($BT410,'Unit information'!$A$2:$K$29,3,FALSE)*S410,0)*(1+$E$9)</f>
        <v>0</v>
      </c>
      <c r="AV410" s="107">
        <f>_xlfn.IFNA($M410/VLOOKUP($BT410,'Unit information'!$A$2:$K$29,4,FALSE)*T410,0)*(1+$E$9)</f>
        <v>0</v>
      </c>
      <c r="AW410" s="107">
        <f>_xlfn.IFNA($M410/VLOOKUP($BT410,'Unit information'!$A$2:$K$29,5,FALSE)*U410,0)*(1+$E$9)</f>
        <v>0</v>
      </c>
      <c r="AX410" s="107">
        <f>_xlfn.IFNA($M410/VLOOKUP($BU410,'Unit information'!$A$2:$K$29,6,FALSE)*V410,0)*(1+$E$9)</f>
        <v>0</v>
      </c>
      <c r="AY410" s="107">
        <f>_xlfn.IFNA($M410/VLOOKUP($BU410,'Unit information'!$A$2:$K$29,7,FALSE)*W410,0)*(1+$E$9)</f>
        <v>0</v>
      </c>
      <c r="AZ410" s="107">
        <f>_xlfn.IFNA($M410/VLOOKUP($BU410,'Unit information'!$A$2:$K$29,8,FALSE)*X410,0)*(1+$E$9)</f>
        <v>0</v>
      </c>
      <c r="BA410" s="107">
        <f>_xlfn.IFNA($M410/VLOOKUP($BU410,'Unit information'!$A$2:$K$29,9,FALSE)*Y410,0)*(1+$E$9)</f>
        <v>0</v>
      </c>
      <c r="BB410" s="107">
        <f>_xlfn.IFNA($M410/VLOOKUP($BV410,'Unit information'!$A$2:$K$29,10,FALSE)*Z410,0)*(1+$E$9)</f>
        <v>0</v>
      </c>
      <c r="BC410" s="108">
        <f>_xlfn.IFNA($M410/VLOOKUP($BV410,'Unit information'!$A$2:$K$29,11,FALSE)*AA410,0)*(1+$E$9)</f>
        <v>0</v>
      </c>
      <c r="BD410" s="106">
        <f t="shared" si="945"/>
        <v>0</v>
      </c>
      <c r="BE410" s="107">
        <f t="shared" si="946"/>
        <v>0</v>
      </c>
      <c r="BF410" s="108">
        <f t="shared" si="947"/>
        <v>0</v>
      </c>
      <c r="BG410" s="25" t="e">
        <f t="shared" si="948"/>
        <v>#N/A</v>
      </c>
      <c r="BH410" s="25" t="e">
        <f t="shared" si="949"/>
        <v>#N/A</v>
      </c>
      <c r="BI410" s="25" t="e">
        <f t="shared" si="950"/>
        <v>#N/A</v>
      </c>
      <c r="BJ410" s="27" t="e">
        <f t="shared" si="951"/>
        <v>#N/A</v>
      </c>
      <c r="BK410" s="18" t="e">
        <f t="shared" si="952"/>
        <v>#N/A</v>
      </c>
      <c r="BL410" s="18" t="e">
        <f t="shared" si="953"/>
        <v>#N/A</v>
      </c>
      <c r="BM410" s="28" t="e">
        <f t="shared" si="1003"/>
        <v>#N/A</v>
      </c>
      <c r="BN410" s="33">
        <f>HLOOKUP("maximum population",Miscelaneous!$C$1:$C$33,CH410+3,FALSE)</f>
        <v>240</v>
      </c>
      <c r="BO410" s="14">
        <f t="shared" si="966"/>
        <v>32</v>
      </c>
      <c r="BP410" s="14">
        <f t="shared" si="967"/>
        <v>0</v>
      </c>
      <c r="BQ410" s="14">
        <f t="shared" si="968"/>
        <v>208</v>
      </c>
      <c r="BR410" s="34" t="e">
        <f>HLOOKUP(J410,Villagers!$B$1:$V$33,L410+3,FALSE)-HLOOKUP(J410,Villagers!$B$1:$V$33,L410+2,FALSE)</f>
        <v>#N/A</v>
      </c>
      <c r="BS410" s="49">
        <f t="shared" si="969"/>
        <v>1</v>
      </c>
      <c r="BT410" s="50">
        <f t="shared" si="970"/>
        <v>0</v>
      </c>
      <c r="BU410" s="50">
        <f t="shared" si="971"/>
        <v>0</v>
      </c>
      <c r="BV410" s="50">
        <f t="shared" si="972"/>
        <v>0</v>
      </c>
      <c r="BW410" s="50">
        <f t="shared" si="926"/>
        <v>0</v>
      </c>
      <c r="BX410" s="50">
        <f t="shared" si="927"/>
        <v>0</v>
      </c>
      <c r="BY410" s="50">
        <f t="shared" si="927"/>
        <v>0</v>
      </c>
      <c r="BZ410" s="50">
        <f t="shared" si="860"/>
        <v>0</v>
      </c>
      <c r="CA410" s="50">
        <f t="shared" si="861"/>
        <v>0</v>
      </c>
      <c r="CB410" s="50">
        <f t="shared" si="862"/>
        <v>1</v>
      </c>
      <c r="CC410" s="50">
        <f t="shared" si="863"/>
        <v>0</v>
      </c>
      <c r="CD410" s="50">
        <f t="shared" si="864"/>
        <v>0</v>
      </c>
      <c r="CE410" s="50">
        <f t="shared" si="865"/>
        <v>1</v>
      </c>
      <c r="CF410" s="50">
        <f t="shared" si="866"/>
        <v>1</v>
      </c>
      <c r="CG410" s="50">
        <f t="shared" si="867"/>
        <v>1</v>
      </c>
      <c r="CH410" s="50">
        <f t="shared" si="868"/>
        <v>1</v>
      </c>
      <c r="CI410" s="50">
        <f t="shared" si="869"/>
        <v>1</v>
      </c>
      <c r="CJ410" s="50">
        <f t="shared" si="870"/>
        <v>1</v>
      </c>
      <c r="CK410" s="50">
        <f t="shared" si="870"/>
        <v>0</v>
      </c>
      <c r="CL410" s="50">
        <f t="shared" si="870"/>
        <v>0</v>
      </c>
      <c r="CM410" s="51">
        <f t="shared" si="954"/>
        <v>0</v>
      </c>
      <c r="CN410" s="33">
        <f>ROUND(IF(BS410=0,0,HLOOKUP(BS$14,Villagers!$B$1:$V$33,BS410+3,FALSE)),)</f>
        <v>5</v>
      </c>
      <c r="CO410" s="14">
        <f>ROUND(IF(BT410=0,0,HLOOKUP(BT$14,Villagers!$B$1:$V$33,BT410+3,FALSE)),)</f>
        <v>0</v>
      </c>
      <c r="CP410" s="14">
        <f>ROUND(IF(BU410=0,0,HLOOKUP(BU$14,Villagers!$B$1:$V$33,BU410+3,FALSE)),)</f>
        <v>0</v>
      </c>
      <c r="CQ410" s="14">
        <f>ROUND(IF(BV410=0,0,HLOOKUP(BV$14,Villagers!$B$1:$V$33,BV410+3,FALSE)),)</f>
        <v>0</v>
      </c>
      <c r="CR410" s="14">
        <f>ROUND(IF(BW410=0,0,HLOOKUP(BW$14,Villagers!$B$1:$V$33,BW410+3,FALSE)),)</f>
        <v>0</v>
      </c>
      <c r="CS410" s="14">
        <f>ROUND(IF(BX410=0,0,HLOOKUP(BX$14,Villagers!$B$1:$V$33,BX410+3,FALSE)),)</f>
        <v>0</v>
      </c>
      <c r="CT410" s="14">
        <f>ROUND(IF(BY410=0,0,HLOOKUP(BY$14,Villagers!$B$1:$V$33,BY410+3,FALSE)),)</f>
        <v>0</v>
      </c>
      <c r="CU410" s="14">
        <f>ROUND(IF(BZ410=0,0,HLOOKUP(BZ$14,Villagers!$B$1:$V$33,BZ410+3,FALSE)),)</f>
        <v>0</v>
      </c>
      <c r="CV410" s="14">
        <f>ROUND(IF(CA410=0,0,HLOOKUP(CA$14,Villagers!$B$1:$V$33,CA410+3,FALSE)),)</f>
        <v>0</v>
      </c>
      <c r="CW410" s="14">
        <f>ROUND(IF(CB410=0,0,HLOOKUP(CB$14,Villagers!$B$1:$V$33,CB410+3,FALSE)),)</f>
        <v>0</v>
      </c>
      <c r="CX410" s="14">
        <f>ROUND(IF(CC410=0,0,HLOOKUP(CC$14,Villagers!$B$1:$V$33,CC410+3,FALSE)),)</f>
        <v>0</v>
      </c>
      <c r="CY410" s="14">
        <f>ROUND(IF(CD410=0,0,HLOOKUP(CD$14,Villagers!$B$1:$V$33,CD410+3,FALSE)),)</f>
        <v>0</v>
      </c>
      <c r="CZ410" s="14">
        <f>ROUND(IF(CE410=0,0,HLOOKUP(CE$14,Villagers!$B$1:$V$33,CE410+3,FALSE)),)</f>
        <v>5</v>
      </c>
      <c r="DA410" s="14">
        <f>ROUND(IF(CF410=0,0,HLOOKUP(CF$14,Villagers!$B$1:$V$33,CF410+3,FALSE)),)</f>
        <v>10</v>
      </c>
      <c r="DB410" s="14">
        <f>ROUND(IF(CG410=0,0,HLOOKUP(CG$14,Villagers!$B$1:$V$33,CG410+3,FALSE)),)</f>
        <v>10</v>
      </c>
      <c r="DC410" s="14">
        <f>ROUND(IF(CH410=0,0,HLOOKUP(CH$14,Villagers!$B$1:$V$33,CH410+3,FALSE)),)</f>
        <v>0</v>
      </c>
      <c r="DD410" s="14">
        <f>ROUND(IF(CI410=0,0,HLOOKUP(CI$14,Villagers!$B$1:$V$33,CI410+3,FALSE)),)</f>
        <v>0</v>
      </c>
      <c r="DE410" s="14">
        <f>ROUND(IF(CJ410=0,0,HLOOKUP(CJ$14,Villagers!$B$1:$V$33,CJ410+3,FALSE)),)</f>
        <v>2</v>
      </c>
      <c r="DF410" s="370">
        <f>ROUND(IF(CK410=0,0,HLOOKUP(CK$14,Villagers!$B$1:$V$33,CK410+3,FALSE)),)</f>
        <v>0</v>
      </c>
      <c r="DG410" s="370">
        <f>ROUND(IF(CL410=0,0,HLOOKUP(CL$14,Villagers!$B$1:$V$33,CL410+3,FALSE)),)</f>
        <v>0</v>
      </c>
      <c r="DH410" s="34">
        <f>ROUND(IF(CM410=0,0,HLOOKUP(CM$14,Villagers!$B$1:$V$33,CM410+3,FALSE)),)</f>
        <v>0</v>
      </c>
      <c r="DI410" s="109">
        <f t="shared" si="989"/>
        <v>0</v>
      </c>
      <c r="DJ410" s="50">
        <f t="shared" si="990"/>
        <v>0</v>
      </c>
      <c r="DK410" s="50">
        <f t="shared" si="991"/>
        <v>0</v>
      </c>
      <c r="DL410" s="50">
        <f t="shared" si="992"/>
        <v>0</v>
      </c>
      <c r="DM410" s="50">
        <f t="shared" si="993"/>
        <v>0</v>
      </c>
      <c r="DN410" s="50">
        <f t="shared" si="994"/>
        <v>0</v>
      </c>
      <c r="DO410" s="50">
        <f t="shared" si="995"/>
        <v>0</v>
      </c>
      <c r="DP410" s="50">
        <f t="shared" si="996"/>
        <v>0</v>
      </c>
      <c r="DQ410" s="50">
        <f t="shared" si="973"/>
        <v>0</v>
      </c>
      <c r="DR410" s="50">
        <f t="shared" si="974"/>
        <v>0</v>
      </c>
      <c r="DS410" s="96">
        <f>Miscelaneous!$D$4*Miscelaneous!$D$2^($CI410-1)</f>
        <v>1000</v>
      </c>
      <c r="DT410" s="333">
        <f t="shared" si="955"/>
        <v>1</v>
      </c>
      <c r="DU410" s="81">
        <v>1</v>
      </c>
      <c r="DV410" s="79">
        <f t="shared" si="975"/>
        <v>0</v>
      </c>
      <c r="DW410" s="79">
        <f t="shared" si="976"/>
        <v>0</v>
      </c>
      <c r="DX410" s="79">
        <f t="shared" si="977"/>
        <v>0</v>
      </c>
      <c r="DY410" s="79">
        <v>1</v>
      </c>
      <c r="DZ410" s="79">
        <f t="shared" si="978"/>
        <v>0</v>
      </c>
      <c r="EA410" s="79">
        <f t="shared" si="979"/>
        <v>0</v>
      </c>
      <c r="EB410" s="79">
        <f t="shared" si="980"/>
        <v>0</v>
      </c>
      <c r="EC410" s="79">
        <f t="shared" si="981"/>
        <v>0</v>
      </c>
      <c r="ED410" s="79">
        <v>1</v>
      </c>
      <c r="EE410" s="79">
        <v>1</v>
      </c>
      <c r="EF410" s="79">
        <f t="shared" si="982"/>
        <v>0</v>
      </c>
      <c r="EG410" s="79">
        <v>1</v>
      </c>
      <c r="EH410" s="79">
        <v>1</v>
      </c>
      <c r="EI410" s="79">
        <v>1</v>
      </c>
      <c r="EJ410" s="79">
        <v>1</v>
      </c>
      <c r="EK410" s="79">
        <v>1</v>
      </c>
      <c r="EL410" s="79">
        <v>1</v>
      </c>
      <c r="EM410" s="143">
        <f t="shared" si="983"/>
        <v>0</v>
      </c>
      <c r="EN410" s="143">
        <f t="shared" si="984"/>
        <v>0</v>
      </c>
      <c r="EO410" s="82">
        <f t="shared" si="985"/>
        <v>0</v>
      </c>
    </row>
    <row r="411" spans="1:145" x14ac:dyDescent="0.25">
      <c r="A411">
        <v>397</v>
      </c>
      <c r="B411" s="172" t="e">
        <f t="shared" si="956"/>
        <v>#N/A</v>
      </c>
      <c r="C411" s="121" t="e">
        <f t="shared" ref="C411:E411" si="1010">AJ411-SUM(AB411:AB415)</f>
        <v>#N/A</v>
      </c>
      <c r="D411" s="122" t="e">
        <f t="shared" si="1010"/>
        <v>#N/A</v>
      </c>
      <c r="E411" s="122" t="e">
        <f t="shared" si="1010"/>
        <v>#N/A</v>
      </c>
      <c r="F411" s="176" t="e">
        <f t="shared" si="937"/>
        <v>#N/A</v>
      </c>
      <c r="G411" s="121">
        <f t="shared" si="958"/>
        <v>208</v>
      </c>
      <c r="H411" s="176" t="e">
        <f t="shared" si="959"/>
        <v>#N/A</v>
      </c>
      <c r="I411" s="48">
        <v>1</v>
      </c>
      <c r="J411" s="39"/>
      <c r="K411" s="350">
        <v>1</v>
      </c>
      <c r="L411" s="34" t="e">
        <f t="shared" si="938"/>
        <v>#N/A</v>
      </c>
      <c r="M411" s="38" t="e">
        <f>(HLOOKUP(J411,'Construction Times'!$B$3:$W$34,L411+2,FALSE)*HLOOKUP("hq modifier",'Construction Times'!$W$3:$W$34,BS411+2,FALSE))*(1-$H$9)</f>
        <v>#N/A</v>
      </c>
      <c r="N411" s="426" t="e">
        <f t="shared" si="960"/>
        <v>#N/A</v>
      </c>
      <c r="O411" s="427"/>
      <c r="P411" s="430" t="e">
        <f t="shared" si="961"/>
        <v>#N/A</v>
      </c>
      <c r="Q411" s="431"/>
      <c r="R411" s="103">
        <f t="shared" si="987"/>
        <v>0</v>
      </c>
      <c r="S411" s="104">
        <f t="shared" si="987"/>
        <v>0</v>
      </c>
      <c r="T411" s="104">
        <f t="shared" si="988"/>
        <v>0</v>
      </c>
      <c r="U411" s="104">
        <f t="shared" si="988"/>
        <v>0</v>
      </c>
      <c r="V411" s="104">
        <f t="shared" si="988"/>
        <v>9.9999999999999995E-8</v>
      </c>
      <c r="W411" s="104">
        <f t="shared" si="988"/>
        <v>0</v>
      </c>
      <c r="X411" s="104">
        <f t="shared" si="934"/>
        <v>0</v>
      </c>
      <c r="Y411" s="104">
        <f t="shared" si="934"/>
        <v>9.9999999999999995E-8</v>
      </c>
      <c r="Z411" s="104">
        <f t="shared" si="934"/>
        <v>9.9999999999999995E-8</v>
      </c>
      <c r="AA411" s="105">
        <f t="shared" si="934"/>
        <v>9.9999999999999995E-8</v>
      </c>
      <c r="AB411" s="101" t="e">
        <f>$DT411*HLOOKUP($J411,'Construction Costs (timber)'!$B$1:$V$32,'Construction Planner'!$L411+2,FALSE)</f>
        <v>#N/A</v>
      </c>
      <c r="AC411" s="14" t="e">
        <f>$DT411*HLOOKUP($J411,'Construction Costs (clay)'!$B$1:$V$32,'Construction Planner'!$L411+2,FALSE)</f>
        <v>#N/A</v>
      </c>
      <c r="AD411" s="14" t="e">
        <f>$DT411*HLOOKUP($J411,'Construction Costs (iron)'!$B$1:$V$32,'Construction Planner'!$L411+2,FALSE)</f>
        <v>#N/A</v>
      </c>
      <c r="AE411" s="34" t="e">
        <f t="shared" si="1000"/>
        <v>#N/A</v>
      </c>
      <c r="AF411" s="33" t="e">
        <f t="shared" si="939"/>
        <v>#N/A</v>
      </c>
      <c r="AG411" s="14" t="e">
        <f t="shared" si="940"/>
        <v>#N/A</v>
      </c>
      <c r="AH411" s="14" t="e">
        <f t="shared" si="941"/>
        <v>#N/A</v>
      </c>
      <c r="AI411" s="34" t="e">
        <f t="shared" si="1001"/>
        <v>#N/A</v>
      </c>
      <c r="AJ411" s="49" t="e">
        <f t="shared" si="962"/>
        <v>#N/A</v>
      </c>
      <c r="AK411" s="49" t="e">
        <f t="shared" si="963"/>
        <v>#N/A</v>
      </c>
      <c r="AL411" s="49" t="e">
        <f t="shared" si="964"/>
        <v>#N/A</v>
      </c>
      <c r="AM411" s="25">
        <f t="shared" si="942"/>
        <v>30</v>
      </c>
      <c r="AN411" s="25">
        <f t="shared" si="943"/>
        <v>30</v>
      </c>
      <c r="AO411" s="25">
        <f t="shared" si="944"/>
        <v>30</v>
      </c>
      <c r="AP411" s="52" t="e">
        <f t="shared" si="965"/>
        <v>#N/A</v>
      </c>
      <c r="AQ411" s="53" t="e">
        <f t="shared" si="965"/>
        <v>#N/A</v>
      </c>
      <c r="AR411" s="54" t="e">
        <f t="shared" si="965"/>
        <v>#N/A</v>
      </c>
      <c r="AS411" s="316">
        <f t="shared" si="1002"/>
        <v>0</v>
      </c>
      <c r="AT411" s="106">
        <f>_xlfn.IFNA($M411/VLOOKUP($BT411,'Unit information'!$A$2:$K$29,2,FALSE)*R411,0)*(1+$E$9)</f>
        <v>0</v>
      </c>
      <c r="AU411" s="107">
        <f>_xlfn.IFNA($M411/VLOOKUP($BT411,'Unit information'!$A$2:$K$29,3,FALSE)*S411,0)*(1+$E$9)</f>
        <v>0</v>
      </c>
      <c r="AV411" s="107">
        <f>_xlfn.IFNA($M411/VLOOKUP($BT411,'Unit information'!$A$2:$K$29,4,FALSE)*T411,0)*(1+$E$9)</f>
        <v>0</v>
      </c>
      <c r="AW411" s="107">
        <f>_xlfn.IFNA($M411/VLOOKUP($BT411,'Unit information'!$A$2:$K$29,5,FALSE)*U411,0)*(1+$E$9)</f>
        <v>0</v>
      </c>
      <c r="AX411" s="107">
        <f>_xlfn.IFNA($M411/VLOOKUP($BU411,'Unit information'!$A$2:$K$29,6,FALSE)*V411,0)*(1+$E$9)</f>
        <v>0</v>
      </c>
      <c r="AY411" s="107">
        <f>_xlfn.IFNA($M411/VLOOKUP($BU411,'Unit information'!$A$2:$K$29,7,FALSE)*W411,0)*(1+$E$9)</f>
        <v>0</v>
      </c>
      <c r="AZ411" s="107">
        <f>_xlfn.IFNA($M411/VLOOKUP($BU411,'Unit information'!$A$2:$K$29,8,FALSE)*X411,0)*(1+$E$9)</f>
        <v>0</v>
      </c>
      <c r="BA411" s="107">
        <f>_xlfn.IFNA($M411/VLOOKUP($BU411,'Unit information'!$A$2:$K$29,9,FALSE)*Y411,0)*(1+$E$9)</f>
        <v>0</v>
      </c>
      <c r="BB411" s="107">
        <f>_xlfn.IFNA($M411/VLOOKUP($BV411,'Unit information'!$A$2:$K$29,10,FALSE)*Z411,0)*(1+$E$9)</f>
        <v>0</v>
      </c>
      <c r="BC411" s="108">
        <f>_xlfn.IFNA($M411/VLOOKUP($BV411,'Unit information'!$A$2:$K$29,11,FALSE)*AA411,0)*(1+$E$9)</f>
        <v>0</v>
      </c>
      <c r="BD411" s="106">
        <f t="shared" si="945"/>
        <v>0</v>
      </c>
      <c r="BE411" s="107">
        <f t="shared" si="946"/>
        <v>0</v>
      </c>
      <c r="BF411" s="108">
        <f t="shared" si="947"/>
        <v>0</v>
      </c>
      <c r="BG411" s="25" t="e">
        <f t="shared" si="948"/>
        <v>#N/A</v>
      </c>
      <c r="BH411" s="25" t="e">
        <f t="shared" si="949"/>
        <v>#N/A</v>
      </c>
      <c r="BI411" s="25" t="e">
        <f t="shared" si="950"/>
        <v>#N/A</v>
      </c>
      <c r="BJ411" s="27" t="e">
        <f t="shared" si="951"/>
        <v>#N/A</v>
      </c>
      <c r="BK411" s="18" t="e">
        <f t="shared" si="952"/>
        <v>#N/A</v>
      </c>
      <c r="BL411" s="18" t="e">
        <f t="shared" si="953"/>
        <v>#N/A</v>
      </c>
      <c r="BM411" s="28" t="e">
        <f t="shared" si="1003"/>
        <v>#N/A</v>
      </c>
      <c r="BN411" s="33">
        <f>HLOOKUP("maximum population",Miscelaneous!$C$1:$C$33,CH411+3,FALSE)</f>
        <v>240</v>
      </c>
      <c r="BO411" s="14">
        <f t="shared" si="966"/>
        <v>32</v>
      </c>
      <c r="BP411" s="14">
        <f t="shared" si="967"/>
        <v>0</v>
      </c>
      <c r="BQ411" s="14">
        <f t="shared" si="968"/>
        <v>208</v>
      </c>
      <c r="BR411" s="34" t="e">
        <f>HLOOKUP(J411,Villagers!$B$1:$V$33,L411+3,FALSE)-HLOOKUP(J411,Villagers!$B$1:$V$33,L411+2,FALSE)</f>
        <v>#N/A</v>
      </c>
      <c r="BS411" s="49">
        <f t="shared" si="969"/>
        <v>1</v>
      </c>
      <c r="BT411" s="50">
        <f t="shared" si="970"/>
        <v>0</v>
      </c>
      <c r="BU411" s="50">
        <f t="shared" si="971"/>
        <v>0</v>
      </c>
      <c r="BV411" s="50">
        <f t="shared" si="972"/>
        <v>0</v>
      </c>
      <c r="BW411" s="50">
        <f t="shared" si="926"/>
        <v>0</v>
      </c>
      <c r="BX411" s="50">
        <f t="shared" si="927"/>
        <v>0</v>
      </c>
      <c r="BY411" s="50">
        <f t="shared" si="927"/>
        <v>0</v>
      </c>
      <c r="BZ411" s="50">
        <f t="shared" si="860"/>
        <v>0</v>
      </c>
      <c r="CA411" s="50">
        <f t="shared" si="861"/>
        <v>0</v>
      </c>
      <c r="CB411" s="50">
        <f t="shared" si="862"/>
        <v>1</v>
      </c>
      <c r="CC411" s="50">
        <f t="shared" si="863"/>
        <v>0</v>
      </c>
      <c r="CD411" s="50">
        <f t="shared" si="864"/>
        <v>0</v>
      </c>
      <c r="CE411" s="50">
        <f t="shared" si="865"/>
        <v>1</v>
      </c>
      <c r="CF411" s="50">
        <f t="shared" si="866"/>
        <v>1</v>
      </c>
      <c r="CG411" s="50">
        <f t="shared" si="867"/>
        <v>1</v>
      </c>
      <c r="CH411" s="50">
        <f t="shared" si="868"/>
        <v>1</v>
      </c>
      <c r="CI411" s="50">
        <f t="shared" si="869"/>
        <v>1</v>
      </c>
      <c r="CJ411" s="50">
        <f t="shared" si="870"/>
        <v>1</v>
      </c>
      <c r="CK411" s="50">
        <f t="shared" si="870"/>
        <v>0</v>
      </c>
      <c r="CL411" s="50">
        <f t="shared" si="870"/>
        <v>0</v>
      </c>
      <c r="CM411" s="51">
        <f t="shared" si="954"/>
        <v>0</v>
      </c>
      <c r="CN411" s="33">
        <f>ROUND(IF(BS411=0,0,HLOOKUP(BS$14,Villagers!$B$1:$V$33,BS411+3,FALSE)),)</f>
        <v>5</v>
      </c>
      <c r="CO411" s="14">
        <f>ROUND(IF(BT411=0,0,HLOOKUP(BT$14,Villagers!$B$1:$V$33,BT411+3,FALSE)),)</f>
        <v>0</v>
      </c>
      <c r="CP411" s="14">
        <f>ROUND(IF(BU411=0,0,HLOOKUP(BU$14,Villagers!$B$1:$V$33,BU411+3,FALSE)),)</f>
        <v>0</v>
      </c>
      <c r="CQ411" s="14">
        <f>ROUND(IF(BV411=0,0,HLOOKUP(BV$14,Villagers!$B$1:$V$33,BV411+3,FALSE)),)</f>
        <v>0</v>
      </c>
      <c r="CR411" s="14">
        <f>ROUND(IF(BW411=0,0,HLOOKUP(BW$14,Villagers!$B$1:$V$33,BW411+3,FALSE)),)</f>
        <v>0</v>
      </c>
      <c r="CS411" s="14">
        <f>ROUND(IF(BX411=0,0,HLOOKUP(BX$14,Villagers!$B$1:$V$33,BX411+3,FALSE)),)</f>
        <v>0</v>
      </c>
      <c r="CT411" s="14">
        <f>ROUND(IF(BY411=0,0,HLOOKUP(BY$14,Villagers!$B$1:$V$33,BY411+3,FALSE)),)</f>
        <v>0</v>
      </c>
      <c r="CU411" s="14">
        <f>ROUND(IF(BZ411=0,0,HLOOKUP(BZ$14,Villagers!$B$1:$V$33,BZ411+3,FALSE)),)</f>
        <v>0</v>
      </c>
      <c r="CV411" s="14">
        <f>ROUND(IF(CA411=0,0,HLOOKUP(CA$14,Villagers!$B$1:$V$33,CA411+3,FALSE)),)</f>
        <v>0</v>
      </c>
      <c r="CW411" s="14">
        <f>ROUND(IF(CB411=0,0,HLOOKUP(CB$14,Villagers!$B$1:$V$33,CB411+3,FALSE)),)</f>
        <v>0</v>
      </c>
      <c r="CX411" s="14">
        <f>ROUND(IF(CC411=0,0,HLOOKUP(CC$14,Villagers!$B$1:$V$33,CC411+3,FALSE)),)</f>
        <v>0</v>
      </c>
      <c r="CY411" s="14">
        <f>ROUND(IF(CD411=0,0,HLOOKUP(CD$14,Villagers!$B$1:$V$33,CD411+3,FALSE)),)</f>
        <v>0</v>
      </c>
      <c r="CZ411" s="14">
        <f>ROUND(IF(CE411=0,0,HLOOKUP(CE$14,Villagers!$B$1:$V$33,CE411+3,FALSE)),)</f>
        <v>5</v>
      </c>
      <c r="DA411" s="14">
        <f>ROUND(IF(CF411=0,0,HLOOKUP(CF$14,Villagers!$B$1:$V$33,CF411+3,FALSE)),)</f>
        <v>10</v>
      </c>
      <c r="DB411" s="14">
        <f>ROUND(IF(CG411=0,0,HLOOKUP(CG$14,Villagers!$B$1:$V$33,CG411+3,FALSE)),)</f>
        <v>10</v>
      </c>
      <c r="DC411" s="14">
        <f>ROUND(IF(CH411=0,0,HLOOKUP(CH$14,Villagers!$B$1:$V$33,CH411+3,FALSE)),)</f>
        <v>0</v>
      </c>
      <c r="DD411" s="14">
        <f>ROUND(IF(CI411=0,0,HLOOKUP(CI$14,Villagers!$B$1:$V$33,CI411+3,FALSE)),)</f>
        <v>0</v>
      </c>
      <c r="DE411" s="14">
        <f>ROUND(IF(CJ411=0,0,HLOOKUP(CJ$14,Villagers!$B$1:$V$33,CJ411+3,FALSE)),)</f>
        <v>2</v>
      </c>
      <c r="DF411" s="370">
        <f>ROUND(IF(CK411=0,0,HLOOKUP(CK$14,Villagers!$B$1:$V$33,CK411+3,FALSE)),)</f>
        <v>0</v>
      </c>
      <c r="DG411" s="370">
        <f>ROUND(IF(CL411=0,0,HLOOKUP(CL$14,Villagers!$B$1:$V$33,CL411+3,FALSE)),)</f>
        <v>0</v>
      </c>
      <c r="DH411" s="34">
        <f>ROUND(IF(CM411=0,0,HLOOKUP(CM$14,Villagers!$B$1:$V$33,CM411+3,FALSE)),)</f>
        <v>0</v>
      </c>
      <c r="DI411" s="109">
        <f t="shared" si="989"/>
        <v>0</v>
      </c>
      <c r="DJ411" s="50">
        <f t="shared" si="990"/>
        <v>0</v>
      </c>
      <c r="DK411" s="50">
        <f t="shared" si="991"/>
        <v>0</v>
      </c>
      <c r="DL411" s="50">
        <f t="shared" si="992"/>
        <v>0</v>
      </c>
      <c r="DM411" s="50">
        <f t="shared" si="993"/>
        <v>0</v>
      </c>
      <c r="DN411" s="50">
        <f t="shared" si="994"/>
        <v>0</v>
      </c>
      <c r="DO411" s="50">
        <f t="shared" si="995"/>
        <v>0</v>
      </c>
      <c r="DP411" s="50">
        <f t="shared" si="996"/>
        <v>0</v>
      </c>
      <c r="DQ411" s="50">
        <f t="shared" si="973"/>
        <v>0</v>
      </c>
      <c r="DR411" s="50">
        <f t="shared" si="974"/>
        <v>0</v>
      </c>
      <c r="DS411" s="96">
        <f>Miscelaneous!$D$4*Miscelaneous!$D$2^($CI411-1)</f>
        <v>1000</v>
      </c>
      <c r="DT411" s="333">
        <f t="shared" si="955"/>
        <v>1</v>
      </c>
      <c r="DU411" s="81">
        <v>1</v>
      </c>
      <c r="DV411" s="79">
        <f t="shared" si="975"/>
        <v>0</v>
      </c>
      <c r="DW411" s="79">
        <f t="shared" si="976"/>
        <v>0</v>
      </c>
      <c r="DX411" s="79">
        <f t="shared" si="977"/>
        <v>0</v>
      </c>
      <c r="DY411" s="79">
        <v>1</v>
      </c>
      <c r="DZ411" s="79">
        <f t="shared" si="978"/>
        <v>0</v>
      </c>
      <c r="EA411" s="79">
        <f t="shared" si="979"/>
        <v>0</v>
      </c>
      <c r="EB411" s="79">
        <f t="shared" si="980"/>
        <v>0</v>
      </c>
      <c r="EC411" s="79">
        <f t="shared" si="981"/>
        <v>0</v>
      </c>
      <c r="ED411" s="79">
        <v>1</v>
      </c>
      <c r="EE411" s="79">
        <v>1</v>
      </c>
      <c r="EF411" s="79">
        <f t="shared" si="982"/>
        <v>0</v>
      </c>
      <c r="EG411" s="79">
        <v>1</v>
      </c>
      <c r="EH411" s="79">
        <v>1</v>
      </c>
      <c r="EI411" s="79">
        <v>1</v>
      </c>
      <c r="EJ411" s="79">
        <v>1</v>
      </c>
      <c r="EK411" s="79">
        <v>1</v>
      </c>
      <c r="EL411" s="79">
        <v>1</v>
      </c>
      <c r="EM411" s="143">
        <f t="shared" si="983"/>
        <v>0</v>
      </c>
      <c r="EN411" s="143">
        <f t="shared" si="984"/>
        <v>0</v>
      </c>
      <c r="EO411" s="82">
        <f t="shared" si="985"/>
        <v>0</v>
      </c>
    </row>
    <row r="412" spans="1:145" x14ac:dyDescent="0.25">
      <c r="A412">
        <v>398</v>
      </c>
      <c r="B412" s="172" t="e">
        <f t="shared" si="956"/>
        <v>#N/A</v>
      </c>
      <c r="C412" s="121" t="e">
        <f t="shared" ref="C412:E412" si="1011">AJ412-SUM(AB412:AB416)</f>
        <v>#N/A</v>
      </c>
      <c r="D412" s="122" t="e">
        <f t="shared" si="1011"/>
        <v>#N/A</v>
      </c>
      <c r="E412" s="122" t="e">
        <f t="shared" si="1011"/>
        <v>#N/A</v>
      </c>
      <c r="F412" s="176" t="e">
        <f t="shared" si="937"/>
        <v>#N/A</v>
      </c>
      <c r="G412" s="121">
        <f t="shared" si="958"/>
        <v>208</v>
      </c>
      <c r="H412" s="176" t="e">
        <f t="shared" si="959"/>
        <v>#N/A</v>
      </c>
      <c r="I412" s="48">
        <v>1</v>
      </c>
      <c r="J412" s="39"/>
      <c r="K412" s="350">
        <v>1</v>
      </c>
      <c r="L412" s="34" t="e">
        <f t="shared" si="938"/>
        <v>#N/A</v>
      </c>
      <c r="M412" s="38" t="e">
        <f>(HLOOKUP(J412,'Construction Times'!$B$3:$W$34,L412+2,FALSE)*HLOOKUP("hq modifier",'Construction Times'!$W$3:$W$34,BS412+2,FALSE))*(1-$H$9)</f>
        <v>#N/A</v>
      </c>
      <c r="N412" s="426" t="e">
        <f t="shared" si="960"/>
        <v>#N/A</v>
      </c>
      <c r="O412" s="427"/>
      <c r="P412" s="430" t="e">
        <f t="shared" si="961"/>
        <v>#N/A</v>
      </c>
      <c r="Q412" s="431"/>
      <c r="R412" s="103">
        <f t="shared" si="987"/>
        <v>0</v>
      </c>
      <c r="S412" s="104">
        <f t="shared" si="987"/>
        <v>0</v>
      </c>
      <c r="T412" s="104">
        <f t="shared" si="988"/>
        <v>0</v>
      </c>
      <c r="U412" s="104">
        <f t="shared" si="988"/>
        <v>0</v>
      </c>
      <c r="V412" s="104">
        <f t="shared" si="988"/>
        <v>9.9999999999999995E-8</v>
      </c>
      <c r="W412" s="104">
        <f t="shared" si="988"/>
        <v>0</v>
      </c>
      <c r="X412" s="104">
        <f t="shared" si="934"/>
        <v>0</v>
      </c>
      <c r="Y412" s="104">
        <f t="shared" si="934"/>
        <v>9.9999999999999995E-8</v>
      </c>
      <c r="Z412" s="104">
        <f t="shared" si="934"/>
        <v>9.9999999999999995E-8</v>
      </c>
      <c r="AA412" s="105">
        <f t="shared" si="934"/>
        <v>9.9999999999999995E-8</v>
      </c>
      <c r="AB412" s="101" t="e">
        <f>$DT412*HLOOKUP($J412,'Construction Costs (timber)'!$B$1:$V$32,'Construction Planner'!$L412+2,FALSE)</f>
        <v>#N/A</v>
      </c>
      <c r="AC412" s="14" t="e">
        <f>$DT412*HLOOKUP($J412,'Construction Costs (clay)'!$B$1:$V$32,'Construction Planner'!$L412+2,FALSE)</f>
        <v>#N/A</v>
      </c>
      <c r="AD412" s="14" t="e">
        <f>$DT412*HLOOKUP($J412,'Construction Costs (iron)'!$B$1:$V$32,'Construction Planner'!$L412+2,FALSE)</f>
        <v>#N/A</v>
      </c>
      <c r="AE412" s="34" t="e">
        <f t="shared" si="1000"/>
        <v>#N/A</v>
      </c>
      <c r="AF412" s="33" t="e">
        <f t="shared" si="939"/>
        <v>#N/A</v>
      </c>
      <c r="AG412" s="14" t="e">
        <f t="shared" si="940"/>
        <v>#N/A</v>
      </c>
      <c r="AH412" s="14" t="e">
        <f t="shared" si="941"/>
        <v>#N/A</v>
      </c>
      <c r="AI412" s="34" t="e">
        <f t="shared" si="1001"/>
        <v>#N/A</v>
      </c>
      <c r="AJ412" s="49" t="e">
        <f t="shared" si="962"/>
        <v>#N/A</v>
      </c>
      <c r="AK412" s="49" t="e">
        <f t="shared" si="963"/>
        <v>#N/A</v>
      </c>
      <c r="AL412" s="49" t="e">
        <f t="shared" si="964"/>
        <v>#N/A</v>
      </c>
      <c r="AM412" s="25">
        <f t="shared" si="942"/>
        <v>30</v>
      </c>
      <c r="AN412" s="25">
        <f t="shared" si="943"/>
        <v>30</v>
      </c>
      <c r="AO412" s="25">
        <f t="shared" si="944"/>
        <v>30</v>
      </c>
      <c r="AP412" s="52" t="e">
        <f t="shared" si="965"/>
        <v>#N/A</v>
      </c>
      <c r="AQ412" s="53" t="e">
        <f t="shared" si="965"/>
        <v>#N/A</v>
      </c>
      <c r="AR412" s="54" t="e">
        <f t="shared" si="965"/>
        <v>#N/A</v>
      </c>
      <c r="AS412" s="316">
        <f t="shared" si="1002"/>
        <v>0</v>
      </c>
      <c r="AT412" s="106">
        <f>_xlfn.IFNA($M412/VLOOKUP($BT412,'Unit information'!$A$2:$K$29,2,FALSE)*R412,0)*(1+$E$9)</f>
        <v>0</v>
      </c>
      <c r="AU412" s="107">
        <f>_xlfn.IFNA($M412/VLOOKUP($BT412,'Unit information'!$A$2:$K$29,3,FALSE)*S412,0)*(1+$E$9)</f>
        <v>0</v>
      </c>
      <c r="AV412" s="107">
        <f>_xlfn.IFNA($M412/VLOOKUP($BT412,'Unit information'!$A$2:$K$29,4,FALSE)*T412,0)*(1+$E$9)</f>
        <v>0</v>
      </c>
      <c r="AW412" s="107">
        <f>_xlfn.IFNA($M412/VLOOKUP($BT412,'Unit information'!$A$2:$K$29,5,FALSE)*U412,0)*(1+$E$9)</f>
        <v>0</v>
      </c>
      <c r="AX412" s="107">
        <f>_xlfn.IFNA($M412/VLOOKUP($BU412,'Unit information'!$A$2:$K$29,6,FALSE)*V412,0)*(1+$E$9)</f>
        <v>0</v>
      </c>
      <c r="AY412" s="107">
        <f>_xlfn.IFNA($M412/VLOOKUP($BU412,'Unit information'!$A$2:$K$29,7,FALSE)*W412,0)*(1+$E$9)</f>
        <v>0</v>
      </c>
      <c r="AZ412" s="107">
        <f>_xlfn.IFNA($M412/VLOOKUP($BU412,'Unit information'!$A$2:$K$29,8,FALSE)*X412,0)*(1+$E$9)</f>
        <v>0</v>
      </c>
      <c r="BA412" s="107">
        <f>_xlfn.IFNA($M412/VLOOKUP($BU412,'Unit information'!$A$2:$K$29,9,FALSE)*Y412,0)*(1+$E$9)</f>
        <v>0</v>
      </c>
      <c r="BB412" s="107">
        <f>_xlfn.IFNA($M412/VLOOKUP($BV412,'Unit information'!$A$2:$K$29,10,FALSE)*Z412,0)*(1+$E$9)</f>
        <v>0</v>
      </c>
      <c r="BC412" s="108">
        <f>_xlfn.IFNA($M412/VLOOKUP($BV412,'Unit information'!$A$2:$K$29,11,FALSE)*AA412,0)*(1+$E$9)</f>
        <v>0</v>
      </c>
      <c r="BD412" s="106">
        <f t="shared" si="945"/>
        <v>0</v>
      </c>
      <c r="BE412" s="107">
        <f t="shared" si="946"/>
        <v>0</v>
      </c>
      <c r="BF412" s="108">
        <f t="shared" si="947"/>
        <v>0</v>
      </c>
      <c r="BG412" s="25" t="e">
        <f t="shared" si="948"/>
        <v>#N/A</v>
      </c>
      <c r="BH412" s="25" t="e">
        <f t="shared" si="949"/>
        <v>#N/A</v>
      </c>
      <c r="BI412" s="25" t="e">
        <f t="shared" si="950"/>
        <v>#N/A</v>
      </c>
      <c r="BJ412" s="27" t="e">
        <f t="shared" si="951"/>
        <v>#N/A</v>
      </c>
      <c r="BK412" s="18" t="e">
        <f t="shared" si="952"/>
        <v>#N/A</v>
      </c>
      <c r="BL412" s="18" t="e">
        <f t="shared" si="953"/>
        <v>#N/A</v>
      </c>
      <c r="BM412" s="28" t="e">
        <f t="shared" si="1003"/>
        <v>#N/A</v>
      </c>
      <c r="BN412" s="33">
        <f>HLOOKUP("maximum population",Miscelaneous!$C$1:$C$33,CH412+3,FALSE)</f>
        <v>240</v>
      </c>
      <c r="BO412" s="14">
        <f t="shared" si="966"/>
        <v>32</v>
      </c>
      <c r="BP412" s="14">
        <f t="shared" si="967"/>
        <v>0</v>
      </c>
      <c r="BQ412" s="14">
        <f t="shared" si="968"/>
        <v>208</v>
      </c>
      <c r="BR412" s="34" t="e">
        <f>HLOOKUP(J412,Villagers!$B$1:$V$33,L412+3,FALSE)-HLOOKUP(J412,Villagers!$B$1:$V$33,L412+2,FALSE)</f>
        <v>#N/A</v>
      </c>
      <c r="BS412" s="49">
        <f t="shared" si="969"/>
        <v>1</v>
      </c>
      <c r="BT412" s="50">
        <f t="shared" si="970"/>
        <v>0</v>
      </c>
      <c r="BU412" s="50">
        <f t="shared" si="971"/>
        <v>0</v>
      </c>
      <c r="BV412" s="50">
        <f t="shared" si="972"/>
        <v>0</v>
      </c>
      <c r="BW412" s="50">
        <f t="shared" si="926"/>
        <v>0</v>
      </c>
      <c r="BX412" s="50">
        <f t="shared" si="927"/>
        <v>0</v>
      </c>
      <c r="BY412" s="50">
        <f t="shared" si="927"/>
        <v>0</v>
      </c>
      <c r="BZ412" s="50">
        <f t="shared" si="860"/>
        <v>0</v>
      </c>
      <c r="CA412" s="50">
        <f t="shared" si="861"/>
        <v>0</v>
      </c>
      <c r="CB412" s="50">
        <f t="shared" si="862"/>
        <v>1</v>
      </c>
      <c r="CC412" s="50">
        <f t="shared" si="863"/>
        <v>0</v>
      </c>
      <c r="CD412" s="50">
        <f t="shared" si="864"/>
        <v>0</v>
      </c>
      <c r="CE412" s="50">
        <f t="shared" si="865"/>
        <v>1</v>
      </c>
      <c r="CF412" s="50">
        <f t="shared" si="866"/>
        <v>1</v>
      </c>
      <c r="CG412" s="50">
        <f t="shared" si="867"/>
        <v>1</v>
      </c>
      <c r="CH412" s="50">
        <f t="shared" si="868"/>
        <v>1</v>
      </c>
      <c r="CI412" s="50">
        <f t="shared" si="869"/>
        <v>1</v>
      </c>
      <c r="CJ412" s="50">
        <f t="shared" si="870"/>
        <v>1</v>
      </c>
      <c r="CK412" s="50">
        <f t="shared" si="870"/>
        <v>0</v>
      </c>
      <c r="CL412" s="50">
        <f t="shared" si="870"/>
        <v>0</v>
      </c>
      <c r="CM412" s="51">
        <f t="shared" si="954"/>
        <v>0</v>
      </c>
      <c r="CN412" s="33">
        <f>ROUND(IF(BS412=0,0,HLOOKUP(BS$14,Villagers!$B$1:$V$33,BS412+3,FALSE)),)</f>
        <v>5</v>
      </c>
      <c r="CO412" s="14">
        <f>ROUND(IF(BT412=0,0,HLOOKUP(BT$14,Villagers!$B$1:$V$33,BT412+3,FALSE)),)</f>
        <v>0</v>
      </c>
      <c r="CP412" s="14">
        <f>ROUND(IF(BU412=0,0,HLOOKUP(BU$14,Villagers!$B$1:$V$33,BU412+3,FALSE)),)</f>
        <v>0</v>
      </c>
      <c r="CQ412" s="14">
        <f>ROUND(IF(BV412=0,0,HLOOKUP(BV$14,Villagers!$B$1:$V$33,BV412+3,FALSE)),)</f>
        <v>0</v>
      </c>
      <c r="CR412" s="14">
        <f>ROUND(IF(BW412=0,0,HLOOKUP(BW$14,Villagers!$B$1:$V$33,BW412+3,FALSE)),)</f>
        <v>0</v>
      </c>
      <c r="CS412" s="14">
        <f>ROUND(IF(BX412=0,0,HLOOKUP(BX$14,Villagers!$B$1:$V$33,BX412+3,FALSE)),)</f>
        <v>0</v>
      </c>
      <c r="CT412" s="14">
        <f>ROUND(IF(BY412=0,0,HLOOKUP(BY$14,Villagers!$B$1:$V$33,BY412+3,FALSE)),)</f>
        <v>0</v>
      </c>
      <c r="CU412" s="14">
        <f>ROUND(IF(BZ412=0,0,HLOOKUP(BZ$14,Villagers!$B$1:$V$33,BZ412+3,FALSE)),)</f>
        <v>0</v>
      </c>
      <c r="CV412" s="14">
        <f>ROUND(IF(CA412=0,0,HLOOKUP(CA$14,Villagers!$B$1:$V$33,CA412+3,FALSE)),)</f>
        <v>0</v>
      </c>
      <c r="CW412" s="14">
        <f>ROUND(IF(CB412=0,0,HLOOKUP(CB$14,Villagers!$B$1:$V$33,CB412+3,FALSE)),)</f>
        <v>0</v>
      </c>
      <c r="CX412" s="14">
        <f>ROUND(IF(CC412=0,0,HLOOKUP(CC$14,Villagers!$B$1:$V$33,CC412+3,FALSE)),)</f>
        <v>0</v>
      </c>
      <c r="CY412" s="14">
        <f>ROUND(IF(CD412=0,0,HLOOKUP(CD$14,Villagers!$B$1:$V$33,CD412+3,FALSE)),)</f>
        <v>0</v>
      </c>
      <c r="CZ412" s="14">
        <f>ROUND(IF(CE412=0,0,HLOOKUP(CE$14,Villagers!$B$1:$V$33,CE412+3,FALSE)),)</f>
        <v>5</v>
      </c>
      <c r="DA412" s="14">
        <f>ROUND(IF(CF412=0,0,HLOOKUP(CF$14,Villagers!$B$1:$V$33,CF412+3,FALSE)),)</f>
        <v>10</v>
      </c>
      <c r="DB412" s="14">
        <f>ROUND(IF(CG412=0,0,HLOOKUP(CG$14,Villagers!$B$1:$V$33,CG412+3,FALSE)),)</f>
        <v>10</v>
      </c>
      <c r="DC412" s="14">
        <f>ROUND(IF(CH412=0,0,HLOOKUP(CH$14,Villagers!$B$1:$V$33,CH412+3,FALSE)),)</f>
        <v>0</v>
      </c>
      <c r="DD412" s="14">
        <f>ROUND(IF(CI412=0,0,HLOOKUP(CI$14,Villagers!$B$1:$V$33,CI412+3,FALSE)),)</f>
        <v>0</v>
      </c>
      <c r="DE412" s="14">
        <f>ROUND(IF(CJ412=0,0,HLOOKUP(CJ$14,Villagers!$B$1:$V$33,CJ412+3,FALSE)),)</f>
        <v>2</v>
      </c>
      <c r="DF412" s="370">
        <f>ROUND(IF(CK412=0,0,HLOOKUP(CK$14,Villagers!$B$1:$V$33,CK412+3,FALSE)),)</f>
        <v>0</v>
      </c>
      <c r="DG412" s="370">
        <f>ROUND(IF(CL412=0,0,HLOOKUP(CL$14,Villagers!$B$1:$V$33,CL412+3,FALSE)),)</f>
        <v>0</v>
      </c>
      <c r="DH412" s="34">
        <f>ROUND(IF(CM412=0,0,HLOOKUP(CM$14,Villagers!$B$1:$V$33,CM412+3,FALSE)),)</f>
        <v>0</v>
      </c>
      <c r="DI412" s="109">
        <f t="shared" si="989"/>
        <v>0</v>
      </c>
      <c r="DJ412" s="50">
        <f t="shared" si="990"/>
        <v>0</v>
      </c>
      <c r="DK412" s="50">
        <f t="shared" si="991"/>
        <v>0</v>
      </c>
      <c r="DL412" s="50">
        <f t="shared" si="992"/>
        <v>0</v>
      </c>
      <c r="DM412" s="50">
        <f t="shared" si="993"/>
        <v>0</v>
      </c>
      <c r="DN412" s="50">
        <f t="shared" si="994"/>
        <v>0</v>
      </c>
      <c r="DO412" s="50">
        <f t="shared" si="995"/>
        <v>0</v>
      </c>
      <c r="DP412" s="50">
        <f t="shared" si="996"/>
        <v>0</v>
      </c>
      <c r="DQ412" s="50">
        <f t="shared" si="973"/>
        <v>0</v>
      </c>
      <c r="DR412" s="50">
        <f t="shared" si="974"/>
        <v>0</v>
      </c>
      <c r="DS412" s="96">
        <f>Miscelaneous!$D$4*Miscelaneous!$D$2^($CI412-1)</f>
        <v>1000</v>
      </c>
      <c r="DT412" s="333">
        <f t="shared" si="955"/>
        <v>1</v>
      </c>
      <c r="DU412" s="81">
        <v>1</v>
      </c>
      <c r="DV412" s="79">
        <f t="shared" si="975"/>
        <v>0</v>
      </c>
      <c r="DW412" s="79">
        <f t="shared" si="976"/>
        <v>0</v>
      </c>
      <c r="DX412" s="79">
        <f t="shared" si="977"/>
        <v>0</v>
      </c>
      <c r="DY412" s="79">
        <v>1</v>
      </c>
      <c r="DZ412" s="79">
        <f t="shared" si="978"/>
        <v>0</v>
      </c>
      <c r="EA412" s="79">
        <f t="shared" si="979"/>
        <v>0</v>
      </c>
      <c r="EB412" s="79">
        <f t="shared" si="980"/>
        <v>0</v>
      </c>
      <c r="EC412" s="79">
        <f t="shared" si="981"/>
        <v>0</v>
      </c>
      <c r="ED412" s="79">
        <v>1</v>
      </c>
      <c r="EE412" s="79">
        <v>1</v>
      </c>
      <c r="EF412" s="79">
        <f t="shared" si="982"/>
        <v>0</v>
      </c>
      <c r="EG412" s="79">
        <v>1</v>
      </c>
      <c r="EH412" s="79">
        <v>1</v>
      </c>
      <c r="EI412" s="79">
        <v>1</v>
      </c>
      <c r="EJ412" s="79">
        <v>1</v>
      </c>
      <c r="EK412" s="79">
        <v>1</v>
      </c>
      <c r="EL412" s="79">
        <v>1</v>
      </c>
      <c r="EM412" s="143">
        <f t="shared" si="983"/>
        <v>0</v>
      </c>
      <c r="EN412" s="143">
        <f t="shared" si="984"/>
        <v>0</v>
      </c>
      <c r="EO412" s="82">
        <f t="shared" si="985"/>
        <v>0</v>
      </c>
    </row>
    <row r="413" spans="1:145" x14ac:dyDescent="0.25">
      <c r="A413">
        <v>399</v>
      </c>
      <c r="B413" s="172" t="e">
        <f t="shared" si="956"/>
        <v>#N/A</v>
      </c>
      <c r="C413" s="121" t="e">
        <f t="shared" ref="C413:E413" si="1012">AJ413-SUM(AB413:AB417)</f>
        <v>#N/A</v>
      </c>
      <c r="D413" s="122" t="e">
        <f t="shared" si="1012"/>
        <v>#N/A</v>
      </c>
      <c r="E413" s="122" t="e">
        <f t="shared" si="1012"/>
        <v>#N/A</v>
      </c>
      <c r="F413" s="176" t="e">
        <f t="shared" si="937"/>
        <v>#N/A</v>
      </c>
      <c r="G413" s="121">
        <f t="shared" si="958"/>
        <v>208</v>
      </c>
      <c r="H413" s="176" t="e">
        <f t="shared" si="959"/>
        <v>#N/A</v>
      </c>
      <c r="I413" s="48">
        <v>1</v>
      </c>
      <c r="J413" s="39"/>
      <c r="K413" s="350">
        <v>1</v>
      </c>
      <c r="L413" s="34" t="e">
        <f t="shared" si="938"/>
        <v>#N/A</v>
      </c>
      <c r="M413" s="38" t="e">
        <f>(HLOOKUP(J413,'Construction Times'!$B$3:$W$34,L413+2,FALSE)*HLOOKUP("hq modifier",'Construction Times'!$W$3:$W$34,BS413+2,FALSE))*(1-$H$9)</f>
        <v>#N/A</v>
      </c>
      <c r="N413" s="426" t="e">
        <f t="shared" si="960"/>
        <v>#N/A</v>
      </c>
      <c r="O413" s="427"/>
      <c r="P413" s="430" t="e">
        <f t="shared" si="961"/>
        <v>#N/A</v>
      </c>
      <c r="Q413" s="431"/>
      <c r="R413" s="103">
        <f t="shared" si="987"/>
        <v>0</v>
      </c>
      <c r="S413" s="104">
        <f t="shared" si="987"/>
        <v>0</v>
      </c>
      <c r="T413" s="104">
        <f t="shared" si="988"/>
        <v>0</v>
      </c>
      <c r="U413" s="104">
        <f t="shared" si="988"/>
        <v>0</v>
      </c>
      <c r="V413" s="104">
        <f t="shared" si="988"/>
        <v>9.9999999999999995E-8</v>
      </c>
      <c r="W413" s="104">
        <f t="shared" si="988"/>
        <v>0</v>
      </c>
      <c r="X413" s="104">
        <f t="shared" si="934"/>
        <v>0</v>
      </c>
      <c r="Y413" s="104">
        <f t="shared" si="934"/>
        <v>9.9999999999999995E-8</v>
      </c>
      <c r="Z413" s="104">
        <f t="shared" si="934"/>
        <v>9.9999999999999995E-8</v>
      </c>
      <c r="AA413" s="105">
        <f t="shared" si="934"/>
        <v>9.9999999999999995E-8</v>
      </c>
      <c r="AB413" s="101" t="e">
        <f>$DT413*HLOOKUP($J413,'Construction Costs (timber)'!$B$1:$V$32,'Construction Planner'!$L413+2,FALSE)</f>
        <v>#N/A</v>
      </c>
      <c r="AC413" s="14" t="e">
        <f>$DT413*HLOOKUP($J413,'Construction Costs (clay)'!$B$1:$V$32,'Construction Planner'!$L413+2,FALSE)</f>
        <v>#N/A</v>
      </c>
      <c r="AD413" s="14" t="e">
        <f>$DT413*HLOOKUP($J413,'Construction Costs (iron)'!$B$1:$V$32,'Construction Planner'!$L413+2,FALSE)</f>
        <v>#N/A</v>
      </c>
      <c r="AE413" s="34" t="e">
        <f t="shared" si="1000"/>
        <v>#N/A</v>
      </c>
      <c r="AF413" s="33" t="e">
        <f t="shared" si="939"/>
        <v>#N/A</v>
      </c>
      <c r="AG413" s="14" t="e">
        <f t="shared" si="940"/>
        <v>#N/A</v>
      </c>
      <c r="AH413" s="14" t="e">
        <f t="shared" si="941"/>
        <v>#N/A</v>
      </c>
      <c r="AI413" s="34" t="e">
        <f t="shared" si="1001"/>
        <v>#N/A</v>
      </c>
      <c r="AJ413" s="49" t="e">
        <f t="shared" si="962"/>
        <v>#N/A</v>
      </c>
      <c r="AK413" s="49" t="e">
        <f t="shared" si="963"/>
        <v>#N/A</v>
      </c>
      <c r="AL413" s="49" t="e">
        <f t="shared" si="964"/>
        <v>#N/A</v>
      </c>
      <c r="AM413" s="25">
        <f t="shared" si="942"/>
        <v>30</v>
      </c>
      <c r="AN413" s="25">
        <f t="shared" si="943"/>
        <v>30</v>
      </c>
      <c r="AO413" s="25">
        <f t="shared" si="944"/>
        <v>30</v>
      </c>
      <c r="AP413" s="52" t="e">
        <f t="shared" si="965"/>
        <v>#N/A</v>
      </c>
      <c r="AQ413" s="53" t="e">
        <f t="shared" si="965"/>
        <v>#N/A</v>
      </c>
      <c r="AR413" s="54" t="e">
        <f t="shared" si="965"/>
        <v>#N/A</v>
      </c>
      <c r="AS413" s="316">
        <f t="shared" si="1002"/>
        <v>0</v>
      </c>
      <c r="AT413" s="106">
        <f>_xlfn.IFNA($M413/VLOOKUP($BT413,'Unit information'!$A$2:$K$29,2,FALSE)*R413,0)*(1+$E$9)</f>
        <v>0</v>
      </c>
      <c r="AU413" s="107">
        <f>_xlfn.IFNA($M413/VLOOKUP($BT413,'Unit information'!$A$2:$K$29,3,FALSE)*S413,0)*(1+$E$9)</f>
        <v>0</v>
      </c>
      <c r="AV413" s="107">
        <f>_xlfn.IFNA($M413/VLOOKUP($BT413,'Unit information'!$A$2:$K$29,4,FALSE)*T413,0)*(1+$E$9)</f>
        <v>0</v>
      </c>
      <c r="AW413" s="107">
        <f>_xlfn.IFNA($M413/VLOOKUP($BT413,'Unit information'!$A$2:$K$29,5,FALSE)*U413,0)*(1+$E$9)</f>
        <v>0</v>
      </c>
      <c r="AX413" s="107">
        <f>_xlfn.IFNA($M413/VLOOKUP($BU413,'Unit information'!$A$2:$K$29,6,FALSE)*V413,0)*(1+$E$9)</f>
        <v>0</v>
      </c>
      <c r="AY413" s="107">
        <f>_xlfn.IFNA($M413/VLOOKUP($BU413,'Unit information'!$A$2:$K$29,7,FALSE)*W413,0)*(1+$E$9)</f>
        <v>0</v>
      </c>
      <c r="AZ413" s="107">
        <f>_xlfn.IFNA($M413/VLOOKUP($BU413,'Unit information'!$A$2:$K$29,8,FALSE)*X413,0)*(1+$E$9)</f>
        <v>0</v>
      </c>
      <c r="BA413" s="107">
        <f>_xlfn.IFNA($M413/VLOOKUP($BU413,'Unit information'!$A$2:$K$29,9,FALSE)*Y413,0)*(1+$E$9)</f>
        <v>0</v>
      </c>
      <c r="BB413" s="107">
        <f>_xlfn.IFNA($M413/VLOOKUP($BV413,'Unit information'!$A$2:$K$29,10,FALSE)*Z413,0)*(1+$E$9)</f>
        <v>0</v>
      </c>
      <c r="BC413" s="108">
        <f>_xlfn.IFNA($M413/VLOOKUP($BV413,'Unit information'!$A$2:$K$29,11,FALSE)*AA413,0)*(1+$E$9)</f>
        <v>0</v>
      </c>
      <c r="BD413" s="106">
        <f t="shared" si="945"/>
        <v>0</v>
      </c>
      <c r="BE413" s="107">
        <f t="shared" si="946"/>
        <v>0</v>
      </c>
      <c r="BF413" s="108">
        <f t="shared" si="947"/>
        <v>0</v>
      </c>
      <c r="BG413" s="25" t="e">
        <f t="shared" si="948"/>
        <v>#N/A</v>
      </c>
      <c r="BH413" s="25" t="e">
        <f t="shared" si="949"/>
        <v>#N/A</v>
      </c>
      <c r="BI413" s="25" t="e">
        <f t="shared" si="950"/>
        <v>#N/A</v>
      </c>
      <c r="BJ413" s="27" t="e">
        <f t="shared" si="951"/>
        <v>#N/A</v>
      </c>
      <c r="BK413" s="18" t="e">
        <f t="shared" si="952"/>
        <v>#N/A</v>
      </c>
      <c r="BL413" s="18" t="e">
        <f t="shared" si="953"/>
        <v>#N/A</v>
      </c>
      <c r="BM413" s="28" t="e">
        <f t="shared" si="1003"/>
        <v>#N/A</v>
      </c>
      <c r="BN413" s="33">
        <f>HLOOKUP("maximum population",Miscelaneous!$C$1:$C$33,CH413+3,FALSE)</f>
        <v>240</v>
      </c>
      <c r="BO413" s="14">
        <f t="shared" si="966"/>
        <v>32</v>
      </c>
      <c r="BP413" s="14">
        <f t="shared" si="967"/>
        <v>0</v>
      </c>
      <c r="BQ413" s="14">
        <f t="shared" si="968"/>
        <v>208</v>
      </c>
      <c r="BR413" s="34" t="e">
        <f>HLOOKUP(J413,Villagers!$B$1:$V$33,L413+3,FALSE)-HLOOKUP(J413,Villagers!$B$1:$V$33,L413+2,FALSE)</f>
        <v>#N/A</v>
      </c>
      <c r="BS413" s="49">
        <f t="shared" si="969"/>
        <v>1</v>
      </c>
      <c r="BT413" s="50">
        <f t="shared" si="970"/>
        <v>0</v>
      </c>
      <c r="BU413" s="50">
        <f t="shared" si="971"/>
        <v>0</v>
      </c>
      <c r="BV413" s="50">
        <f t="shared" si="972"/>
        <v>0</v>
      </c>
      <c r="BW413" s="50">
        <f t="shared" si="926"/>
        <v>0</v>
      </c>
      <c r="BX413" s="50">
        <f t="shared" si="927"/>
        <v>0</v>
      </c>
      <c r="BY413" s="50">
        <f t="shared" si="927"/>
        <v>0</v>
      </c>
      <c r="BZ413" s="50">
        <f t="shared" si="860"/>
        <v>0</v>
      </c>
      <c r="CA413" s="50">
        <f t="shared" si="861"/>
        <v>0</v>
      </c>
      <c r="CB413" s="50">
        <f t="shared" si="862"/>
        <v>1</v>
      </c>
      <c r="CC413" s="50">
        <f t="shared" si="863"/>
        <v>0</v>
      </c>
      <c r="CD413" s="50">
        <f t="shared" si="864"/>
        <v>0</v>
      </c>
      <c r="CE413" s="50">
        <f t="shared" si="865"/>
        <v>1</v>
      </c>
      <c r="CF413" s="50">
        <f t="shared" si="866"/>
        <v>1</v>
      </c>
      <c r="CG413" s="50">
        <f t="shared" si="867"/>
        <v>1</v>
      </c>
      <c r="CH413" s="50">
        <f t="shared" si="868"/>
        <v>1</v>
      </c>
      <c r="CI413" s="50">
        <f t="shared" si="869"/>
        <v>1</v>
      </c>
      <c r="CJ413" s="50">
        <f t="shared" si="870"/>
        <v>1</v>
      </c>
      <c r="CK413" s="50">
        <f t="shared" si="870"/>
        <v>0</v>
      </c>
      <c r="CL413" s="50">
        <f t="shared" si="870"/>
        <v>0</v>
      </c>
      <c r="CM413" s="51">
        <f t="shared" si="954"/>
        <v>0</v>
      </c>
      <c r="CN413" s="33">
        <f>ROUND(IF(BS413=0,0,HLOOKUP(BS$14,Villagers!$B$1:$V$33,BS413+3,FALSE)),)</f>
        <v>5</v>
      </c>
      <c r="CO413" s="14">
        <f>ROUND(IF(BT413=0,0,HLOOKUP(BT$14,Villagers!$B$1:$V$33,BT413+3,FALSE)),)</f>
        <v>0</v>
      </c>
      <c r="CP413" s="14">
        <f>ROUND(IF(BU413=0,0,HLOOKUP(BU$14,Villagers!$B$1:$V$33,BU413+3,FALSE)),)</f>
        <v>0</v>
      </c>
      <c r="CQ413" s="14">
        <f>ROUND(IF(BV413=0,0,HLOOKUP(BV$14,Villagers!$B$1:$V$33,BV413+3,FALSE)),)</f>
        <v>0</v>
      </c>
      <c r="CR413" s="14">
        <f>ROUND(IF(BW413=0,0,HLOOKUP(BW$14,Villagers!$B$1:$V$33,BW413+3,FALSE)),)</f>
        <v>0</v>
      </c>
      <c r="CS413" s="14">
        <f>ROUND(IF(BX413=0,0,HLOOKUP(BX$14,Villagers!$B$1:$V$33,BX413+3,FALSE)),)</f>
        <v>0</v>
      </c>
      <c r="CT413" s="14">
        <f>ROUND(IF(BY413=0,0,HLOOKUP(BY$14,Villagers!$B$1:$V$33,BY413+3,FALSE)),)</f>
        <v>0</v>
      </c>
      <c r="CU413" s="14">
        <f>ROUND(IF(BZ413=0,0,HLOOKUP(BZ$14,Villagers!$B$1:$V$33,BZ413+3,FALSE)),)</f>
        <v>0</v>
      </c>
      <c r="CV413" s="14">
        <f>ROUND(IF(CA413=0,0,HLOOKUP(CA$14,Villagers!$B$1:$V$33,CA413+3,FALSE)),)</f>
        <v>0</v>
      </c>
      <c r="CW413" s="14">
        <f>ROUND(IF(CB413=0,0,HLOOKUP(CB$14,Villagers!$B$1:$V$33,CB413+3,FALSE)),)</f>
        <v>0</v>
      </c>
      <c r="CX413" s="14">
        <f>ROUND(IF(CC413=0,0,HLOOKUP(CC$14,Villagers!$B$1:$V$33,CC413+3,FALSE)),)</f>
        <v>0</v>
      </c>
      <c r="CY413" s="14">
        <f>ROUND(IF(CD413=0,0,HLOOKUP(CD$14,Villagers!$B$1:$V$33,CD413+3,FALSE)),)</f>
        <v>0</v>
      </c>
      <c r="CZ413" s="14">
        <f>ROUND(IF(CE413=0,0,HLOOKUP(CE$14,Villagers!$B$1:$V$33,CE413+3,FALSE)),)</f>
        <v>5</v>
      </c>
      <c r="DA413" s="14">
        <f>ROUND(IF(CF413=0,0,HLOOKUP(CF$14,Villagers!$B$1:$V$33,CF413+3,FALSE)),)</f>
        <v>10</v>
      </c>
      <c r="DB413" s="14">
        <f>ROUND(IF(CG413=0,0,HLOOKUP(CG$14,Villagers!$B$1:$V$33,CG413+3,FALSE)),)</f>
        <v>10</v>
      </c>
      <c r="DC413" s="14">
        <f>ROUND(IF(CH413=0,0,HLOOKUP(CH$14,Villagers!$B$1:$V$33,CH413+3,FALSE)),)</f>
        <v>0</v>
      </c>
      <c r="DD413" s="14">
        <f>ROUND(IF(CI413=0,0,HLOOKUP(CI$14,Villagers!$B$1:$V$33,CI413+3,FALSE)),)</f>
        <v>0</v>
      </c>
      <c r="DE413" s="14">
        <f>ROUND(IF(CJ413=0,0,HLOOKUP(CJ$14,Villagers!$B$1:$V$33,CJ413+3,FALSE)),)</f>
        <v>2</v>
      </c>
      <c r="DF413" s="370">
        <f>ROUND(IF(CK413=0,0,HLOOKUP(CK$14,Villagers!$B$1:$V$33,CK413+3,FALSE)),)</f>
        <v>0</v>
      </c>
      <c r="DG413" s="370">
        <f>ROUND(IF(CL413=0,0,HLOOKUP(CL$14,Villagers!$B$1:$V$33,CL413+3,FALSE)),)</f>
        <v>0</v>
      </c>
      <c r="DH413" s="34">
        <f>ROUND(IF(CM413=0,0,HLOOKUP(CM$14,Villagers!$B$1:$V$33,CM413+3,FALSE)),)</f>
        <v>0</v>
      </c>
      <c r="DI413" s="109">
        <f t="shared" si="989"/>
        <v>0</v>
      </c>
      <c r="DJ413" s="50">
        <f t="shared" si="990"/>
        <v>0</v>
      </c>
      <c r="DK413" s="50">
        <f t="shared" si="991"/>
        <v>0</v>
      </c>
      <c r="DL413" s="50">
        <f t="shared" si="992"/>
        <v>0</v>
      </c>
      <c r="DM413" s="50">
        <f t="shared" si="993"/>
        <v>0</v>
      </c>
      <c r="DN413" s="50">
        <f t="shared" si="994"/>
        <v>0</v>
      </c>
      <c r="DO413" s="50">
        <f t="shared" si="995"/>
        <v>0</v>
      </c>
      <c r="DP413" s="50">
        <f t="shared" si="996"/>
        <v>0</v>
      </c>
      <c r="DQ413" s="50">
        <f t="shared" si="973"/>
        <v>0</v>
      </c>
      <c r="DR413" s="50">
        <f t="shared" si="974"/>
        <v>0</v>
      </c>
      <c r="DS413" s="96">
        <f>Miscelaneous!$D$4*Miscelaneous!$D$2^($CI413-1)</f>
        <v>1000</v>
      </c>
      <c r="DT413" s="333">
        <f t="shared" si="955"/>
        <v>1</v>
      </c>
      <c r="DU413" s="81">
        <v>1</v>
      </c>
      <c r="DV413" s="79">
        <f t="shared" si="975"/>
        <v>0</v>
      </c>
      <c r="DW413" s="79">
        <f t="shared" si="976"/>
        <v>0</v>
      </c>
      <c r="DX413" s="79">
        <f t="shared" si="977"/>
        <v>0</v>
      </c>
      <c r="DY413" s="79">
        <v>1</v>
      </c>
      <c r="DZ413" s="79">
        <f t="shared" si="978"/>
        <v>0</v>
      </c>
      <c r="EA413" s="79">
        <f t="shared" si="979"/>
        <v>0</v>
      </c>
      <c r="EB413" s="79">
        <f t="shared" si="980"/>
        <v>0</v>
      </c>
      <c r="EC413" s="79">
        <f t="shared" si="981"/>
        <v>0</v>
      </c>
      <c r="ED413" s="79">
        <v>1</v>
      </c>
      <c r="EE413" s="79">
        <v>1</v>
      </c>
      <c r="EF413" s="79">
        <f t="shared" si="982"/>
        <v>0</v>
      </c>
      <c r="EG413" s="79">
        <v>1</v>
      </c>
      <c r="EH413" s="79">
        <v>1</v>
      </c>
      <c r="EI413" s="79">
        <v>1</v>
      </c>
      <c r="EJ413" s="79">
        <v>1</v>
      </c>
      <c r="EK413" s="79">
        <v>1</v>
      </c>
      <c r="EL413" s="79">
        <v>1</v>
      </c>
      <c r="EM413" s="143">
        <f t="shared" si="983"/>
        <v>0</v>
      </c>
      <c r="EN413" s="143">
        <f t="shared" si="984"/>
        <v>0</v>
      </c>
      <c r="EO413" s="82">
        <f t="shared" si="985"/>
        <v>0</v>
      </c>
    </row>
    <row r="414" spans="1:145" x14ac:dyDescent="0.25">
      <c r="A414">
        <v>400</v>
      </c>
      <c r="B414" s="172" t="e">
        <f t="shared" si="956"/>
        <v>#N/A</v>
      </c>
      <c r="C414" s="121" t="e">
        <f t="shared" ref="C414:E414" si="1013">AJ414-SUM(AB414:AB418)</f>
        <v>#N/A</v>
      </c>
      <c r="D414" s="122" t="e">
        <f t="shared" si="1013"/>
        <v>#N/A</v>
      </c>
      <c r="E414" s="122" t="e">
        <f t="shared" si="1013"/>
        <v>#N/A</v>
      </c>
      <c r="F414" s="176" t="e">
        <f t="shared" si="937"/>
        <v>#N/A</v>
      </c>
      <c r="G414" s="121">
        <f t="shared" si="958"/>
        <v>208</v>
      </c>
      <c r="H414" s="176" t="e">
        <f t="shared" si="959"/>
        <v>#N/A</v>
      </c>
      <c r="I414" s="48">
        <v>1</v>
      </c>
      <c r="J414" s="39"/>
      <c r="K414" s="350">
        <v>1</v>
      </c>
      <c r="L414" s="34" t="e">
        <f t="shared" si="938"/>
        <v>#N/A</v>
      </c>
      <c r="M414" s="38" t="e">
        <f>(HLOOKUP(J414,'Construction Times'!$B$3:$W$34,L414+2,FALSE)*HLOOKUP("hq modifier",'Construction Times'!$W$3:$W$34,BS414+2,FALSE))*(1-$H$9)</f>
        <v>#N/A</v>
      </c>
      <c r="N414" s="426" t="e">
        <f t="shared" si="960"/>
        <v>#N/A</v>
      </c>
      <c r="O414" s="427"/>
      <c r="P414" s="430" t="e">
        <f t="shared" si="961"/>
        <v>#N/A</v>
      </c>
      <c r="Q414" s="431"/>
      <c r="R414" s="103">
        <f t="shared" si="987"/>
        <v>0</v>
      </c>
      <c r="S414" s="104">
        <f t="shared" si="987"/>
        <v>0</v>
      </c>
      <c r="T414" s="104">
        <f t="shared" si="988"/>
        <v>0</v>
      </c>
      <c r="U414" s="104">
        <f t="shared" si="988"/>
        <v>0</v>
      </c>
      <c r="V414" s="104">
        <f t="shared" si="988"/>
        <v>9.9999999999999995E-8</v>
      </c>
      <c r="W414" s="104">
        <f t="shared" si="988"/>
        <v>0</v>
      </c>
      <c r="X414" s="104">
        <f t="shared" si="934"/>
        <v>0</v>
      </c>
      <c r="Y414" s="104">
        <f t="shared" si="934"/>
        <v>9.9999999999999995E-8</v>
      </c>
      <c r="Z414" s="104">
        <f t="shared" si="934"/>
        <v>9.9999999999999995E-8</v>
      </c>
      <c r="AA414" s="105">
        <f t="shared" si="934"/>
        <v>9.9999999999999995E-8</v>
      </c>
      <c r="AB414" s="101" t="e">
        <f>$DT414*HLOOKUP($J414,'Construction Costs (timber)'!$B$1:$V$32,'Construction Planner'!$L414+2,FALSE)</f>
        <v>#N/A</v>
      </c>
      <c r="AC414" s="14" t="e">
        <f>$DT414*HLOOKUP($J414,'Construction Costs (clay)'!$B$1:$V$32,'Construction Planner'!$L414+2,FALSE)</f>
        <v>#N/A</v>
      </c>
      <c r="AD414" s="14" t="e">
        <f>$DT414*HLOOKUP($J414,'Construction Costs (iron)'!$B$1:$V$32,'Construction Planner'!$L414+2,FALSE)</f>
        <v>#N/A</v>
      </c>
      <c r="AE414" s="34" t="e">
        <f t="shared" si="1000"/>
        <v>#N/A</v>
      </c>
      <c r="AF414" s="33" t="e">
        <f t="shared" si="939"/>
        <v>#N/A</v>
      </c>
      <c r="AG414" s="14" t="e">
        <f t="shared" si="940"/>
        <v>#N/A</v>
      </c>
      <c r="AH414" s="14" t="e">
        <f t="shared" si="941"/>
        <v>#N/A</v>
      </c>
      <c r="AI414" s="34" t="e">
        <f t="shared" si="1001"/>
        <v>#N/A</v>
      </c>
      <c r="AJ414" s="49" t="e">
        <f t="shared" si="962"/>
        <v>#N/A</v>
      </c>
      <c r="AK414" s="49" t="e">
        <f t="shared" si="963"/>
        <v>#N/A</v>
      </c>
      <c r="AL414" s="49" t="e">
        <f t="shared" si="964"/>
        <v>#N/A</v>
      </c>
      <c r="AM414" s="25">
        <f t="shared" si="942"/>
        <v>30</v>
      </c>
      <c r="AN414" s="25">
        <f t="shared" si="943"/>
        <v>30</v>
      </c>
      <c r="AO414" s="25">
        <f t="shared" si="944"/>
        <v>30</v>
      </c>
      <c r="AP414" s="52" t="e">
        <f t="shared" si="965"/>
        <v>#N/A</v>
      </c>
      <c r="AQ414" s="53" t="e">
        <f t="shared" si="965"/>
        <v>#N/A</v>
      </c>
      <c r="AR414" s="54" t="e">
        <f t="shared" si="965"/>
        <v>#N/A</v>
      </c>
      <c r="AS414" s="316">
        <f t="shared" si="1002"/>
        <v>0</v>
      </c>
      <c r="AT414" s="106">
        <f>_xlfn.IFNA($M414/VLOOKUP($BT414,'Unit information'!$A$2:$K$29,2,FALSE)*R414,0)*(1+$E$9)</f>
        <v>0</v>
      </c>
      <c r="AU414" s="107">
        <f>_xlfn.IFNA($M414/VLOOKUP($BT414,'Unit information'!$A$2:$K$29,3,FALSE)*S414,0)*(1+$E$9)</f>
        <v>0</v>
      </c>
      <c r="AV414" s="107">
        <f>_xlfn.IFNA($M414/VLOOKUP($BT414,'Unit information'!$A$2:$K$29,4,FALSE)*T414,0)*(1+$E$9)</f>
        <v>0</v>
      </c>
      <c r="AW414" s="107">
        <f>_xlfn.IFNA($M414/VLOOKUP($BT414,'Unit information'!$A$2:$K$29,5,FALSE)*U414,0)*(1+$E$9)</f>
        <v>0</v>
      </c>
      <c r="AX414" s="107">
        <f>_xlfn.IFNA($M414/VLOOKUP($BU414,'Unit information'!$A$2:$K$29,6,FALSE)*V414,0)*(1+$E$9)</f>
        <v>0</v>
      </c>
      <c r="AY414" s="107">
        <f>_xlfn.IFNA($M414/VLOOKUP($BU414,'Unit information'!$A$2:$K$29,7,FALSE)*W414,0)*(1+$E$9)</f>
        <v>0</v>
      </c>
      <c r="AZ414" s="107">
        <f>_xlfn.IFNA($M414/VLOOKUP($BU414,'Unit information'!$A$2:$K$29,8,FALSE)*X414,0)*(1+$E$9)</f>
        <v>0</v>
      </c>
      <c r="BA414" s="107">
        <f>_xlfn.IFNA($M414/VLOOKUP($BU414,'Unit information'!$A$2:$K$29,9,FALSE)*Y414,0)*(1+$E$9)</f>
        <v>0</v>
      </c>
      <c r="BB414" s="107">
        <f>_xlfn.IFNA($M414/VLOOKUP($BV414,'Unit information'!$A$2:$K$29,10,FALSE)*Z414,0)*(1+$E$9)</f>
        <v>0</v>
      </c>
      <c r="BC414" s="108">
        <f>_xlfn.IFNA($M414/VLOOKUP($BV414,'Unit information'!$A$2:$K$29,11,FALSE)*AA414,0)*(1+$E$9)</f>
        <v>0</v>
      </c>
      <c r="BD414" s="106">
        <f t="shared" si="945"/>
        <v>0</v>
      </c>
      <c r="BE414" s="107">
        <f t="shared" si="946"/>
        <v>0</v>
      </c>
      <c r="BF414" s="108">
        <f t="shared" si="947"/>
        <v>0</v>
      </c>
      <c r="BG414" s="25" t="e">
        <f t="shared" si="948"/>
        <v>#N/A</v>
      </c>
      <c r="BH414" s="25" t="e">
        <f t="shared" si="949"/>
        <v>#N/A</v>
      </c>
      <c r="BI414" s="25" t="e">
        <f t="shared" si="950"/>
        <v>#N/A</v>
      </c>
      <c r="BJ414" s="27" t="e">
        <f t="shared" si="951"/>
        <v>#N/A</v>
      </c>
      <c r="BK414" s="18" t="e">
        <f t="shared" si="952"/>
        <v>#N/A</v>
      </c>
      <c r="BL414" s="18" t="e">
        <f t="shared" si="953"/>
        <v>#N/A</v>
      </c>
      <c r="BM414" s="28" t="e">
        <f t="shared" si="1003"/>
        <v>#N/A</v>
      </c>
      <c r="BN414" s="33">
        <f>HLOOKUP("maximum population",Miscelaneous!$C$1:$C$33,CH414+3,FALSE)</f>
        <v>240</v>
      </c>
      <c r="BO414" s="14">
        <f t="shared" si="966"/>
        <v>32</v>
      </c>
      <c r="BP414" s="14">
        <f t="shared" si="967"/>
        <v>0</v>
      </c>
      <c r="BQ414" s="14">
        <f t="shared" si="968"/>
        <v>208</v>
      </c>
      <c r="BR414" s="34" t="e">
        <f>HLOOKUP(J414,Villagers!$B$1:$V$33,L414+3,FALSE)-HLOOKUP(J414,Villagers!$B$1:$V$33,L414+2,FALSE)</f>
        <v>#N/A</v>
      </c>
      <c r="BS414" s="49">
        <f t="shared" si="969"/>
        <v>1</v>
      </c>
      <c r="BT414" s="50">
        <f t="shared" si="970"/>
        <v>0</v>
      </c>
      <c r="BU414" s="50">
        <f t="shared" si="971"/>
        <v>0</v>
      </c>
      <c r="BV414" s="50">
        <f t="shared" si="972"/>
        <v>0</v>
      </c>
      <c r="BW414" s="50">
        <f t="shared" si="926"/>
        <v>0</v>
      </c>
      <c r="BX414" s="50">
        <f t="shared" si="927"/>
        <v>0</v>
      </c>
      <c r="BY414" s="50">
        <f t="shared" si="927"/>
        <v>0</v>
      </c>
      <c r="BZ414" s="50">
        <f t="shared" si="860"/>
        <v>0</v>
      </c>
      <c r="CA414" s="50">
        <f t="shared" si="861"/>
        <v>0</v>
      </c>
      <c r="CB414" s="50">
        <f t="shared" si="862"/>
        <v>1</v>
      </c>
      <c r="CC414" s="50">
        <f t="shared" si="863"/>
        <v>0</v>
      </c>
      <c r="CD414" s="50">
        <f t="shared" si="864"/>
        <v>0</v>
      </c>
      <c r="CE414" s="50">
        <f t="shared" si="865"/>
        <v>1</v>
      </c>
      <c r="CF414" s="50">
        <f t="shared" si="866"/>
        <v>1</v>
      </c>
      <c r="CG414" s="50">
        <f t="shared" si="867"/>
        <v>1</v>
      </c>
      <c r="CH414" s="50">
        <f t="shared" si="868"/>
        <v>1</v>
      </c>
      <c r="CI414" s="50">
        <f t="shared" si="869"/>
        <v>1</v>
      </c>
      <c r="CJ414" s="50">
        <f t="shared" si="870"/>
        <v>1</v>
      </c>
      <c r="CK414" s="50">
        <f t="shared" si="870"/>
        <v>0</v>
      </c>
      <c r="CL414" s="50">
        <f t="shared" si="870"/>
        <v>0</v>
      </c>
      <c r="CM414" s="51">
        <f t="shared" si="954"/>
        <v>0</v>
      </c>
      <c r="CN414" s="33">
        <f>ROUND(IF(BS414=0,0,HLOOKUP(BS$14,Villagers!$B$1:$V$33,BS414+3,FALSE)),)</f>
        <v>5</v>
      </c>
      <c r="CO414" s="14">
        <f>ROUND(IF(BT414=0,0,HLOOKUP(BT$14,Villagers!$B$1:$V$33,BT414+3,FALSE)),)</f>
        <v>0</v>
      </c>
      <c r="CP414" s="14">
        <f>ROUND(IF(BU414=0,0,HLOOKUP(BU$14,Villagers!$B$1:$V$33,BU414+3,FALSE)),)</f>
        <v>0</v>
      </c>
      <c r="CQ414" s="14">
        <f>ROUND(IF(BV414=0,0,HLOOKUP(BV$14,Villagers!$B$1:$V$33,BV414+3,FALSE)),)</f>
        <v>0</v>
      </c>
      <c r="CR414" s="14">
        <f>ROUND(IF(BW414=0,0,HLOOKUP(BW$14,Villagers!$B$1:$V$33,BW414+3,FALSE)),)</f>
        <v>0</v>
      </c>
      <c r="CS414" s="14">
        <f>ROUND(IF(BX414=0,0,HLOOKUP(BX$14,Villagers!$B$1:$V$33,BX414+3,FALSE)),)</f>
        <v>0</v>
      </c>
      <c r="CT414" s="14">
        <f>ROUND(IF(BY414=0,0,HLOOKUP(BY$14,Villagers!$B$1:$V$33,BY414+3,FALSE)),)</f>
        <v>0</v>
      </c>
      <c r="CU414" s="14">
        <f>ROUND(IF(BZ414=0,0,HLOOKUP(BZ$14,Villagers!$B$1:$V$33,BZ414+3,FALSE)),)</f>
        <v>0</v>
      </c>
      <c r="CV414" s="14">
        <f>ROUND(IF(CA414=0,0,HLOOKUP(CA$14,Villagers!$B$1:$V$33,CA414+3,FALSE)),)</f>
        <v>0</v>
      </c>
      <c r="CW414" s="14">
        <f>ROUND(IF(CB414=0,0,HLOOKUP(CB$14,Villagers!$B$1:$V$33,CB414+3,FALSE)),)</f>
        <v>0</v>
      </c>
      <c r="CX414" s="14">
        <f>ROUND(IF(CC414=0,0,HLOOKUP(CC$14,Villagers!$B$1:$V$33,CC414+3,FALSE)),)</f>
        <v>0</v>
      </c>
      <c r="CY414" s="14">
        <f>ROUND(IF(CD414=0,0,HLOOKUP(CD$14,Villagers!$B$1:$V$33,CD414+3,FALSE)),)</f>
        <v>0</v>
      </c>
      <c r="CZ414" s="14">
        <f>ROUND(IF(CE414=0,0,HLOOKUP(CE$14,Villagers!$B$1:$V$33,CE414+3,FALSE)),)</f>
        <v>5</v>
      </c>
      <c r="DA414" s="14">
        <f>ROUND(IF(CF414=0,0,HLOOKUP(CF$14,Villagers!$B$1:$V$33,CF414+3,FALSE)),)</f>
        <v>10</v>
      </c>
      <c r="DB414" s="14">
        <f>ROUND(IF(CG414=0,0,HLOOKUP(CG$14,Villagers!$B$1:$V$33,CG414+3,FALSE)),)</f>
        <v>10</v>
      </c>
      <c r="DC414" s="14">
        <f>ROUND(IF(CH414=0,0,HLOOKUP(CH$14,Villagers!$B$1:$V$33,CH414+3,FALSE)),)</f>
        <v>0</v>
      </c>
      <c r="DD414" s="14">
        <f>ROUND(IF(CI414=0,0,HLOOKUP(CI$14,Villagers!$B$1:$V$33,CI414+3,FALSE)),)</f>
        <v>0</v>
      </c>
      <c r="DE414" s="14">
        <f>ROUND(IF(CJ414=0,0,HLOOKUP(CJ$14,Villagers!$B$1:$V$33,CJ414+3,FALSE)),)</f>
        <v>2</v>
      </c>
      <c r="DF414" s="370">
        <f>ROUND(IF(CK414=0,0,HLOOKUP(CK$14,Villagers!$B$1:$V$33,CK414+3,FALSE)),)</f>
        <v>0</v>
      </c>
      <c r="DG414" s="370">
        <f>ROUND(IF(CL414=0,0,HLOOKUP(CL$14,Villagers!$B$1:$V$33,CL414+3,FALSE)),)</f>
        <v>0</v>
      </c>
      <c r="DH414" s="34">
        <f>ROUND(IF(CM414=0,0,HLOOKUP(CM$14,Villagers!$B$1:$V$33,CM414+3,FALSE)),)</f>
        <v>0</v>
      </c>
      <c r="DI414" s="109">
        <f t="shared" si="989"/>
        <v>0</v>
      </c>
      <c r="DJ414" s="50">
        <f t="shared" si="990"/>
        <v>0</v>
      </c>
      <c r="DK414" s="50">
        <f t="shared" si="991"/>
        <v>0</v>
      </c>
      <c r="DL414" s="50">
        <f t="shared" si="992"/>
        <v>0</v>
      </c>
      <c r="DM414" s="50">
        <f t="shared" si="993"/>
        <v>0</v>
      </c>
      <c r="DN414" s="50">
        <f t="shared" si="994"/>
        <v>0</v>
      </c>
      <c r="DO414" s="50">
        <f t="shared" si="995"/>
        <v>0</v>
      </c>
      <c r="DP414" s="50">
        <f t="shared" si="996"/>
        <v>0</v>
      </c>
      <c r="DQ414" s="50">
        <f t="shared" si="973"/>
        <v>0</v>
      </c>
      <c r="DR414" s="50">
        <f t="shared" si="974"/>
        <v>0</v>
      </c>
      <c r="DS414" s="96">
        <f>Miscelaneous!$D$4*Miscelaneous!$D$2^($CI414-1)</f>
        <v>1000</v>
      </c>
      <c r="DT414" s="333">
        <f t="shared" si="955"/>
        <v>1</v>
      </c>
      <c r="DU414" s="81">
        <v>1</v>
      </c>
      <c r="DV414" s="79">
        <f t="shared" si="975"/>
        <v>0</v>
      </c>
      <c r="DW414" s="79">
        <f t="shared" si="976"/>
        <v>0</v>
      </c>
      <c r="DX414" s="79">
        <f t="shared" si="977"/>
        <v>0</v>
      </c>
      <c r="DY414" s="79">
        <v>1</v>
      </c>
      <c r="DZ414" s="79">
        <f t="shared" si="978"/>
        <v>0</v>
      </c>
      <c r="EA414" s="79">
        <f t="shared" si="979"/>
        <v>0</v>
      </c>
      <c r="EB414" s="79">
        <f t="shared" si="980"/>
        <v>0</v>
      </c>
      <c r="EC414" s="79">
        <f t="shared" si="981"/>
        <v>0</v>
      </c>
      <c r="ED414" s="79">
        <v>1</v>
      </c>
      <c r="EE414" s="79">
        <v>1</v>
      </c>
      <c r="EF414" s="79">
        <f t="shared" si="982"/>
        <v>0</v>
      </c>
      <c r="EG414" s="79">
        <v>1</v>
      </c>
      <c r="EH414" s="79">
        <v>1</v>
      </c>
      <c r="EI414" s="79">
        <v>1</v>
      </c>
      <c r="EJ414" s="79">
        <v>1</v>
      </c>
      <c r="EK414" s="79">
        <v>1</v>
      </c>
      <c r="EL414" s="79">
        <v>1</v>
      </c>
      <c r="EM414" s="143">
        <f t="shared" si="983"/>
        <v>0</v>
      </c>
      <c r="EN414" s="143">
        <f t="shared" si="984"/>
        <v>0</v>
      </c>
      <c r="EO414" s="82">
        <f t="shared" si="985"/>
        <v>0</v>
      </c>
    </row>
    <row r="415" spans="1:145" x14ac:dyDescent="0.25">
      <c r="A415">
        <v>401</v>
      </c>
      <c r="B415" s="172" t="e">
        <f t="shared" si="956"/>
        <v>#N/A</v>
      </c>
      <c r="C415" s="121" t="e">
        <f t="shared" ref="C415:E415" si="1014">AJ415-SUM(AB415:AB419)</f>
        <v>#N/A</v>
      </c>
      <c r="D415" s="122" t="e">
        <f t="shared" si="1014"/>
        <v>#N/A</v>
      </c>
      <c r="E415" s="122" t="e">
        <f t="shared" si="1014"/>
        <v>#N/A</v>
      </c>
      <c r="F415" s="176" t="e">
        <f t="shared" si="937"/>
        <v>#N/A</v>
      </c>
      <c r="G415" s="121">
        <f t="shared" si="958"/>
        <v>208</v>
      </c>
      <c r="H415" s="176" t="e">
        <f t="shared" si="959"/>
        <v>#N/A</v>
      </c>
      <c r="I415" s="48">
        <v>1</v>
      </c>
      <c r="J415" s="39"/>
      <c r="K415" s="350">
        <v>1</v>
      </c>
      <c r="L415" s="34" t="e">
        <f t="shared" si="938"/>
        <v>#N/A</v>
      </c>
      <c r="M415" s="38" t="e">
        <f>(HLOOKUP(J415,'Construction Times'!$B$3:$W$34,L415+2,FALSE)*HLOOKUP("hq modifier",'Construction Times'!$W$3:$W$34,BS415+2,FALSE))*(1-$H$9)</f>
        <v>#N/A</v>
      </c>
      <c r="N415" s="426" t="e">
        <f t="shared" si="960"/>
        <v>#N/A</v>
      </c>
      <c r="O415" s="427"/>
      <c r="P415" s="430" t="e">
        <f t="shared" si="961"/>
        <v>#N/A</v>
      </c>
      <c r="Q415" s="431"/>
      <c r="R415" s="103">
        <f t="shared" si="987"/>
        <v>0</v>
      </c>
      <c r="S415" s="104">
        <f t="shared" si="987"/>
        <v>0</v>
      </c>
      <c r="T415" s="104">
        <f t="shared" si="988"/>
        <v>0</v>
      </c>
      <c r="U415" s="104">
        <f t="shared" si="988"/>
        <v>0</v>
      </c>
      <c r="V415" s="104">
        <f t="shared" si="988"/>
        <v>9.9999999999999995E-8</v>
      </c>
      <c r="W415" s="104">
        <f t="shared" si="988"/>
        <v>0</v>
      </c>
      <c r="X415" s="104">
        <f t="shared" si="934"/>
        <v>0</v>
      </c>
      <c r="Y415" s="104">
        <f t="shared" si="934"/>
        <v>9.9999999999999995E-8</v>
      </c>
      <c r="Z415" s="104">
        <f t="shared" si="934"/>
        <v>9.9999999999999995E-8</v>
      </c>
      <c r="AA415" s="105">
        <f t="shared" si="934"/>
        <v>9.9999999999999995E-8</v>
      </c>
      <c r="AB415" s="101" t="e">
        <f>$DT415*HLOOKUP($J415,'Construction Costs (timber)'!$B$1:$V$32,'Construction Planner'!$L415+2,FALSE)</f>
        <v>#N/A</v>
      </c>
      <c r="AC415" s="14" t="e">
        <f>$DT415*HLOOKUP($J415,'Construction Costs (clay)'!$B$1:$V$32,'Construction Planner'!$L415+2,FALSE)</f>
        <v>#N/A</v>
      </c>
      <c r="AD415" s="14" t="e">
        <f>$DT415*HLOOKUP($J415,'Construction Costs (iron)'!$B$1:$V$32,'Construction Planner'!$L415+2,FALSE)</f>
        <v>#N/A</v>
      </c>
      <c r="AE415" s="34" t="e">
        <f t="shared" si="1000"/>
        <v>#N/A</v>
      </c>
      <c r="AF415" s="33" t="e">
        <f t="shared" si="939"/>
        <v>#N/A</v>
      </c>
      <c r="AG415" s="14" t="e">
        <f t="shared" si="940"/>
        <v>#N/A</v>
      </c>
      <c r="AH415" s="14" t="e">
        <f t="shared" si="941"/>
        <v>#N/A</v>
      </c>
      <c r="AI415" s="34" t="e">
        <f t="shared" si="1001"/>
        <v>#N/A</v>
      </c>
      <c r="AJ415" s="49" t="e">
        <f t="shared" si="962"/>
        <v>#N/A</v>
      </c>
      <c r="AK415" s="49" t="e">
        <f t="shared" si="963"/>
        <v>#N/A</v>
      </c>
      <c r="AL415" s="49" t="e">
        <f t="shared" si="964"/>
        <v>#N/A</v>
      </c>
      <c r="AM415" s="25">
        <f t="shared" si="942"/>
        <v>30</v>
      </c>
      <c r="AN415" s="25">
        <f t="shared" si="943"/>
        <v>30</v>
      </c>
      <c r="AO415" s="25">
        <f t="shared" si="944"/>
        <v>30</v>
      </c>
      <c r="AP415" s="52" t="e">
        <f t="shared" si="965"/>
        <v>#N/A</v>
      </c>
      <c r="AQ415" s="53" t="e">
        <f t="shared" si="965"/>
        <v>#N/A</v>
      </c>
      <c r="AR415" s="54" t="e">
        <f t="shared" si="965"/>
        <v>#N/A</v>
      </c>
      <c r="AS415" s="316">
        <f t="shared" si="1002"/>
        <v>0</v>
      </c>
      <c r="AT415" s="106">
        <f>_xlfn.IFNA($M415/VLOOKUP($BT415,'Unit information'!$A$2:$K$29,2,FALSE)*R415,0)*(1+$E$9)</f>
        <v>0</v>
      </c>
      <c r="AU415" s="107">
        <f>_xlfn.IFNA($M415/VLOOKUP($BT415,'Unit information'!$A$2:$K$29,3,FALSE)*S415,0)*(1+$E$9)</f>
        <v>0</v>
      </c>
      <c r="AV415" s="107">
        <f>_xlfn.IFNA($M415/VLOOKUP($BT415,'Unit information'!$A$2:$K$29,4,FALSE)*T415,0)*(1+$E$9)</f>
        <v>0</v>
      </c>
      <c r="AW415" s="107">
        <f>_xlfn.IFNA($M415/VLOOKUP($BT415,'Unit information'!$A$2:$K$29,5,FALSE)*U415,0)*(1+$E$9)</f>
        <v>0</v>
      </c>
      <c r="AX415" s="107">
        <f>_xlfn.IFNA($M415/VLOOKUP($BU415,'Unit information'!$A$2:$K$29,6,FALSE)*V415,0)*(1+$E$9)</f>
        <v>0</v>
      </c>
      <c r="AY415" s="107">
        <f>_xlfn.IFNA($M415/VLOOKUP($BU415,'Unit information'!$A$2:$K$29,7,FALSE)*W415,0)*(1+$E$9)</f>
        <v>0</v>
      </c>
      <c r="AZ415" s="107">
        <f>_xlfn.IFNA($M415/VLOOKUP($BU415,'Unit information'!$A$2:$K$29,8,FALSE)*X415,0)*(1+$E$9)</f>
        <v>0</v>
      </c>
      <c r="BA415" s="107">
        <f>_xlfn.IFNA($M415/VLOOKUP($BU415,'Unit information'!$A$2:$K$29,9,FALSE)*Y415,0)*(1+$E$9)</f>
        <v>0</v>
      </c>
      <c r="BB415" s="107">
        <f>_xlfn.IFNA($M415/VLOOKUP($BV415,'Unit information'!$A$2:$K$29,10,FALSE)*Z415,0)*(1+$E$9)</f>
        <v>0</v>
      </c>
      <c r="BC415" s="108">
        <f>_xlfn.IFNA($M415/VLOOKUP($BV415,'Unit information'!$A$2:$K$29,11,FALSE)*AA415,0)*(1+$E$9)</f>
        <v>0</v>
      </c>
      <c r="BD415" s="106">
        <f t="shared" si="945"/>
        <v>0</v>
      </c>
      <c r="BE415" s="107">
        <f t="shared" si="946"/>
        <v>0</v>
      </c>
      <c r="BF415" s="108">
        <f t="shared" si="947"/>
        <v>0</v>
      </c>
      <c r="BG415" s="25" t="e">
        <f t="shared" si="948"/>
        <v>#N/A</v>
      </c>
      <c r="BH415" s="25" t="e">
        <f t="shared" si="949"/>
        <v>#N/A</v>
      </c>
      <c r="BI415" s="25" t="e">
        <f t="shared" si="950"/>
        <v>#N/A</v>
      </c>
      <c r="BJ415" s="27" t="e">
        <f t="shared" si="951"/>
        <v>#N/A</v>
      </c>
      <c r="BK415" s="18" t="e">
        <f t="shared" si="952"/>
        <v>#N/A</v>
      </c>
      <c r="BL415" s="18" t="e">
        <f t="shared" si="953"/>
        <v>#N/A</v>
      </c>
      <c r="BM415" s="28" t="e">
        <f t="shared" si="1003"/>
        <v>#N/A</v>
      </c>
      <c r="BN415" s="33">
        <f>HLOOKUP("maximum population",Miscelaneous!$C$1:$C$33,CH415+3,FALSE)</f>
        <v>240</v>
      </c>
      <c r="BO415" s="14">
        <f t="shared" si="966"/>
        <v>32</v>
      </c>
      <c r="BP415" s="14">
        <f t="shared" si="967"/>
        <v>0</v>
      </c>
      <c r="BQ415" s="14">
        <f t="shared" si="968"/>
        <v>208</v>
      </c>
      <c r="BR415" s="34" t="e">
        <f>HLOOKUP(J415,Villagers!$B$1:$V$33,L415+3,FALSE)-HLOOKUP(J415,Villagers!$B$1:$V$33,L415+2,FALSE)</f>
        <v>#N/A</v>
      </c>
      <c r="BS415" s="49">
        <f t="shared" si="969"/>
        <v>1</v>
      </c>
      <c r="BT415" s="50">
        <f t="shared" si="970"/>
        <v>0</v>
      </c>
      <c r="BU415" s="50">
        <f t="shared" si="971"/>
        <v>0</v>
      </c>
      <c r="BV415" s="50">
        <f t="shared" si="972"/>
        <v>0</v>
      </c>
      <c r="BW415" s="50">
        <f t="shared" si="926"/>
        <v>0</v>
      </c>
      <c r="BX415" s="50">
        <f t="shared" si="927"/>
        <v>0</v>
      </c>
      <c r="BY415" s="50">
        <f t="shared" si="927"/>
        <v>0</v>
      </c>
      <c r="BZ415" s="50">
        <f t="shared" ref="BZ415:BZ479" si="1015">IF($J414=BZ$14,$L414,BZ414)</f>
        <v>0</v>
      </c>
      <c r="CA415" s="50">
        <f t="shared" ref="CA415:CA479" si="1016">IF($J414=CA$14,$L414,CA414)</f>
        <v>0</v>
      </c>
      <c r="CB415" s="50">
        <f t="shared" ref="CB415:CB479" si="1017">IF($J414=CB$14,$L414,CB414)</f>
        <v>1</v>
      </c>
      <c r="CC415" s="50">
        <f t="shared" ref="CC415:CC479" si="1018">IF($J414=CC$14,$L414,CC414)</f>
        <v>0</v>
      </c>
      <c r="CD415" s="50">
        <f t="shared" ref="CD415:CD479" si="1019">IF($J414=CD$14,$L414,CD414)</f>
        <v>0</v>
      </c>
      <c r="CE415" s="50">
        <f t="shared" ref="CE415:CE479" si="1020">IF($J414=CE$14,$L414,CE414)</f>
        <v>1</v>
      </c>
      <c r="CF415" s="50">
        <f t="shared" ref="CF415:CF479" si="1021">IF($J414=CF$14,$L414,CF414)</f>
        <v>1</v>
      </c>
      <c r="CG415" s="50">
        <f t="shared" ref="CG415:CG479" si="1022">IF($J414=CG$14,$L414,CG414)</f>
        <v>1</v>
      </c>
      <c r="CH415" s="50">
        <f t="shared" ref="CH415:CH479" si="1023">IF($J414=CH$14,$L414,CH414)</f>
        <v>1</v>
      </c>
      <c r="CI415" s="50">
        <f t="shared" ref="CI415:CI479" si="1024">IF($J414=CI$14,$L414,CI414)</f>
        <v>1</v>
      </c>
      <c r="CJ415" s="50">
        <f t="shared" ref="CJ415:CL479" si="1025">IF($J414=CJ$14,$L414,CJ414)</f>
        <v>1</v>
      </c>
      <c r="CK415" s="50">
        <f t="shared" si="1025"/>
        <v>0</v>
      </c>
      <c r="CL415" s="50">
        <f t="shared" si="1025"/>
        <v>0</v>
      </c>
      <c r="CM415" s="51">
        <f t="shared" ref="CM415:CM478" si="1026">IF($J414=CM$14,$L414,CM414)</f>
        <v>0</v>
      </c>
      <c r="CN415" s="33">
        <f>ROUND(IF(BS415=0,0,HLOOKUP(BS$14,Villagers!$B$1:$V$33,BS415+3,FALSE)),)</f>
        <v>5</v>
      </c>
      <c r="CO415" s="14">
        <f>ROUND(IF(BT415=0,0,HLOOKUP(BT$14,Villagers!$B$1:$V$33,BT415+3,FALSE)),)</f>
        <v>0</v>
      </c>
      <c r="CP415" s="14">
        <f>ROUND(IF(BU415=0,0,HLOOKUP(BU$14,Villagers!$B$1:$V$33,BU415+3,FALSE)),)</f>
        <v>0</v>
      </c>
      <c r="CQ415" s="14">
        <f>ROUND(IF(BV415=0,0,HLOOKUP(BV$14,Villagers!$B$1:$V$33,BV415+3,FALSE)),)</f>
        <v>0</v>
      </c>
      <c r="CR415" s="14">
        <f>ROUND(IF(BW415=0,0,HLOOKUP(BW$14,Villagers!$B$1:$V$33,BW415+3,FALSE)),)</f>
        <v>0</v>
      </c>
      <c r="CS415" s="14">
        <f>ROUND(IF(BX415=0,0,HLOOKUP(BX$14,Villagers!$B$1:$V$33,BX415+3,FALSE)),)</f>
        <v>0</v>
      </c>
      <c r="CT415" s="14">
        <f>ROUND(IF(BY415=0,0,HLOOKUP(BY$14,Villagers!$B$1:$V$33,BY415+3,FALSE)),)</f>
        <v>0</v>
      </c>
      <c r="CU415" s="14">
        <f>ROUND(IF(BZ415=0,0,HLOOKUP(BZ$14,Villagers!$B$1:$V$33,BZ415+3,FALSE)),)</f>
        <v>0</v>
      </c>
      <c r="CV415" s="14">
        <f>ROUND(IF(CA415=0,0,HLOOKUP(CA$14,Villagers!$B$1:$V$33,CA415+3,FALSE)),)</f>
        <v>0</v>
      </c>
      <c r="CW415" s="14">
        <f>ROUND(IF(CB415=0,0,HLOOKUP(CB$14,Villagers!$B$1:$V$33,CB415+3,FALSE)),)</f>
        <v>0</v>
      </c>
      <c r="CX415" s="14">
        <f>ROUND(IF(CC415=0,0,HLOOKUP(CC$14,Villagers!$B$1:$V$33,CC415+3,FALSE)),)</f>
        <v>0</v>
      </c>
      <c r="CY415" s="14">
        <f>ROUND(IF(CD415=0,0,HLOOKUP(CD$14,Villagers!$B$1:$V$33,CD415+3,FALSE)),)</f>
        <v>0</v>
      </c>
      <c r="CZ415" s="14">
        <f>ROUND(IF(CE415=0,0,HLOOKUP(CE$14,Villagers!$B$1:$V$33,CE415+3,FALSE)),)</f>
        <v>5</v>
      </c>
      <c r="DA415" s="14">
        <f>ROUND(IF(CF415=0,0,HLOOKUP(CF$14,Villagers!$B$1:$V$33,CF415+3,FALSE)),)</f>
        <v>10</v>
      </c>
      <c r="DB415" s="14">
        <f>ROUND(IF(CG415=0,0,HLOOKUP(CG$14,Villagers!$B$1:$V$33,CG415+3,FALSE)),)</f>
        <v>10</v>
      </c>
      <c r="DC415" s="14">
        <f>ROUND(IF(CH415=0,0,HLOOKUP(CH$14,Villagers!$B$1:$V$33,CH415+3,FALSE)),)</f>
        <v>0</v>
      </c>
      <c r="DD415" s="14">
        <f>ROUND(IF(CI415=0,0,HLOOKUP(CI$14,Villagers!$B$1:$V$33,CI415+3,FALSE)),)</f>
        <v>0</v>
      </c>
      <c r="DE415" s="14">
        <f>ROUND(IF(CJ415=0,0,HLOOKUP(CJ$14,Villagers!$B$1:$V$33,CJ415+3,FALSE)),)</f>
        <v>2</v>
      </c>
      <c r="DF415" s="370">
        <f>ROUND(IF(CK415=0,0,HLOOKUP(CK$14,Villagers!$B$1:$V$33,CK415+3,FALSE)),)</f>
        <v>0</v>
      </c>
      <c r="DG415" s="370">
        <f>ROUND(IF(CL415=0,0,HLOOKUP(CL$14,Villagers!$B$1:$V$33,CL415+3,FALSE)),)</f>
        <v>0</v>
      </c>
      <c r="DH415" s="34">
        <f>ROUND(IF(CM415=0,0,HLOOKUP(CM$14,Villagers!$B$1:$V$33,CM415+3,FALSE)),)</f>
        <v>0</v>
      </c>
      <c r="DI415" s="109">
        <f t="shared" si="989"/>
        <v>0</v>
      </c>
      <c r="DJ415" s="50">
        <f t="shared" si="990"/>
        <v>0</v>
      </c>
      <c r="DK415" s="50">
        <f t="shared" si="991"/>
        <v>0</v>
      </c>
      <c r="DL415" s="50">
        <f t="shared" si="992"/>
        <v>0</v>
      </c>
      <c r="DM415" s="50">
        <f t="shared" si="993"/>
        <v>0</v>
      </c>
      <c r="DN415" s="50">
        <f t="shared" si="994"/>
        <v>0</v>
      </c>
      <c r="DO415" s="50">
        <f t="shared" si="995"/>
        <v>0</v>
      </c>
      <c r="DP415" s="50">
        <f t="shared" si="996"/>
        <v>0</v>
      </c>
      <c r="DQ415" s="50">
        <f t="shared" si="973"/>
        <v>0</v>
      </c>
      <c r="DR415" s="50">
        <f t="shared" si="974"/>
        <v>0</v>
      </c>
      <c r="DS415" s="96">
        <f>Miscelaneous!$D$4*Miscelaneous!$D$2^($CI415-1)</f>
        <v>1000</v>
      </c>
      <c r="DT415" s="333">
        <f t="shared" si="955"/>
        <v>1</v>
      </c>
      <c r="DU415" s="81">
        <v>1</v>
      </c>
      <c r="DV415" s="79">
        <f t="shared" si="975"/>
        <v>0</v>
      </c>
      <c r="DW415" s="79">
        <f t="shared" si="976"/>
        <v>0</v>
      </c>
      <c r="DX415" s="79">
        <f t="shared" si="977"/>
        <v>0</v>
      </c>
      <c r="DY415" s="79">
        <v>1</v>
      </c>
      <c r="DZ415" s="79">
        <f t="shared" si="978"/>
        <v>0</v>
      </c>
      <c r="EA415" s="79">
        <f t="shared" si="979"/>
        <v>0</v>
      </c>
      <c r="EB415" s="79">
        <f t="shared" si="980"/>
        <v>0</v>
      </c>
      <c r="EC415" s="79">
        <f t="shared" si="981"/>
        <v>0</v>
      </c>
      <c r="ED415" s="79">
        <v>1</v>
      </c>
      <c r="EE415" s="79">
        <v>1</v>
      </c>
      <c r="EF415" s="79">
        <f t="shared" si="982"/>
        <v>0</v>
      </c>
      <c r="EG415" s="79">
        <v>1</v>
      </c>
      <c r="EH415" s="79">
        <v>1</v>
      </c>
      <c r="EI415" s="79">
        <v>1</v>
      </c>
      <c r="EJ415" s="79">
        <v>1</v>
      </c>
      <c r="EK415" s="79">
        <v>1</v>
      </c>
      <c r="EL415" s="79">
        <v>1</v>
      </c>
      <c r="EM415" s="143">
        <f t="shared" si="983"/>
        <v>0</v>
      </c>
      <c r="EN415" s="143">
        <f t="shared" si="984"/>
        <v>0</v>
      </c>
      <c r="EO415" s="82">
        <f t="shared" si="985"/>
        <v>0</v>
      </c>
    </row>
    <row r="416" spans="1:145" x14ac:dyDescent="0.25">
      <c r="A416">
        <v>402</v>
      </c>
      <c r="B416" s="172" t="e">
        <f t="shared" si="956"/>
        <v>#N/A</v>
      </c>
      <c r="C416" s="121" t="e">
        <f t="shared" ref="C416:E416" si="1027">AJ416-SUM(AB416:AB420)</f>
        <v>#N/A</v>
      </c>
      <c r="D416" s="122" t="e">
        <f t="shared" si="1027"/>
        <v>#N/A</v>
      </c>
      <c r="E416" s="122" t="e">
        <f t="shared" si="1027"/>
        <v>#N/A</v>
      </c>
      <c r="F416" s="176" t="e">
        <f t="shared" si="937"/>
        <v>#N/A</v>
      </c>
      <c r="G416" s="121">
        <f t="shared" si="958"/>
        <v>208</v>
      </c>
      <c r="H416" s="176" t="e">
        <f t="shared" si="959"/>
        <v>#N/A</v>
      </c>
      <c r="I416" s="48">
        <v>1</v>
      </c>
      <c r="J416" s="39"/>
      <c r="K416" s="350">
        <v>1</v>
      </c>
      <c r="L416" s="34" t="e">
        <f t="shared" si="938"/>
        <v>#N/A</v>
      </c>
      <c r="M416" s="38" t="e">
        <f>(HLOOKUP(J416,'Construction Times'!$B$3:$W$34,L416+2,FALSE)*HLOOKUP("hq modifier",'Construction Times'!$W$3:$W$34,BS416+2,FALSE))*(1-$H$9)</f>
        <v>#N/A</v>
      </c>
      <c r="N416" s="426" t="e">
        <f t="shared" si="960"/>
        <v>#N/A</v>
      </c>
      <c r="O416" s="427"/>
      <c r="P416" s="430" t="e">
        <f t="shared" si="961"/>
        <v>#N/A</v>
      </c>
      <c r="Q416" s="431"/>
      <c r="R416" s="103">
        <f t="shared" si="987"/>
        <v>0</v>
      </c>
      <c r="S416" s="104">
        <f t="shared" si="987"/>
        <v>0</v>
      </c>
      <c r="T416" s="104">
        <f t="shared" si="988"/>
        <v>0</v>
      </c>
      <c r="U416" s="104">
        <f t="shared" si="988"/>
        <v>0</v>
      </c>
      <c r="V416" s="104">
        <f t="shared" si="988"/>
        <v>9.9999999999999995E-8</v>
      </c>
      <c r="W416" s="104">
        <f t="shared" si="988"/>
        <v>0</v>
      </c>
      <c r="X416" s="104">
        <f t="shared" si="934"/>
        <v>0</v>
      </c>
      <c r="Y416" s="104">
        <f t="shared" si="934"/>
        <v>9.9999999999999995E-8</v>
      </c>
      <c r="Z416" s="104">
        <f t="shared" si="934"/>
        <v>9.9999999999999995E-8</v>
      </c>
      <c r="AA416" s="105">
        <f t="shared" si="934"/>
        <v>9.9999999999999995E-8</v>
      </c>
      <c r="AB416" s="101" t="e">
        <f>$DT416*HLOOKUP($J416,'Construction Costs (timber)'!$B$1:$V$32,'Construction Planner'!$L416+2,FALSE)</f>
        <v>#N/A</v>
      </c>
      <c r="AC416" s="14" t="e">
        <f>$DT416*HLOOKUP($J416,'Construction Costs (clay)'!$B$1:$V$32,'Construction Planner'!$L416+2,FALSE)</f>
        <v>#N/A</v>
      </c>
      <c r="AD416" s="14" t="e">
        <f>$DT416*HLOOKUP($J416,'Construction Costs (iron)'!$B$1:$V$32,'Construction Planner'!$L416+2,FALSE)</f>
        <v>#N/A</v>
      </c>
      <c r="AE416" s="34" t="e">
        <f t="shared" si="1000"/>
        <v>#N/A</v>
      </c>
      <c r="AF416" s="33" t="e">
        <f t="shared" si="939"/>
        <v>#N/A</v>
      </c>
      <c r="AG416" s="14" t="e">
        <f t="shared" si="940"/>
        <v>#N/A</v>
      </c>
      <c r="AH416" s="14" t="e">
        <f t="shared" si="941"/>
        <v>#N/A</v>
      </c>
      <c r="AI416" s="34" t="e">
        <f t="shared" si="1001"/>
        <v>#N/A</v>
      </c>
      <c r="AJ416" s="49" t="e">
        <f t="shared" si="962"/>
        <v>#N/A</v>
      </c>
      <c r="AK416" s="49" t="e">
        <f t="shared" si="963"/>
        <v>#N/A</v>
      </c>
      <c r="AL416" s="49" t="e">
        <f t="shared" si="964"/>
        <v>#N/A</v>
      </c>
      <c r="AM416" s="25">
        <f t="shared" si="942"/>
        <v>30</v>
      </c>
      <c r="AN416" s="25">
        <f t="shared" si="943"/>
        <v>30</v>
      </c>
      <c r="AO416" s="25">
        <f t="shared" si="944"/>
        <v>30</v>
      </c>
      <c r="AP416" s="52" t="e">
        <f t="shared" si="965"/>
        <v>#N/A</v>
      </c>
      <c r="AQ416" s="53" t="e">
        <f t="shared" si="965"/>
        <v>#N/A</v>
      </c>
      <c r="AR416" s="54" t="e">
        <f t="shared" si="965"/>
        <v>#N/A</v>
      </c>
      <c r="AS416" s="316">
        <f t="shared" si="1002"/>
        <v>0</v>
      </c>
      <c r="AT416" s="106">
        <f>_xlfn.IFNA($M416/VLOOKUP($BT416,'Unit information'!$A$2:$K$29,2,FALSE)*R416,0)*(1+$E$9)</f>
        <v>0</v>
      </c>
      <c r="AU416" s="107">
        <f>_xlfn.IFNA($M416/VLOOKUP($BT416,'Unit information'!$A$2:$K$29,3,FALSE)*S416,0)*(1+$E$9)</f>
        <v>0</v>
      </c>
      <c r="AV416" s="107">
        <f>_xlfn.IFNA($M416/VLOOKUP($BT416,'Unit information'!$A$2:$K$29,4,FALSE)*T416,0)*(1+$E$9)</f>
        <v>0</v>
      </c>
      <c r="AW416" s="107">
        <f>_xlfn.IFNA($M416/VLOOKUP($BT416,'Unit information'!$A$2:$K$29,5,FALSE)*U416,0)*(1+$E$9)</f>
        <v>0</v>
      </c>
      <c r="AX416" s="107">
        <f>_xlfn.IFNA($M416/VLOOKUP($BU416,'Unit information'!$A$2:$K$29,6,FALSE)*V416,0)*(1+$E$9)</f>
        <v>0</v>
      </c>
      <c r="AY416" s="107">
        <f>_xlfn.IFNA($M416/VLOOKUP($BU416,'Unit information'!$A$2:$K$29,7,FALSE)*W416,0)*(1+$E$9)</f>
        <v>0</v>
      </c>
      <c r="AZ416" s="107">
        <f>_xlfn.IFNA($M416/VLOOKUP($BU416,'Unit information'!$A$2:$K$29,8,FALSE)*X416,0)*(1+$E$9)</f>
        <v>0</v>
      </c>
      <c r="BA416" s="107">
        <f>_xlfn.IFNA($M416/VLOOKUP($BU416,'Unit information'!$A$2:$K$29,9,FALSE)*Y416,0)*(1+$E$9)</f>
        <v>0</v>
      </c>
      <c r="BB416" s="107">
        <f>_xlfn.IFNA($M416/VLOOKUP($BV416,'Unit information'!$A$2:$K$29,10,FALSE)*Z416,0)*(1+$E$9)</f>
        <v>0</v>
      </c>
      <c r="BC416" s="108">
        <f>_xlfn.IFNA($M416/VLOOKUP($BV416,'Unit information'!$A$2:$K$29,11,FALSE)*AA416,0)*(1+$E$9)</f>
        <v>0</v>
      </c>
      <c r="BD416" s="106">
        <f t="shared" si="945"/>
        <v>0</v>
      </c>
      <c r="BE416" s="107">
        <f t="shared" si="946"/>
        <v>0</v>
      </c>
      <c r="BF416" s="108">
        <f t="shared" si="947"/>
        <v>0</v>
      </c>
      <c r="BG416" s="25" t="e">
        <f t="shared" si="948"/>
        <v>#N/A</v>
      </c>
      <c r="BH416" s="25" t="e">
        <f t="shared" si="949"/>
        <v>#N/A</v>
      </c>
      <c r="BI416" s="25" t="e">
        <f t="shared" si="950"/>
        <v>#N/A</v>
      </c>
      <c r="BJ416" s="27" t="e">
        <f t="shared" si="951"/>
        <v>#N/A</v>
      </c>
      <c r="BK416" s="18" t="e">
        <f t="shared" si="952"/>
        <v>#N/A</v>
      </c>
      <c r="BL416" s="18" t="e">
        <f t="shared" si="953"/>
        <v>#N/A</v>
      </c>
      <c r="BM416" s="28" t="e">
        <f t="shared" si="1003"/>
        <v>#N/A</v>
      </c>
      <c r="BN416" s="33">
        <f>HLOOKUP("maximum population",Miscelaneous!$C$1:$C$33,CH416+3,FALSE)</f>
        <v>240</v>
      </c>
      <c r="BO416" s="14">
        <f t="shared" si="966"/>
        <v>32</v>
      </c>
      <c r="BP416" s="14">
        <f t="shared" si="967"/>
        <v>0</v>
      </c>
      <c r="BQ416" s="14">
        <f t="shared" si="968"/>
        <v>208</v>
      </c>
      <c r="BR416" s="34" t="e">
        <f>HLOOKUP(J416,Villagers!$B$1:$V$33,L416+3,FALSE)-HLOOKUP(J416,Villagers!$B$1:$V$33,L416+2,FALSE)</f>
        <v>#N/A</v>
      </c>
      <c r="BS416" s="49">
        <f t="shared" si="969"/>
        <v>1</v>
      </c>
      <c r="BT416" s="50">
        <f t="shared" si="970"/>
        <v>0</v>
      </c>
      <c r="BU416" s="50">
        <f t="shared" si="971"/>
        <v>0</v>
      </c>
      <c r="BV416" s="50">
        <f t="shared" si="972"/>
        <v>0</v>
      </c>
      <c r="BW416" s="50">
        <f t="shared" ref="BW416:BY422" si="1028">IF($J415=BW$14,$L415,BW415)</f>
        <v>0</v>
      </c>
      <c r="BX416" s="50">
        <f t="shared" si="1028"/>
        <v>0</v>
      </c>
      <c r="BY416" s="50">
        <f t="shared" si="1028"/>
        <v>0</v>
      </c>
      <c r="BZ416" s="50">
        <f t="shared" si="1015"/>
        <v>0</v>
      </c>
      <c r="CA416" s="50">
        <f t="shared" si="1016"/>
        <v>0</v>
      </c>
      <c r="CB416" s="50">
        <f t="shared" si="1017"/>
        <v>1</v>
      </c>
      <c r="CC416" s="50">
        <f t="shared" si="1018"/>
        <v>0</v>
      </c>
      <c r="CD416" s="50">
        <f t="shared" si="1019"/>
        <v>0</v>
      </c>
      <c r="CE416" s="50">
        <f t="shared" si="1020"/>
        <v>1</v>
      </c>
      <c r="CF416" s="50">
        <f t="shared" si="1021"/>
        <v>1</v>
      </c>
      <c r="CG416" s="50">
        <f t="shared" si="1022"/>
        <v>1</v>
      </c>
      <c r="CH416" s="50">
        <f t="shared" si="1023"/>
        <v>1</v>
      </c>
      <c r="CI416" s="50">
        <f t="shared" si="1024"/>
        <v>1</v>
      </c>
      <c r="CJ416" s="50">
        <f t="shared" si="1025"/>
        <v>1</v>
      </c>
      <c r="CK416" s="50">
        <f t="shared" si="1025"/>
        <v>0</v>
      </c>
      <c r="CL416" s="50">
        <f t="shared" si="1025"/>
        <v>0</v>
      </c>
      <c r="CM416" s="51">
        <f t="shared" si="1026"/>
        <v>0</v>
      </c>
      <c r="CN416" s="33">
        <f>ROUND(IF(BS416=0,0,HLOOKUP(BS$14,Villagers!$B$1:$V$33,BS416+3,FALSE)),)</f>
        <v>5</v>
      </c>
      <c r="CO416" s="14">
        <f>ROUND(IF(BT416=0,0,HLOOKUP(BT$14,Villagers!$B$1:$V$33,BT416+3,FALSE)),)</f>
        <v>0</v>
      </c>
      <c r="CP416" s="14">
        <f>ROUND(IF(BU416=0,0,HLOOKUP(BU$14,Villagers!$B$1:$V$33,BU416+3,FALSE)),)</f>
        <v>0</v>
      </c>
      <c r="CQ416" s="14">
        <f>ROUND(IF(BV416=0,0,HLOOKUP(BV$14,Villagers!$B$1:$V$33,BV416+3,FALSE)),)</f>
        <v>0</v>
      </c>
      <c r="CR416" s="14">
        <f>ROUND(IF(BW416=0,0,HLOOKUP(BW$14,Villagers!$B$1:$V$33,BW416+3,FALSE)),)</f>
        <v>0</v>
      </c>
      <c r="CS416" s="14">
        <f>ROUND(IF(BX416=0,0,HLOOKUP(BX$14,Villagers!$B$1:$V$33,BX416+3,FALSE)),)</f>
        <v>0</v>
      </c>
      <c r="CT416" s="14">
        <f>ROUND(IF(BY416=0,0,HLOOKUP(BY$14,Villagers!$B$1:$V$33,BY416+3,FALSE)),)</f>
        <v>0</v>
      </c>
      <c r="CU416" s="14">
        <f>ROUND(IF(BZ416=0,0,HLOOKUP(BZ$14,Villagers!$B$1:$V$33,BZ416+3,FALSE)),)</f>
        <v>0</v>
      </c>
      <c r="CV416" s="14">
        <f>ROUND(IF(CA416=0,0,HLOOKUP(CA$14,Villagers!$B$1:$V$33,CA416+3,FALSE)),)</f>
        <v>0</v>
      </c>
      <c r="CW416" s="14">
        <f>ROUND(IF(CB416=0,0,HLOOKUP(CB$14,Villagers!$B$1:$V$33,CB416+3,FALSE)),)</f>
        <v>0</v>
      </c>
      <c r="CX416" s="14">
        <f>ROUND(IF(CC416=0,0,HLOOKUP(CC$14,Villagers!$B$1:$V$33,CC416+3,FALSE)),)</f>
        <v>0</v>
      </c>
      <c r="CY416" s="14">
        <f>ROUND(IF(CD416=0,0,HLOOKUP(CD$14,Villagers!$B$1:$V$33,CD416+3,FALSE)),)</f>
        <v>0</v>
      </c>
      <c r="CZ416" s="14">
        <f>ROUND(IF(CE416=0,0,HLOOKUP(CE$14,Villagers!$B$1:$V$33,CE416+3,FALSE)),)</f>
        <v>5</v>
      </c>
      <c r="DA416" s="14">
        <f>ROUND(IF(CF416=0,0,HLOOKUP(CF$14,Villagers!$B$1:$V$33,CF416+3,FALSE)),)</f>
        <v>10</v>
      </c>
      <c r="DB416" s="14">
        <f>ROUND(IF(CG416=0,0,HLOOKUP(CG$14,Villagers!$B$1:$V$33,CG416+3,FALSE)),)</f>
        <v>10</v>
      </c>
      <c r="DC416" s="14">
        <f>ROUND(IF(CH416=0,0,HLOOKUP(CH$14,Villagers!$B$1:$V$33,CH416+3,FALSE)),)</f>
        <v>0</v>
      </c>
      <c r="DD416" s="14">
        <f>ROUND(IF(CI416=0,0,HLOOKUP(CI$14,Villagers!$B$1:$V$33,CI416+3,FALSE)),)</f>
        <v>0</v>
      </c>
      <c r="DE416" s="14">
        <f>ROUND(IF(CJ416=0,0,HLOOKUP(CJ$14,Villagers!$B$1:$V$33,CJ416+3,FALSE)),)</f>
        <v>2</v>
      </c>
      <c r="DF416" s="370">
        <f>ROUND(IF(CK416=0,0,HLOOKUP(CK$14,Villagers!$B$1:$V$33,CK416+3,FALSE)),)</f>
        <v>0</v>
      </c>
      <c r="DG416" s="370">
        <f>ROUND(IF(CL416=0,0,HLOOKUP(CL$14,Villagers!$B$1:$V$33,CL416+3,FALSE)),)</f>
        <v>0</v>
      </c>
      <c r="DH416" s="34">
        <f>ROUND(IF(CM416=0,0,HLOOKUP(CM$14,Villagers!$B$1:$V$33,CM416+3,FALSE)),)</f>
        <v>0</v>
      </c>
      <c r="DI416" s="109">
        <f t="shared" si="989"/>
        <v>0</v>
      </c>
      <c r="DJ416" s="50">
        <f t="shared" si="990"/>
        <v>0</v>
      </c>
      <c r="DK416" s="50">
        <f t="shared" si="991"/>
        <v>0</v>
      </c>
      <c r="DL416" s="50">
        <f t="shared" si="992"/>
        <v>0</v>
      </c>
      <c r="DM416" s="50">
        <f t="shared" si="993"/>
        <v>0</v>
      </c>
      <c r="DN416" s="50">
        <f t="shared" si="994"/>
        <v>0</v>
      </c>
      <c r="DO416" s="50">
        <f t="shared" si="995"/>
        <v>0</v>
      </c>
      <c r="DP416" s="50">
        <f t="shared" si="996"/>
        <v>0</v>
      </c>
      <c r="DQ416" s="50">
        <f t="shared" si="973"/>
        <v>0</v>
      </c>
      <c r="DR416" s="50">
        <f t="shared" si="974"/>
        <v>0</v>
      </c>
      <c r="DS416" s="96">
        <f>Miscelaneous!$D$4*Miscelaneous!$D$2^($CI416-1)</f>
        <v>1000</v>
      </c>
      <c r="DT416" s="333">
        <f t="shared" si="955"/>
        <v>1</v>
      </c>
      <c r="DU416" s="81">
        <v>1</v>
      </c>
      <c r="DV416" s="79">
        <f t="shared" si="975"/>
        <v>0</v>
      </c>
      <c r="DW416" s="79">
        <f t="shared" si="976"/>
        <v>0</v>
      </c>
      <c r="DX416" s="79">
        <f t="shared" si="977"/>
        <v>0</v>
      </c>
      <c r="DY416" s="79">
        <v>1</v>
      </c>
      <c r="DZ416" s="79">
        <f t="shared" si="978"/>
        <v>0</v>
      </c>
      <c r="EA416" s="79">
        <f t="shared" si="979"/>
        <v>0</v>
      </c>
      <c r="EB416" s="79">
        <f t="shared" si="980"/>
        <v>0</v>
      </c>
      <c r="EC416" s="79">
        <f t="shared" si="981"/>
        <v>0</v>
      </c>
      <c r="ED416" s="79">
        <v>1</v>
      </c>
      <c r="EE416" s="79">
        <v>1</v>
      </c>
      <c r="EF416" s="79">
        <f t="shared" si="982"/>
        <v>0</v>
      </c>
      <c r="EG416" s="79">
        <v>1</v>
      </c>
      <c r="EH416" s="79">
        <v>1</v>
      </c>
      <c r="EI416" s="79">
        <v>1</v>
      </c>
      <c r="EJ416" s="79">
        <v>1</v>
      </c>
      <c r="EK416" s="79">
        <v>1</v>
      </c>
      <c r="EL416" s="79">
        <v>1</v>
      </c>
      <c r="EM416" s="143">
        <f t="shared" si="983"/>
        <v>0</v>
      </c>
      <c r="EN416" s="143">
        <f t="shared" si="984"/>
        <v>0</v>
      </c>
      <c r="EO416" s="82">
        <f t="shared" si="985"/>
        <v>0</v>
      </c>
    </row>
    <row r="417" spans="1:145" x14ac:dyDescent="0.25">
      <c r="A417">
        <v>403</v>
      </c>
      <c r="B417" s="172" t="e">
        <f t="shared" si="956"/>
        <v>#N/A</v>
      </c>
      <c r="C417" s="121" t="e">
        <f t="shared" ref="C417:E417" si="1029">AJ417-SUM(AB417:AB421)</f>
        <v>#N/A</v>
      </c>
      <c r="D417" s="122" t="e">
        <f t="shared" si="1029"/>
        <v>#N/A</v>
      </c>
      <c r="E417" s="122" t="e">
        <f t="shared" si="1029"/>
        <v>#N/A</v>
      </c>
      <c r="F417" s="176" t="e">
        <f t="shared" si="937"/>
        <v>#N/A</v>
      </c>
      <c r="G417" s="121">
        <f t="shared" si="958"/>
        <v>208</v>
      </c>
      <c r="H417" s="176" t="e">
        <f t="shared" si="959"/>
        <v>#N/A</v>
      </c>
      <c r="I417" s="48">
        <v>1</v>
      </c>
      <c r="J417" s="39"/>
      <c r="K417" s="350">
        <v>1</v>
      </c>
      <c r="L417" s="34" t="e">
        <f t="shared" si="938"/>
        <v>#N/A</v>
      </c>
      <c r="M417" s="38" t="e">
        <f>(HLOOKUP(J417,'Construction Times'!$B$3:$W$34,L417+2,FALSE)*HLOOKUP("hq modifier",'Construction Times'!$W$3:$W$34,BS417+2,FALSE))*(1-$H$9)</f>
        <v>#N/A</v>
      </c>
      <c r="N417" s="426" t="e">
        <f t="shared" si="960"/>
        <v>#N/A</v>
      </c>
      <c r="O417" s="427"/>
      <c r="P417" s="430" t="e">
        <f t="shared" si="961"/>
        <v>#N/A</v>
      </c>
      <c r="Q417" s="431"/>
      <c r="R417" s="103">
        <f t="shared" si="987"/>
        <v>0</v>
      </c>
      <c r="S417" s="104">
        <f t="shared" si="987"/>
        <v>0</v>
      </c>
      <c r="T417" s="104">
        <f t="shared" si="988"/>
        <v>0</v>
      </c>
      <c r="U417" s="104">
        <f t="shared" si="988"/>
        <v>0</v>
      </c>
      <c r="V417" s="104">
        <f t="shared" si="988"/>
        <v>9.9999999999999995E-8</v>
      </c>
      <c r="W417" s="104">
        <f t="shared" si="988"/>
        <v>0</v>
      </c>
      <c r="X417" s="104">
        <f t="shared" si="934"/>
        <v>0</v>
      </c>
      <c r="Y417" s="104">
        <f t="shared" si="934"/>
        <v>9.9999999999999995E-8</v>
      </c>
      <c r="Z417" s="104">
        <f t="shared" si="934"/>
        <v>9.9999999999999995E-8</v>
      </c>
      <c r="AA417" s="105">
        <f t="shared" si="934"/>
        <v>9.9999999999999995E-8</v>
      </c>
      <c r="AB417" s="101" t="e">
        <f>$DT417*HLOOKUP($J417,'Construction Costs (timber)'!$B$1:$V$32,'Construction Planner'!$L417+2,FALSE)</f>
        <v>#N/A</v>
      </c>
      <c r="AC417" s="14" t="e">
        <f>$DT417*HLOOKUP($J417,'Construction Costs (clay)'!$B$1:$V$32,'Construction Planner'!$L417+2,FALSE)</f>
        <v>#N/A</v>
      </c>
      <c r="AD417" s="14" t="e">
        <f>$DT417*HLOOKUP($J417,'Construction Costs (iron)'!$B$1:$V$32,'Construction Planner'!$L417+2,FALSE)</f>
        <v>#N/A</v>
      </c>
      <c r="AE417" s="34" t="e">
        <f t="shared" si="1000"/>
        <v>#N/A</v>
      </c>
      <c r="AF417" s="33" t="e">
        <f t="shared" si="939"/>
        <v>#N/A</v>
      </c>
      <c r="AG417" s="14" t="e">
        <f t="shared" si="940"/>
        <v>#N/A</v>
      </c>
      <c r="AH417" s="14" t="e">
        <f t="shared" si="941"/>
        <v>#N/A</v>
      </c>
      <c r="AI417" s="34" t="e">
        <f t="shared" si="1001"/>
        <v>#N/A</v>
      </c>
      <c r="AJ417" s="49" t="e">
        <f t="shared" si="962"/>
        <v>#N/A</v>
      </c>
      <c r="AK417" s="49" t="e">
        <f t="shared" si="963"/>
        <v>#N/A</v>
      </c>
      <c r="AL417" s="49" t="e">
        <f t="shared" si="964"/>
        <v>#N/A</v>
      </c>
      <c r="AM417" s="25">
        <f t="shared" si="942"/>
        <v>30</v>
      </c>
      <c r="AN417" s="25">
        <f t="shared" si="943"/>
        <v>30</v>
      </c>
      <c r="AO417" s="25">
        <f t="shared" si="944"/>
        <v>30</v>
      </c>
      <c r="AP417" s="52" t="e">
        <f t="shared" si="965"/>
        <v>#N/A</v>
      </c>
      <c r="AQ417" s="53" t="e">
        <f t="shared" si="965"/>
        <v>#N/A</v>
      </c>
      <c r="AR417" s="54" t="e">
        <f t="shared" si="965"/>
        <v>#N/A</v>
      </c>
      <c r="AS417" s="316">
        <f t="shared" si="1002"/>
        <v>0</v>
      </c>
      <c r="AT417" s="106">
        <f>_xlfn.IFNA($M417/VLOOKUP($BT417,'Unit information'!$A$2:$K$29,2,FALSE)*R417,0)*(1+$E$9)</f>
        <v>0</v>
      </c>
      <c r="AU417" s="107">
        <f>_xlfn.IFNA($M417/VLOOKUP($BT417,'Unit information'!$A$2:$K$29,3,FALSE)*S417,0)*(1+$E$9)</f>
        <v>0</v>
      </c>
      <c r="AV417" s="107">
        <f>_xlfn.IFNA($M417/VLOOKUP($BT417,'Unit information'!$A$2:$K$29,4,FALSE)*T417,0)*(1+$E$9)</f>
        <v>0</v>
      </c>
      <c r="AW417" s="107">
        <f>_xlfn.IFNA($M417/VLOOKUP($BT417,'Unit information'!$A$2:$K$29,5,FALSE)*U417,0)*(1+$E$9)</f>
        <v>0</v>
      </c>
      <c r="AX417" s="107">
        <f>_xlfn.IFNA($M417/VLOOKUP($BU417,'Unit information'!$A$2:$K$29,6,FALSE)*V417,0)*(1+$E$9)</f>
        <v>0</v>
      </c>
      <c r="AY417" s="107">
        <f>_xlfn.IFNA($M417/VLOOKUP($BU417,'Unit information'!$A$2:$K$29,7,FALSE)*W417,0)*(1+$E$9)</f>
        <v>0</v>
      </c>
      <c r="AZ417" s="107">
        <f>_xlfn.IFNA($M417/VLOOKUP($BU417,'Unit information'!$A$2:$K$29,8,FALSE)*X417,0)*(1+$E$9)</f>
        <v>0</v>
      </c>
      <c r="BA417" s="107">
        <f>_xlfn.IFNA($M417/VLOOKUP($BU417,'Unit information'!$A$2:$K$29,9,FALSE)*Y417,0)*(1+$E$9)</f>
        <v>0</v>
      </c>
      <c r="BB417" s="107">
        <f>_xlfn.IFNA($M417/VLOOKUP($BV417,'Unit information'!$A$2:$K$29,10,FALSE)*Z417,0)*(1+$E$9)</f>
        <v>0</v>
      </c>
      <c r="BC417" s="108">
        <f>_xlfn.IFNA($M417/VLOOKUP($BV417,'Unit information'!$A$2:$K$29,11,FALSE)*AA417,0)*(1+$E$9)</f>
        <v>0</v>
      </c>
      <c r="BD417" s="106">
        <f t="shared" si="945"/>
        <v>0</v>
      </c>
      <c r="BE417" s="107">
        <f t="shared" si="946"/>
        <v>0</v>
      </c>
      <c r="BF417" s="108">
        <f t="shared" si="947"/>
        <v>0</v>
      </c>
      <c r="BG417" s="25" t="e">
        <f t="shared" si="948"/>
        <v>#N/A</v>
      </c>
      <c r="BH417" s="25" t="e">
        <f t="shared" si="949"/>
        <v>#N/A</v>
      </c>
      <c r="BI417" s="25" t="e">
        <f t="shared" si="950"/>
        <v>#N/A</v>
      </c>
      <c r="BJ417" s="27" t="e">
        <f t="shared" si="951"/>
        <v>#N/A</v>
      </c>
      <c r="BK417" s="18" t="e">
        <f t="shared" si="952"/>
        <v>#N/A</v>
      </c>
      <c r="BL417" s="18" t="e">
        <f t="shared" si="953"/>
        <v>#N/A</v>
      </c>
      <c r="BM417" s="28" t="e">
        <f t="shared" si="1003"/>
        <v>#N/A</v>
      </c>
      <c r="BN417" s="33">
        <f>HLOOKUP("maximum population",Miscelaneous!$C$1:$C$33,CH417+3,FALSE)</f>
        <v>240</v>
      </c>
      <c r="BO417" s="14">
        <f t="shared" si="966"/>
        <v>32</v>
      </c>
      <c r="BP417" s="14">
        <f t="shared" si="967"/>
        <v>0</v>
      </c>
      <c r="BQ417" s="14">
        <f t="shared" si="968"/>
        <v>208</v>
      </c>
      <c r="BR417" s="34" t="e">
        <f>HLOOKUP(J417,Villagers!$B$1:$V$33,L417+3,FALSE)-HLOOKUP(J417,Villagers!$B$1:$V$33,L417+2,FALSE)</f>
        <v>#N/A</v>
      </c>
      <c r="BS417" s="49">
        <f t="shared" si="969"/>
        <v>1</v>
      </c>
      <c r="BT417" s="50">
        <f t="shared" si="970"/>
        <v>0</v>
      </c>
      <c r="BU417" s="50">
        <f t="shared" si="971"/>
        <v>0</v>
      </c>
      <c r="BV417" s="50">
        <f t="shared" si="972"/>
        <v>0</v>
      </c>
      <c r="BW417" s="50">
        <f t="shared" si="1028"/>
        <v>0</v>
      </c>
      <c r="BX417" s="50">
        <f t="shared" si="1028"/>
        <v>0</v>
      </c>
      <c r="BY417" s="50">
        <f t="shared" si="1028"/>
        <v>0</v>
      </c>
      <c r="BZ417" s="50">
        <f t="shared" si="1015"/>
        <v>0</v>
      </c>
      <c r="CA417" s="50">
        <f t="shared" si="1016"/>
        <v>0</v>
      </c>
      <c r="CB417" s="50">
        <f t="shared" si="1017"/>
        <v>1</v>
      </c>
      <c r="CC417" s="50">
        <f t="shared" si="1018"/>
        <v>0</v>
      </c>
      <c r="CD417" s="50">
        <f t="shared" si="1019"/>
        <v>0</v>
      </c>
      <c r="CE417" s="50">
        <f t="shared" si="1020"/>
        <v>1</v>
      </c>
      <c r="CF417" s="50">
        <f t="shared" si="1021"/>
        <v>1</v>
      </c>
      <c r="CG417" s="50">
        <f t="shared" si="1022"/>
        <v>1</v>
      </c>
      <c r="CH417" s="50">
        <f t="shared" si="1023"/>
        <v>1</v>
      </c>
      <c r="CI417" s="50">
        <f t="shared" si="1024"/>
        <v>1</v>
      </c>
      <c r="CJ417" s="50">
        <f t="shared" si="1025"/>
        <v>1</v>
      </c>
      <c r="CK417" s="50">
        <f t="shared" si="1025"/>
        <v>0</v>
      </c>
      <c r="CL417" s="50">
        <f t="shared" si="1025"/>
        <v>0</v>
      </c>
      <c r="CM417" s="51">
        <f t="shared" si="1026"/>
        <v>0</v>
      </c>
      <c r="CN417" s="33">
        <f>ROUND(IF(BS417=0,0,HLOOKUP(BS$14,Villagers!$B$1:$V$33,BS417+3,FALSE)),)</f>
        <v>5</v>
      </c>
      <c r="CO417" s="14">
        <f>ROUND(IF(BT417=0,0,HLOOKUP(BT$14,Villagers!$B$1:$V$33,BT417+3,FALSE)),)</f>
        <v>0</v>
      </c>
      <c r="CP417" s="14">
        <f>ROUND(IF(BU417=0,0,HLOOKUP(BU$14,Villagers!$B$1:$V$33,BU417+3,FALSE)),)</f>
        <v>0</v>
      </c>
      <c r="CQ417" s="14">
        <f>ROUND(IF(BV417=0,0,HLOOKUP(BV$14,Villagers!$B$1:$V$33,BV417+3,FALSE)),)</f>
        <v>0</v>
      </c>
      <c r="CR417" s="14">
        <f>ROUND(IF(BW417=0,0,HLOOKUP(BW$14,Villagers!$B$1:$V$33,BW417+3,FALSE)),)</f>
        <v>0</v>
      </c>
      <c r="CS417" s="14">
        <f>ROUND(IF(BX417=0,0,HLOOKUP(BX$14,Villagers!$B$1:$V$33,BX417+3,FALSE)),)</f>
        <v>0</v>
      </c>
      <c r="CT417" s="14">
        <f>ROUND(IF(BY417=0,0,HLOOKUP(BY$14,Villagers!$B$1:$V$33,BY417+3,FALSE)),)</f>
        <v>0</v>
      </c>
      <c r="CU417" s="14">
        <f>ROUND(IF(BZ417=0,0,HLOOKUP(BZ$14,Villagers!$B$1:$V$33,BZ417+3,FALSE)),)</f>
        <v>0</v>
      </c>
      <c r="CV417" s="14">
        <f>ROUND(IF(CA417=0,0,HLOOKUP(CA$14,Villagers!$B$1:$V$33,CA417+3,FALSE)),)</f>
        <v>0</v>
      </c>
      <c r="CW417" s="14">
        <f>ROUND(IF(CB417=0,0,HLOOKUP(CB$14,Villagers!$B$1:$V$33,CB417+3,FALSE)),)</f>
        <v>0</v>
      </c>
      <c r="CX417" s="14">
        <f>ROUND(IF(CC417=0,0,HLOOKUP(CC$14,Villagers!$B$1:$V$33,CC417+3,FALSE)),)</f>
        <v>0</v>
      </c>
      <c r="CY417" s="14">
        <f>ROUND(IF(CD417=0,0,HLOOKUP(CD$14,Villagers!$B$1:$V$33,CD417+3,FALSE)),)</f>
        <v>0</v>
      </c>
      <c r="CZ417" s="14">
        <f>ROUND(IF(CE417=0,0,HLOOKUP(CE$14,Villagers!$B$1:$V$33,CE417+3,FALSE)),)</f>
        <v>5</v>
      </c>
      <c r="DA417" s="14">
        <f>ROUND(IF(CF417=0,0,HLOOKUP(CF$14,Villagers!$B$1:$V$33,CF417+3,FALSE)),)</f>
        <v>10</v>
      </c>
      <c r="DB417" s="14">
        <f>ROUND(IF(CG417=0,0,HLOOKUP(CG$14,Villagers!$B$1:$V$33,CG417+3,FALSE)),)</f>
        <v>10</v>
      </c>
      <c r="DC417" s="14">
        <f>ROUND(IF(CH417=0,0,HLOOKUP(CH$14,Villagers!$B$1:$V$33,CH417+3,FALSE)),)</f>
        <v>0</v>
      </c>
      <c r="DD417" s="14">
        <f>ROUND(IF(CI417=0,0,HLOOKUP(CI$14,Villagers!$B$1:$V$33,CI417+3,FALSE)),)</f>
        <v>0</v>
      </c>
      <c r="DE417" s="14">
        <f>ROUND(IF(CJ417=0,0,HLOOKUP(CJ$14,Villagers!$B$1:$V$33,CJ417+3,FALSE)),)</f>
        <v>2</v>
      </c>
      <c r="DF417" s="370">
        <f>ROUND(IF(CK417=0,0,HLOOKUP(CK$14,Villagers!$B$1:$V$33,CK417+3,FALSE)),)</f>
        <v>0</v>
      </c>
      <c r="DG417" s="370">
        <f>ROUND(IF(CL417=0,0,HLOOKUP(CL$14,Villagers!$B$1:$V$33,CL417+3,FALSE)),)</f>
        <v>0</v>
      </c>
      <c r="DH417" s="34">
        <f>ROUND(IF(CM417=0,0,HLOOKUP(CM$14,Villagers!$B$1:$V$33,CM417+3,FALSE)),)</f>
        <v>0</v>
      </c>
      <c r="DI417" s="109">
        <f t="shared" si="989"/>
        <v>0</v>
      </c>
      <c r="DJ417" s="50">
        <f t="shared" si="990"/>
        <v>0</v>
      </c>
      <c r="DK417" s="50">
        <f t="shared" si="991"/>
        <v>0</v>
      </c>
      <c r="DL417" s="50">
        <f t="shared" si="992"/>
        <v>0</v>
      </c>
      <c r="DM417" s="50">
        <f t="shared" si="993"/>
        <v>0</v>
      </c>
      <c r="DN417" s="50">
        <f t="shared" si="994"/>
        <v>0</v>
      </c>
      <c r="DO417" s="50">
        <f t="shared" si="995"/>
        <v>0</v>
      </c>
      <c r="DP417" s="50">
        <f t="shared" si="996"/>
        <v>0</v>
      </c>
      <c r="DQ417" s="50">
        <f t="shared" si="973"/>
        <v>0</v>
      </c>
      <c r="DR417" s="50">
        <f t="shared" si="974"/>
        <v>0</v>
      </c>
      <c r="DS417" s="96">
        <f>Miscelaneous!$D$4*Miscelaneous!$D$2^($CI417-1)</f>
        <v>1000</v>
      </c>
      <c r="DT417" s="333">
        <f t="shared" si="955"/>
        <v>1</v>
      </c>
      <c r="DU417" s="81">
        <v>1</v>
      </c>
      <c r="DV417" s="79">
        <f t="shared" si="975"/>
        <v>0</v>
      </c>
      <c r="DW417" s="79">
        <f t="shared" si="976"/>
        <v>0</v>
      </c>
      <c r="DX417" s="79">
        <f t="shared" si="977"/>
        <v>0</v>
      </c>
      <c r="DY417" s="79">
        <v>1</v>
      </c>
      <c r="DZ417" s="79">
        <f t="shared" si="978"/>
        <v>0</v>
      </c>
      <c r="EA417" s="79">
        <f t="shared" si="979"/>
        <v>0</v>
      </c>
      <c r="EB417" s="79">
        <f t="shared" si="980"/>
        <v>0</v>
      </c>
      <c r="EC417" s="79">
        <f t="shared" si="981"/>
        <v>0</v>
      </c>
      <c r="ED417" s="79">
        <v>1</v>
      </c>
      <c r="EE417" s="79">
        <v>1</v>
      </c>
      <c r="EF417" s="79">
        <f t="shared" si="982"/>
        <v>0</v>
      </c>
      <c r="EG417" s="79">
        <v>1</v>
      </c>
      <c r="EH417" s="79">
        <v>1</v>
      </c>
      <c r="EI417" s="79">
        <v>1</v>
      </c>
      <c r="EJ417" s="79">
        <v>1</v>
      </c>
      <c r="EK417" s="79">
        <v>1</v>
      </c>
      <c r="EL417" s="79">
        <v>1</v>
      </c>
      <c r="EM417" s="143">
        <f t="shared" si="983"/>
        <v>0</v>
      </c>
      <c r="EN417" s="143">
        <f t="shared" si="984"/>
        <v>0</v>
      </c>
      <c r="EO417" s="82">
        <f t="shared" si="985"/>
        <v>0</v>
      </c>
    </row>
    <row r="418" spans="1:145" x14ac:dyDescent="0.25">
      <c r="A418">
        <v>404</v>
      </c>
      <c r="B418" s="172" t="e">
        <f t="shared" si="956"/>
        <v>#N/A</v>
      </c>
      <c r="C418" s="121" t="e">
        <f t="shared" ref="C418:E418" si="1030">AJ418-SUM(AB418:AB422)</f>
        <v>#N/A</v>
      </c>
      <c r="D418" s="122" t="e">
        <f t="shared" si="1030"/>
        <v>#N/A</v>
      </c>
      <c r="E418" s="122" t="e">
        <f t="shared" si="1030"/>
        <v>#N/A</v>
      </c>
      <c r="F418" s="176" t="e">
        <f t="shared" si="937"/>
        <v>#N/A</v>
      </c>
      <c r="G418" s="121">
        <f t="shared" si="958"/>
        <v>208</v>
      </c>
      <c r="H418" s="176" t="e">
        <f t="shared" si="959"/>
        <v>#N/A</v>
      </c>
      <c r="I418" s="48">
        <v>1</v>
      </c>
      <c r="J418" s="39"/>
      <c r="K418" s="350">
        <v>1</v>
      </c>
      <c r="L418" s="34" t="e">
        <f t="shared" si="938"/>
        <v>#N/A</v>
      </c>
      <c r="M418" s="38" t="e">
        <f>(HLOOKUP(J418,'Construction Times'!$B$3:$W$34,L418+2,FALSE)*HLOOKUP("hq modifier",'Construction Times'!$W$3:$W$34,BS418+2,FALSE))*(1-$H$9)</f>
        <v>#N/A</v>
      </c>
      <c r="N418" s="426" t="e">
        <f t="shared" si="960"/>
        <v>#N/A</v>
      </c>
      <c r="O418" s="427"/>
      <c r="P418" s="430" t="e">
        <f t="shared" si="961"/>
        <v>#N/A</v>
      </c>
      <c r="Q418" s="431"/>
      <c r="R418" s="103">
        <f t="shared" si="987"/>
        <v>0</v>
      </c>
      <c r="S418" s="104">
        <f t="shared" si="987"/>
        <v>0</v>
      </c>
      <c r="T418" s="104">
        <f t="shared" si="988"/>
        <v>0</v>
      </c>
      <c r="U418" s="104">
        <f t="shared" si="988"/>
        <v>0</v>
      </c>
      <c r="V418" s="104">
        <f t="shared" si="988"/>
        <v>9.9999999999999995E-8</v>
      </c>
      <c r="W418" s="104">
        <f t="shared" si="988"/>
        <v>0</v>
      </c>
      <c r="X418" s="104">
        <f t="shared" si="934"/>
        <v>0</v>
      </c>
      <c r="Y418" s="104">
        <f t="shared" si="934"/>
        <v>9.9999999999999995E-8</v>
      </c>
      <c r="Z418" s="104">
        <f t="shared" si="934"/>
        <v>9.9999999999999995E-8</v>
      </c>
      <c r="AA418" s="105">
        <f t="shared" si="934"/>
        <v>9.9999999999999995E-8</v>
      </c>
      <c r="AB418" s="101" t="e">
        <f>$DT418*HLOOKUP($J418,'Construction Costs (timber)'!$B$1:$V$32,'Construction Planner'!$L418+2,FALSE)</f>
        <v>#N/A</v>
      </c>
      <c r="AC418" s="14" t="e">
        <f>$DT418*HLOOKUP($J418,'Construction Costs (clay)'!$B$1:$V$32,'Construction Planner'!$L418+2,FALSE)</f>
        <v>#N/A</v>
      </c>
      <c r="AD418" s="14" t="e">
        <f>$DT418*HLOOKUP($J418,'Construction Costs (iron)'!$B$1:$V$32,'Construction Planner'!$L418+2,FALSE)</f>
        <v>#N/A</v>
      </c>
      <c r="AE418" s="34" t="e">
        <f t="shared" si="1000"/>
        <v>#N/A</v>
      </c>
      <c r="AF418" s="33" t="e">
        <f t="shared" si="939"/>
        <v>#N/A</v>
      </c>
      <c r="AG418" s="14" t="e">
        <f t="shared" si="940"/>
        <v>#N/A</v>
      </c>
      <c r="AH418" s="14" t="e">
        <f t="shared" si="941"/>
        <v>#N/A</v>
      </c>
      <c r="AI418" s="34" t="e">
        <f t="shared" si="1001"/>
        <v>#N/A</v>
      </c>
      <c r="AJ418" s="49" t="e">
        <f t="shared" si="962"/>
        <v>#N/A</v>
      </c>
      <c r="AK418" s="49" t="e">
        <f t="shared" si="963"/>
        <v>#N/A</v>
      </c>
      <c r="AL418" s="49" t="e">
        <f t="shared" si="964"/>
        <v>#N/A</v>
      </c>
      <c r="AM418" s="25">
        <f t="shared" si="942"/>
        <v>30</v>
      </c>
      <c r="AN418" s="25">
        <f t="shared" si="943"/>
        <v>30</v>
      </c>
      <c r="AO418" s="25">
        <f t="shared" si="944"/>
        <v>30</v>
      </c>
      <c r="AP418" s="52" t="e">
        <f t="shared" si="965"/>
        <v>#N/A</v>
      </c>
      <c r="AQ418" s="53" t="e">
        <f t="shared" si="965"/>
        <v>#N/A</v>
      </c>
      <c r="AR418" s="54" t="e">
        <f t="shared" si="965"/>
        <v>#N/A</v>
      </c>
      <c r="AS418" s="316">
        <f t="shared" si="1002"/>
        <v>0</v>
      </c>
      <c r="AT418" s="106">
        <f>_xlfn.IFNA($M418/VLOOKUP($BT418,'Unit information'!$A$2:$K$29,2,FALSE)*R418,0)*(1+$E$9)</f>
        <v>0</v>
      </c>
      <c r="AU418" s="107">
        <f>_xlfn.IFNA($M418/VLOOKUP($BT418,'Unit information'!$A$2:$K$29,3,FALSE)*S418,0)*(1+$E$9)</f>
        <v>0</v>
      </c>
      <c r="AV418" s="107">
        <f>_xlfn.IFNA($M418/VLOOKUP($BT418,'Unit information'!$A$2:$K$29,4,FALSE)*T418,0)*(1+$E$9)</f>
        <v>0</v>
      </c>
      <c r="AW418" s="107">
        <f>_xlfn.IFNA($M418/VLOOKUP($BT418,'Unit information'!$A$2:$K$29,5,FALSE)*U418,0)*(1+$E$9)</f>
        <v>0</v>
      </c>
      <c r="AX418" s="107">
        <f>_xlfn.IFNA($M418/VLOOKUP($BU418,'Unit information'!$A$2:$K$29,6,FALSE)*V418,0)*(1+$E$9)</f>
        <v>0</v>
      </c>
      <c r="AY418" s="107">
        <f>_xlfn.IFNA($M418/VLOOKUP($BU418,'Unit information'!$A$2:$K$29,7,FALSE)*W418,0)*(1+$E$9)</f>
        <v>0</v>
      </c>
      <c r="AZ418" s="107">
        <f>_xlfn.IFNA($M418/VLOOKUP($BU418,'Unit information'!$A$2:$K$29,8,FALSE)*X418,0)*(1+$E$9)</f>
        <v>0</v>
      </c>
      <c r="BA418" s="107">
        <f>_xlfn.IFNA($M418/VLOOKUP($BU418,'Unit information'!$A$2:$K$29,9,FALSE)*Y418,0)*(1+$E$9)</f>
        <v>0</v>
      </c>
      <c r="BB418" s="107">
        <f>_xlfn.IFNA($M418/VLOOKUP($BV418,'Unit information'!$A$2:$K$29,10,FALSE)*Z418,0)*(1+$E$9)</f>
        <v>0</v>
      </c>
      <c r="BC418" s="108">
        <f>_xlfn.IFNA($M418/VLOOKUP($BV418,'Unit information'!$A$2:$K$29,11,FALSE)*AA418,0)*(1+$E$9)</f>
        <v>0</v>
      </c>
      <c r="BD418" s="106">
        <f t="shared" si="945"/>
        <v>0</v>
      </c>
      <c r="BE418" s="107">
        <f t="shared" si="946"/>
        <v>0</v>
      </c>
      <c r="BF418" s="108">
        <f t="shared" si="947"/>
        <v>0</v>
      </c>
      <c r="BG418" s="25" t="e">
        <f t="shared" si="948"/>
        <v>#N/A</v>
      </c>
      <c r="BH418" s="25" t="e">
        <f t="shared" si="949"/>
        <v>#N/A</v>
      </c>
      <c r="BI418" s="25" t="e">
        <f t="shared" si="950"/>
        <v>#N/A</v>
      </c>
      <c r="BJ418" s="27" t="e">
        <f t="shared" si="951"/>
        <v>#N/A</v>
      </c>
      <c r="BK418" s="18" t="e">
        <f t="shared" si="952"/>
        <v>#N/A</v>
      </c>
      <c r="BL418" s="18" t="e">
        <f t="shared" si="953"/>
        <v>#N/A</v>
      </c>
      <c r="BM418" s="28" t="e">
        <f t="shared" si="1003"/>
        <v>#N/A</v>
      </c>
      <c r="BN418" s="33">
        <f>HLOOKUP("maximum population",Miscelaneous!$C$1:$C$33,CH418+3,FALSE)</f>
        <v>240</v>
      </c>
      <c r="BO418" s="14">
        <f t="shared" si="966"/>
        <v>32</v>
      </c>
      <c r="BP418" s="14">
        <f t="shared" si="967"/>
        <v>0</v>
      </c>
      <c r="BQ418" s="14">
        <f t="shared" si="968"/>
        <v>208</v>
      </c>
      <c r="BR418" s="34" t="e">
        <f>HLOOKUP(J418,Villagers!$B$1:$V$33,L418+3,FALSE)-HLOOKUP(J418,Villagers!$B$1:$V$33,L418+2,FALSE)</f>
        <v>#N/A</v>
      </c>
      <c r="BS418" s="49">
        <f t="shared" si="969"/>
        <v>1</v>
      </c>
      <c r="BT418" s="50">
        <f t="shared" si="970"/>
        <v>0</v>
      </c>
      <c r="BU418" s="50">
        <f t="shared" si="971"/>
        <v>0</v>
      </c>
      <c r="BV418" s="50">
        <f t="shared" si="972"/>
        <v>0</v>
      </c>
      <c r="BW418" s="50">
        <f t="shared" si="1028"/>
        <v>0</v>
      </c>
      <c r="BX418" s="50">
        <f t="shared" si="1028"/>
        <v>0</v>
      </c>
      <c r="BY418" s="50">
        <f t="shared" si="1028"/>
        <v>0</v>
      </c>
      <c r="BZ418" s="50">
        <f t="shared" si="1015"/>
        <v>0</v>
      </c>
      <c r="CA418" s="50">
        <f t="shared" si="1016"/>
        <v>0</v>
      </c>
      <c r="CB418" s="50">
        <f t="shared" si="1017"/>
        <v>1</v>
      </c>
      <c r="CC418" s="50">
        <f t="shared" si="1018"/>
        <v>0</v>
      </c>
      <c r="CD418" s="50">
        <f t="shared" si="1019"/>
        <v>0</v>
      </c>
      <c r="CE418" s="50">
        <f t="shared" si="1020"/>
        <v>1</v>
      </c>
      <c r="CF418" s="50">
        <f t="shared" si="1021"/>
        <v>1</v>
      </c>
      <c r="CG418" s="50">
        <f t="shared" si="1022"/>
        <v>1</v>
      </c>
      <c r="CH418" s="50">
        <f t="shared" si="1023"/>
        <v>1</v>
      </c>
      <c r="CI418" s="50">
        <f t="shared" si="1024"/>
        <v>1</v>
      </c>
      <c r="CJ418" s="50">
        <f t="shared" si="1025"/>
        <v>1</v>
      </c>
      <c r="CK418" s="50">
        <f t="shared" si="1025"/>
        <v>0</v>
      </c>
      <c r="CL418" s="50">
        <f t="shared" si="1025"/>
        <v>0</v>
      </c>
      <c r="CM418" s="51">
        <f t="shared" si="1026"/>
        <v>0</v>
      </c>
      <c r="CN418" s="33">
        <f>ROUND(IF(BS418=0,0,HLOOKUP(BS$14,Villagers!$B$1:$V$33,BS418+3,FALSE)),)</f>
        <v>5</v>
      </c>
      <c r="CO418" s="14">
        <f>ROUND(IF(BT418=0,0,HLOOKUP(BT$14,Villagers!$B$1:$V$33,BT418+3,FALSE)),)</f>
        <v>0</v>
      </c>
      <c r="CP418" s="14">
        <f>ROUND(IF(BU418=0,0,HLOOKUP(BU$14,Villagers!$B$1:$V$33,BU418+3,FALSE)),)</f>
        <v>0</v>
      </c>
      <c r="CQ418" s="14">
        <f>ROUND(IF(BV418=0,0,HLOOKUP(BV$14,Villagers!$B$1:$V$33,BV418+3,FALSE)),)</f>
        <v>0</v>
      </c>
      <c r="CR418" s="14">
        <f>ROUND(IF(BW418=0,0,HLOOKUP(BW$14,Villagers!$B$1:$V$33,BW418+3,FALSE)),)</f>
        <v>0</v>
      </c>
      <c r="CS418" s="14">
        <f>ROUND(IF(BX418=0,0,HLOOKUP(BX$14,Villagers!$B$1:$V$33,BX418+3,FALSE)),)</f>
        <v>0</v>
      </c>
      <c r="CT418" s="14">
        <f>ROUND(IF(BY418=0,0,HLOOKUP(BY$14,Villagers!$B$1:$V$33,BY418+3,FALSE)),)</f>
        <v>0</v>
      </c>
      <c r="CU418" s="14">
        <f>ROUND(IF(BZ418=0,0,HLOOKUP(BZ$14,Villagers!$B$1:$V$33,BZ418+3,FALSE)),)</f>
        <v>0</v>
      </c>
      <c r="CV418" s="14">
        <f>ROUND(IF(CA418=0,0,HLOOKUP(CA$14,Villagers!$B$1:$V$33,CA418+3,FALSE)),)</f>
        <v>0</v>
      </c>
      <c r="CW418" s="14">
        <f>ROUND(IF(CB418=0,0,HLOOKUP(CB$14,Villagers!$B$1:$V$33,CB418+3,FALSE)),)</f>
        <v>0</v>
      </c>
      <c r="CX418" s="14">
        <f>ROUND(IF(CC418=0,0,HLOOKUP(CC$14,Villagers!$B$1:$V$33,CC418+3,FALSE)),)</f>
        <v>0</v>
      </c>
      <c r="CY418" s="14">
        <f>ROUND(IF(CD418=0,0,HLOOKUP(CD$14,Villagers!$B$1:$V$33,CD418+3,FALSE)),)</f>
        <v>0</v>
      </c>
      <c r="CZ418" s="14">
        <f>ROUND(IF(CE418=0,0,HLOOKUP(CE$14,Villagers!$B$1:$V$33,CE418+3,FALSE)),)</f>
        <v>5</v>
      </c>
      <c r="DA418" s="14">
        <f>ROUND(IF(CF418=0,0,HLOOKUP(CF$14,Villagers!$B$1:$V$33,CF418+3,FALSE)),)</f>
        <v>10</v>
      </c>
      <c r="DB418" s="14">
        <f>ROUND(IF(CG418=0,0,HLOOKUP(CG$14,Villagers!$B$1:$V$33,CG418+3,FALSE)),)</f>
        <v>10</v>
      </c>
      <c r="DC418" s="14">
        <f>ROUND(IF(CH418=0,0,HLOOKUP(CH$14,Villagers!$B$1:$V$33,CH418+3,FALSE)),)</f>
        <v>0</v>
      </c>
      <c r="DD418" s="14">
        <f>ROUND(IF(CI418=0,0,HLOOKUP(CI$14,Villagers!$B$1:$V$33,CI418+3,FALSE)),)</f>
        <v>0</v>
      </c>
      <c r="DE418" s="14">
        <f>ROUND(IF(CJ418=0,0,HLOOKUP(CJ$14,Villagers!$B$1:$V$33,CJ418+3,FALSE)),)</f>
        <v>2</v>
      </c>
      <c r="DF418" s="370">
        <f>ROUND(IF(CK418=0,0,HLOOKUP(CK$14,Villagers!$B$1:$V$33,CK418+3,FALSE)),)</f>
        <v>0</v>
      </c>
      <c r="DG418" s="370">
        <f>ROUND(IF(CL418=0,0,HLOOKUP(CL$14,Villagers!$B$1:$V$33,CL418+3,FALSE)),)</f>
        <v>0</v>
      </c>
      <c r="DH418" s="34">
        <f>ROUND(IF(CM418=0,0,HLOOKUP(CM$14,Villagers!$B$1:$V$33,CM418+3,FALSE)),)</f>
        <v>0</v>
      </c>
      <c r="DI418" s="109">
        <f t="shared" si="989"/>
        <v>0</v>
      </c>
      <c r="DJ418" s="50">
        <f t="shared" si="990"/>
        <v>0</v>
      </c>
      <c r="DK418" s="50">
        <f t="shared" si="991"/>
        <v>0</v>
      </c>
      <c r="DL418" s="50">
        <f t="shared" si="992"/>
        <v>0</v>
      </c>
      <c r="DM418" s="50">
        <f t="shared" si="993"/>
        <v>0</v>
      </c>
      <c r="DN418" s="50">
        <f t="shared" si="994"/>
        <v>0</v>
      </c>
      <c r="DO418" s="50">
        <f t="shared" si="995"/>
        <v>0</v>
      </c>
      <c r="DP418" s="50">
        <f t="shared" si="996"/>
        <v>0</v>
      </c>
      <c r="DQ418" s="50">
        <f t="shared" si="973"/>
        <v>0</v>
      </c>
      <c r="DR418" s="50">
        <f t="shared" si="974"/>
        <v>0</v>
      </c>
      <c r="DS418" s="96">
        <f>Miscelaneous!$D$4*Miscelaneous!$D$2^($CI418-1)</f>
        <v>1000</v>
      </c>
      <c r="DT418" s="333">
        <f t="shared" si="955"/>
        <v>1</v>
      </c>
      <c r="DU418" s="81">
        <v>1</v>
      </c>
      <c r="DV418" s="79">
        <f t="shared" si="975"/>
        <v>0</v>
      </c>
      <c r="DW418" s="79">
        <f t="shared" si="976"/>
        <v>0</v>
      </c>
      <c r="DX418" s="79">
        <f t="shared" si="977"/>
        <v>0</v>
      </c>
      <c r="DY418" s="79">
        <v>1</v>
      </c>
      <c r="DZ418" s="79">
        <f t="shared" si="978"/>
        <v>0</v>
      </c>
      <c r="EA418" s="79">
        <f t="shared" si="979"/>
        <v>0</v>
      </c>
      <c r="EB418" s="79">
        <f t="shared" si="980"/>
        <v>0</v>
      </c>
      <c r="EC418" s="79">
        <f t="shared" si="981"/>
        <v>0</v>
      </c>
      <c r="ED418" s="79">
        <v>1</v>
      </c>
      <c r="EE418" s="79">
        <v>1</v>
      </c>
      <c r="EF418" s="79">
        <f t="shared" si="982"/>
        <v>0</v>
      </c>
      <c r="EG418" s="79">
        <v>1</v>
      </c>
      <c r="EH418" s="79">
        <v>1</v>
      </c>
      <c r="EI418" s="79">
        <v>1</v>
      </c>
      <c r="EJ418" s="79">
        <v>1</v>
      </c>
      <c r="EK418" s="79">
        <v>1</v>
      </c>
      <c r="EL418" s="79">
        <v>1</v>
      </c>
      <c r="EM418" s="143">
        <f t="shared" si="983"/>
        <v>0</v>
      </c>
      <c r="EN418" s="143">
        <f t="shared" si="984"/>
        <v>0</v>
      </c>
      <c r="EO418" s="82">
        <f t="shared" si="985"/>
        <v>0</v>
      </c>
    </row>
    <row r="419" spans="1:145" x14ac:dyDescent="0.25">
      <c r="A419">
        <v>405</v>
      </c>
      <c r="B419" s="172" t="e">
        <f t="shared" si="956"/>
        <v>#N/A</v>
      </c>
      <c r="C419" s="121" t="e">
        <f t="shared" ref="C419:E419" si="1031">AJ419-SUM(AB419:AB423)</f>
        <v>#N/A</v>
      </c>
      <c r="D419" s="122" t="e">
        <f t="shared" si="1031"/>
        <v>#N/A</v>
      </c>
      <c r="E419" s="122" t="e">
        <f t="shared" si="1031"/>
        <v>#N/A</v>
      </c>
      <c r="F419" s="176" t="e">
        <f t="shared" si="937"/>
        <v>#N/A</v>
      </c>
      <c r="G419" s="121">
        <f t="shared" si="958"/>
        <v>208</v>
      </c>
      <c r="H419" s="176" t="e">
        <f t="shared" si="959"/>
        <v>#N/A</v>
      </c>
      <c r="I419" s="48">
        <v>1</v>
      </c>
      <c r="J419" s="39"/>
      <c r="K419" s="350">
        <v>1</v>
      </c>
      <c r="L419" s="34" t="e">
        <f t="shared" si="938"/>
        <v>#N/A</v>
      </c>
      <c r="M419" s="38" t="e">
        <f>(HLOOKUP(J419,'Construction Times'!$B$3:$W$34,L419+2,FALSE)*HLOOKUP("hq modifier",'Construction Times'!$W$3:$W$34,BS419+2,FALSE))*(1-$H$9)</f>
        <v>#N/A</v>
      </c>
      <c r="N419" s="426" t="e">
        <f t="shared" si="960"/>
        <v>#N/A</v>
      </c>
      <c r="O419" s="427"/>
      <c r="P419" s="430" t="e">
        <f t="shared" si="961"/>
        <v>#N/A</v>
      </c>
      <c r="Q419" s="431"/>
      <c r="R419" s="103">
        <f t="shared" si="987"/>
        <v>0</v>
      </c>
      <c r="S419" s="104">
        <f t="shared" si="987"/>
        <v>0</v>
      </c>
      <c r="T419" s="104">
        <f t="shared" si="988"/>
        <v>0</v>
      </c>
      <c r="U419" s="104">
        <f t="shared" si="988"/>
        <v>0</v>
      </c>
      <c r="V419" s="104">
        <f t="shared" si="988"/>
        <v>9.9999999999999995E-8</v>
      </c>
      <c r="W419" s="104">
        <f t="shared" si="988"/>
        <v>0</v>
      </c>
      <c r="X419" s="104">
        <f t="shared" si="934"/>
        <v>0</v>
      </c>
      <c r="Y419" s="104">
        <f t="shared" si="934"/>
        <v>9.9999999999999995E-8</v>
      </c>
      <c r="Z419" s="104">
        <f t="shared" si="934"/>
        <v>9.9999999999999995E-8</v>
      </c>
      <c r="AA419" s="105">
        <f t="shared" si="934"/>
        <v>9.9999999999999995E-8</v>
      </c>
      <c r="AB419" s="101" t="e">
        <f>$DT419*HLOOKUP($J419,'Construction Costs (timber)'!$B$1:$V$32,'Construction Planner'!$L419+2,FALSE)</f>
        <v>#N/A</v>
      </c>
      <c r="AC419" s="14" t="e">
        <f>$DT419*HLOOKUP($J419,'Construction Costs (clay)'!$B$1:$V$32,'Construction Planner'!$L419+2,FALSE)</f>
        <v>#N/A</v>
      </c>
      <c r="AD419" s="14" t="e">
        <f>$DT419*HLOOKUP($J419,'Construction Costs (iron)'!$B$1:$V$32,'Construction Planner'!$L419+2,FALSE)</f>
        <v>#N/A</v>
      </c>
      <c r="AE419" s="34" t="e">
        <f t="shared" si="1000"/>
        <v>#N/A</v>
      </c>
      <c r="AF419" s="33" t="e">
        <f t="shared" si="939"/>
        <v>#N/A</v>
      </c>
      <c r="AG419" s="14" t="e">
        <f t="shared" si="940"/>
        <v>#N/A</v>
      </c>
      <c r="AH419" s="14" t="e">
        <f t="shared" si="941"/>
        <v>#N/A</v>
      </c>
      <c r="AI419" s="34" t="e">
        <f t="shared" si="1001"/>
        <v>#N/A</v>
      </c>
      <c r="AJ419" s="49" t="e">
        <f t="shared" si="962"/>
        <v>#N/A</v>
      </c>
      <c r="AK419" s="49" t="e">
        <f t="shared" si="963"/>
        <v>#N/A</v>
      </c>
      <c r="AL419" s="49" t="e">
        <f t="shared" si="964"/>
        <v>#N/A</v>
      </c>
      <c r="AM419" s="25">
        <f t="shared" si="942"/>
        <v>30</v>
      </c>
      <c r="AN419" s="25">
        <f t="shared" si="943"/>
        <v>30</v>
      </c>
      <c r="AO419" s="25">
        <f t="shared" si="944"/>
        <v>30</v>
      </c>
      <c r="AP419" s="52" t="e">
        <f t="shared" si="965"/>
        <v>#N/A</v>
      </c>
      <c r="AQ419" s="53" t="e">
        <f t="shared" si="965"/>
        <v>#N/A</v>
      </c>
      <c r="AR419" s="54" t="e">
        <f t="shared" si="965"/>
        <v>#N/A</v>
      </c>
      <c r="AS419" s="316">
        <f t="shared" si="1002"/>
        <v>0</v>
      </c>
      <c r="AT419" s="106">
        <f>_xlfn.IFNA($M419/VLOOKUP($BT419,'Unit information'!$A$2:$K$29,2,FALSE)*R419,0)*(1+$E$9)</f>
        <v>0</v>
      </c>
      <c r="AU419" s="107">
        <f>_xlfn.IFNA($M419/VLOOKUP($BT419,'Unit information'!$A$2:$K$29,3,FALSE)*S419,0)*(1+$E$9)</f>
        <v>0</v>
      </c>
      <c r="AV419" s="107">
        <f>_xlfn.IFNA($M419/VLOOKUP($BT419,'Unit information'!$A$2:$K$29,4,FALSE)*T419,0)*(1+$E$9)</f>
        <v>0</v>
      </c>
      <c r="AW419" s="107">
        <f>_xlfn.IFNA($M419/VLOOKUP($BT419,'Unit information'!$A$2:$K$29,5,FALSE)*U419,0)*(1+$E$9)</f>
        <v>0</v>
      </c>
      <c r="AX419" s="107">
        <f>_xlfn.IFNA($M419/VLOOKUP($BU419,'Unit information'!$A$2:$K$29,6,FALSE)*V419,0)*(1+$E$9)</f>
        <v>0</v>
      </c>
      <c r="AY419" s="107">
        <f>_xlfn.IFNA($M419/VLOOKUP($BU419,'Unit information'!$A$2:$K$29,7,FALSE)*W419,0)*(1+$E$9)</f>
        <v>0</v>
      </c>
      <c r="AZ419" s="107">
        <f>_xlfn.IFNA($M419/VLOOKUP($BU419,'Unit information'!$A$2:$K$29,8,FALSE)*X419,0)*(1+$E$9)</f>
        <v>0</v>
      </c>
      <c r="BA419" s="107">
        <f>_xlfn.IFNA($M419/VLOOKUP($BU419,'Unit information'!$A$2:$K$29,9,FALSE)*Y419,0)*(1+$E$9)</f>
        <v>0</v>
      </c>
      <c r="BB419" s="107">
        <f>_xlfn.IFNA($M419/VLOOKUP($BV419,'Unit information'!$A$2:$K$29,10,FALSE)*Z419,0)*(1+$E$9)</f>
        <v>0</v>
      </c>
      <c r="BC419" s="108">
        <f>_xlfn.IFNA($M419/VLOOKUP($BV419,'Unit information'!$A$2:$K$29,11,FALSE)*AA419,0)*(1+$E$9)</f>
        <v>0</v>
      </c>
      <c r="BD419" s="106">
        <f t="shared" si="945"/>
        <v>0</v>
      </c>
      <c r="BE419" s="107">
        <f t="shared" si="946"/>
        <v>0</v>
      </c>
      <c r="BF419" s="108">
        <f t="shared" si="947"/>
        <v>0</v>
      </c>
      <c r="BG419" s="25" t="e">
        <f t="shared" si="948"/>
        <v>#N/A</v>
      </c>
      <c r="BH419" s="25" t="e">
        <f t="shared" si="949"/>
        <v>#N/A</v>
      </c>
      <c r="BI419" s="25" t="e">
        <f t="shared" si="950"/>
        <v>#N/A</v>
      </c>
      <c r="BJ419" s="27" t="e">
        <f t="shared" si="951"/>
        <v>#N/A</v>
      </c>
      <c r="BK419" s="18" t="e">
        <f t="shared" si="952"/>
        <v>#N/A</v>
      </c>
      <c r="BL419" s="18" t="e">
        <f t="shared" si="953"/>
        <v>#N/A</v>
      </c>
      <c r="BM419" s="28" t="e">
        <f t="shared" si="1003"/>
        <v>#N/A</v>
      </c>
      <c r="BN419" s="33">
        <f>HLOOKUP("maximum population",Miscelaneous!$C$1:$C$33,CH419+3,FALSE)</f>
        <v>240</v>
      </c>
      <c r="BO419" s="14">
        <f t="shared" si="966"/>
        <v>32</v>
      </c>
      <c r="BP419" s="14">
        <f t="shared" si="967"/>
        <v>0</v>
      </c>
      <c r="BQ419" s="14">
        <f t="shared" si="968"/>
        <v>208</v>
      </c>
      <c r="BR419" s="34" t="e">
        <f>HLOOKUP(J419,Villagers!$B$1:$V$33,L419+3,FALSE)-HLOOKUP(J419,Villagers!$B$1:$V$33,L419+2,FALSE)</f>
        <v>#N/A</v>
      </c>
      <c r="BS419" s="49">
        <f t="shared" si="969"/>
        <v>1</v>
      </c>
      <c r="BT419" s="50">
        <f t="shared" si="970"/>
        <v>0</v>
      </c>
      <c r="BU419" s="50">
        <f t="shared" si="971"/>
        <v>0</v>
      </c>
      <c r="BV419" s="50">
        <f t="shared" si="972"/>
        <v>0</v>
      </c>
      <c r="BW419" s="50">
        <f t="shared" si="1028"/>
        <v>0</v>
      </c>
      <c r="BX419" s="50">
        <f t="shared" si="1028"/>
        <v>0</v>
      </c>
      <c r="BY419" s="50">
        <f t="shared" si="1028"/>
        <v>0</v>
      </c>
      <c r="BZ419" s="50">
        <f t="shared" si="1015"/>
        <v>0</v>
      </c>
      <c r="CA419" s="50">
        <f t="shared" si="1016"/>
        <v>0</v>
      </c>
      <c r="CB419" s="50">
        <f t="shared" si="1017"/>
        <v>1</v>
      </c>
      <c r="CC419" s="50">
        <f t="shared" si="1018"/>
        <v>0</v>
      </c>
      <c r="CD419" s="50">
        <f t="shared" si="1019"/>
        <v>0</v>
      </c>
      <c r="CE419" s="50">
        <f t="shared" si="1020"/>
        <v>1</v>
      </c>
      <c r="CF419" s="50">
        <f t="shared" si="1021"/>
        <v>1</v>
      </c>
      <c r="CG419" s="50">
        <f t="shared" si="1022"/>
        <v>1</v>
      </c>
      <c r="CH419" s="50">
        <f t="shared" si="1023"/>
        <v>1</v>
      </c>
      <c r="CI419" s="50">
        <f t="shared" si="1024"/>
        <v>1</v>
      </c>
      <c r="CJ419" s="50">
        <f t="shared" si="1025"/>
        <v>1</v>
      </c>
      <c r="CK419" s="50">
        <f t="shared" si="1025"/>
        <v>0</v>
      </c>
      <c r="CL419" s="50">
        <f t="shared" si="1025"/>
        <v>0</v>
      </c>
      <c r="CM419" s="51">
        <f t="shared" si="1026"/>
        <v>0</v>
      </c>
      <c r="CN419" s="33">
        <f>ROUND(IF(BS419=0,0,HLOOKUP(BS$14,Villagers!$B$1:$V$33,BS419+3,FALSE)),)</f>
        <v>5</v>
      </c>
      <c r="CO419" s="14">
        <f>ROUND(IF(BT419=0,0,HLOOKUP(BT$14,Villagers!$B$1:$V$33,BT419+3,FALSE)),)</f>
        <v>0</v>
      </c>
      <c r="CP419" s="14">
        <f>ROUND(IF(BU419=0,0,HLOOKUP(BU$14,Villagers!$B$1:$V$33,BU419+3,FALSE)),)</f>
        <v>0</v>
      </c>
      <c r="CQ419" s="14">
        <f>ROUND(IF(BV419=0,0,HLOOKUP(BV$14,Villagers!$B$1:$V$33,BV419+3,FALSE)),)</f>
        <v>0</v>
      </c>
      <c r="CR419" s="14">
        <f>ROUND(IF(BW419=0,0,HLOOKUP(BW$14,Villagers!$B$1:$V$33,BW419+3,FALSE)),)</f>
        <v>0</v>
      </c>
      <c r="CS419" s="14">
        <f>ROUND(IF(BX419=0,0,HLOOKUP(BX$14,Villagers!$B$1:$V$33,BX419+3,FALSE)),)</f>
        <v>0</v>
      </c>
      <c r="CT419" s="14">
        <f>ROUND(IF(BY419=0,0,HLOOKUP(BY$14,Villagers!$B$1:$V$33,BY419+3,FALSE)),)</f>
        <v>0</v>
      </c>
      <c r="CU419" s="14">
        <f>ROUND(IF(BZ419=0,0,HLOOKUP(BZ$14,Villagers!$B$1:$V$33,BZ419+3,FALSE)),)</f>
        <v>0</v>
      </c>
      <c r="CV419" s="14">
        <f>ROUND(IF(CA419=0,0,HLOOKUP(CA$14,Villagers!$B$1:$V$33,CA419+3,FALSE)),)</f>
        <v>0</v>
      </c>
      <c r="CW419" s="14">
        <f>ROUND(IF(CB419=0,0,HLOOKUP(CB$14,Villagers!$B$1:$V$33,CB419+3,FALSE)),)</f>
        <v>0</v>
      </c>
      <c r="CX419" s="14">
        <f>ROUND(IF(CC419=0,0,HLOOKUP(CC$14,Villagers!$B$1:$V$33,CC419+3,FALSE)),)</f>
        <v>0</v>
      </c>
      <c r="CY419" s="14">
        <f>ROUND(IF(CD419=0,0,HLOOKUP(CD$14,Villagers!$B$1:$V$33,CD419+3,FALSE)),)</f>
        <v>0</v>
      </c>
      <c r="CZ419" s="14">
        <f>ROUND(IF(CE419=0,0,HLOOKUP(CE$14,Villagers!$B$1:$V$33,CE419+3,FALSE)),)</f>
        <v>5</v>
      </c>
      <c r="DA419" s="14">
        <f>ROUND(IF(CF419=0,0,HLOOKUP(CF$14,Villagers!$B$1:$V$33,CF419+3,FALSE)),)</f>
        <v>10</v>
      </c>
      <c r="DB419" s="14">
        <f>ROUND(IF(CG419=0,0,HLOOKUP(CG$14,Villagers!$B$1:$V$33,CG419+3,FALSE)),)</f>
        <v>10</v>
      </c>
      <c r="DC419" s="14">
        <f>ROUND(IF(CH419=0,0,HLOOKUP(CH$14,Villagers!$B$1:$V$33,CH419+3,FALSE)),)</f>
        <v>0</v>
      </c>
      <c r="DD419" s="14">
        <f>ROUND(IF(CI419=0,0,HLOOKUP(CI$14,Villagers!$B$1:$V$33,CI419+3,FALSE)),)</f>
        <v>0</v>
      </c>
      <c r="DE419" s="14">
        <f>ROUND(IF(CJ419=0,0,HLOOKUP(CJ$14,Villagers!$B$1:$V$33,CJ419+3,FALSE)),)</f>
        <v>2</v>
      </c>
      <c r="DF419" s="370">
        <f>ROUND(IF(CK419=0,0,HLOOKUP(CK$14,Villagers!$B$1:$V$33,CK419+3,FALSE)),)</f>
        <v>0</v>
      </c>
      <c r="DG419" s="370">
        <f>ROUND(IF(CL419=0,0,HLOOKUP(CL$14,Villagers!$B$1:$V$33,CL419+3,FALSE)),)</f>
        <v>0</v>
      </c>
      <c r="DH419" s="34">
        <f>ROUND(IF(CM419=0,0,HLOOKUP(CM$14,Villagers!$B$1:$V$33,CM419+3,FALSE)),)</f>
        <v>0</v>
      </c>
      <c r="DI419" s="109">
        <f t="shared" si="989"/>
        <v>0</v>
      </c>
      <c r="DJ419" s="50">
        <f t="shared" si="990"/>
        <v>0</v>
      </c>
      <c r="DK419" s="50">
        <f t="shared" si="991"/>
        <v>0</v>
      </c>
      <c r="DL419" s="50">
        <f t="shared" si="992"/>
        <v>0</v>
      </c>
      <c r="DM419" s="50">
        <f t="shared" si="993"/>
        <v>0</v>
      </c>
      <c r="DN419" s="50">
        <f t="shared" si="994"/>
        <v>0</v>
      </c>
      <c r="DO419" s="50">
        <f t="shared" si="995"/>
        <v>0</v>
      </c>
      <c r="DP419" s="50">
        <f t="shared" si="996"/>
        <v>0</v>
      </c>
      <c r="DQ419" s="50">
        <f t="shared" si="973"/>
        <v>0</v>
      </c>
      <c r="DR419" s="50">
        <f t="shared" si="974"/>
        <v>0</v>
      </c>
      <c r="DS419" s="96">
        <f>Miscelaneous!$D$4*Miscelaneous!$D$2^($CI419-1)</f>
        <v>1000</v>
      </c>
      <c r="DT419" s="333">
        <f t="shared" si="955"/>
        <v>1</v>
      </c>
      <c r="DU419" s="81">
        <v>1</v>
      </c>
      <c r="DV419" s="79">
        <f t="shared" si="975"/>
        <v>0</v>
      </c>
      <c r="DW419" s="79">
        <f t="shared" si="976"/>
        <v>0</v>
      </c>
      <c r="DX419" s="79">
        <f t="shared" si="977"/>
        <v>0</v>
      </c>
      <c r="DY419" s="79">
        <v>1</v>
      </c>
      <c r="DZ419" s="79">
        <f t="shared" si="978"/>
        <v>0</v>
      </c>
      <c r="EA419" s="79">
        <f t="shared" si="979"/>
        <v>0</v>
      </c>
      <c r="EB419" s="79">
        <f t="shared" si="980"/>
        <v>0</v>
      </c>
      <c r="EC419" s="79">
        <f t="shared" si="981"/>
        <v>0</v>
      </c>
      <c r="ED419" s="79">
        <v>1</v>
      </c>
      <c r="EE419" s="79">
        <v>1</v>
      </c>
      <c r="EF419" s="79">
        <f t="shared" si="982"/>
        <v>0</v>
      </c>
      <c r="EG419" s="79">
        <v>1</v>
      </c>
      <c r="EH419" s="79">
        <v>1</v>
      </c>
      <c r="EI419" s="79">
        <v>1</v>
      </c>
      <c r="EJ419" s="79">
        <v>1</v>
      </c>
      <c r="EK419" s="79">
        <v>1</v>
      </c>
      <c r="EL419" s="79">
        <v>1</v>
      </c>
      <c r="EM419" s="143">
        <f t="shared" si="983"/>
        <v>0</v>
      </c>
      <c r="EN419" s="143">
        <f t="shared" si="984"/>
        <v>0</v>
      </c>
      <c r="EO419" s="82">
        <f t="shared" si="985"/>
        <v>0</v>
      </c>
    </row>
    <row r="420" spans="1:145" x14ac:dyDescent="0.25">
      <c r="A420">
        <v>406</v>
      </c>
      <c r="B420" s="172" t="e">
        <f t="shared" si="956"/>
        <v>#N/A</v>
      </c>
      <c r="C420" s="121" t="e">
        <f t="shared" ref="C420:E420" si="1032">AJ420-SUM(AB420:AB424)</f>
        <v>#N/A</v>
      </c>
      <c r="D420" s="122" t="e">
        <f t="shared" si="1032"/>
        <v>#N/A</v>
      </c>
      <c r="E420" s="122" t="e">
        <f t="shared" si="1032"/>
        <v>#N/A</v>
      </c>
      <c r="F420" s="176" t="e">
        <f t="shared" si="937"/>
        <v>#N/A</v>
      </c>
      <c r="G420" s="121">
        <f t="shared" si="958"/>
        <v>208</v>
      </c>
      <c r="H420" s="176" t="e">
        <f t="shared" si="959"/>
        <v>#N/A</v>
      </c>
      <c r="I420" s="48">
        <v>1</v>
      </c>
      <c r="J420" s="39"/>
      <c r="K420" s="350">
        <v>1</v>
      </c>
      <c r="L420" s="34" t="e">
        <f t="shared" si="938"/>
        <v>#N/A</v>
      </c>
      <c r="M420" s="38" t="e">
        <f>(HLOOKUP(J420,'Construction Times'!$B$3:$W$34,L420+2,FALSE)*HLOOKUP("hq modifier",'Construction Times'!$W$3:$W$34,BS420+2,FALSE))*(1-$H$9)</f>
        <v>#N/A</v>
      </c>
      <c r="N420" s="426" t="e">
        <f t="shared" si="960"/>
        <v>#N/A</v>
      </c>
      <c r="O420" s="427"/>
      <c r="P420" s="430" t="e">
        <f t="shared" si="961"/>
        <v>#N/A</v>
      </c>
      <c r="Q420" s="431"/>
      <c r="R420" s="103">
        <f t="shared" si="987"/>
        <v>0</v>
      </c>
      <c r="S420" s="104">
        <f t="shared" si="987"/>
        <v>0</v>
      </c>
      <c r="T420" s="104">
        <f t="shared" si="988"/>
        <v>0</v>
      </c>
      <c r="U420" s="104">
        <f t="shared" si="988"/>
        <v>0</v>
      </c>
      <c r="V420" s="104">
        <f t="shared" si="988"/>
        <v>9.9999999999999995E-8</v>
      </c>
      <c r="W420" s="104">
        <f t="shared" si="988"/>
        <v>0</v>
      </c>
      <c r="X420" s="104">
        <f t="shared" si="934"/>
        <v>0</v>
      </c>
      <c r="Y420" s="104">
        <f t="shared" si="934"/>
        <v>9.9999999999999995E-8</v>
      </c>
      <c r="Z420" s="104">
        <f t="shared" si="934"/>
        <v>9.9999999999999995E-8</v>
      </c>
      <c r="AA420" s="105">
        <f t="shared" si="934"/>
        <v>9.9999999999999995E-8</v>
      </c>
      <c r="AB420" s="101" t="e">
        <f>$DT420*HLOOKUP($J420,'Construction Costs (timber)'!$B$1:$V$32,'Construction Planner'!$L420+2,FALSE)</f>
        <v>#N/A</v>
      </c>
      <c r="AC420" s="14" t="e">
        <f>$DT420*HLOOKUP($J420,'Construction Costs (clay)'!$B$1:$V$32,'Construction Planner'!$L420+2,FALSE)</f>
        <v>#N/A</v>
      </c>
      <c r="AD420" s="14" t="e">
        <f>$DT420*HLOOKUP($J420,'Construction Costs (iron)'!$B$1:$V$32,'Construction Planner'!$L420+2,FALSE)</f>
        <v>#N/A</v>
      </c>
      <c r="AE420" s="34" t="e">
        <f t="shared" si="1000"/>
        <v>#N/A</v>
      </c>
      <c r="AF420" s="33" t="e">
        <f t="shared" si="939"/>
        <v>#N/A</v>
      </c>
      <c r="AG420" s="14" t="e">
        <f t="shared" si="940"/>
        <v>#N/A</v>
      </c>
      <c r="AH420" s="14" t="e">
        <f t="shared" si="941"/>
        <v>#N/A</v>
      </c>
      <c r="AI420" s="34" t="e">
        <f t="shared" si="1001"/>
        <v>#N/A</v>
      </c>
      <c r="AJ420" s="49" t="e">
        <f t="shared" si="962"/>
        <v>#N/A</v>
      </c>
      <c r="AK420" s="49" t="e">
        <f t="shared" si="963"/>
        <v>#N/A</v>
      </c>
      <c r="AL420" s="49" t="e">
        <f t="shared" si="964"/>
        <v>#N/A</v>
      </c>
      <c r="AM420" s="25">
        <f t="shared" si="942"/>
        <v>30</v>
      </c>
      <c r="AN420" s="25">
        <f t="shared" si="943"/>
        <v>30</v>
      </c>
      <c r="AO420" s="25">
        <f t="shared" si="944"/>
        <v>30</v>
      </c>
      <c r="AP420" s="52" t="e">
        <f t="shared" si="965"/>
        <v>#N/A</v>
      </c>
      <c r="AQ420" s="53" t="e">
        <f t="shared" si="965"/>
        <v>#N/A</v>
      </c>
      <c r="AR420" s="54" t="e">
        <f t="shared" si="965"/>
        <v>#N/A</v>
      </c>
      <c r="AS420" s="316">
        <f t="shared" ref="AS420:AS435" si="1033">AS419</f>
        <v>0</v>
      </c>
      <c r="AT420" s="106">
        <f>_xlfn.IFNA($M420/VLOOKUP($BT420,'Unit information'!$A$2:$K$29,2,FALSE)*R420,0)*(1+$E$9)</f>
        <v>0</v>
      </c>
      <c r="AU420" s="107">
        <f>_xlfn.IFNA($M420/VLOOKUP($BT420,'Unit information'!$A$2:$K$29,3,FALSE)*S420,0)*(1+$E$9)</f>
        <v>0</v>
      </c>
      <c r="AV420" s="107">
        <f>_xlfn.IFNA($M420/VLOOKUP($BT420,'Unit information'!$A$2:$K$29,4,FALSE)*T420,0)*(1+$E$9)</f>
        <v>0</v>
      </c>
      <c r="AW420" s="107">
        <f>_xlfn.IFNA($M420/VLOOKUP($BT420,'Unit information'!$A$2:$K$29,5,FALSE)*U420,0)*(1+$E$9)</f>
        <v>0</v>
      </c>
      <c r="AX420" s="107">
        <f>_xlfn.IFNA($M420/VLOOKUP($BU420,'Unit information'!$A$2:$K$29,6,FALSE)*V420,0)*(1+$E$9)</f>
        <v>0</v>
      </c>
      <c r="AY420" s="107">
        <f>_xlfn.IFNA($M420/VLOOKUP($BU420,'Unit information'!$A$2:$K$29,7,FALSE)*W420,0)*(1+$E$9)</f>
        <v>0</v>
      </c>
      <c r="AZ420" s="107">
        <f>_xlfn.IFNA($M420/VLOOKUP($BU420,'Unit information'!$A$2:$K$29,8,FALSE)*X420,0)*(1+$E$9)</f>
        <v>0</v>
      </c>
      <c r="BA420" s="107">
        <f>_xlfn.IFNA($M420/VLOOKUP($BU420,'Unit information'!$A$2:$K$29,9,FALSE)*Y420,0)*(1+$E$9)</f>
        <v>0</v>
      </c>
      <c r="BB420" s="107">
        <f>_xlfn.IFNA($M420/VLOOKUP($BV420,'Unit information'!$A$2:$K$29,10,FALSE)*Z420,0)*(1+$E$9)</f>
        <v>0</v>
      </c>
      <c r="BC420" s="108">
        <f>_xlfn.IFNA($M420/VLOOKUP($BV420,'Unit information'!$A$2:$K$29,11,FALSE)*AA420,0)*(1+$E$9)</f>
        <v>0</v>
      </c>
      <c r="BD420" s="106">
        <f t="shared" si="945"/>
        <v>0</v>
      </c>
      <c r="BE420" s="107">
        <f t="shared" si="946"/>
        <v>0</v>
      </c>
      <c r="BF420" s="108">
        <f t="shared" si="947"/>
        <v>0</v>
      </c>
      <c r="BG420" s="25" t="e">
        <f t="shared" si="948"/>
        <v>#N/A</v>
      </c>
      <c r="BH420" s="25" t="e">
        <f t="shared" si="949"/>
        <v>#N/A</v>
      </c>
      <c r="BI420" s="25" t="e">
        <f t="shared" si="950"/>
        <v>#N/A</v>
      </c>
      <c r="BJ420" s="27" t="e">
        <f t="shared" si="951"/>
        <v>#N/A</v>
      </c>
      <c r="BK420" s="18" t="e">
        <f t="shared" si="952"/>
        <v>#N/A</v>
      </c>
      <c r="BL420" s="18" t="e">
        <f t="shared" si="953"/>
        <v>#N/A</v>
      </c>
      <c r="BM420" s="28" t="e">
        <f t="shared" si="1003"/>
        <v>#N/A</v>
      </c>
      <c r="BN420" s="33">
        <f>HLOOKUP("maximum population",Miscelaneous!$C$1:$C$33,CH420+3,FALSE)</f>
        <v>240</v>
      </c>
      <c r="BO420" s="14">
        <f t="shared" si="966"/>
        <v>32</v>
      </c>
      <c r="BP420" s="14">
        <f t="shared" si="967"/>
        <v>0</v>
      </c>
      <c r="BQ420" s="14">
        <f t="shared" si="968"/>
        <v>208</v>
      </c>
      <c r="BR420" s="34" t="e">
        <f>HLOOKUP(J420,Villagers!$B$1:$V$33,L420+3,FALSE)-HLOOKUP(J420,Villagers!$B$1:$V$33,L420+2,FALSE)</f>
        <v>#N/A</v>
      </c>
      <c r="BS420" s="49">
        <f t="shared" si="969"/>
        <v>1</v>
      </c>
      <c r="BT420" s="50">
        <f t="shared" si="970"/>
        <v>0</v>
      </c>
      <c r="BU420" s="50">
        <f t="shared" si="971"/>
        <v>0</v>
      </c>
      <c r="BV420" s="50">
        <f t="shared" si="972"/>
        <v>0</v>
      </c>
      <c r="BW420" s="50">
        <f t="shared" si="1028"/>
        <v>0</v>
      </c>
      <c r="BX420" s="50">
        <f t="shared" si="1028"/>
        <v>0</v>
      </c>
      <c r="BY420" s="50">
        <f t="shared" si="1028"/>
        <v>0</v>
      </c>
      <c r="BZ420" s="50">
        <f t="shared" si="1015"/>
        <v>0</v>
      </c>
      <c r="CA420" s="50">
        <f t="shared" si="1016"/>
        <v>0</v>
      </c>
      <c r="CB420" s="50">
        <f t="shared" si="1017"/>
        <v>1</v>
      </c>
      <c r="CC420" s="50">
        <f t="shared" si="1018"/>
        <v>0</v>
      </c>
      <c r="CD420" s="50">
        <f t="shared" si="1019"/>
        <v>0</v>
      </c>
      <c r="CE420" s="50">
        <f t="shared" si="1020"/>
        <v>1</v>
      </c>
      <c r="CF420" s="50">
        <f t="shared" si="1021"/>
        <v>1</v>
      </c>
      <c r="CG420" s="50">
        <f t="shared" si="1022"/>
        <v>1</v>
      </c>
      <c r="CH420" s="50">
        <f t="shared" si="1023"/>
        <v>1</v>
      </c>
      <c r="CI420" s="50">
        <f t="shared" si="1024"/>
        <v>1</v>
      </c>
      <c r="CJ420" s="50">
        <f t="shared" si="1025"/>
        <v>1</v>
      </c>
      <c r="CK420" s="50">
        <f t="shared" si="1025"/>
        <v>0</v>
      </c>
      <c r="CL420" s="50">
        <f t="shared" si="1025"/>
        <v>0</v>
      </c>
      <c r="CM420" s="51">
        <f t="shared" si="1026"/>
        <v>0</v>
      </c>
      <c r="CN420" s="33">
        <f>ROUND(IF(BS420=0,0,HLOOKUP(BS$14,Villagers!$B$1:$V$33,BS420+3,FALSE)),)</f>
        <v>5</v>
      </c>
      <c r="CO420" s="14">
        <f>ROUND(IF(BT420=0,0,HLOOKUP(BT$14,Villagers!$B$1:$V$33,BT420+3,FALSE)),)</f>
        <v>0</v>
      </c>
      <c r="CP420" s="14">
        <f>ROUND(IF(BU420=0,0,HLOOKUP(BU$14,Villagers!$B$1:$V$33,BU420+3,FALSE)),)</f>
        <v>0</v>
      </c>
      <c r="CQ420" s="14">
        <f>ROUND(IF(BV420=0,0,HLOOKUP(BV$14,Villagers!$B$1:$V$33,BV420+3,FALSE)),)</f>
        <v>0</v>
      </c>
      <c r="CR420" s="14">
        <f>ROUND(IF(BW420=0,0,HLOOKUP(BW$14,Villagers!$B$1:$V$33,BW420+3,FALSE)),)</f>
        <v>0</v>
      </c>
      <c r="CS420" s="14">
        <f>ROUND(IF(BX420=0,0,HLOOKUP(BX$14,Villagers!$B$1:$V$33,BX420+3,FALSE)),)</f>
        <v>0</v>
      </c>
      <c r="CT420" s="14">
        <f>ROUND(IF(BY420=0,0,HLOOKUP(BY$14,Villagers!$B$1:$V$33,BY420+3,FALSE)),)</f>
        <v>0</v>
      </c>
      <c r="CU420" s="14">
        <f>ROUND(IF(BZ420=0,0,HLOOKUP(BZ$14,Villagers!$B$1:$V$33,BZ420+3,FALSE)),)</f>
        <v>0</v>
      </c>
      <c r="CV420" s="14">
        <f>ROUND(IF(CA420=0,0,HLOOKUP(CA$14,Villagers!$B$1:$V$33,CA420+3,FALSE)),)</f>
        <v>0</v>
      </c>
      <c r="CW420" s="14">
        <f>ROUND(IF(CB420=0,0,HLOOKUP(CB$14,Villagers!$B$1:$V$33,CB420+3,FALSE)),)</f>
        <v>0</v>
      </c>
      <c r="CX420" s="14">
        <f>ROUND(IF(CC420=0,0,HLOOKUP(CC$14,Villagers!$B$1:$V$33,CC420+3,FALSE)),)</f>
        <v>0</v>
      </c>
      <c r="CY420" s="14">
        <f>ROUND(IF(CD420=0,0,HLOOKUP(CD$14,Villagers!$B$1:$V$33,CD420+3,FALSE)),)</f>
        <v>0</v>
      </c>
      <c r="CZ420" s="14">
        <f>ROUND(IF(CE420=0,0,HLOOKUP(CE$14,Villagers!$B$1:$V$33,CE420+3,FALSE)),)</f>
        <v>5</v>
      </c>
      <c r="DA420" s="14">
        <f>ROUND(IF(CF420=0,0,HLOOKUP(CF$14,Villagers!$B$1:$V$33,CF420+3,FALSE)),)</f>
        <v>10</v>
      </c>
      <c r="DB420" s="14">
        <f>ROUND(IF(CG420=0,0,HLOOKUP(CG$14,Villagers!$B$1:$V$33,CG420+3,FALSE)),)</f>
        <v>10</v>
      </c>
      <c r="DC420" s="14">
        <f>ROUND(IF(CH420=0,0,HLOOKUP(CH$14,Villagers!$B$1:$V$33,CH420+3,FALSE)),)</f>
        <v>0</v>
      </c>
      <c r="DD420" s="14">
        <f>ROUND(IF(CI420=0,0,HLOOKUP(CI$14,Villagers!$B$1:$V$33,CI420+3,FALSE)),)</f>
        <v>0</v>
      </c>
      <c r="DE420" s="14">
        <f>ROUND(IF(CJ420=0,0,HLOOKUP(CJ$14,Villagers!$B$1:$V$33,CJ420+3,FALSE)),)</f>
        <v>2</v>
      </c>
      <c r="DF420" s="370">
        <f>ROUND(IF(CK420=0,0,HLOOKUP(CK$14,Villagers!$B$1:$V$33,CK420+3,FALSE)),)</f>
        <v>0</v>
      </c>
      <c r="DG420" s="370">
        <f>ROUND(IF(CL420=0,0,HLOOKUP(CL$14,Villagers!$B$1:$V$33,CL420+3,FALSE)),)</f>
        <v>0</v>
      </c>
      <c r="DH420" s="34">
        <f>ROUND(IF(CM420=0,0,HLOOKUP(CM$14,Villagers!$B$1:$V$33,CM420+3,FALSE)),)</f>
        <v>0</v>
      </c>
      <c r="DI420" s="109">
        <f t="shared" si="989"/>
        <v>0</v>
      </c>
      <c r="DJ420" s="50">
        <f t="shared" si="990"/>
        <v>0</v>
      </c>
      <c r="DK420" s="50">
        <f t="shared" si="991"/>
        <v>0</v>
      </c>
      <c r="DL420" s="50">
        <f t="shared" si="992"/>
        <v>0</v>
      </c>
      <c r="DM420" s="50">
        <f t="shared" si="993"/>
        <v>0</v>
      </c>
      <c r="DN420" s="50">
        <f t="shared" si="994"/>
        <v>0</v>
      </c>
      <c r="DO420" s="50">
        <f t="shared" si="995"/>
        <v>0</v>
      </c>
      <c r="DP420" s="50">
        <f t="shared" si="996"/>
        <v>0</v>
      </c>
      <c r="DQ420" s="50">
        <f t="shared" si="973"/>
        <v>0</v>
      </c>
      <c r="DR420" s="50">
        <f t="shared" si="974"/>
        <v>0</v>
      </c>
      <c r="DS420" s="96">
        <f>Miscelaneous!$D$4*Miscelaneous!$D$2^($CI420-1)</f>
        <v>1000</v>
      </c>
      <c r="DT420" s="333">
        <f t="shared" si="955"/>
        <v>1</v>
      </c>
      <c r="DU420" s="81">
        <v>1</v>
      </c>
      <c r="DV420" s="79">
        <f t="shared" si="975"/>
        <v>0</v>
      </c>
      <c r="DW420" s="79">
        <f t="shared" si="976"/>
        <v>0</v>
      </c>
      <c r="DX420" s="79">
        <f t="shared" si="977"/>
        <v>0</v>
      </c>
      <c r="DY420" s="79">
        <v>1</v>
      </c>
      <c r="DZ420" s="79">
        <f t="shared" si="978"/>
        <v>0</v>
      </c>
      <c r="EA420" s="79">
        <f t="shared" si="979"/>
        <v>0</v>
      </c>
      <c r="EB420" s="79">
        <f t="shared" si="980"/>
        <v>0</v>
      </c>
      <c r="EC420" s="79">
        <f t="shared" si="981"/>
        <v>0</v>
      </c>
      <c r="ED420" s="79">
        <v>1</v>
      </c>
      <c r="EE420" s="79">
        <v>1</v>
      </c>
      <c r="EF420" s="79">
        <f t="shared" si="982"/>
        <v>0</v>
      </c>
      <c r="EG420" s="79">
        <v>1</v>
      </c>
      <c r="EH420" s="79">
        <v>1</v>
      </c>
      <c r="EI420" s="79">
        <v>1</v>
      </c>
      <c r="EJ420" s="79">
        <v>1</v>
      </c>
      <c r="EK420" s="79">
        <v>1</v>
      </c>
      <c r="EL420" s="79">
        <v>1</v>
      </c>
      <c r="EM420" s="143">
        <f t="shared" si="983"/>
        <v>0</v>
      </c>
      <c r="EN420" s="143">
        <f t="shared" si="984"/>
        <v>0</v>
      </c>
      <c r="EO420" s="82">
        <f t="shared" si="985"/>
        <v>0</v>
      </c>
    </row>
    <row r="421" spans="1:145" x14ac:dyDescent="0.25">
      <c r="A421">
        <v>407</v>
      </c>
      <c r="B421" s="172" t="e">
        <f t="shared" si="956"/>
        <v>#N/A</v>
      </c>
      <c r="C421" s="121" t="e">
        <f t="shared" ref="C421:E421" si="1034">AJ421-SUM(AB421:AB425)</f>
        <v>#N/A</v>
      </c>
      <c r="D421" s="122" t="e">
        <f t="shared" si="1034"/>
        <v>#N/A</v>
      </c>
      <c r="E421" s="122" t="e">
        <f t="shared" si="1034"/>
        <v>#N/A</v>
      </c>
      <c r="F421" s="176" t="e">
        <f t="shared" si="937"/>
        <v>#N/A</v>
      </c>
      <c r="G421" s="121">
        <f t="shared" si="958"/>
        <v>208</v>
      </c>
      <c r="H421" s="176" t="e">
        <f t="shared" si="959"/>
        <v>#N/A</v>
      </c>
      <c r="I421" s="48">
        <v>1</v>
      </c>
      <c r="J421" s="39"/>
      <c r="K421" s="350">
        <v>1</v>
      </c>
      <c r="L421" s="34" t="e">
        <f t="shared" si="938"/>
        <v>#N/A</v>
      </c>
      <c r="M421" s="38" t="e">
        <f>(HLOOKUP(J421,'Construction Times'!$B$3:$W$34,L421+2,FALSE)*HLOOKUP("hq modifier",'Construction Times'!$W$3:$W$34,BS421+2,FALSE))*(1-$H$9)</f>
        <v>#N/A</v>
      </c>
      <c r="N421" s="426" t="e">
        <f t="shared" si="960"/>
        <v>#N/A</v>
      </c>
      <c r="O421" s="427"/>
      <c r="P421" s="430" t="e">
        <f t="shared" si="961"/>
        <v>#N/A</v>
      </c>
      <c r="Q421" s="431"/>
      <c r="R421" s="103">
        <f t="shared" si="987"/>
        <v>0</v>
      </c>
      <c r="S421" s="104">
        <f t="shared" si="987"/>
        <v>0</v>
      </c>
      <c r="T421" s="104">
        <f t="shared" si="988"/>
        <v>0</v>
      </c>
      <c r="U421" s="104">
        <f t="shared" si="988"/>
        <v>0</v>
      </c>
      <c r="V421" s="104">
        <f t="shared" si="988"/>
        <v>9.9999999999999995E-8</v>
      </c>
      <c r="W421" s="104">
        <f t="shared" si="988"/>
        <v>0</v>
      </c>
      <c r="X421" s="104">
        <f t="shared" si="934"/>
        <v>0</v>
      </c>
      <c r="Y421" s="104">
        <f t="shared" si="934"/>
        <v>9.9999999999999995E-8</v>
      </c>
      <c r="Z421" s="104">
        <f t="shared" si="934"/>
        <v>9.9999999999999995E-8</v>
      </c>
      <c r="AA421" s="105">
        <f t="shared" si="934"/>
        <v>9.9999999999999995E-8</v>
      </c>
      <c r="AB421" s="101" t="e">
        <f>$DT421*HLOOKUP($J421,'Construction Costs (timber)'!$B$1:$V$32,'Construction Planner'!$L421+2,FALSE)</f>
        <v>#N/A</v>
      </c>
      <c r="AC421" s="14" t="e">
        <f>$DT421*HLOOKUP($J421,'Construction Costs (clay)'!$B$1:$V$32,'Construction Planner'!$L421+2,FALSE)</f>
        <v>#N/A</v>
      </c>
      <c r="AD421" s="14" t="e">
        <f>$DT421*HLOOKUP($J421,'Construction Costs (iron)'!$B$1:$V$32,'Construction Planner'!$L421+2,FALSE)</f>
        <v>#N/A</v>
      </c>
      <c r="AE421" s="34" t="e">
        <f t="shared" si="1000"/>
        <v>#N/A</v>
      </c>
      <c r="AF421" s="33" t="e">
        <f t="shared" si="939"/>
        <v>#N/A</v>
      </c>
      <c r="AG421" s="14" t="e">
        <f t="shared" si="940"/>
        <v>#N/A</v>
      </c>
      <c r="AH421" s="14" t="e">
        <f t="shared" si="941"/>
        <v>#N/A</v>
      </c>
      <c r="AI421" s="34" t="e">
        <f t="shared" si="1001"/>
        <v>#N/A</v>
      </c>
      <c r="AJ421" s="49" t="e">
        <f t="shared" si="962"/>
        <v>#N/A</v>
      </c>
      <c r="AK421" s="49" t="e">
        <f t="shared" si="963"/>
        <v>#N/A</v>
      </c>
      <c r="AL421" s="49" t="e">
        <f t="shared" si="964"/>
        <v>#N/A</v>
      </c>
      <c r="AM421" s="25">
        <f t="shared" si="942"/>
        <v>30</v>
      </c>
      <c r="AN421" s="25">
        <f t="shared" si="943"/>
        <v>30</v>
      </c>
      <c r="AO421" s="25">
        <f t="shared" si="944"/>
        <v>30</v>
      </c>
      <c r="AP421" s="52" t="e">
        <f t="shared" si="965"/>
        <v>#N/A</v>
      </c>
      <c r="AQ421" s="53" t="e">
        <f t="shared" si="965"/>
        <v>#N/A</v>
      </c>
      <c r="AR421" s="54" t="e">
        <f t="shared" si="965"/>
        <v>#N/A</v>
      </c>
      <c r="AS421" s="316">
        <f t="shared" si="1033"/>
        <v>0</v>
      </c>
      <c r="AT421" s="106">
        <f>_xlfn.IFNA($M421/VLOOKUP($BT421,'Unit information'!$A$2:$K$29,2,FALSE)*R421,0)*(1+$E$9)</f>
        <v>0</v>
      </c>
      <c r="AU421" s="107">
        <f>_xlfn.IFNA($M421/VLOOKUP($BT421,'Unit information'!$A$2:$K$29,3,FALSE)*S421,0)*(1+$E$9)</f>
        <v>0</v>
      </c>
      <c r="AV421" s="107">
        <f>_xlfn.IFNA($M421/VLOOKUP($BT421,'Unit information'!$A$2:$K$29,4,FALSE)*T421,0)*(1+$E$9)</f>
        <v>0</v>
      </c>
      <c r="AW421" s="107">
        <f>_xlfn.IFNA($M421/VLOOKUP($BT421,'Unit information'!$A$2:$K$29,5,FALSE)*U421,0)*(1+$E$9)</f>
        <v>0</v>
      </c>
      <c r="AX421" s="107">
        <f>_xlfn.IFNA($M421/VLOOKUP($BU421,'Unit information'!$A$2:$K$29,6,FALSE)*V421,0)*(1+$E$9)</f>
        <v>0</v>
      </c>
      <c r="AY421" s="107">
        <f>_xlfn.IFNA($M421/VLOOKUP($BU421,'Unit information'!$A$2:$K$29,7,FALSE)*W421,0)*(1+$E$9)</f>
        <v>0</v>
      </c>
      <c r="AZ421" s="107">
        <f>_xlfn.IFNA($M421/VLOOKUP($BU421,'Unit information'!$A$2:$K$29,8,FALSE)*X421,0)*(1+$E$9)</f>
        <v>0</v>
      </c>
      <c r="BA421" s="107">
        <f>_xlfn.IFNA($M421/VLOOKUP($BU421,'Unit information'!$A$2:$K$29,9,FALSE)*Y421,0)*(1+$E$9)</f>
        <v>0</v>
      </c>
      <c r="BB421" s="107">
        <f>_xlfn.IFNA($M421/VLOOKUP($BV421,'Unit information'!$A$2:$K$29,10,FALSE)*Z421,0)*(1+$E$9)</f>
        <v>0</v>
      </c>
      <c r="BC421" s="108">
        <f>_xlfn.IFNA($M421/VLOOKUP($BV421,'Unit information'!$A$2:$K$29,11,FALSE)*AA421,0)*(1+$E$9)</f>
        <v>0</v>
      </c>
      <c r="BD421" s="106">
        <f t="shared" si="945"/>
        <v>0</v>
      </c>
      <c r="BE421" s="107">
        <f t="shared" si="946"/>
        <v>0</v>
      </c>
      <c r="BF421" s="108">
        <f t="shared" si="947"/>
        <v>0</v>
      </c>
      <c r="BG421" s="25" t="e">
        <f t="shared" si="948"/>
        <v>#N/A</v>
      </c>
      <c r="BH421" s="25" t="e">
        <f t="shared" si="949"/>
        <v>#N/A</v>
      </c>
      <c r="BI421" s="25" t="e">
        <f t="shared" si="950"/>
        <v>#N/A</v>
      </c>
      <c r="BJ421" s="27" t="e">
        <f t="shared" si="951"/>
        <v>#N/A</v>
      </c>
      <c r="BK421" s="18" t="e">
        <f t="shared" si="952"/>
        <v>#N/A</v>
      </c>
      <c r="BL421" s="18" t="e">
        <f t="shared" si="953"/>
        <v>#N/A</v>
      </c>
      <c r="BM421" s="28" t="e">
        <f t="shared" si="1003"/>
        <v>#N/A</v>
      </c>
      <c r="BN421" s="33">
        <f>HLOOKUP("maximum population",Miscelaneous!$C$1:$C$33,CH421+3,FALSE)</f>
        <v>240</v>
      </c>
      <c r="BO421" s="14">
        <f t="shared" si="966"/>
        <v>32</v>
      </c>
      <c r="BP421" s="14">
        <f t="shared" si="967"/>
        <v>0</v>
      </c>
      <c r="BQ421" s="14">
        <f t="shared" si="968"/>
        <v>208</v>
      </c>
      <c r="BR421" s="34" t="e">
        <f>HLOOKUP(J421,Villagers!$B$1:$V$33,L421+3,FALSE)-HLOOKUP(J421,Villagers!$B$1:$V$33,L421+2,FALSE)</f>
        <v>#N/A</v>
      </c>
      <c r="BS421" s="49">
        <f t="shared" si="969"/>
        <v>1</v>
      </c>
      <c r="BT421" s="50">
        <f t="shared" si="970"/>
        <v>0</v>
      </c>
      <c r="BU421" s="50">
        <f t="shared" si="971"/>
        <v>0</v>
      </c>
      <c r="BV421" s="50">
        <f t="shared" si="972"/>
        <v>0</v>
      </c>
      <c r="BW421" s="50">
        <f t="shared" si="1028"/>
        <v>0</v>
      </c>
      <c r="BX421" s="50">
        <f t="shared" si="1028"/>
        <v>0</v>
      </c>
      <c r="BY421" s="50">
        <f t="shared" si="1028"/>
        <v>0</v>
      </c>
      <c r="BZ421" s="50">
        <f t="shared" si="1015"/>
        <v>0</v>
      </c>
      <c r="CA421" s="50">
        <f t="shared" si="1016"/>
        <v>0</v>
      </c>
      <c r="CB421" s="50">
        <f t="shared" si="1017"/>
        <v>1</v>
      </c>
      <c r="CC421" s="50">
        <f t="shared" si="1018"/>
        <v>0</v>
      </c>
      <c r="CD421" s="50">
        <f t="shared" si="1019"/>
        <v>0</v>
      </c>
      <c r="CE421" s="50">
        <f t="shared" si="1020"/>
        <v>1</v>
      </c>
      <c r="CF421" s="50">
        <f t="shared" si="1021"/>
        <v>1</v>
      </c>
      <c r="CG421" s="50">
        <f t="shared" si="1022"/>
        <v>1</v>
      </c>
      <c r="CH421" s="50">
        <f t="shared" si="1023"/>
        <v>1</v>
      </c>
      <c r="CI421" s="50">
        <f t="shared" si="1024"/>
        <v>1</v>
      </c>
      <c r="CJ421" s="50">
        <f t="shared" si="1025"/>
        <v>1</v>
      </c>
      <c r="CK421" s="50">
        <f t="shared" si="1025"/>
        <v>0</v>
      </c>
      <c r="CL421" s="50">
        <f t="shared" si="1025"/>
        <v>0</v>
      </c>
      <c r="CM421" s="51">
        <f t="shared" si="1026"/>
        <v>0</v>
      </c>
      <c r="CN421" s="33">
        <f>ROUND(IF(BS421=0,0,HLOOKUP(BS$14,Villagers!$B$1:$V$33,BS421+3,FALSE)),)</f>
        <v>5</v>
      </c>
      <c r="CO421" s="14">
        <f>ROUND(IF(BT421=0,0,HLOOKUP(BT$14,Villagers!$B$1:$V$33,BT421+3,FALSE)),)</f>
        <v>0</v>
      </c>
      <c r="CP421" s="14">
        <f>ROUND(IF(BU421=0,0,HLOOKUP(BU$14,Villagers!$B$1:$V$33,BU421+3,FALSE)),)</f>
        <v>0</v>
      </c>
      <c r="CQ421" s="14">
        <f>ROUND(IF(BV421=0,0,HLOOKUP(BV$14,Villagers!$B$1:$V$33,BV421+3,FALSE)),)</f>
        <v>0</v>
      </c>
      <c r="CR421" s="14">
        <f>ROUND(IF(BW421=0,0,HLOOKUP(BW$14,Villagers!$B$1:$V$33,BW421+3,FALSE)),)</f>
        <v>0</v>
      </c>
      <c r="CS421" s="14">
        <f>ROUND(IF(BX421=0,0,HLOOKUP(BX$14,Villagers!$B$1:$V$33,BX421+3,FALSE)),)</f>
        <v>0</v>
      </c>
      <c r="CT421" s="14">
        <f>ROUND(IF(BY421=0,0,HLOOKUP(BY$14,Villagers!$B$1:$V$33,BY421+3,FALSE)),)</f>
        <v>0</v>
      </c>
      <c r="CU421" s="14">
        <f>ROUND(IF(BZ421=0,0,HLOOKUP(BZ$14,Villagers!$B$1:$V$33,BZ421+3,FALSE)),)</f>
        <v>0</v>
      </c>
      <c r="CV421" s="14">
        <f>ROUND(IF(CA421=0,0,HLOOKUP(CA$14,Villagers!$B$1:$V$33,CA421+3,FALSE)),)</f>
        <v>0</v>
      </c>
      <c r="CW421" s="14">
        <f>ROUND(IF(CB421=0,0,HLOOKUP(CB$14,Villagers!$B$1:$V$33,CB421+3,FALSE)),)</f>
        <v>0</v>
      </c>
      <c r="CX421" s="14">
        <f>ROUND(IF(CC421=0,0,HLOOKUP(CC$14,Villagers!$B$1:$V$33,CC421+3,FALSE)),)</f>
        <v>0</v>
      </c>
      <c r="CY421" s="14">
        <f>ROUND(IF(CD421=0,0,HLOOKUP(CD$14,Villagers!$B$1:$V$33,CD421+3,FALSE)),)</f>
        <v>0</v>
      </c>
      <c r="CZ421" s="14">
        <f>ROUND(IF(CE421=0,0,HLOOKUP(CE$14,Villagers!$B$1:$V$33,CE421+3,FALSE)),)</f>
        <v>5</v>
      </c>
      <c r="DA421" s="14">
        <f>ROUND(IF(CF421=0,0,HLOOKUP(CF$14,Villagers!$B$1:$V$33,CF421+3,FALSE)),)</f>
        <v>10</v>
      </c>
      <c r="DB421" s="14">
        <f>ROUND(IF(CG421=0,0,HLOOKUP(CG$14,Villagers!$B$1:$V$33,CG421+3,FALSE)),)</f>
        <v>10</v>
      </c>
      <c r="DC421" s="14">
        <f>ROUND(IF(CH421=0,0,HLOOKUP(CH$14,Villagers!$B$1:$V$33,CH421+3,FALSE)),)</f>
        <v>0</v>
      </c>
      <c r="DD421" s="14">
        <f>ROUND(IF(CI421=0,0,HLOOKUP(CI$14,Villagers!$B$1:$V$33,CI421+3,FALSE)),)</f>
        <v>0</v>
      </c>
      <c r="DE421" s="14">
        <f>ROUND(IF(CJ421=0,0,HLOOKUP(CJ$14,Villagers!$B$1:$V$33,CJ421+3,FALSE)),)</f>
        <v>2</v>
      </c>
      <c r="DF421" s="370">
        <f>ROUND(IF(CK421=0,0,HLOOKUP(CK$14,Villagers!$B$1:$V$33,CK421+3,FALSE)),)</f>
        <v>0</v>
      </c>
      <c r="DG421" s="370">
        <f>ROUND(IF(CL421=0,0,HLOOKUP(CL$14,Villagers!$B$1:$V$33,CL421+3,FALSE)),)</f>
        <v>0</v>
      </c>
      <c r="DH421" s="34">
        <f>ROUND(IF(CM421=0,0,HLOOKUP(CM$14,Villagers!$B$1:$V$33,CM421+3,FALSE)),)</f>
        <v>0</v>
      </c>
      <c r="DI421" s="109">
        <f t="shared" si="989"/>
        <v>0</v>
      </c>
      <c r="DJ421" s="50">
        <f t="shared" si="990"/>
        <v>0</v>
      </c>
      <c r="DK421" s="50">
        <f t="shared" si="991"/>
        <v>0</v>
      </c>
      <c r="DL421" s="50">
        <f t="shared" si="992"/>
        <v>0</v>
      </c>
      <c r="DM421" s="50">
        <f t="shared" si="993"/>
        <v>0</v>
      </c>
      <c r="DN421" s="50">
        <f t="shared" si="994"/>
        <v>0</v>
      </c>
      <c r="DO421" s="50">
        <f t="shared" si="995"/>
        <v>0</v>
      </c>
      <c r="DP421" s="50">
        <f t="shared" si="996"/>
        <v>0</v>
      </c>
      <c r="DQ421" s="50">
        <f t="shared" si="973"/>
        <v>0</v>
      </c>
      <c r="DR421" s="50">
        <f t="shared" si="974"/>
        <v>0</v>
      </c>
      <c r="DS421" s="96">
        <f>Miscelaneous!$D$4*Miscelaneous!$D$2^($CI421-1)</f>
        <v>1000</v>
      </c>
      <c r="DT421" s="333">
        <f t="shared" si="955"/>
        <v>1</v>
      </c>
      <c r="DU421" s="81">
        <v>1</v>
      </c>
      <c r="DV421" s="79">
        <f t="shared" si="975"/>
        <v>0</v>
      </c>
      <c r="DW421" s="79">
        <f t="shared" si="976"/>
        <v>0</v>
      </c>
      <c r="DX421" s="79">
        <f t="shared" si="977"/>
        <v>0</v>
      </c>
      <c r="DY421" s="79">
        <v>1</v>
      </c>
      <c r="DZ421" s="79">
        <f t="shared" si="978"/>
        <v>0</v>
      </c>
      <c r="EA421" s="79">
        <f t="shared" si="979"/>
        <v>0</v>
      </c>
      <c r="EB421" s="79">
        <f t="shared" si="980"/>
        <v>0</v>
      </c>
      <c r="EC421" s="79">
        <f t="shared" si="981"/>
        <v>0</v>
      </c>
      <c r="ED421" s="79">
        <v>1</v>
      </c>
      <c r="EE421" s="79">
        <v>1</v>
      </c>
      <c r="EF421" s="79">
        <f t="shared" si="982"/>
        <v>0</v>
      </c>
      <c r="EG421" s="79">
        <v>1</v>
      </c>
      <c r="EH421" s="79">
        <v>1</v>
      </c>
      <c r="EI421" s="79">
        <v>1</v>
      </c>
      <c r="EJ421" s="79">
        <v>1</v>
      </c>
      <c r="EK421" s="79">
        <v>1</v>
      </c>
      <c r="EL421" s="79">
        <v>1</v>
      </c>
      <c r="EM421" s="143">
        <f t="shared" si="983"/>
        <v>0</v>
      </c>
      <c r="EN421" s="143">
        <f t="shared" si="984"/>
        <v>0</v>
      </c>
      <c r="EO421" s="82">
        <f t="shared" si="985"/>
        <v>0</v>
      </c>
    </row>
    <row r="422" spans="1:145" x14ac:dyDescent="0.25">
      <c r="A422">
        <v>408</v>
      </c>
      <c r="B422" s="172" t="e">
        <f t="shared" si="956"/>
        <v>#N/A</v>
      </c>
      <c r="C422" s="121" t="e">
        <f t="shared" ref="C422:E422" si="1035">AJ422-SUM(AB422:AB426)</f>
        <v>#N/A</v>
      </c>
      <c r="D422" s="122" t="e">
        <f t="shared" si="1035"/>
        <v>#N/A</v>
      </c>
      <c r="E422" s="122" t="e">
        <f t="shared" si="1035"/>
        <v>#N/A</v>
      </c>
      <c r="F422" s="176" t="e">
        <f t="shared" si="937"/>
        <v>#N/A</v>
      </c>
      <c r="G422" s="121">
        <f t="shared" si="958"/>
        <v>208</v>
      </c>
      <c r="H422" s="176" t="e">
        <f t="shared" si="959"/>
        <v>#N/A</v>
      </c>
      <c r="I422" s="48">
        <v>1</v>
      </c>
      <c r="J422" s="39"/>
      <c r="K422" s="350">
        <v>1</v>
      </c>
      <c r="L422" s="34" t="e">
        <f t="shared" si="938"/>
        <v>#N/A</v>
      </c>
      <c r="M422" s="38" t="e">
        <f>(HLOOKUP(J422,'Construction Times'!$B$3:$W$34,L422+2,FALSE)*HLOOKUP("hq modifier",'Construction Times'!$W$3:$W$34,BS422+2,FALSE))*(1-$H$9)</f>
        <v>#N/A</v>
      </c>
      <c r="N422" s="426" t="e">
        <f t="shared" si="960"/>
        <v>#N/A</v>
      </c>
      <c r="O422" s="427"/>
      <c r="P422" s="430" t="e">
        <f t="shared" si="961"/>
        <v>#N/A</v>
      </c>
      <c r="Q422" s="431"/>
      <c r="R422" s="103">
        <f t="shared" si="987"/>
        <v>0</v>
      </c>
      <c r="S422" s="104">
        <f t="shared" si="987"/>
        <v>0</v>
      </c>
      <c r="T422" s="104">
        <f t="shared" si="988"/>
        <v>0</v>
      </c>
      <c r="U422" s="104">
        <f t="shared" si="988"/>
        <v>0</v>
      </c>
      <c r="V422" s="104">
        <f t="shared" si="988"/>
        <v>9.9999999999999995E-8</v>
      </c>
      <c r="W422" s="104">
        <f t="shared" si="988"/>
        <v>0</v>
      </c>
      <c r="X422" s="104">
        <f t="shared" si="934"/>
        <v>0</v>
      </c>
      <c r="Y422" s="104">
        <f t="shared" si="934"/>
        <v>9.9999999999999995E-8</v>
      </c>
      <c r="Z422" s="104">
        <f t="shared" si="934"/>
        <v>9.9999999999999995E-8</v>
      </c>
      <c r="AA422" s="105">
        <f t="shared" si="934"/>
        <v>9.9999999999999995E-8</v>
      </c>
      <c r="AB422" s="101" t="e">
        <f>$DT422*HLOOKUP($J422,'Construction Costs (timber)'!$B$1:$V$32,'Construction Planner'!$L422+2,FALSE)</f>
        <v>#N/A</v>
      </c>
      <c r="AC422" s="14" t="e">
        <f>$DT422*HLOOKUP($J422,'Construction Costs (clay)'!$B$1:$V$32,'Construction Planner'!$L422+2,FALSE)</f>
        <v>#N/A</v>
      </c>
      <c r="AD422" s="14" t="e">
        <f>$DT422*HLOOKUP($J422,'Construction Costs (iron)'!$B$1:$V$32,'Construction Planner'!$L422+2,FALSE)</f>
        <v>#N/A</v>
      </c>
      <c r="AE422" s="34" t="e">
        <f t="shared" si="1000"/>
        <v>#N/A</v>
      </c>
      <c r="AF422" s="33" t="e">
        <f t="shared" si="939"/>
        <v>#N/A</v>
      </c>
      <c r="AG422" s="14" t="e">
        <f t="shared" si="940"/>
        <v>#N/A</v>
      </c>
      <c r="AH422" s="14" t="e">
        <f t="shared" si="941"/>
        <v>#N/A</v>
      </c>
      <c r="AI422" s="34" t="e">
        <f t="shared" si="1001"/>
        <v>#N/A</v>
      </c>
      <c r="AJ422" s="49" t="e">
        <f t="shared" si="962"/>
        <v>#N/A</v>
      </c>
      <c r="AK422" s="49" t="e">
        <f t="shared" si="963"/>
        <v>#N/A</v>
      </c>
      <c r="AL422" s="49" t="e">
        <f t="shared" si="964"/>
        <v>#N/A</v>
      </c>
      <c r="AM422" s="25">
        <f t="shared" si="942"/>
        <v>30</v>
      </c>
      <c r="AN422" s="25">
        <f t="shared" si="943"/>
        <v>30</v>
      </c>
      <c r="AO422" s="25">
        <f t="shared" si="944"/>
        <v>30</v>
      </c>
      <c r="AP422" s="52" t="e">
        <f t="shared" si="965"/>
        <v>#N/A</v>
      </c>
      <c r="AQ422" s="53" t="e">
        <f t="shared" si="965"/>
        <v>#N/A</v>
      </c>
      <c r="AR422" s="54" t="e">
        <f t="shared" si="965"/>
        <v>#N/A</v>
      </c>
      <c r="AS422" s="316">
        <f t="shared" si="1033"/>
        <v>0</v>
      </c>
      <c r="AT422" s="106">
        <f>_xlfn.IFNA($M422/VLOOKUP($BT422,'Unit information'!$A$2:$K$29,2,FALSE)*R422,0)*(1+$E$9)</f>
        <v>0</v>
      </c>
      <c r="AU422" s="107">
        <f>_xlfn.IFNA($M422/VLOOKUP($BT422,'Unit information'!$A$2:$K$29,3,FALSE)*S422,0)*(1+$E$9)</f>
        <v>0</v>
      </c>
      <c r="AV422" s="107">
        <f>_xlfn.IFNA($M422/VLOOKUP($BT422,'Unit information'!$A$2:$K$29,4,FALSE)*T422,0)*(1+$E$9)</f>
        <v>0</v>
      </c>
      <c r="AW422" s="107">
        <f>_xlfn.IFNA($M422/VLOOKUP($BT422,'Unit information'!$A$2:$K$29,5,FALSE)*U422,0)*(1+$E$9)</f>
        <v>0</v>
      </c>
      <c r="AX422" s="107">
        <f>_xlfn.IFNA($M422/VLOOKUP($BU422,'Unit information'!$A$2:$K$29,6,FALSE)*V422,0)*(1+$E$9)</f>
        <v>0</v>
      </c>
      <c r="AY422" s="107">
        <f>_xlfn.IFNA($M422/VLOOKUP($BU422,'Unit information'!$A$2:$K$29,7,FALSE)*W422,0)*(1+$E$9)</f>
        <v>0</v>
      </c>
      <c r="AZ422" s="107">
        <f>_xlfn.IFNA($M422/VLOOKUP($BU422,'Unit information'!$A$2:$K$29,8,FALSE)*X422,0)*(1+$E$9)</f>
        <v>0</v>
      </c>
      <c r="BA422" s="107">
        <f>_xlfn.IFNA($M422/VLOOKUP($BU422,'Unit information'!$A$2:$K$29,9,FALSE)*Y422,0)*(1+$E$9)</f>
        <v>0</v>
      </c>
      <c r="BB422" s="107">
        <f>_xlfn.IFNA($M422/VLOOKUP($BV422,'Unit information'!$A$2:$K$29,10,FALSE)*Z422,0)*(1+$E$9)</f>
        <v>0</v>
      </c>
      <c r="BC422" s="108">
        <f>_xlfn.IFNA($M422/VLOOKUP($BV422,'Unit information'!$A$2:$K$29,11,FALSE)*AA422,0)*(1+$E$9)</f>
        <v>0</v>
      </c>
      <c r="BD422" s="106">
        <f t="shared" si="945"/>
        <v>0</v>
      </c>
      <c r="BE422" s="107">
        <f t="shared" si="946"/>
        <v>0</v>
      </c>
      <c r="BF422" s="108">
        <f t="shared" si="947"/>
        <v>0</v>
      </c>
      <c r="BG422" s="25" t="e">
        <f t="shared" si="948"/>
        <v>#N/A</v>
      </c>
      <c r="BH422" s="25" t="e">
        <f t="shared" si="949"/>
        <v>#N/A</v>
      </c>
      <c r="BI422" s="25" t="e">
        <f t="shared" si="950"/>
        <v>#N/A</v>
      </c>
      <c r="BJ422" s="27" t="e">
        <f t="shared" si="951"/>
        <v>#N/A</v>
      </c>
      <c r="BK422" s="18" t="e">
        <f t="shared" si="952"/>
        <v>#N/A</v>
      </c>
      <c r="BL422" s="18" t="e">
        <f t="shared" si="953"/>
        <v>#N/A</v>
      </c>
      <c r="BM422" s="28" t="e">
        <f t="shared" si="1003"/>
        <v>#N/A</v>
      </c>
      <c r="BN422" s="33">
        <f>HLOOKUP("maximum population",Miscelaneous!$C$1:$C$33,CH422+3,FALSE)</f>
        <v>240</v>
      </c>
      <c r="BO422" s="14">
        <f t="shared" si="966"/>
        <v>32</v>
      </c>
      <c r="BP422" s="14">
        <f t="shared" si="967"/>
        <v>0</v>
      </c>
      <c r="BQ422" s="14">
        <f t="shared" si="968"/>
        <v>208</v>
      </c>
      <c r="BR422" s="34" t="e">
        <f>HLOOKUP(J422,Villagers!$B$1:$V$33,L422+3,FALSE)-HLOOKUP(J422,Villagers!$B$1:$V$33,L422+2,FALSE)</f>
        <v>#N/A</v>
      </c>
      <c r="BS422" s="49">
        <f t="shared" si="969"/>
        <v>1</v>
      </c>
      <c r="BT422" s="50">
        <f t="shared" si="970"/>
        <v>0</v>
      </c>
      <c r="BU422" s="50">
        <f t="shared" si="971"/>
        <v>0</v>
      </c>
      <c r="BV422" s="50">
        <f t="shared" si="972"/>
        <v>0</v>
      </c>
      <c r="BW422" s="50">
        <f t="shared" si="1028"/>
        <v>0</v>
      </c>
      <c r="BX422" s="50">
        <f t="shared" si="1028"/>
        <v>0</v>
      </c>
      <c r="BY422" s="50">
        <f t="shared" si="1028"/>
        <v>0</v>
      </c>
      <c r="BZ422" s="50">
        <f t="shared" si="1015"/>
        <v>0</v>
      </c>
      <c r="CA422" s="50">
        <f t="shared" si="1016"/>
        <v>0</v>
      </c>
      <c r="CB422" s="50">
        <f t="shared" si="1017"/>
        <v>1</v>
      </c>
      <c r="CC422" s="50">
        <f t="shared" si="1018"/>
        <v>0</v>
      </c>
      <c r="CD422" s="50">
        <f t="shared" si="1019"/>
        <v>0</v>
      </c>
      <c r="CE422" s="50">
        <f t="shared" si="1020"/>
        <v>1</v>
      </c>
      <c r="CF422" s="50">
        <f t="shared" si="1021"/>
        <v>1</v>
      </c>
      <c r="CG422" s="50">
        <f t="shared" si="1022"/>
        <v>1</v>
      </c>
      <c r="CH422" s="50">
        <f t="shared" si="1023"/>
        <v>1</v>
      </c>
      <c r="CI422" s="50">
        <f t="shared" si="1024"/>
        <v>1</v>
      </c>
      <c r="CJ422" s="50">
        <f t="shared" si="1025"/>
        <v>1</v>
      </c>
      <c r="CK422" s="50">
        <f t="shared" si="1025"/>
        <v>0</v>
      </c>
      <c r="CL422" s="50">
        <f t="shared" si="1025"/>
        <v>0</v>
      </c>
      <c r="CM422" s="51">
        <f t="shared" si="1026"/>
        <v>0</v>
      </c>
      <c r="CN422" s="33">
        <f>ROUND(IF(BS422=0,0,HLOOKUP(BS$14,Villagers!$B$1:$V$33,BS422+3,FALSE)),)</f>
        <v>5</v>
      </c>
      <c r="CO422" s="14">
        <f>ROUND(IF(BT422=0,0,HLOOKUP(BT$14,Villagers!$B$1:$V$33,BT422+3,FALSE)),)</f>
        <v>0</v>
      </c>
      <c r="CP422" s="14">
        <f>ROUND(IF(BU422=0,0,HLOOKUP(BU$14,Villagers!$B$1:$V$33,BU422+3,FALSE)),)</f>
        <v>0</v>
      </c>
      <c r="CQ422" s="14">
        <f>ROUND(IF(BV422=0,0,HLOOKUP(BV$14,Villagers!$B$1:$V$33,BV422+3,FALSE)),)</f>
        <v>0</v>
      </c>
      <c r="CR422" s="14">
        <f>ROUND(IF(BW422=0,0,HLOOKUP(BW$14,Villagers!$B$1:$V$33,BW422+3,FALSE)),)</f>
        <v>0</v>
      </c>
      <c r="CS422" s="14">
        <f>ROUND(IF(BX422=0,0,HLOOKUP(BX$14,Villagers!$B$1:$V$33,BX422+3,FALSE)),)</f>
        <v>0</v>
      </c>
      <c r="CT422" s="14">
        <f>ROUND(IF(BY422=0,0,HLOOKUP(BY$14,Villagers!$B$1:$V$33,BY422+3,FALSE)),)</f>
        <v>0</v>
      </c>
      <c r="CU422" s="14">
        <f>ROUND(IF(BZ422=0,0,HLOOKUP(BZ$14,Villagers!$B$1:$V$33,BZ422+3,FALSE)),)</f>
        <v>0</v>
      </c>
      <c r="CV422" s="14">
        <f>ROUND(IF(CA422=0,0,HLOOKUP(CA$14,Villagers!$B$1:$V$33,CA422+3,FALSE)),)</f>
        <v>0</v>
      </c>
      <c r="CW422" s="14">
        <f>ROUND(IF(CB422=0,0,HLOOKUP(CB$14,Villagers!$B$1:$V$33,CB422+3,FALSE)),)</f>
        <v>0</v>
      </c>
      <c r="CX422" s="14">
        <f>ROUND(IF(CC422=0,0,HLOOKUP(CC$14,Villagers!$B$1:$V$33,CC422+3,FALSE)),)</f>
        <v>0</v>
      </c>
      <c r="CY422" s="14">
        <f>ROUND(IF(CD422=0,0,HLOOKUP(CD$14,Villagers!$B$1:$V$33,CD422+3,FALSE)),)</f>
        <v>0</v>
      </c>
      <c r="CZ422" s="14">
        <f>ROUND(IF(CE422=0,0,HLOOKUP(CE$14,Villagers!$B$1:$V$33,CE422+3,FALSE)),)</f>
        <v>5</v>
      </c>
      <c r="DA422" s="14">
        <f>ROUND(IF(CF422=0,0,HLOOKUP(CF$14,Villagers!$B$1:$V$33,CF422+3,FALSE)),)</f>
        <v>10</v>
      </c>
      <c r="DB422" s="14">
        <f>ROUND(IF(CG422=0,0,HLOOKUP(CG$14,Villagers!$B$1:$V$33,CG422+3,FALSE)),)</f>
        <v>10</v>
      </c>
      <c r="DC422" s="14">
        <f>ROUND(IF(CH422=0,0,HLOOKUP(CH$14,Villagers!$B$1:$V$33,CH422+3,FALSE)),)</f>
        <v>0</v>
      </c>
      <c r="DD422" s="14">
        <f>ROUND(IF(CI422=0,0,HLOOKUP(CI$14,Villagers!$B$1:$V$33,CI422+3,FALSE)),)</f>
        <v>0</v>
      </c>
      <c r="DE422" s="14">
        <f>ROUND(IF(CJ422=0,0,HLOOKUP(CJ$14,Villagers!$B$1:$V$33,CJ422+3,FALSE)),)</f>
        <v>2</v>
      </c>
      <c r="DF422" s="370">
        <f>ROUND(IF(CK422=0,0,HLOOKUP(CK$14,Villagers!$B$1:$V$33,CK422+3,FALSE)),)</f>
        <v>0</v>
      </c>
      <c r="DG422" s="370">
        <f>ROUND(IF(CL422=0,0,HLOOKUP(CL$14,Villagers!$B$1:$V$33,CL422+3,FALSE)),)</f>
        <v>0</v>
      </c>
      <c r="DH422" s="34">
        <f>ROUND(IF(CM422=0,0,HLOOKUP(CM$14,Villagers!$B$1:$V$33,CM422+3,FALSE)),)</f>
        <v>0</v>
      </c>
      <c r="DI422" s="109">
        <f t="shared" si="989"/>
        <v>0</v>
      </c>
      <c r="DJ422" s="50">
        <f t="shared" si="990"/>
        <v>0</v>
      </c>
      <c r="DK422" s="50">
        <f t="shared" si="991"/>
        <v>0</v>
      </c>
      <c r="DL422" s="50">
        <f t="shared" si="992"/>
        <v>0</v>
      </c>
      <c r="DM422" s="50">
        <f t="shared" si="993"/>
        <v>0</v>
      </c>
      <c r="DN422" s="50">
        <f t="shared" si="994"/>
        <v>0</v>
      </c>
      <c r="DO422" s="50">
        <f t="shared" si="995"/>
        <v>0</v>
      </c>
      <c r="DP422" s="50">
        <f t="shared" si="996"/>
        <v>0</v>
      </c>
      <c r="DQ422" s="50">
        <f t="shared" si="973"/>
        <v>0</v>
      </c>
      <c r="DR422" s="50">
        <f t="shared" si="974"/>
        <v>0</v>
      </c>
      <c r="DS422" s="96">
        <f>Miscelaneous!$D$4*Miscelaneous!$D$2^($CI422-1)</f>
        <v>1000</v>
      </c>
      <c r="DT422" s="333">
        <f t="shared" si="955"/>
        <v>1</v>
      </c>
      <c r="DU422" s="81">
        <v>1</v>
      </c>
      <c r="DV422" s="79">
        <f t="shared" si="975"/>
        <v>0</v>
      </c>
      <c r="DW422" s="79">
        <f t="shared" si="976"/>
        <v>0</v>
      </c>
      <c r="DX422" s="79">
        <f t="shared" si="977"/>
        <v>0</v>
      </c>
      <c r="DY422" s="79">
        <v>1</v>
      </c>
      <c r="DZ422" s="79">
        <f t="shared" si="978"/>
        <v>0</v>
      </c>
      <c r="EA422" s="79">
        <f t="shared" si="979"/>
        <v>0</v>
      </c>
      <c r="EB422" s="79">
        <f t="shared" si="980"/>
        <v>0</v>
      </c>
      <c r="EC422" s="79">
        <f t="shared" si="981"/>
        <v>0</v>
      </c>
      <c r="ED422" s="79">
        <v>1</v>
      </c>
      <c r="EE422" s="79">
        <v>1</v>
      </c>
      <c r="EF422" s="79">
        <f t="shared" si="982"/>
        <v>0</v>
      </c>
      <c r="EG422" s="79">
        <v>1</v>
      </c>
      <c r="EH422" s="79">
        <v>1</v>
      </c>
      <c r="EI422" s="79">
        <v>1</v>
      </c>
      <c r="EJ422" s="79">
        <v>1</v>
      </c>
      <c r="EK422" s="79">
        <v>1</v>
      </c>
      <c r="EL422" s="79">
        <v>1</v>
      </c>
      <c r="EM422" s="143">
        <f t="shared" si="983"/>
        <v>0</v>
      </c>
      <c r="EN422" s="143">
        <f t="shared" si="984"/>
        <v>0</v>
      </c>
      <c r="EO422" s="82">
        <f t="shared" si="985"/>
        <v>0</v>
      </c>
    </row>
    <row r="423" spans="1:145" x14ac:dyDescent="0.25">
      <c r="A423">
        <v>409</v>
      </c>
      <c r="B423" s="172" t="e">
        <f t="shared" si="956"/>
        <v>#N/A</v>
      </c>
      <c r="C423" s="121" t="e">
        <f t="shared" ref="C423:E423" si="1036">AJ423-SUM(AB423:AB427)</f>
        <v>#N/A</v>
      </c>
      <c r="D423" s="122" t="e">
        <f t="shared" si="1036"/>
        <v>#N/A</v>
      </c>
      <c r="E423" s="122" t="e">
        <f t="shared" si="1036"/>
        <v>#N/A</v>
      </c>
      <c r="F423" s="176" t="e">
        <f t="shared" si="937"/>
        <v>#N/A</v>
      </c>
      <c r="G423" s="121">
        <f t="shared" si="958"/>
        <v>208</v>
      </c>
      <c r="H423" s="176" t="e">
        <f t="shared" si="959"/>
        <v>#N/A</v>
      </c>
      <c r="I423" s="48">
        <v>1</v>
      </c>
      <c r="J423" s="39"/>
      <c r="K423" s="350">
        <v>1</v>
      </c>
      <c r="L423" s="34" t="e">
        <f t="shared" si="938"/>
        <v>#N/A</v>
      </c>
      <c r="M423" s="38" t="e">
        <f>(HLOOKUP(J423,'Construction Times'!$B$3:$W$34,L423+2,FALSE)*HLOOKUP("hq modifier",'Construction Times'!$W$3:$W$34,BS423+2,FALSE))*(1-$H$9)</f>
        <v>#N/A</v>
      </c>
      <c r="N423" s="426" t="e">
        <f t="shared" si="960"/>
        <v>#N/A</v>
      </c>
      <c r="O423" s="427"/>
      <c r="P423" s="430" t="e">
        <f t="shared" si="961"/>
        <v>#N/A</v>
      </c>
      <c r="Q423" s="431"/>
      <c r="R423" s="103">
        <f t="shared" si="987"/>
        <v>0</v>
      </c>
      <c r="S423" s="104">
        <f t="shared" si="987"/>
        <v>0</v>
      </c>
      <c r="T423" s="104">
        <f t="shared" si="988"/>
        <v>0</v>
      </c>
      <c r="U423" s="104">
        <f t="shared" si="988"/>
        <v>0</v>
      </c>
      <c r="V423" s="104">
        <f t="shared" si="988"/>
        <v>9.9999999999999995E-8</v>
      </c>
      <c r="W423" s="104">
        <f t="shared" si="988"/>
        <v>0</v>
      </c>
      <c r="X423" s="104">
        <f t="shared" si="934"/>
        <v>0</v>
      </c>
      <c r="Y423" s="104">
        <f t="shared" si="934"/>
        <v>9.9999999999999995E-8</v>
      </c>
      <c r="Z423" s="104">
        <f t="shared" si="934"/>
        <v>9.9999999999999995E-8</v>
      </c>
      <c r="AA423" s="105">
        <f t="shared" si="934"/>
        <v>9.9999999999999995E-8</v>
      </c>
      <c r="AB423" s="101" t="e">
        <f>$DT423*HLOOKUP($J423,'Construction Costs (timber)'!$B$1:$V$32,'Construction Planner'!$L423+2,FALSE)</f>
        <v>#N/A</v>
      </c>
      <c r="AC423" s="14" t="e">
        <f>$DT423*HLOOKUP($J423,'Construction Costs (clay)'!$B$1:$V$32,'Construction Planner'!$L423+2,FALSE)</f>
        <v>#N/A</v>
      </c>
      <c r="AD423" s="14" t="e">
        <f>$DT423*HLOOKUP($J423,'Construction Costs (iron)'!$B$1:$V$32,'Construction Planner'!$L423+2,FALSE)</f>
        <v>#N/A</v>
      </c>
      <c r="AE423" s="34" t="e">
        <f t="shared" si="1000"/>
        <v>#N/A</v>
      </c>
      <c r="AF423" s="33" t="e">
        <f t="shared" si="939"/>
        <v>#N/A</v>
      </c>
      <c r="AG423" s="14" t="e">
        <f t="shared" si="940"/>
        <v>#N/A</v>
      </c>
      <c r="AH423" s="14" t="e">
        <f t="shared" si="941"/>
        <v>#N/A</v>
      </c>
      <c r="AI423" s="34" t="e">
        <f t="shared" si="1001"/>
        <v>#N/A</v>
      </c>
      <c r="AJ423" s="49" t="e">
        <f t="shared" si="962"/>
        <v>#N/A</v>
      </c>
      <c r="AK423" s="49" t="e">
        <f t="shared" si="963"/>
        <v>#N/A</v>
      </c>
      <c r="AL423" s="49" t="e">
        <f t="shared" si="964"/>
        <v>#N/A</v>
      </c>
      <c r="AM423" s="25">
        <f t="shared" si="942"/>
        <v>30</v>
      </c>
      <c r="AN423" s="25">
        <f t="shared" si="943"/>
        <v>30</v>
      </c>
      <c r="AO423" s="25">
        <f t="shared" si="944"/>
        <v>30</v>
      </c>
      <c r="AP423" s="52" t="e">
        <f t="shared" si="965"/>
        <v>#N/A</v>
      </c>
      <c r="AQ423" s="53" t="e">
        <f t="shared" si="965"/>
        <v>#N/A</v>
      </c>
      <c r="AR423" s="54" t="e">
        <f t="shared" si="965"/>
        <v>#N/A</v>
      </c>
      <c r="AS423" s="316">
        <f t="shared" si="1033"/>
        <v>0</v>
      </c>
      <c r="AT423" s="106">
        <f>_xlfn.IFNA($M423/VLOOKUP($BT423,'Unit information'!$A$2:$K$29,2,FALSE)*R423,0)*(1+$E$9)</f>
        <v>0</v>
      </c>
      <c r="AU423" s="107">
        <f>_xlfn.IFNA($M423/VLOOKUP($BT423,'Unit information'!$A$2:$K$29,3,FALSE)*S423,0)*(1+$E$9)</f>
        <v>0</v>
      </c>
      <c r="AV423" s="107">
        <f>_xlfn.IFNA($M423/VLOOKUP($BT423,'Unit information'!$A$2:$K$29,4,FALSE)*T423,0)*(1+$E$9)</f>
        <v>0</v>
      </c>
      <c r="AW423" s="107">
        <f>_xlfn.IFNA($M423/VLOOKUP($BT423,'Unit information'!$A$2:$K$29,5,FALSE)*U423,0)*(1+$E$9)</f>
        <v>0</v>
      </c>
      <c r="AX423" s="107">
        <f>_xlfn.IFNA($M423/VLOOKUP($BU423,'Unit information'!$A$2:$K$29,6,FALSE)*V423,0)*(1+$E$9)</f>
        <v>0</v>
      </c>
      <c r="AY423" s="107">
        <f>_xlfn.IFNA($M423/VLOOKUP($BU423,'Unit information'!$A$2:$K$29,7,FALSE)*W423,0)*(1+$E$9)</f>
        <v>0</v>
      </c>
      <c r="AZ423" s="107">
        <f>_xlfn.IFNA($M423/VLOOKUP($BU423,'Unit information'!$A$2:$K$29,8,FALSE)*X423,0)*(1+$E$9)</f>
        <v>0</v>
      </c>
      <c r="BA423" s="107">
        <f>_xlfn.IFNA($M423/VLOOKUP($BU423,'Unit information'!$A$2:$K$29,9,FALSE)*Y423,0)*(1+$E$9)</f>
        <v>0</v>
      </c>
      <c r="BB423" s="107">
        <f>_xlfn.IFNA($M423/VLOOKUP($BV423,'Unit information'!$A$2:$K$29,10,FALSE)*Z423,0)*(1+$E$9)</f>
        <v>0</v>
      </c>
      <c r="BC423" s="108">
        <f>_xlfn.IFNA($M423/VLOOKUP($BV423,'Unit information'!$A$2:$K$29,11,FALSE)*AA423,0)*(1+$E$9)</f>
        <v>0</v>
      </c>
      <c r="BD423" s="106">
        <f t="shared" si="945"/>
        <v>0</v>
      </c>
      <c r="BE423" s="107">
        <f t="shared" si="946"/>
        <v>0</v>
      </c>
      <c r="BF423" s="108">
        <f t="shared" si="947"/>
        <v>0</v>
      </c>
      <c r="BG423" s="25" t="e">
        <f t="shared" si="948"/>
        <v>#N/A</v>
      </c>
      <c r="BH423" s="25" t="e">
        <f t="shared" si="949"/>
        <v>#N/A</v>
      </c>
      <c r="BI423" s="25" t="e">
        <f t="shared" si="950"/>
        <v>#N/A</v>
      </c>
      <c r="BJ423" s="27" t="e">
        <f t="shared" si="951"/>
        <v>#N/A</v>
      </c>
      <c r="BK423" s="18" t="e">
        <f t="shared" si="952"/>
        <v>#N/A</v>
      </c>
      <c r="BL423" s="18" t="e">
        <f t="shared" si="953"/>
        <v>#N/A</v>
      </c>
      <c r="BM423" s="28" t="e">
        <f t="shared" si="1003"/>
        <v>#N/A</v>
      </c>
      <c r="BN423" s="33">
        <f>HLOOKUP("maximum population",Miscelaneous!$C$1:$C$33,CH423+3,FALSE)</f>
        <v>240</v>
      </c>
      <c r="BO423" s="14">
        <f t="shared" si="966"/>
        <v>32</v>
      </c>
      <c r="BP423" s="14">
        <f t="shared" si="967"/>
        <v>0</v>
      </c>
      <c r="BQ423" s="14">
        <f t="shared" si="968"/>
        <v>208</v>
      </c>
      <c r="BR423" s="34" t="e">
        <f>HLOOKUP(J423,Villagers!$B$1:$V$33,L423+3,FALSE)-HLOOKUP(J423,Villagers!$B$1:$V$33,L423+2,FALSE)</f>
        <v>#N/A</v>
      </c>
      <c r="BS423" s="49">
        <f t="shared" si="969"/>
        <v>1</v>
      </c>
      <c r="BT423" s="50">
        <f t="shared" si="970"/>
        <v>0</v>
      </c>
      <c r="BU423" s="50">
        <f t="shared" si="971"/>
        <v>0</v>
      </c>
      <c r="BV423" s="50">
        <f t="shared" si="972"/>
        <v>0</v>
      </c>
      <c r="BW423" s="50">
        <f>IF($J422=BW$14,$L422,BW422)</f>
        <v>0</v>
      </c>
      <c r="BX423" s="50">
        <f t="shared" ref="BX423:BY431" si="1037">IF($J422=BX$14,$L422,BX422)</f>
        <v>0</v>
      </c>
      <c r="BY423" s="50">
        <f t="shared" si="1037"/>
        <v>0</v>
      </c>
      <c r="BZ423" s="50">
        <f t="shared" si="1015"/>
        <v>0</v>
      </c>
      <c r="CA423" s="50">
        <f t="shared" si="1016"/>
        <v>0</v>
      </c>
      <c r="CB423" s="50">
        <f t="shared" si="1017"/>
        <v>1</v>
      </c>
      <c r="CC423" s="50">
        <f t="shared" si="1018"/>
        <v>0</v>
      </c>
      <c r="CD423" s="50">
        <f t="shared" si="1019"/>
        <v>0</v>
      </c>
      <c r="CE423" s="50">
        <f t="shared" si="1020"/>
        <v>1</v>
      </c>
      <c r="CF423" s="50">
        <f t="shared" si="1021"/>
        <v>1</v>
      </c>
      <c r="CG423" s="50">
        <f t="shared" si="1022"/>
        <v>1</v>
      </c>
      <c r="CH423" s="50">
        <f t="shared" si="1023"/>
        <v>1</v>
      </c>
      <c r="CI423" s="50">
        <f t="shared" si="1024"/>
        <v>1</v>
      </c>
      <c r="CJ423" s="50">
        <f t="shared" si="1025"/>
        <v>1</v>
      </c>
      <c r="CK423" s="50">
        <f t="shared" si="1025"/>
        <v>0</v>
      </c>
      <c r="CL423" s="50">
        <f t="shared" si="1025"/>
        <v>0</v>
      </c>
      <c r="CM423" s="51">
        <f t="shared" si="1026"/>
        <v>0</v>
      </c>
      <c r="CN423" s="33">
        <f>ROUND(IF(BS423=0,0,HLOOKUP(BS$14,Villagers!$B$1:$V$33,BS423+3,FALSE)),)</f>
        <v>5</v>
      </c>
      <c r="CO423" s="14">
        <f>ROUND(IF(BT423=0,0,HLOOKUP(BT$14,Villagers!$B$1:$V$33,BT423+3,FALSE)),)</f>
        <v>0</v>
      </c>
      <c r="CP423" s="14">
        <f>ROUND(IF(BU423=0,0,HLOOKUP(BU$14,Villagers!$B$1:$V$33,BU423+3,FALSE)),)</f>
        <v>0</v>
      </c>
      <c r="CQ423" s="14">
        <f>ROUND(IF(BV423=0,0,HLOOKUP(BV$14,Villagers!$B$1:$V$33,BV423+3,FALSE)),)</f>
        <v>0</v>
      </c>
      <c r="CR423" s="14">
        <f>ROUND(IF(BW423=0,0,HLOOKUP(BW$14,Villagers!$B$1:$V$33,BW423+3,FALSE)),)</f>
        <v>0</v>
      </c>
      <c r="CS423" s="14">
        <f>ROUND(IF(BX423=0,0,HLOOKUP(BX$14,Villagers!$B$1:$V$33,BX423+3,FALSE)),)</f>
        <v>0</v>
      </c>
      <c r="CT423" s="14">
        <f>ROUND(IF(BY423=0,0,HLOOKUP(BY$14,Villagers!$B$1:$V$33,BY423+3,FALSE)),)</f>
        <v>0</v>
      </c>
      <c r="CU423" s="14">
        <f>ROUND(IF(BZ423=0,0,HLOOKUP(BZ$14,Villagers!$B$1:$V$33,BZ423+3,FALSE)),)</f>
        <v>0</v>
      </c>
      <c r="CV423" s="14">
        <f>ROUND(IF(CA423=0,0,HLOOKUP(CA$14,Villagers!$B$1:$V$33,CA423+3,FALSE)),)</f>
        <v>0</v>
      </c>
      <c r="CW423" s="14">
        <f>ROUND(IF(CB423=0,0,HLOOKUP(CB$14,Villagers!$B$1:$V$33,CB423+3,FALSE)),)</f>
        <v>0</v>
      </c>
      <c r="CX423" s="14">
        <f>ROUND(IF(CC423=0,0,HLOOKUP(CC$14,Villagers!$B$1:$V$33,CC423+3,FALSE)),)</f>
        <v>0</v>
      </c>
      <c r="CY423" s="14">
        <f>ROUND(IF(CD423=0,0,HLOOKUP(CD$14,Villagers!$B$1:$V$33,CD423+3,FALSE)),)</f>
        <v>0</v>
      </c>
      <c r="CZ423" s="14">
        <f>ROUND(IF(CE423=0,0,HLOOKUP(CE$14,Villagers!$B$1:$V$33,CE423+3,FALSE)),)</f>
        <v>5</v>
      </c>
      <c r="DA423" s="14">
        <f>ROUND(IF(CF423=0,0,HLOOKUP(CF$14,Villagers!$B$1:$V$33,CF423+3,FALSE)),)</f>
        <v>10</v>
      </c>
      <c r="DB423" s="14">
        <f>ROUND(IF(CG423=0,0,HLOOKUP(CG$14,Villagers!$B$1:$V$33,CG423+3,FALSE)),)</f>
        <v>10</v>
      </c>
      <c r="DC423" s="14">
        <f>ROUND(IF(CH423=0,0,HLOOKUP(CH$14,Villagers!$B$1:$V$33,CH423+3,FALSE)),)</f>
        <v>0</v>
      </c>
      <c r="DD423" s="14">
        <f>ROUND(IF(CI423=0,0,HLOOKUP(CI$14,Villagers!$B$1:$V$33,CI423+3,FALSE)),)</f>
        <v>0</v>
      </c>
      <c r="DE423" s="14">
        <f>ROUND(IF(CJ423=0,0,HLOOKUP(CJ$14,Villagers!$B$1:$V$33,CJ423+3,FALSE)),)</f>
        <v>2</v>
      </c>
      <c r="DF423" s="370">
        <f>ROUND(IF(CK423=0,0,HLOOKUP(CK$14,Villagers!$B$1:$V$33,CK423+3,FALSE)),)</f>
        <v>0</v>
      </c>
      <c r="DG423" s="370">
        <f>ROUND(IF(CL423=0,0,HLOOKUP(CL$14,Villagers!$B$1:$V$33,CL423+3,FALSE)),)</f>
        <v>0</v>
      </c>
      <c r="DH423" s="34">
        <f>ROUND(IF(CM423=0,0,HLOOKUP(CM$14,Villagers!$B$1:$V$33,CM423+3,FALSE)),)</f>
        <v>0</v>
      </c>
      <c r="DI423" s="109">
        <f t="shared" si="989"/>
        <v>0</v>
      </c>
      <c r="DJ423" s="50">
        <f t="shared" si="990"/>
        <v>0</v>
      </c>
      <c r="DK423" s="50">
        <f t="shared" si="991"/>
        <v>0</v>
      </c>
      <c r="DL423" s="50">
        <f t="shared" si="992"/>
        <v>0</v>
      </c>
      <c r="DM423" s="50">
        <f t="shared" si="993"/>
        <v>0</v>
      </c>
      <c r="DN423" s="50">
        <f t="shared" si="994"/>
        <v>0</v>
      </c>
      <c r="DO423" s="50">
        <f t="shared" si="995"/>
        <v>0</v>
      </c>
      <c r="DP423" s="50">
        <f t="shared" si="996"/>
        <v>0</v>
      </c>
      <c r="DQ423" s="50">
        <f t="shared" si="973"/>
        <v>0</v>
      </c>
      <c r="DR423" s="50">
        <f t="shared" si="974"/>
        <v>0</v>
      </c>
      <c r="DS423" s="96">
        <f>Miscelaneous!$D$4*Miscelaneous!$D$2^($CI423-1)</f>
        <v>1000</v>
      </c>
      <c r="DT423" s="333">
        <f t="shared" si="955"/>
        <v>1</v>
      </c>
      <c r="DU423" s="81">
        <v>1</v>
      </c>
      <c r="DV423" s="79">
        <f t="shared" si="975"/>
        <v>0</v>
      </c>
      <c r="DW423" s="79">
        <f t="shared" si="976"/>
        <v>0</v>
      </c>
      <c r="DX423" s="79">
        <f t="shared" si="977"/>
        <v>0</v>
      </c>
      <c r="DY423" s="79">
        <v>1</v>
      </c>
      <c r="DZ423" s="79">
        <f t="shared" si="978"/>
        <v>0</v>
      </c>
      <c r="EA423" s="79">
        <f t="shared" si="979"/>
        <v>0</v>
      </c>
      <c r="EB423" s="79">
        <f t="shared" si="980"/>
        <v>0</v>
      </c>
      <c r="EC423" s="79">
        <f t="shared" si="981"/>
        <v>0</v>
      </c>
      <c r="ED423" s="79">
        <v>1</v>
      </c>
      <c r="EE423" s="79">
        <v>1</v>
      </c>
      <c r="EF423" s="79">
        <f t="shared" si="982"/>
        <v>0</v>
      </c>
      <c r="EG423" s="79">
        <v>1</v>
      </c>
      <c r="EH423" s="79">
        <v>1</v>
      </c>
      <c r="EI423" s="79">
        <v>1</v>
      </c>
      <c r="EJ423" s="79">
        <v>1</v>
      </c>
      <c r="EK423" s="79">
        <v>1</v>
      </c>
      <c r="EL423" s="79">
        <v>1</v>
      </c>
      <c r="EM423" s="143">
        <f t="shared" si="983"/>
        <v>0</v>
      </c>
      <c r="EN423" s="143">
        <f t="shared" si="984"/>
        <v>0</v>
      </c>
      <c r="EO423" s="82">
        <f t="shared" si="985"/>
        <v>0</v>
      </c>
    </row>
    <row r="424" spans="1:145" x14ac:dyDescent="0.25">
      <c r="A424">
        <v>410</v>
      </c>
      <c r="B424" s="172" t="e">
        <f t="shared" si="956"/>
        <v>#N/A</v>
      </c>
      <c r="C424" s="121" t="e">
        <f t="shared" ref="C424:E424" si="1038">AJ424-SUM(AB424:AB428)</f>
        <v>#N/A</v>
      </c>
      <c r="D424" s="122" t="e">
        <f t="shared" si="1038"/>
        <v>#N/A</v>
      </c>
      <c r="E424" s="122" t="e">
        <f t="shared" si="1038"/>
        <v>#N/A</v>
      </c>
      <c r="F424" s="176" t="e">
        <f t="shared" si="937"/>
        <v>#N/A</v>
      </c>
      <c r="G424" s="121">
        <f t="shared" si="958"/>
        <v>208</v>
      </c>
      <c r="H424" s="176" t="e">
        <f t="shared" si="959"/>
        <v>#N/A</v>
      </c>
      <c r="I424" s="48">
        <v>1</v>
      </c>
      <c r="J424" s="39"/>
      <c r="K424" s="350">
        <v>1</v>
      </c>
      <c r="L424" s="34" t="e">
        <f t="shared" si="938"/>
        <v>#N/A</v>
      </c>
      <c r="M424" s="38" t="e">
        <f>(HLOOKUP(J424,'Construction Times'!$B$3:$W$34,L424+2,FALSE)*HLOOKUP("hq modifier",'Construction Times'!$W$3:$W$34,BS424+2,FALSE))*(1-$H$9)</f>
        <v>#N/A</v>
      </c>
      <c r="N424" s="426" t="e">
        <f t="shared" si="960"/>
        <v>#N/A</v>
      </c>
      <c r="O424" s="427"/>
      <c r="P424" s="430" t="e">
        <f t="shared" si="961"/>
        <v>#N/A</v>
      </c>
      <c r="Q424" s="431"/>
      <c r="R424" s="103">
        <f t="shared" si="987"/>
        <v>0</v>
      </c>
      <c r="S424" s="104">
        <f t="shared" si="987"/>
        <v>0</v>
      </c>
      <c r="T424" s="104">
        <f t="shared" si="988"/>
        <v>0</v>
      </c>
      <c r="U424" s="104">
        <f t="shared" si="988"/>
        <v>0</v>
      </c>
      <c r="V424" s="104">
        <f t="shared" si="988"/>
        <v>9.9999999999999995E-8</v>
      </c>
      <c r="W424" s="104">
        <f t="shared" si="988"/>
        <v>0</v>
      </c>
      <c r="X424" s="104">
        <f t="shared" si="934"/>
        <v>0</v>
      </c>
      <c r="Y424" s="104">
        <f t="shared" si="934"/>
        <v>9.9999999999999995E-8</v>
      </c>
      <c r="Z424" s="104">
        <f t="shared" si="934"/>
        <v>9.9999999999999995E-8</v>
      </c>
      <c r="AA424" s="105">
        <f t="shared" si="934"/>
        <v>9.9999999999999995E-8</v>
      </c>
      <c r="AB424" s="101" t="e">
        <f>$DT424*HLOOKUP($J424,'Construction Costs (timber)'!$B$1:$V$32,'Construction Planner'!$L424+2,FALSE)</f>
        <v>#N/A</v>
      </c>
      <c r="AC424" s="14" t="e">
        <f>$DT424*HLOOKUP($J424,'Construction Costs (clay)'!$B$1:$V$32,'Construction Planner'!$L424+2,FALSE)</f>
        <v>#N/A</v>
      </c>
      <c r="AD424" s="14" t="e">
        <f>$DT424*HLOOKUP($J424,'Construction Costs (iron)'!$B$1:$V$32,'Construction Planner'!$L424+2,FALSE)</f>
        <v>#N/A</v>
      </c>
      <c r="AE424" s="34" t="e">
        <f t="shared" si="1000"/>
        <v>#N/A</v>
      </c>
      <c r="AF424" s="33" t="e">
        <f t="shared" si="939"/>
        <v>#N/A</v>
      </c>
      <c r="AG424" s="14" t="e">
        <f t="shared" si="940"/>
        <v>#N/A</v>
      </c>
      <c r="AH424" s="14" t="e">
        <f t="shared" si="941"/>
        <v>#N/A</v>
      </c>
      <c r="AI424" s="34" t="e">
        <f t="shared" si="1001"/>
        <v>#N/A</v>
      </c>
      <c r="AJ424" s="49" t="e">
        <f t="shared" si="962"/>
        <v>#N/A</v>
      </c>
      <c r="AK424" s="49" t="e">
        <f t="shared" si="963"/>
        <v>#N/A</v>
      </c>
      <c r="AL424" s="49" t="e">
        <f t="shared" si="964"/>
        <v>#N/A</v>
      </c>
      <c r="AM424" s="25">
        <f t="shared" si="942"/>
        <v>30</v>
      </c>
      <c r="AN424" s="25">
        <f t="shared" si="943"/>
        <v>30</v>
      </c>
      <c r="AO424" s="25">
        <f t="shared" si="944"/>
        <v>30</v>
      </c>
      <c r="AP424" s="52" t="e">
        <f t="shared" si="965"/>
        <v>#N/A</v>
      </c>
      <c r="AQ424" s="53" t="e">
        <f t="shared" si="965"/>
        <v>#N/A</v>
      </c>
      <c r="AR424" s="54" t="e">
        <f t="shared" si="965"/>
        <v>#N/A</v>
      </c>
      <c r="AS424" s="316">
        <f t="shared" si="1033"/>
        <v>0</v>
      </c>
      <c r="AT424" s="106">
        <f>_xlfn.IFNA($M424/VLOOKUP($BT424,'Unit information'!$A$2:$K$29,2,FALSE)*R424,0)*(1+$E$9)</f>
        <v>0</v>
      </c>
      <c r="AU424" s="107">
        <f>_xlfn.IFNA($M424/VLOOKUP($BT424,'Unit information'!$A$2:$K$29,3,FALSE)*S424,0)*(1+$E$9)</f>
        <v>0</v>
      </c>
      <c r="AV424" s="107">
        <f>_xlfn.IFNA($M424/VLOOKUP($BT424,'Unit information'!$A$2:$K$29,4,FALSE)*T424,0)*(1+$E$9)</f>
        <v>0</v>
      </c>
      <c r="AW424" s="107">
        <f>_xlfn.IFNA($M424/VLOOKUP($BT424,'Unit information'!$A$2:$K$29,5,FALSE)*U424,0)*(1+$E$9)</f>
        <v>0</v>
      </c>
      <c r="AX424" s="107">
        <f>_xlfn.IFNA($M424/VLOOKUP($BU424,'Unit information'!$A$2:$K$29,6,FALSE)*V424,0)*(1+$E$9)</f>
        <v>0</v>
      </c>
      <c r="AY424" s="107">
        <f>_xlfn.IFNA($M424/VLOOKUP($BU424,'Unit information'!$A$2:$K$29,7,FALSE)*W424,0)*(1+$E$9)</f>
        <v>0</v>
      </c>
      <c r="AZ424" s="107">
        <f>_xlfn.IFNA($M424/VLOOKUP($BU424,'Unit information'!$A$2:$K$29,8,FALSE)*X424,0)*(1+$E$9)</f>
        <v>0</v>
      </c>
      <c r="BA424" s="107">
        <f>_xlfn.IFNA($M424/VLOOKUP($BU424,'Unit information'!$A$2:$K$29,9,FALSE)*Y424,0)*(1+$E$9)</f>
        <v>0</v>
      </c>
      <c r="BB424" s="107">
        <f>_xlfn.IFNA($M424/VLOOKUP($BV424,'Unit information'!$A$2:$K$29,10,FALSE)*Z424,0)*(1+$E$9)</f>
        <v>0</v>
      </c>
      <c r="BC424" s="108">
        <f>_xlfn.IFNA($M424/VLOOKUP($BV424,'Unit information'!$A$2:$K$29,11,FALSE)*AA424,0)*(1+$E$9)</f>
        <v>0</v>
      </c>
      <c r="BD424" s="106">
        <f t="shared" si="945"/>
        <v>0</v>
      </c>
      <c r="BE424" s="107">
        <f t="shared" si="946"/>
        <v>0</v>
      </c>
      <c r="BF424" s="108">
        <f t="shared" si="947"/>
        <v>0</v>
      </c>
      <c r="BG424" s="25" t="e">
        <f t="shared" si="948"/>
        <v>#N/A</v>
      </c>
      <c r="BH424" s="25" t="e">
        <f t="shared" si="949"/>
        <v>#N/A</v>
      </c>
      <c r="BI424" s="25" t="e">
        <f t="shared" si="950"/>
        <v>#N/A</v>
      </c>
      <c r="BJ424" s="27" t="e">
        <f t="shared" si="951"/>
        <v>#N/A</v>
      </c>
      <c r="BK424" s="18" t="e">
        <f t="shared" si="952"/>
        <v>#N/A</v>
      </c>
      <c r="BL424" s="18" t="e">
        <f t="shared" si="953"/>
        <v>#N/A</v>
      </c>
      <c r="BM424" s="28" t="e">
        <f t="shared" si="1003"/>
        <v>#N/A</v>
      </c>
      <c r="BN424" s="33">
        <f>HLOOKUP("maximum population",Miscelaneous!$C$1:$C$33,CH424+3,FALSE)</f>
        <v>240</v>
      </c>
      <c r="BO424" s="14">
        <f t="shared" si="966"/>
        <v>32</v>
      </c>
      <c r="BP424" s="14">
        <f t="shared" si="967"/>
        <v>0</v>
      </c>
      <c r="BQ424" s="14">
        <f t="shared" si="968"/>
        <v>208</v>
      </c>
      <c r="BR424" s="34" t="e">
        <f>HLOOKUP(J424,Villagers!$B$1:$V$33,L424+3,FALSE)-HLOOKUP(J424,Villagers!$B$1:$V$33,L424+2,FALSE)</f>
        <v>#N/A</v>
      </c>
      <c r="BS424" s="49">
        <f t="shared" si="969"/>
        <v>1</v>
      </c>
      <c r="BT424" s="50">
        <f t="shared" si="970"/>
        <v>0</v>
      </c>
      <c r="BU424" s="50">
        <f t="shared" si="971"/>
        <v>0</v>
      </c>
      <c r="BV424" s="50">
        <f t="shared" si="972"/>
        <v>0</v>
      </c>
      <c r="BW424" s="50">
        <f t="shared" ref="BW424:BW431" si="1039">IF($J423=BW$14,$L423,BW423)</f>
        <v>0</v>
      </c>
      <c r="BX424" s="50">
        <f t="shared" si="1037"/>
        <v>0</v>
      </c>
      <c r="BY424" s="50">
        <f t="shared" si="1037"/>
        <v>0</v>
      </c>
      <c r="BZ424" s="50">
        <f t="shared" si="1015"/>
        <v>0</v>
      </c>
      <c r="CA424" s="50">
        <f t="shared" si="1016"/>
        <v>0</v>
      </c>
      <c r="CB424" s="50">
        <f t="shared" si="1017"/>
        <v>1</v>
      </c>
      <c r="CC424" s="50">
        <f t="shared" si="1018"/>
        <v>0</v>
      </c>
      <c r="CD424" s="50">
        <f t="shared" si="1019"/>
        <v>0</v>
      </c>
      <c r="CE424" s="50">
        <f t="shared" si="1020"/>
        <v>1</v>
      </c>
      <c r="CF424" s="50">
        <f t="shared" si="1021"/>
        <v>1</v>
      </c>
      <c r="CG424" s="50">
        <f t="shared" si="1022"/>
        <v>1</v>
      </c>
      <c r="CH424" s="50">
        <f t="shared" si="1023"/>
        <v>1</v>
      </c>
      <c r="CI424" s="50">
        <f t="shared" si="1024"/>
        <v>1</v>
      </c>
      <c r="CJ424" s="50">
        <f t="shared" si="1025"/>
        <v>1</v>
      </c>
      <c r="CK424" s="50">
        <f t="shared" si="1025"/>
        <v>0</v>
      </c>
      <c r="CL424" s="50">
        <f t="shared" si="1025"/>
        <v>0</v>
      </c>
      <c r="CM424" s="51">
        <f t="shared" si="1026"/>
        <v>0</v>
      </c>
      <c r="CN424" s="33">
        <f>ROUND(IF(BS424=0,0,HLOOKUP(BS$14,Villagers!$B$1:$V$33,BS424+3,FALSE)),)</f>
        <v>5</v>
      </c>
      <c r="CO424" s="14">
        <f>ROUND(IF(BT424=0,0,HLOOKUP(BT$14,Villagers!$B$1:$V$33,BT424+3,FALSE)),)</f>
        <v>0</v>
      </c>
      <c r="CP424" s="14">
        <f>ROUND(IF(BU424=0,0,HLOOKUP(BU$14,Villagers!$B$1:$V$33,BU424+3,FALSE)),)</f>
        <v>0</v>
      </c>
      <c r="CQ424" s="14">
        <f>ROUND(IF(BV424=0,0,HLOOKUP(BV$14,Villagers!$B$1:$V$33,BV424+3,FALSE)),)</f>
        <v>0</v>
      </c>
      <c r="CR424" s="14">
        <f>ROUND(IF(BW424=0,0,HLOOKUP(BW$14,Villagers!$B$1:$V$33,BW424+3,FALSE)),)</f>
        <v>0</v>
      </c>
      <c r="CS424" s="14">
        <f>ROUND(IF(BX424=0,0,HLOOKUP(BX$14,Villagers!$B$1:$V$33,BX424+3,FALSE)),)</f>
        <v>0</v>
      </c>
      <c r="CT424" s="14">
        <f>ROUND(IF(BY424=0,0,HLOOKUP(BY$14,Villagers!$B$1:$V$33,BY424+3,FALSE)),)</f>
        <v>0</v>
      </c>
      <c r="CU424" s="14">
        <f>ROUND(IF(BZ424=0,0,HLOOKUP(BZ$14,Villagers!$B$1:$V$33,BZ424+3,FALSE)),)</f>
        <v>0</v>
      </c>
      <c r="CV424" s="14">
        <f>ROUND(IF(CA424=0,0,HLOOKUP(CA$14,Villagers!$B$1:$V$33,CA424+3,FALSE)),)</f>
        <v>0</v>
      </c>
      <c r="CW424" s="14">
        <f>ROUND(IF(CB424=0,0,HLOOKUP(CB$14,Villagers!$B$1:$V$33,CB424+3,FALSE)),)</f>
        <v>0</v>
      </c>
      <c r="CX424" s="14">
        <f>ROUND(IF(CC424=0,0,HLOOKUP(CC$14,Villagers!$B$1:$V$33,CC424+3,FALSE)),)</f>
        <v>0</v>
      </c>
      <c r="CY424" s="14">
        <f>ROUND(IF(CD424=0,0,HLOOKUP(CD$14,Villagers!$B$1:$V$33,CD424+3,FALSE)),)</f>
        <v>0</v>
      </c>
      <c r="CZ424" s="14">
        <f>ROUND(IF(CE424=0,0,HLOOKUP(CE$14,Villagers!$B$1:$V$33,CE424+3,FALSE)),)</f>
        <v>5</v>
      </c>
      <c r="DA424" s="14">
        <f>ROUND(IF(CF424=0,0,HLOOKUP(CF$14,Villagers!$B$1:$V$33,CF424+3,FALSE)),)</f>
        <v>10</v>
      </c>
      <c r="DB424" s="14">
        <f>ROUND(IF(CG424=0,0,HLOOKUP(CG$14,Villagers!$B$1:$V$33,CG424+3,FALSE)),)</f>
        <v>10</v>
      </c>
      <c r="DC424" s="14">
        <f>ROUND(IF(CH424=0,0,HLOOKUP(CH$14,Villagers!$B$1:$V$33,CH424+3,FALSE)),)</f>
        <v>0</v>
      </c>
      <c r="DD424" s="14">
        <f>ROUND(IF(CI424=0,0,HLOOKUP(CI$14,Villagers!$B$1:$V$33,CI424+3,FALSE)),)</f>
        <v>0</v>
      </c>
      <c r="DE424" s="14">
        <f>ROUND(IF(CJ424=0,0,HLOOKUP(CJ$14,Villagers!$B$1:$V$33,CJ424+3,FALSE)),)</f>
        <v>2</v>
      </c>
      <c r="DF424" s="370">
        <f>ROUND(IF(CK424=0,0,HLOOKUP(CK$14,Villagers!$B$1:$V$33,CK424+3,FALSE)),)</f>
        <v>0</v>
      </c>
      <c r="DG424" s="370">
        <f>ROUND(IF(CL424=0,0,HLOOKUP(CL$14,Villagers!$B$1:$V$33,CL424+3,FALSE)),)</f>
        <v>0</v>
      </c>
      <c r="DH424" s="34">
        <f>ROUND(IF(CM424=0,0,HLOOKUP(CM$14,Villagers!$B$1:$V$33,CM424+3,FALSE)),)</f>
        <v>0</v>
      </c>
      <c r="DI424" s="109">
        <f t="shared" si="989"/>
        <v>0</v>
      </c>
      <c r="DJ424" s="50">
        <f t="shared" si="990"/>
        <v>0</v>
      </c>
      <c r="DK424" s="50">
        <f t="shared" si="991"/>
        <v>0</v>
      </c>
      <c r="DL424" s="50">
        <f t="shared" si="992"/>
        <v>0</v>
      </c>
      <c r="DM424" s="50">
        <f t="shared" si="993"/>
        <v>0</v>
      </c>
      <c r="DN424" s="50">
        <f t="shared" si="994"/>
        <v>0</v>
      </c>
      <c r="DO424" s="50">
        <f t="shared" si="995"/>
        <v>0</v>
      </c>
      <c r="DP424" s="50">
        <f t="shared" si="996"/>
        <v>0</v>
      </c>
      <c r="DQ424" s="50">
        <f t="shared" si="973"/>
        <v>0</v>
      </c>
      <c r="DR424" s="50">
        <f t="shared" si="974"/>
        <v>0</v>
      </c>
      <c r="DS424" s="96">
        <f>Miscelaneous!$D$4*Miscelaneous!$D$2^($CI424-1)</f>
        <v>1000</v>
      </c>
      <c r="DT424" s="333">
        <f t="shared" si="955"/>
        <v>1</v>
      </c>
      <c r="DU424" s="81">
        <v>1</v>
      </c>
      <c r="DV424" s="79">
        <f t="shared" si="975"/>
        <v>0</v>
      </c>
      <c r="DW424" s="79">
        <f t="shared" si="976"/>
        <v>0</v>
      </c>
      <c r="DX424" s="79">
        <f t="shared" si="977"/>
        <v>0</v>
      </c>
      <c r="DY424" s="79">
        <v>1</v>
      </c>
      <c r="DZ424" s="79">
        <f t="shared" si="978"/>
        <v>0</v>
      </c>
      <c r="EA424" s="79">
        <f t="shared" si="979"/>
        <v>0</v>
      </c>
      <c r="EB424" s="79">
        <f t="shared" si="980"/>
        <v>0</v>
      </c>
      <c r="EC424" s="79">
        <f t="shared" si="981"/>
        <v>0</v>
      </c>
      <c r="ED424" s="79">
        <v>1</v>
      </c>
      <c r="EE424" s="79">
        <v>1</v>
      </c>
      <c r="EF424" s="79">
        <f t="shared" si="982"/>
        <v>0</v>
      </c>
      <c r="EG424" s="79">
        <v>1</v>
      </c>
      <c r="EH424" s="79">
        <v>1</v>
      </c>
      <c r="EI424" s="79">
        <v>1</v>
      </c>
      <c r="EJ424" s="79">
        <v>1</v>
      </c>
      <c r="EK424" s="79">
        <v>1</v>
      </c>
      <c r="EL424" s="79">
        <v>1</v>
      </c>
      <c r="EM424" s="143">
        <f t="shared" si="983"/>
        <v>0</v>
      </c>
      <c r="EN424" s="143">
        <f t="shared" si="984"/>
        <v>0</v>
      </c>
      <c r="EO424" s="82">
        <f t="shared" si="985"/>
        <v>0</v>
      </c>
    </row>
    <row r="425" spans="1:145" x14ac:dyDescent="0.25">
      <c r="A425">
        <v>411</v>
      </c>
      <c r="B425" s="172" t="e">
        <f t="shared" si="956"/>
        <v>#N/A</v>
      </c>
      <c r="C425" s="121" t="e">
        <f t="shared" ref="C425:E425" si="1040">AJ425-SUM(AB425:AB429)</f>
        <v>#N/A</v>
      </c>
      <c r="D425" s="122" t="e">
        <f t="shared" si="1040"/>
        <v>#N/A</v>
      </c>
      <c r="E425" s="122" t="e">
        <f t="shared" si="1040"/>
        <v>#N/A</v>
      </c>
      <c r="F425" s="176" t="e">
        <f t="shared" si="937"/>
        <v>#N/A</v>
      </c>
      <c r="G425" s="121">
        <f t="shared" si="958"/>
        <v>208</v>
      </c>
      <c r="H425" s="176" t="e">
        <f t="shared" si="959"/>
        <v>#N/A</v>
      </c>
      <c r="I425" s="48">
        <v>1</v>
      </c>
      <c r="J425" s="39"/>
      <c r="K425" s="350">
        <v>1</v>
      </c>
      <c r="L425" s="34" t="e">
        <f t="shared" si="938"/>
        <v>#N/A</v>
      </c>
      <c r="M425" s="38" t="e">
        <f>(HLOOKUP(J425,'Construction Times'!$B$3:$W$34,L425+2,FALSE)*HLOOKUP("hq modifier",'Construction Times'!$W$3:$W$34,BS425+2,FALSE))*(1-$H$9)</f>
        <v>#N/A</v>
      </c>
      <c r="N425" s="426" t="e">
        <f t="shared" si="960"/>
        <v>#N/A</v>
      </c>
      <c r="O425" s="427"/>
      <c r="P425" s="430" t="e">
        <f t="shared" si="961"/>
        <v>#N/A</v>
      </c>
      <c r="Q425" s="431"/>
      <c r="R425" s="103">
        <f t="shared" si="987"/>
        <v>0</v>
      </c>
      <c r="S425" s="104">
        <f t="shared" si="987"/>
        <v>0</v>
      </c>
      <c r="T425" s="104">
        <f t="shared" si="988"/>
        <v>0</v>
      </c>
      <c r="U425" s="104">
        <f t="shared" si="988"/>
        <v>0</v>
      </c>
      <c r="V425" s="104">
        <f t="shared" si="988"/>
        <v>9.9999999999999995E-8</v>
      </c>
      <c r="W425" s="104">
        <f t="shared" si="988"/>
        <v>0</v>
      </c>
      <c r="X425" s="104">
        <f t="shared" si="934"/>
        <v>0</v>
      </c>
      <c r="Y425" s="104">
        <f t="shared" si="934"/>
        <v>9.9999999999999995E-8</v>
      </c>
      <c r="Z425" s="104">
        <f t="shared" si="934"/>
        <v>9.9999999999999995E-8</v>
      </c>
      <c r="AA425" s="105">
        <f t="shared" si="934"/>
        <v>9.9999999999999995E-8</v>
      </c>
      <c r="AB425" s="101" t="e">
        <f>$DT425*HLOOKUP($J425,'Construction Costs (timber)'!$B$1:$V$32,'Construction Planner'!$L425+2,FALSE)</f>
        <v>#N/A</v>
      </c>
      <c r="AC425" s="14" t="e">
        <f>$DT425*HLOOKUP($J425,'Construction Costs (clay)'!$B$1:$V$32,'Construction Planner'!$L425+2,FALSE)</f>
        <v>#N/A</v>
      </c>
      <c r="AD425" s="14" t="e">
        <f>$DT425*HLOOKUP($J425,'Construction Costs (iron)'!$B$1:$V$32,'Construction Planner'!$L425+2,FALSE)</f>
        <v>#N/A</v>
      </c>
      <c r="AE425" s="34" t="e">
        <f t="shared" si="1000"/>
        <v>#N/A</v>
      </c>
      <c r="AF425" s="33" t="e">
        <f t="shared" si="939"/>
        <v>#N/A</v>
      </c>
      <c r="AG425" s="14" t="e">
        <f t="shared" si="940"/>
        <v>#N/A</v>
      </c>
      <c r="AH425" s="14" t="e">
        <f t="shared" si="941"/>
        <v>#N/A</v>
      </c>
      <c r="AI425" s="34" t="e">
        <f t="shared" si="1001"/>
        <v>#N/A</v>
      </c>
      <c r="AJ425" s="49" t="e">
        <f t="shared" si="962"/>
        <v>#N/A</v>
      </c>
      <c r="AK425" s="49" t="e">
        <f t="shared" si="963"/>
        <v>#N/A</v>
      </c>
      <c r="AL425" s="49" t="e">
        <f t="shared" si="964"/>
        <v>#N/A</v>
      </c>
      <c r="AM425" s="25">
        <f t="shared" si="942"/>
        <v>30</v>
      </c>
      <c r="AN425" s="25">
        <f t="shared" si="943"/>
        <v>30</v>
      </c>
      <c r="AO425" s="25">
        <f t="shared" si="944"/>
        <v>30</v>
      </c>
      <c r="AP425" s="52" t="e">
        <f t="shared" si="965"/>
        <v>#N/A</v>
      </c>
      <c r="AQ425" s="53" t="e">
        <f t="shared" si="965"/>
        <v>#N/A</v>
      </c>
      <c r="AR425" s="54" t="e">
        <f t="shared" si="965"/>
        <v>#N/A</v>
      </c>
      <c r="AS425" s="316">
        <f t="shared" si="1033"/>
        <v>0</v>
      </c>
      <c r="AT425" s="106">
        <f>_xlfn.IFNA($M425/VLOOKUP($BT425,'Unit information'!$A$2:$K$29,2,FALSE)*R425,0)*(1+$E$9)</f>
        <v>0</v>
      </c>
      <c r="AU425" s="107">
        <f>_xlfn.IFNA($M425/VLOOKUP($BT425,'Unit information'!$A$2:$K$29,3,FALSE)*S425,0)*(1+$E$9)</f>
        <v>0</v>
      </c>
      <c r="AV425" s="107">
        <f>_xlfn.IFNA($M425/VLOOKUP($BT425,'Unit information'!$A$2:$K$29,4,FALSE)*T425,0)*(1+$E$9)</f>
        <v>0</v>
      </c>
      <c r="AW425" s="107">
        <f>_xlfn.IFNA($M425/VLOOKUP($BT425,'Unit information'!$A$2:$K$29,5,FALSE)*U425,0)*(1+$E$9)</f>
        <v>0</v>
      </c>
      <c r="AX425" s="107">
        <f>_xlfn.IFNA($M425/VLOOKUP($BU425,'Unit information'!$A$2:$K$29,6,FALSE)*V425,0)*(1+$E$9)</f>
        <v>0</v>
      </c>
      <c r="AY425" s="107">
        <f>_xlfn.IFNA($M425/VLOOKUP($BU425,'Unit information'!$A$2:$K$29,7,FALSE)*W425,0)*(1+$E$9)</f>
        <v>0</v>
      </c>
      <c r="AZ425" s="107">
        <f>_xlfn.IFNA($M425/VLOOKUP($BU425,'Unit information'!$A$2:$K$29,8,FALSE)*X425,0)*(1+$E$9)</f>
        <v>0</v>
      </c>
      <c r="BA425" s="107">
        <f>_xlfn.IFNA($M425/VLOOKUP($BU425,'Unit information'!$A$2:$K$29,9,FALSE)*Y425,0)*(1+$E$9)</f>
        <v>0</v>
      </c>
      <c r="BB425" s="107">
        <f>_xlfn.IFNA($M425/VLOOKUP($BV425,'Unit information'!$A$2:$K$29,10,FALSE)*Z425,0)*(1+$E$9)</f>
        <v>0</v>
      </c>
      <c r="BC425" s="108">
        <f>_xlfn.IFNA($M425/VLOOKUP($BV425,'Unit information'!$A$2:$K$29,11,FALSE)*AA425,0)*(1+$E$9)</f>
        <v>0</v>
      </c>
      <c r="BD425" s="106">
        <f t="shared" si="945"/>
        <v>0</v>
      </c>
      <c r="BE425" s="107">
        <f t="shared" si="946"/>
        <v>0</v>
      </c>
      <c r="BF425" s="108">
        <f t="shared" si="947"/>
        <v>0</v>
      </c>
      <c r="BG425" s="25" t="e">
        <f t="shared" si="948"/>
        <v>#N/A</v>
      </c>
      <c r="BH425" s="25" t="e">
        <f t="shared" si="949"/>
        <v>#N/A</v>
      </c>
      <c r="BI425" s="25" t="e">
        <f t="shared" si="950"/>
        <v>#N/A</v>
      </c>
      <c r="BJ425" s="27" t="e">
        <f t="shared" si="951"/>
        <v>#N/A</v>
      </c>
      <c r="BK425" s="18" t="e">
        <f t="shared" si="952"/>
        <v>#N/A</v>
      </c>
      <c r="BL425" s="18" t="e">
        <f t="shared" si="953"/>
        <v>#N/A</v>
      </c>
      <c r="BM425" s="28" t="e">
        <f t="shared" si="1003"/>
        <v>#N/A</v>
      </c>
      <c r="BN425" s="33">
        <f>HLOOKUP("maximum population",Miscelaneous!$C$1:$C$33,CH425+3,FALSE)</f>
        <v>240</v>
      </c>
      <c r="BO425" s="14">
        <f t="shared" si="966"/>
        <v>32</v>
      </c>
      <c r="BP425" s="14">
        <f t="shared" si="967"/>
        <v>0</v>
      </c>
      <c r="BQ425" s="14">
        <f t="shared" si="968"/>
        <v>208</v>
      </c>
      <c r="BR425" s="34" t="e">
        <f>HLOOKUP(J425,Villagers!$B$1:$V$33,L425+3,FALSE)-HLOOKUP(J425,Villagers!$B$1:$V$33,L425+2,FALSE)</f>
        <v>#N/A</v>
      </c>
      <c r="BS425" s="49">
        <f t="shared" si="969"/>
        <v>1</v>
      </c>
      <c r="BT425" s="50">
        <f t="shared" si="970"/>
        <v>0</v>
      </c>
      <c r="BU425" s="50">
        <f t="shared" si="971"/>
        <v>0</v>
      </c>
      <c r="BV425" s="50">
        <f t="shared" si="972"/>
        <v>0</v>
      </c>
      <c r="BW425" s="50">
        <f t="shared" si="1039"/>
        <v>0</v>
      </c>
      <c r="BX425" s="50">
        <f t="shared" si="1037"/>
        <v>0</v>
      </c>
      <c r="BY425" s="50">
        <f t="shared" si="1037"/>
        <v>0</v>
      </c>
      <c r="BZ425" s="50">
        <f t="shared" si="1015"/>
        <v>0</v>
      </c>
      <c r="CA425" s="50">
        <f t="shared" si="1016"/>
        <v>0</v>
      </c>
      <c r="CB425" s="50">
        <f t="shared" si="1017"/>
        <v>1</v>
      </c>
      <c r="CC425" s="50">
        <f t="shared" si="1018"/>
        <v>0</v>
      </c>
      <c r="CD425" s="50">
        <f t="shared" si="1019"/>
        <v>0</v>
      </c>
      <c r="CE425" s="50">
        <f t="shared" si="1020"/>
        <v>1</v>
      </c>
      <c r="CF425" s="50">
        <f t="shared" si="1021"/>
        <v>1</v>
      </c>
      <c r="CG425" s="50">
        <f t="shared" si="1022"/>
        <v>1</v>
      </c>
      <c r="CH425" s="50">
        <f t="shared" si="1023"/>
        <v>1</v>
      </c>
      <c r="CI425" s="50">
        <f t="shared" si="1024"/>
        <v>1</v>
      </c>
      <c r="CJ425" s="50">
        <f t="shared" si="1025"/>
        <v>1</v>
      </c>
      <c r="CK425" s="50">
        <f t="shared" si="1025"/>
        <v>0</v>
      </c>
      <c r="CL425" s="50">
        <f t="shared" si="1025"/>
        <v>0</v>
      </c>
      <c r="CM425" s="51">
        <f t="shared" si="1026"/>
        <v>0</v>
      </c>
      <c r="CN425" s="33">
        <f>ROUND(IF(BS425=0,0,HLOOKUP(BS$14,Villagers!$B$1:$V$33,BS425+3,FALSE)),)</f>
        <v>5</v>
      </c>
      <c r="CO425" s="14">
        <f>ROUND(IF(BT425=0,0,HLOOKUP(BT$14,Villagers!$B$1:$V$33,BT425+3,FALSE)),)</f>
        <v>0</v>
      </c>
      <c r="CP425" s="14">
        <f>ROUND(IF(BU425=0,0,HLOOKUP(BU$14,Villagers!$B$1:$V$33,BU425+3,FALSE)),)</f>
        <v>0</v>
      </c>
      <c r="CQ425" s="14">
        <f>ROUND(IF(BV425=0,0,HLOOKUP(BV$14,Villagers!$B$1:$V$33,BV425+3,FALSE)),)</f>
        <v>0</v>
      </c>
      <c r="CR425" s="14">
        <f>ROUND(IF(BW425=0,0,HLOOKUP(BW$14,Villagers!$B$1:$V$33,BW425+3,FALSE)),)</f>
        <v>0</v>
      </c>
      <c r="CS425" s="14">
        <f>ROUND(IF(BX425=0,0,HLOOKUP(BX$14,Villagers!$B$1:$V$33,BX425+3,FALSE)),)</f>
        <v>0</v>
      </c>
      <c r="CT425" s="14">
        <f>ROUND(IF(BY425=0,0,HLOOKUP(BY$14,Villagers!$B$1:$V$33,BY425+3,FALSE)),)</f>
        <v>0</v>
      </c>
      <c r="CU425" s="14">
        <f>ROUND(IF(BZ425=0,0,HLOOKUP(BZ$14,Villagers!$B$1:$V$33,BZ425+3,FALSE)),)</f>
        <v>0</v>
      </c>
      <c r="CV425" s="14">
        <f>ROUND(IF(CA425=0,0,HLOOKUP(CA$14,Villagers!$B$1:$V$33,CA425+3,FALSE)),)</f>
        <v>0</v>
      </c>
      <c r="CW425" s="14">
        <f>ROUND(IF(CB425=0,0,HLOOKUP(CB$14,Villagers!$B$1:$V$33,CB425+3,FALSE)),)</f>
        <v>0</v>
      </c>
      <c r="CX425" s="14">
        <f>ROUND(IF(CC425=0,0,HLOOKUP(CC$14,Villagers!$B$1:$V$33,CC425+3,FALSE)),)</f>
        <v>0</v>
      </c>
      <c r="CY425" s="14">
        <f>ROUND(IF(CD425=0,0,HLOOKUP(CD$14,Villagers!$B$1:$V$33,CD425+3,FALSE)),)</f>
        <v>0</v>
      </c>
      <c r="CZ425" s="14">
        <f>ROUND(IF(CE425=0,0,HLOOKUP(CE$14,Villagers!$B$1:$V$33,CE425+3,FALSE)),)</f>
        <v>5</v>
      </c>
      <c r="DA425" s="14">
        <f>ROUND(IF(CF425=0,0,HLOOKUP(CF$14,Villagers!$B$1:$V$33,CF425+3,FALSE)),)</f>
        <v>10</v>
      </c>
      <c r="DB425" s="14">
        <f>ROUND(IF(CG425=0,0,HLOOKUP(CG$14,Villagers!$B$1:$V$33,CG425+3,FALSE)),)</f>
        <v>10</v>
      </c>
      <c r="DC425" s="14">
        <f>ROUND(IF(CH425=0,0,HLOOKUP(CH$14,Villagers!$B$1:$V$33,CH425+3,FALSE)),)</f>
        <v>0</v>
      </c>
      <c r="DD425" s="14">
        <f>ROUND(IF(CI425=0,0,HLOOKUP(CI$14,Villagers!$B$1:$V$33,CI425+3,FALSE)),)</f>
        <v>0</v>
      </c>
      <c r="DE425" s="14">
        <f>ROUND(IF(CJ425=0,0,HLOOKUP(CJ$14,Villagers!$B$1:$V$33,CJ425+3,FALSE)),)</f>
        <v>2</v>
      </c>
      <c r="DF425" s="370">
        <f>ROUND(IF(CK425=0,0,HLOOKUP(CK$14,Villagers!$B$1:$V$33,CK425+3,FALSE)),)</f>
        <v>0</v>
      </c>
      <c r="DG425" s="370">
        <f>ROUND(IF(CL425=0,0,HLOOKUP(CL$14,Villagers!$B$1:$V$33,CL425+3,FALSE)),)</f>
        <v>0</v>
      </c>
      <c r="DH425" s="34">
        <f>ROUND(IF(CM425=0,0,HLOOKUP(CM$14,Villagers!$B$1:$V$33,CM425+3,FALSE)),)</f>
        <v>0</v>
      </c>
      <c r="DI425" s="109">
        <f t="shared" si="989"/>
        <v>0</v>
      </c>
      <c r="DJ425" s="50">
        <f t="shared" si="990"/>
        <v>0</v>
      </c>
      <c r="DK425" s="50">
        <f t="shared" si="991"/>
        <v>0</v>
      </c>
      <c r="DL425" s="50">
        <f t="shared" si="992"/>
        <v>0</v>
      </c>
      <c r="DM425" s="50">
        <f t="shared" si="993"/>
        <v>0</v>
      </c>
      <c r="DN425" s="50">
        <f t="shared" si="994"/>
        <v>0</v>
      </c>
      <c r="DO425" s="50">
        <f t="shared" si="995"/>
        <v>0</v>
      </c>
      <c r="DP425" s="50">
        <f t="shared" si="996"/>
        <v>0</v>
      </c>
      <c r="DQ425" s="50">
        <f t="shared" si="973"/>
        <v>0</v>
      </c>
      <c r="DR425" s="50">
        <f t="shared" si="974"/>
        <v>0</v>
      </c>
      <c r="DS425" s="96">
        <f>Miscelaneous!$D$4*Miscelaneous!$D$2^($CI425-1)</f>
        <v>1000</v>
      </c>
      <c r="DT425" s="333">
        <f t="shared" si="955"/>
        <v>1</v>
      </c>
      <c r="DU425" s="81">
        <v>1</v>
      </c>
      <c r="DV425" s="79">
        <f t="shared" si="975"/>
        <v>0</v>
      </c>
      <c r="DW425" s="79">
        <f t="shared" si="976"/>
        <v>0</v>
      </c>
      <c r="DX425" s="79">
        <f t="shared" si="977"/>
        <v>0</v>
      </c>
      <c r="DY425" s="79">
        <v>1</v>
      </c>
      <c r="DZ425" s="79">
        <f t="shared" si="978"/>
        <v>0</v>
      </c>
      <c r="EA425" s="79">
        <f t="shared" si="979"/>
        <v>0</v>
      </c>
      <c r="EB425" s="79">
        <f t="shared" si="980"/>
        <v>0</v>
      </c>
      <c r="EC425" s="79">
        <f t="shared" si="981"/>
        <v>0</v>
      </c>
      <c r="ED425" s="79">
        <v>1</v>
      </c>
      <c r="EE425" s="79">
        <v>1</v>
      </c>
      <c r="EF425" s="79">
        <f t="shared" si="982"/>
        <v>0</v>
      </c>
      <c r="EG425" s="79">
        <v>1</v>
      </c>
      <c r="EH425" s="79">
        <v>1</v>
      </c>
      <c r="EI425" s="79">
        <v>1</v>
      </c>
      <c r="EJ425" s="79">
        <v>1</v>
      </c>
      <c r="EK425" s="79">
        <v>1</v>
      </c>
      <c r="EL425" s="79">
        <v>1</v>
      </c>
      <c r="EM425" s="143">
        <f t="shared" si="983"/>
        <v>0</v>
      </c>
      <c r="EN425" s="143">
        <f t="shared" si="984"/>
        <v>0</v>
      </c>
      <c r="EO425" s="82">
        <f t="shared" si="985"/>
        <v>0</v>
      </c>
    </row>
    <row r="426" spans="1:145" x14ac:dyDescent="0.25">
      <c r="A426">
        <v>412</v>
      </c>
      <c r="B426" s="172" t="e">
        <f t="shared" si="956"/>
        <v>#N/A</v>
      </c>
      <c r="C426" s="121" t="e">
        <f t="shared" ref="C426:E426" si="1041">AJ426-SUM(AB426:AB430)</f>
        <v>#N/A</v>
      </c>
      <c r="D426" s="122" t="e">
        <f t="shared" si="1041"/>
        <v>#N/A</v>
      </c>
      <c r="E426" s="122" t="e">
        <f t="shared" si="1041"/>
        <v>#N/A</v>
      </c>
      <c r="F426" s="176" t="e">
        <f t="shared" si="937"/>
        <v>#N/A</v>
      </c>
      <c r="G426" s="121">
        <f t="shared" si="958"/>
        <v>208</v>
      </c>
      <c r="H426" s="176" t="e">
        <f t="shared" si="959"/>
        <v>#N/A</v>
      </c>
      <c r="I426" s="48">
        <v>1</v>
      </c>
      <c r="J426" s="39"/>
      <c r="K426" s="350">
        <v>1</v>
      </c>
      <c r="L426" s="34" t="e">
        <f t="shared" si="938"/>
        <v>#N/A</v>
      </c>
      <c r="M426" s="38" t="e">
        <f>(HLOOKUP(J426,'Construction Times'!$B$3:$W$34,L426+2,FALSE)*HLOOKUP("hq modifier",'Construction Times'!$W$3:$W$34,BS426+2,FALSE))*(1-$H$9)</f>
        <v>#N/A</v>
      </c>
      <c r="N426" s="426" t="e">
        <f t="shared" si="960"/>
        <v>#N/A</v>
      </c>
      <c r="O426" s="427"/>
      <c r="P426" s="430" t="e">
        <f t="shared" si="961"/>
        <v>#N/A</v>
      </c>
      <c r="Q426" s="431"/>
      <c r="R426" s="103">
        <f t="shared" si="987"/>
        <v>0</v>
      </c>
      <c r="S426" s="104">
        <f t="shared" si="987"/>
        <v>0</v>
      </c>
      <c r="T426" s="104">
        <f t="shared" si="988"/>
        <v>0</v>
      </c>
      <c r="U426" s="104">
        <f t="shared" si="988"/>
        <v>0</v>
      </c>
      <c r="V426" s="104">
        <f t="shared" si="988"/>
        <v>9.9999999999999995E-8</v>
      </c>
      <c r="W426" s="104">
        <f t="shared" si="988"/>
        <v>0</v>
      </c>
      <c r="X426" s="104">
        <f t="shared" si="934"/>
        <v>0</v>
      </c>
      <c r="Y426" s="104">
        <f t="shared" si="934"/>
        <v>9.9999999999999995E-8</v>
      </c>
      <c r="Z426" s="104">
        <f t="shared" si="934"/>
        <v>9.9999999999999995E-8</v>
      </c>
      <c r="AA426" s="105">
        <f t="shared" si="934"/>
        <v>9.9999999999999995E-8</v>
      </c>
      <c r="AB426" s="101" t="e">
        <f>$DT426*HLOOKUP($J426,'Construction Costs (timber)'!$B$1:$V$32,'Construction Planner'!$L426+2,FALSE)</f>
        <v>#N/A</v>
      </c>
      <c r="AC426" s="14" t="e">
        <f>$DT426*HLOOKUP($J426,'Construction Costs (clay)'!$B$1:$V$32,'Construction Planner'!$L426+2,FALSE)</f>
        <v>#N/A</v>
      </c>
      <c r="AD426" s="14" t="e">
        <f>$DT426*HLOOKUP($J426,'Construction Costs (iron)'!$B$1:$V$32,'Construction Planner'!$L426+2,FALSE)</f>
        <v>#N/A</v>
      </c>
      <c r="AE426" s="34" t="e">
        <f t="shared" si="1000"/>
        <v>#N/A</v>
      </c>
      <c r="AF426" s="33" t="e">
        <f t="shared" si="939"/>
        <v>#N/A</v>
      </c>
      <c r="AG426" s="14" t="e">
        <f t="shared" si="940"/>
        <v>#N/A</v>
      </c>
      <c r="AH426" s="14" t="e">
        <f t="shared" si="941"/>
        <v>#N/A</v>
      </c>
      <c r="AI426" s="34" t="e">
        <f t="shared" si="1001"/>
        <v>#N/A</v>
      </c>
      <c r="AJ426" s="49" t="e">
        <f t="shared" si="962"/>
        <v>#N/A</v>
      </c>
      <c r="AK426" s="49" t="e">
        <f t="shared" si="963"/>
        <v>#N/A</v>
      </c>
      <c r="AL426" s="49" t="e">
        <f t="shared" si="964"/>
        <v>#N/A</v>
      </c>
      <c r="AM426" s="25">
        <f t="shared" si="942"/>
        <v>30</v>
      </c>
      <c r="AN426" s="25">
        <f t="shared" si="943"/>
        <v>30</v>
      </c>
      <c r="AO426" s="25">
        <f t="shared" si="944"/>
        <v>30</v>
      </c>
      <c r="AP426" s="52" t="e">
        <f t="shared" si="965"/>
        <v>#N/A</v>
      </c>
      <c r="AQ426" s="53" t="e">
        <f t="shared" si="965"/>
        <v>#N/A</v>
      </c>
      <c r="AR426" s="54" t="e">
        <f t="shared" si="965"/>
        <v>#N/A</v>
      </c>
      <c r="AS426" s="316">
        <f t="shared" si="1033"/>
        <v>0</v>
      </c>
      <c r="AT426" s="106">
        <f>_xlfn.IFNA($M426/VLOOKUP($BT426,'Unit information'!$A$2:$K$29,2,FALSE)*R426,0)*(1+$E$9)</f>
        <v>0</v>
      </c>
      <c r="AU426" s="107">
        <f>_xlfn.IFNA($M426/VLOOKUP($BT426,'Unit information'!$A$2:$K$29,3,FALSE)*S426,0)*(1+$E$9)</f>
        <v>0</v>
      </c>
      <c r="AV426" s="107">
        <f>_xlfn.IFNA($M426/VLOOKUP($BT426,'Unit information'!$A$2:$K$29,4,FALSE)*T426,0)*(1+$E$9)</f>
        <v>0</v>
      </c>
      <c r="AW426" s="107">
        <f>_xlfn.IFNA($M426/VLOOKUP($BT426,'Unit information'!$A$2:$K$29,5,FALSE)*U426,0)*(1+$E$9)</f>
        <v>0</v>
      </c>
      <c r="AX426" s="107">
        <f>_xlfn.IFNA($M426/VLOOKUP($BU426,'Unit information'!$A$2:$K$29,6,FALSE)*V426,0)*(1+$E$9)</f>
        <v>0</v>
      </c>
      <c r="AY426" s="107">
        <f>_xlfn.IFNA($M426/VLOOKUP($BU426,'Unit information'!$A$2:$K$29,7,FALSE)*W426,0)*(1+$E$9)</f>
        <v>0</v>
      </c>
      <c r="AZ426" s="107">
        <f>_xlfn.IFNA($M426/VLOOKUP($BU426,'Unit information'!$A$2:$K$29,8,FALSE)*X426,0)*(1+$E$9)</f>
        <v>0</v>
      </c>
      <c r="BA426" s="107">
        <f>_xlfn.IFNA($M426/VLOOKUP($BU426,'Unit information'!$A$2:$K$29,9,FALSE)*Y426,0)*(1+$E$9)</f>
        <v>0</v>
      </c>
      <c r="BB426" s="107">
        <f>_xlfn.IFNA($M426/VLOOKUP($BV426,'Unit information'!$A$2:$K$29,10,FALSE)*Z426,0)*(1+$E$9)</f>
        <v>0</v>
      </c>
      <c r="BC426" s="108">
        <f>_xlfn.IFNA($M426/VLOOKUP($BV426,'Unit information'!$A$2:$K$29,11,FALSE)*AA426,0)*(1+$E$9)</f>
        <v>0</v>
      </c>
      <c r="BD426" s="106">
        <f t="shared" si="945"/>
        <v>0</v>
      </c>
      <c r="BE426" s="107">
        <f t="shared" si="946"/>
        <v>0</v>
      </c>
      <c r="BF426" s="108">
        <f t="shared" si="947"/>
        <v>0</v>
      </c>
      <c r="BG426" s="25" t="e">
        <f t="shared" si="948"/>
        <v>#N/A</v>
      </c>
      <c r="BH426" s="25" t="e">
        <f t="shared" si="949"/>
        <v>#N/A</v>
      </c>
      <c r="BI426" s="25" t="e">
        <f t="shared" si="950"/>
        <v>#N/A</v>
      </c>
      <c r="BJ426" s="27" t="e">
        <f t="shared" si="951"/>
        <v>#N/A</v>
      </c>
      <c r="BK426" s="18" t="e">
        <f t="shared" si="952"/>
        <v>#N/A</v>
      </c>
      <c r="BL426" s="18" t="e">
        <f t="shared" si="953"/>
        <v>#N/A</v>
      </c>
      <c r="BM426" s="28" t="e">
        <f t="shared" si="1003"/>
        <v>#N/A</v>
      </c>
      <c r="BN426" s="33">
        <f>HLOOKUP("maximum population",Miscelaneous!$C$1:$C$33,CH426+3,FALSE)</f>
        <v>240</v>
      </c>
      <c r="BO426" s="14">
        <f t="shared" si="966"/>
        <v>32</v>
      </c>
      <c r="BP426" s="14">
        <f t="shared" si="967"/>
        <v>0</v>
      </c>
      <c r="BQ426" s="14">
        <f t="shared" si="968"/>
        <v>208</v>
      </c>
      <c r="BR426" s="34" t="e">
        <f>HLOOKUP(J426,Villagers!$B$1:$V$33,L426+3,FALSE)-HLOOKUP(J426,Villagers!$B$1:$V$33,L426+2,FALSE)</f>
        <v>#N/A</v>
      </c>
      <c r="BS426" s="49">
        <f t="shared" si="969"/>
        <v>1</v>
      </c>
      <c r="BT426" s="50">
        <f t="shared" si="970"/>
        <v>0</v>
      </c>
      <c r="BU426" s="50">
        <f t="shared" si="971"/>
        <v>0</v>
      </c>
      <c r="BV426" s="50">
        <f t="shared" si="972"/>
        <v>0</v>
      </c>
      <c r="BW426" s="50">
        <f t="shared" si="1039"/>
        <v>0</v>
      </c>
      <c r="BX426" s="50">
        <f t="shared" si="1037"/>
        <v>0</v>
      </c>
      <c r="BY426" s="50">
        <f t="shared" si="1037"/>
        <v>0</v>
      </c>
      <c r="BZ426" s="50">
        <f t="shared" si="1015"/>
        <v>0</v>
      </c>
      <c r="CA426" s="50">
        <f t="shared" si="1016"/>
        <v>0</v>
      </c>
      <c r="CB426" s="50">
        <f t="shared" si="1017"/>
        <v>1</v>
      </c>
      <c r="CC426" s="50">
        <f t="shared" si="1018"/>
        <v>0</v>
      </c>
      <c r="CD426" s="50">
        <f t="shared" si="1019"/>
        <v>0</v>
      </c>
      <c r="CE426" s="50">
        <f t="shared" si="1020"/>
        <v>1</v>
      </c>
      <c r="CF426" s="50">
        <f t="shared" si="1021"/>
        <v>1</v>
      </c>
      <c r="CG426" s="50">
        <f t="shared" si="1022"/>
        <v>1</v>
      </c>
      <c r="CH426" s="50">
        <f t="shared" si="1023"/>
        <v>1</v>
      </c>
      <c r="CI426" s="50">
        <f t="shared" si="1024"/>
        <v>1</v>
      </c>
      <c r="CJ426" s="50">
        <f t="shared" si="1025"/>
        <v>1</v>
      </c>
      <c r="CK426" s="50">
        <f t="shared" si="1025"/>
        <v>0</v>
      </c>
      <c r="CL426" s="50">
        <f t="shared" si="1025"/>
        <v>0</v>
      </c>
      <c r="CM426" s="51">
        <f t="shared" si="1026"/>
        <v>0</v>
      </c>
      <c r="CN426" s="33">
        <f>ROUND(IF(BS426=0,0,HLOOKUP(BS$14,Villagers!$B$1:$V$33,BS426+3,FALSE)),)</f>
        <v>5</v>
      </c>
      <c r="CO426" s="14">
        <f>ROUND(IF(BT426=0,0,HLOOKUP(BT$14,Villagers!$B$1:$V$33,BT426+3,FALSE)),)</f>
        <v>0</v>
      </c>
      <c r="CP426" s="14">
        <f>ROUND(IF(BU426=0,0,HLOOKUP(BU$14,Villagers!$B$1:$V$33,BU426+3,FALSE)),)</f>
        <v>0</v>
      </c>
      <c r="CQ426" s="14">
        <f>ROUND(IF(BV426=0,0,HLOOKUP(BV$14,Villagers!$B$1:$V$33,BV426+3,FALSE)),)</f>
        <v>0</v>
      </c>
      <c r="CR426" s="14">
        <f>ROUND(IF(BW426=0,0,HLOOKUP(BW$14,Villagers!$B$1:$V$33,BW426+3,FALSE)),)</f>
        <v>0</v>
      </c>
      <c r="CS426" s="14">
        <f>ROUND(IF(BX426=0,0,HLOOKUP(BX$14,Villagers!$B$1:$V$33,BX426+3,FALSE)),)</f>
        <v>0</v>
      </c>
      <c r="CT426" s="14">
        <f>ROUND(IF(BY426=0,0,HLOOKUP(BY$14,Villagers!$B$1:$V$33,BY426+3,FALSE)),)</f>
        <v>0</v>
      </c>
      <c r="CU426" s="14">
        <f>ROUND(IF(BZ426=0,0,HLOOKUP(BZ$14,Villagers!$B$1:$V$33,BZ426+3,FALSE)),)</f>
        <v>0</v>
      </c>
      <c r="CV426" s="14">
        <f>ROUND(IF(CA426=0,0,HLOOKUP(CA$14,Villagers!$B$1:$V$33,CA426+3,FALSE)),)</f>
        <v>0</v>
      </c>
      <c r="CW426" s="14">
        <f>ROUND(IF(CB426=0,0,HLOOKUP(CB$14,Villagers!$B$1:$V$33,CB426+3,FALSE)),)</f>
        <v>0</v>
      </c>
      <c r="CX426" s="14">
        <f>ROUND(IF(CC426=0,0,HLOOKUP(CC$14,Villagers!$B$1:$V$33,CC426+3,FALSE)),)</f>
        <v>0</v>
      </c>
      <c r="CY426" s="14">
        <f>ROUND(IF(CD426=0,0,HLOOKUP(CD$14,Villagers!$B$1:$V$33,CD426+3,FALSE)),)</f>
        <v>0</v>
      </c>
      <c r="CZ426" s="14">
        <f>ROUND(IF(CE426=0,0,HLOOKUP(CE$14,Villagers!$B$1:$V$33,CE426+3,FALSE)),)</f>
        <v>5</v>
      </c>
      <c r="DA426" s="14">
        <f>ROUND(IF(CF426=0,0,HLOOKUP(CF$14,Villagers!$B$1:$V$33,CF426+3,FALSE)),)</f>
        <v>10</v>
      </c>
      <c r="DB426" s="14">
        <f>ROUND(IF(CG426=0,0,HLOOKUP(CG$14,Villagers!$B$1:$V$33,CG426+3,FALSE)),)</f>
        <v>10</v>
      </c>
      <c r="DC426" s="14">
        <f>ROUND(IF(CH426=0,0,HLOOKUP(CH$14,Villagers!$B$1:$V$33,CH426+3,FALSE)),)</f>
        <v>0</v>
      </c>
      <c r="DD426" s="14">
        <f>ROUND(IF(CI426=0,0,HLOOKUP(CI$14,Villagers!$B$1:$V$33,CI426+3,FALSE)),)</f>
        <v>0</v>
      </c>
      <c r="DE426" s="14">
        <f>ROUND(IF(CJ426=0,0,HLOOKUP(CJ$14,Villagers!$B$1:$V$33,CJ426+3,FALSE)),)</f>
        <v>2</v>
      </c>
      <c r="DF426" s="370">
        <f>ROUND(IF(CK426=0,0,HLOOKUP(CK$14,Villagers!$B$1:$V$33,CK426+3,FALSE)),)</f>
        <v>0</v>
      </c>
      <c r="DG426" s="370">
        <f>ROUND(IF(CL426=0,0,HLOOKUP(CL$14,Villagers!$B$1:$V$33,CL426+3,FALSE)),)</f>
        <v>0</v>
      </c>
      <c r="DH426" s="34">
        <f>ROUND(IF(CM426=0,0,HLOOKUP(CM$14,Villagers!$B$1:$V$33,CM426+3,FALSE)),)</f>
        <v>0</v>
      </c>
      <c r="DI426" s="109">
        <f t="shared" si="989"/>
        <v>0</v>
      </c>
      <c r="DJ426" s="50">
        <f t="shared" si="990"/>
        <v>0</v>
      </c>
      <c r="DK426" s="50">
        <f t="shared" si="991"/>
        <v>0</v>
      </c>
      <c r="DL426" s="50">
        <f t="shared" si="992"/>
        <v>0</v>
      </c>
      <c r="DM426" s="50">
        <f t="shared" si="993"/>
        <v>0</v>
      </c>
      <c r="DN426" s="50">
        <f t="shared" si="994"/>
        <v>0</v>
      </c>
      <c r="DO426" s="50">
        <f t="shared" si="995"/>
        <v>0</v>
      </c>
      <c r="DP426" s="50">
        <f t="shared" si="996"/>
        <v>0</v>
      </c>
      <c r="DQ426" s="50">
        <f t="shared" si="973"/>
        <v>0</v>
      </c>
      <c r="DR426" s="50">
        <f t="shared" si="974"/>
        <v>0</v>
      </c>
      <c r="DS426" s="96">
        <f>Miscelaneous!$D$4*Miscelaneous!$D$2^($CI426-1)</f>
        <v>1000</v>
      </c>
      <c r="DT426" s="333">
        <f t="shared" si="955"/>
        <v>1</v>
      </c>
      <c r="DU426" s="81">
        <v>1</v>
      </c>
      <c r="DV426" s="79">
        <f t="shared" si="975"/>
        <v>0</v>
      </c>
      <c r="DW426" s="79">
        <f t="shared" si="976"/>
        <v>0</v>
      </c>
      <c r="DX426" s="79">
        <f t="shared" si="977"/>
        <v>0</v>
      </c>
      <c r="DY426" s="79">
        <v>1</v>
      </c>
      <c r="DZ426" s="79">
        <f t="shared" si="978"/>
        <v>0</v>
      </c>
      <c r="EA426" s="79">
        <f t="shared" si="979"/>
        <v>0</v>
      </c>
      <c r="EB426" s="79">
        <f t="shared" si="980"/>
        <v>0</v>
      </c>
      <c r="EC426" s="79">
        <f t="shared" si="981"/>
        <v>0</v>
      </c>
      <c r="ED426" s="79">
        <v>1</v>
      </c>
      <c r="EE426" s="79">
        <v>1</v>
      </c>
      <c r="EF426" s="79">
        <f t="shared" si="982"/>
        <v>0</v>
      </c>
      <c r="EG426" s="79">
        <v>1</v>
      </c>
      <c r="EH426" s="79">
        <v>1</v>
      </c>
      <c r="EI426" s="79">
        <v>1</v>
      </c>
      <c r="EJ426" s="79">
        <v>1</v>
      </c>
      <c r="EK426" s="79">
        <v>1</v>
      </c>
      <c r="EL426" s="79">
        <v>1</v>
      </c>
      <c r="EM426" s="143">
        <f t="shared" si="983"/>
        <v>0</v>
      </c>
      <c r="EN426" s="143">
        <f t="shared" si="984"/>
        <v>0</v>
      </c>
      <c r="EO426" s="82">
        <f t="shared" si="985"/>
        <v>0</v>
      </c>
    </row>
    <row r="427" spans="1:145" x14ac:dyDescent="0.25">
      <c r="A427">
        <v>413</v>
      </c>
      <c r="B427" s="172" t="e">
        <f t="shared" si="956"/>
        <v>#N/A</v>
      </c>
      <c r="C427" s="121" t="e">
        <f t="shared" ref="C427:E427" si="1042">AJ427-SUM(AB427:AB431)</f>
        <v>#N/A</v>
      </c>
      <c r="D427" s="122" t="e">
        <f t="shared" si="1042"/>
        <v>#N/A</v>
      </c>
      <c r="E427" s="122" t="e">
        <f t="shared" si="1042"/>
        <v>#N/A</v>
      </c>
      <c r="F427" s="176" t="e">
        <f t="shared" si="937"/>
        <v>#N/A</v>
      </c>
      <c r="G427" s="121">
        <f t="shared" si="958"/>
        <v>208</v>
      </c>
      <c r="H427" s="176" t="e">
        <f t="shared" si="959"/>
        <v>#N/A</v>
      </c>
      <c r="I427" s="48">
        <v>1</v>
      </c>
      <c r="J427" s="39"/>
      <c r="K427" s="350">
        <v>1</v>
      </c>
      <c r="L427" s="34" t="e">
        <f t="shared" si="938"/>
        <v>#N/A</v>
      </c>
      <c r="M427" s="38" t="e">
        <f>(HLOOKUP(J427,'Construction Times'!$B$3:$W$34,L427+2,FALSE)*HLOOKUP("hq modifier",'Construction Times'!$W$3:$W$34,BS427+2,FALSE))*(1-$H$9)</f>
        <v>#N/A</v>
      </c>
      <c r="N427" s="426" t="e">
        <f t="shared" si="960"/>
        <v>#N/A</v>
      </c>
      <c r="O427" s="427"/>
      <c r="P427" s="430" t="e">
        <f t="shared" si="961"/>
        <v>#N/A</v>
      </c>
      <c r="Q427" s="431"/>
      <c r="R427" s="103">
        <f t="shared" si="987"/>
        <v>0</v>
      </c>
      <c r="S427" s="104">
        <f t="shared" si="987"/>
        <v>0</v>
      </c>
      <c r="T427" s="104">
        <f t="shared" si="988"/>
        <v>0</v>
      </c>
      <c r="U427" s="104">
        <f t="shared" si="988"/>
        <v>0</v>
      </c>
      <c r="V427" s="104">
        <f t="shared" si="988"/>
        <v>9.9999999999999995E-8</v>
      </c>
      <c r="W427" s="104">
        <f t="shared" si="988"/>
        <v>0</v>
      </c>
      <c r="X427" s="104">
        <f t="shared" si="934"/>
        <v>0</v>
      </c>
      <c r="Y427" s="104">
        <f t="shared" si="934"/>
        <v>9.9999999999999995E-8</v>
      </c>
      <c r="Z427" s="104">
        <f t="shared" si="934"/>
        <v>9.9999999999999995E-8</v>
      </c>
      <c r="AA427" s="105">
        <f t="shared" si="934"/>
        <v>9.9999999999999995E-8</v>
      </c>
      <c r="AB427" s="101" t="e">
        <f>$DT427*HLOOKUP($J427,'Construction Costs (timber)'!$B$1:$V$32,'Construction Planner'!$L427+2,FALSE)</f>
        <v>#N/A</v>
      </c>
      <c r="AC427" s="14" t="e">
        <f>$DT427*HLOOKUP($J427,'Construction Costs (clay)'!$B$1:$V$32,'Construction Planner'!$L427+2,FALSE)</f>
        <v>#N/A</v>
      </c>
      <c r="AD427" s="14" t="e">
        <f>$DT427*HLOOKUP($J427,'Construction Costs (iron)'!$B$1:$V$32,'Construction Planner'!$L427+2,FALSE)</f>
        <v>#N/A</v>
      </c>
      <c r="AE427" s="34" t="e">
        <f t="shared" si="1000"/>
        <v>#N/A</v>
      </c>
      <c r="AF427" s="33" t="e">
        <f t="shared" si="939"/>
        <v>#N/A</v>
      </c>
      <c r="AG427" s="14" t="e">
        <f t="shared" si="940"/>
        <v>#N/A</v>
      </c>
      <c r="AH427" s="14" t="e">
        <f t="shared" si="941"/>
        <v>#N/A</v>
      </c>
      <c r="AI427" s="34" t="e">
        <f t="shared" si="1001"/>
        <v>#N/A</v>
      </c>
      <c r="AJ427" s="49" t="e">
        <f t="shared" si="962"/>
        <v>#N/A</v>
      </c>
      <c r="AK427" s="49" t="e">
        <f t="shared" si="963"/>
        <v>#N/A</v>
      </c>
      <c r="AL427" s="49" t="e">
        <f t="shared" si="964"/>
        <v>#N/A</v>
      </c>
      <c r="AM427" s="25">
        <f t="shared" si="942"/>
        <v>30</v>
      </c>
      <c r="AN427" s="25">
        <f t="shared" si="943"/>
        <v>30</v>
      </c>
      <c r="AO427" s="25">
        <f t="shared" si="944"/>
        <v>30</v>
      </c>
      <c r="AP427" s="52" t="e">
        <f t="shared" si="965"/>
        <v>#N/A</v>
      </c>
      <c r="AQ427" s="53" t="e">
        <f t="shared" si="965"/>
        <v>#N/A</v>
      </c>
      <c r="AR427" s="54" t="e">
        <f t="shared" si="965"/>
        <v>#N/A</v>
      </c>
      <c r="AS427" s="316">
        <f t="shared" si="1033"/>
        <v>0</v>
      </c>
      <c r="AT427" s="106">
        <f>_xlfn.IFNA($M427/VLOOKUP($BT427,'Unit information'!$A$2:$K$29,2,FALSE)*R427,0)*(1+$E$9)</f>
        <v>0</v>
      </c>
      <c r="AU427" s="107">
        <f>_xlfn.IFNA($M427/VLOOKUP($BT427,'Unit information'!$A$2:$K$29,3,FALSE)*S427,0)*(1+$E$9)</f>
        <v>0</v>
      </c>
      <c r="AV427" s="107">
        <f>_xlfn.IFNA($M427/VLOOKUP($BT427,'Unit information'!$A$2:$K$29,4,FALSE)*T427,0)*(1+$E$9)</f>
        <v>0</v>
      </c>
      <c r="AW427" s="107">
        <f>_xlfn.IFNA($M427/VLOOKUP($BT427,'Unit information'!$A$2:$K$29,5,FALSE)*U427,0)*(1+$E$9)</f>
        <v>0</v>
      </c>
      <c r="AX427" s="107">
        <f>_xlfn.IFNA($M427/VLOOKUP($BU427,'Unit information'!$A$2:$K$29,6,FALSE)*V427,0)*(1+$E$9)</f>
        <v>0</v>
      </c>
      <c r="AY427" s="107">
        <f>_xlfn.IFNA($M427/VLOOKUP($BU427,'Unit information'!$A$2:$K$29,7,FALSE)*W427,0)*(1+$E$9)</f>
        <v>0</v>
      </c>
      <c r="AZ427" s="107">
        <f>_xlfn.IFNA($M427/VLOOKUP($BU427,'Unit information'!$A$2:$K$29,8,FALSE)*X427,0)*(1+$E$9)</f>
        <v>0</v>
      </c>
      <c r="BA427" s="107">
        <f>_xlfn.IFNA($M427/VLOOKUP($BU427,'Unit information'!$A$2:$K$29,9,FALSE)*Y427,0)*(1+$E$9)</f>
        <v>0</v>
      </c>
      <c r="BB427" s="107">
        <f>_xlfn.IFNA($M427/VLOOKUP($BV427,'Unit information'!$A$2:$K$29,10,FALSE)*Z427,0)*(1+$E$9)</f>
        <v>0</v>
      </c>
      <c r="BC427" s="108">
        <f>_xlfn.IFNA($M427/VLOOKUP($BV427,'Unit information'!$A$2:$K$29,11,FALSE)*AA427,0)*(1+$E$9)</f>
        <v>0</v>
      </c>
      <c r="BD427" s="106">
        <f t="shared" si="945"/>
        <v>0</v>
      </c>
      <c r="BE427" s="107">
        <f t="shared" si="946"/>
        <v>0</v>
      </c>
      <c r="BF427" s="108">
        <f t="shared" si="947"/>
        <v>0</v>
      </c>
      <c r="BG427" s="25" t="e">
        <f t="shared" si="948"/>
        <v>#N/A</v>
      </c>
      <c r="BH427" s="25" t="e">
        <f t="shared" si="949"/>
        <v>#N/A</v>
      </c>
      <c r="BI427" s="25" t="e">
        <f t="shared" si="950"/>
        <v>#N/A</v>
      </c>
      <c r="BJ427" s="27" t="e">
        <f t="shared" si="951"/>
        <v>#N/A</v>
      </c>
      <c r="BK427" s="18" t="e">
        <f t="shared" si="952"/>
        <v>#N/A</v>
      </c>
      <c r="BL427" s="18" t="e">
        <f t="shared" si="953"/>
        <v>#N/A</v>
      </c>
      <c r="BM427" s="28" t="e">
        <f t="shared" si="1003"/>
        <v>#N/A</v>
      </c>
      <c r="BN427" s="33">
        <f>HLOOKUP("maximum population",Miscelaneous!$C$1:$C$33,CH427+3,FALSE)</f>
        <v>240</v>
      </c>
      <c r="BO427" s="14">
        <f t="shared" si="966"/>
        <v>32</v>
      </c>
      <c r="BP427" s="14">
        <f t="shared" si="967"/>
        <v>0</v>
      </c>
      <c r="BQ427" s="14">
        <f t="shared" si="968"/>
        <v>208</v>
      </c>
      <c r="BR427" s="34" t="e">
        <f>HLOOKUP(J427,Villagers!$B$1:$V$33,L427+3,FALSE)-HLOOKUP(J427,Villagers!$B$1:$V$33,L427+2,FALSE)</f>
        <v>#N/A</v>
      </c>
      <c r="BS427" s="49">
        <f t="shared" si="969"/>
        <v>1</v>
      </c>
      <c r="BT427" s="50">
        <f t="shared" si="970"/>
        <v>0</v>
      </c>
      <c r="BU427" s="50">
        <f t="shared" si="971"/>
        <v>0</v>
      </c>
      <c r="BV427" s="50">
        <f t="shared" si="972"/>
        <v>0</v>
      </c>
      <c r="BW427" s="50">
        <f t="shared" si="1039"/>
        <v>0</v>
      </c>
      <c r="BX427" s="50">
        <f t="shared" si="1037"/>
        <v>0</v>
      </c>
      <c r="BY427" s="50">
        <f t="shared" si="1037"/>
        <v>0</v>
      </c>
      <c r="BZ427" s="50">
        <f t="shared" si="1015"/>
        <v>0</v>
      </c>
      <c r="CA427" s="50">
        <f t="shared" si="1016"/>
        <v>0</v>
      </c>
      <c r="CB427" s="50">
        <f t="shared" si="1017"/>
        <v>1</v>
      </c>
      <c r="CC427" s="50">
        <f t="shared" si="1018"/>
        <v>0</v>
      </c>
      <c r="CD427" s="50">
        <f t="shared" si="1019"/>
        <v>0</v>
      </c>
      <c r="CE427" s="50">
        <f t="shared" si="1020"/>
        <v>1</v>
      </c>
      <c r="CF427" s="50">
        <f t="shared" si="1021"/>
        <v>1</v>
      </c>
      <c r="CG427" s="50">
        <f t="shared" si="1022"/>
        <v>1</v>
      </c>
      <c r="CH427" s="50">
        <f t="shared" si="1023"/>
        <v>1</v>
      </c>
      <c r="CI427" s="50">
        <f t="shared" si="1024"/>
        <v>1</v>
      </c>
      <c r="CJ427" s="50">
        <f t="shared" si="1025"/>
        <v>1</v>
      </c>
      <c r="CK427" s="50">
        <f t="shared" si="1025"/>
        <v>0</v>
      </c>
      <c r="CL427" s="50">
        <f t="shared" si="1025"/>
        <v>0</v>
      </c>
      <c r="CM427" s="51">
        <f t="shared" si="1026"/>
        <v>0</v>
      </c>
      <c r="CN427" s="33">
        <f>ROUND(IF(BS427=0,0,HLOOKUP(BS$14,Villagers!$B$1:$V$33,BS427+3,FALSE)),)</f>
        <v>5</v>
      </c>
      <c r="CO427" s="14">
        <f>ROUND(IF(BT427=0,0,HLOOKUP(BT$14,Villagers!$B$1:$V$33,BT427+3,FALSE)),)</f>
        <v>0</v>
      </c>
      <c r="CP427" s="14">
        <f>ROUND(IF(BU427=0,0,HLOOKUP(BU$14,Villagers!$B$1:$V$33,BU427+3,FALSE)),)</f>
        <v>0</v>
      </c>
      <c r="CQ427" s="14">
        <f>ROUND(IF(BV427=0,0,HLOOKUP(BV$14,Villagers!$B$1:$V$33,BV427+3,FALSE)),)</f>
        <v>0</v>
      </c>
      <c r="CR427" s="14">
        <f>ROUND(IF(BW427=0,0,HLOOKUP(BW$14,Villagers!$B$1:$V$33,BW427+3,FALSE)),)</f>
        <v>0</v>
      </c>
      <c r="CS427" s="14">
        <f>ROUND(IF(BX427=0,0,HLOOKUP(BX$14,Villagers!$B$1:$V$33,BX427+3,FALSE)),)</f>
        <v>0</v>
      </c>
      <c r="CT427" s="14">
        <f>ROUND(IF(BY427=0,0,HLOOKUP(BY$14,Villagers!$B$1:$V$33,BY427+3,FALSE)),)</f>
        <v>0</v>
      </c>
      <c r="CU427" s="14">
        <f>ROUND(IF(BZ427=0,0,HLOOKUP(BZ$14,Villagers!$B$1:$V$33,BZ427+3,FALSE)),)</f>
        <v>0</v>
      </c>
      <c r="CV427" s="14">
        <f>ROUND(IF(CA427=0,0,HLOOKUP(CA$14,Villagers!$B$1:$V$33,CA427+3,FALSE)),)</f>
        <v>0</v>
      </c>
      <c r="CW427" s="14">
        <f>ROUND(IF(CB427=0,0,HLOOKUP(CB$14,Villagers!$B$1:$V$33,CB427+3,FALSE)),)</f>
        <v>0</v>
      </c>
      <c r="CX427" s="14">
        <f>ROUND(IF(CC427=0,0,HLOOKUP(CC$14,Villagers!$B$1:$V$33,CC427+3,FALSE)),)</f>
        <v>0</v>
      </c>
      <c r="CY427" s="14">
        <f>ROUND(IF(CD427=0,0,HLOOKUP(CD$14,Villagers!$B$1:$V$33,CD427+3,FALSE)),)</f>
        <v>0</v>
      </c>
      <c r="CZ427" s="14">
        <f>ROUND(IF(CE427=0,0,HLOOKUP(CE$14,Villagers!$B$1:$V$33,CE427+3,FALSE)),)</f>
        <v>5</v>
      </c>
      <c r="DA427" s="14">
        <f>ROUND(IF(CF427=0,0,HLOOKUP(CF$14,Villagers!$B$1:$V$33,CF427+3,FALSE)),)</f>
        <v>10</v>
      </c>
      <c r="DB427" s="14">
        <f>ROUND(IF(CG427=0,0,HLOOKUP(CG$14,Villagers!$B$1:$V$33,CG427+3,FALSE)),)</f>
        <v>10</v>
      </c>
      <c r="DC427" s="14">
        <f>ROUND(IF(CH427=0,0,HLOOKUP(CH$14,Villagers!$B$1:$V$33,CH427+3,FALSE)),)</f>
        <v>0</v>
      </c>
      <c r="DD427" s="14">
        <f>ROUND(IF(CI427=0,0,HLOOKUP(CI$14,Villagers!$B$1:$V$33,CI427+3,FALSE)),)</f>
        <v>0</v>
      </c>
      <c r="DE427" s="14">
        <f>ROUND(IF(CJ427=0,0,HLOOKUP(CJ$14,Villagers!$B$1:$V$33,CJ427+3,FALSE)),)</f>
        <v>2</v>
      </c>
      <c r="DF427" s="370">
        <f>ROUND(IF(CK427=0,0,HLOOKUP(CK$14,Villagers!$B$1:$V$33,CK427+3,FALSE)),)</f>
        <v>0</v>
      </c>
      <c r="DG427" s="370">
        <f>ROUND(IF(CL427=0,0,HLOOKUP(CL$14,Villagers!$B$1:$V$33,CL427+3,FALSE)),)</f>
        <v>0</v>
      </c>
      <c r="DH427" s="34">
        <f>ROUND(IF(CM427=0,0,HLOOKUP(CM$14,Villagers!$B$1:$V$33,CM427+3,FALSE)),)</f>
        <v>0</v>
      </c>
      <c r="DI427" s="109">
        <f t="shared" si="989"/>
        <v>0</v>
      </c>
      <c r="DJ427" s="50">
        <f t="shared" si="990"/>
        <v>0</v>
      </c>
      <c r="DK427" s="50">
        <f t="shared" si="991"/>
        <v>0</v>
      </c>
      <c r="DL427" s="50">
        <f t="shared" si="992"/>
        <v>0</v>
      </c>
      <c r="DM427" s="50">
        <f t="shared" si="993"/>
        <v>0</v>
      </c>
      <c r="DN427" s="50">
        <f t="shared" si="994"/>
        <v>0</v>
      </c>
      <c r="DO427" s="50">
        <f t="shared" si="995"/>
        <v>0</v>
      </c>
      <c r="DP427" s="50">
        <f t="shared" si="996"/>
        <v>0</v>
      </c>
      <c r="DQ427" s="50">
        <f t="shared" si="973"/>
        <v>0</v>
      </c>
      <c r="DR427" s="50">
        <f t="shared" si="974"/>
        <v>0</v>
      </c>
      <c r="DS427" s="96">
        <f>Miscelaneous!$D$4*Miscelaneous!$D$2^($CI427-1)</f>
        <v>1000</v>
      </c>
      <c r="DT427" s="333">
        <f t="shared" si="955"/>
        <v>1</v>
      </c>
      <c r="DU427" s="81">
        <v>1</v>
      </c>
      <c r="DV427" s="79">
        <f t="shared" si="975"/>
        <v>0</v>
      </c>
      <c r="DW427" s="79">
        <f t="shared" si="976"/>
        <v>0</v>
      </c>
      <c r="DX427" s="79">
        <f t="shared" si="977"/>
        <v>0</v>
      </c>
      <c r="DY427" s="79">
        <v>1</v>
      </c>
      <c r="DZ427" s="79">
        <f t="shared" si="978"/>
        <v>0</v>
      </c>
      <c r="EA427" s="79">
        <f t="shared" si="979"/>
        <v>0</v>
      </c>
      <c r="EB427" s="79">
        <f t="shared" si="980"/>
        <v>0</v>
      </c>
      <c r="EC427" s="79">
        <f t="shared" si="981"/>
        <v>0</v>
      </c>
      <c r="ED427" s="79">
        <v>1</v>
      </c>
      <c r="EE427" s="79">
        <v>1</v>
      </c>
      <c r="EF427" s="79">
        <f t="shared" si="982"/>
        <v>0</v>
      </c>
      <c r="EG427" s="79">
        <v>1</v>
      </c>
      <c r="EH427" s="79">
        <v>1</v>
      </c>
      <c r="EI427" s="79">
        <v>1</v>
      </c>
      <c r="EJ427" s="79">
        <v>1</v>
      </c>
      <c r="EK427" s="79">
        <v>1</v>
      </c>
      <c r="EL427" s="79">
        <v>1</v>
      </c>
      <c r="EM427" s="143">
        <f t="shared" si="983"/>
        <v>0</v>
      </c>
      <c r="EN427" s="143">
        <f t="shared" si="984"/>
        <v>0</v>
      </c>
      <c r="EO427" s="82">
        <f t="shared" si="985"/>
        <v>0</v>
      </c>
    </row>
    <row r="428" spans="1:145" x14ac:dyDescent="0.25">
      <c r="A428">
        <v>414</v>
      </c>
      <c r="B428" s="172" t="e">
        <f t="shared" si="956"/>
        <v>#N/A</v>
      </c>
      <c r="C428" s="121" t="e">
        <f t="shared" ref="C428:E428" si="1043">AJ428-SUM(AB428:AB432)</f>
        <v>#N/A</v>
      </c>
      <c r="D428" s="122" t="e">
        <f t="shared" si="1043"/>
        <v>#N/A</v>
      </c>
      <c r="E428" s="122" t="e">
        <f t="shared" si="1043"/>
        <v>#N/A</v>
      </c>
      <c r="F428" s="176" t="e">
        <f t="shared" si="937"/>
        <v>#N/A</v>
      </c>
      <c r="G428" s="121">
        <f t="shared" si="958"/>
        <v>208</v>
      </c>
      <c r="H428" s="176" t="e">
        <f t="shared" si="959"/>
        <v>#N/A</v>
      </c>
      <c r="I428" s="48">
        <v>1</v>
      </c>
      <c r="J428" s="39"/>
      <c r="K428" s="350">
        <v>1</v>
      </c>
      <c r="L428" s="34" t="e">
        <f t="shared" si="938"/>
        <v>#N/A</v>
      </c>
      <c r="M428" s="38" t="e">
        <f>(HLOOKUP(J428,'Construction Times'!$B$3:$W$34,L428+2,FALSE)*HLOOKUP("hq modifier",'Construction Times'!$W$3:$W$34,BS428+2,FALSE))*(1-$H$9)</f>
        <v>#N/A</v>
      </c>
      <c r="N428" s="426" t="e">
        <f t="shared" si="960"/>
        <v>#N/A</v>
      </c>
      <c r="O428" s="427"/>
      <c r="P428" s="430" t="e">
        <f t="shared" si="961"/>
        <v>#N/A</v>
      </c>
      <c r="Q428" s="431"/>
      <c r="R428" s="103">
        <f t="shared" si="987"/>
        <v>0</v>
      </c>
      <c r="S428" s="104">
        <f t="shared" si="987"/>
        <v>0</v>
      </c>
      <c r="T428" s="104">
        <f t="shared" si="988"/>
        <v>0</v>
      </c>
      <c r="U428" s="104">
        <f t="shared" si="988"/>
        <v>0</v>
      </c>
      <c r="V428" s="104">
        <f t="shared" si="988"/>
        <v>9.9999999999999995E-8</v>
      </c>
      <c r="W428" s="104">
        <f t="shared" si="988"/>
        <v>0</v>
      </c>
      <c r="X428" s="104">
        <f t="shared" si="934"/>
        <v>0</v>
      </c>
      <c r="Y428" s="104">
        <f t="shared" si="934"/>
        <v>9.9999999999999995E-8</v>
      </c>
      <c r="Z428" s="104">
        <f t="shared" si="934"/>
        <v>9.9999999999999995E-8</v>
      </c>
      <c r="AA428" s="105">
        <f t="shared" si="934"/>
        <v>9.9999999999999995E-8</v>
      </c>
      <c r="AB428" s="101" t="e">
        <f>$DT428*HLOOKUP($J428,'Construction Costs (timber)'!$B$1:$V$32,'Construction Planner'!$L428+2,FALSE)</f>
        <v>#N/A</v>
      </c>
      <c r="AC428" s="14" t="e">
        <f>$DT428*HLOOKUP($J428,'Construction Costs (clay)'!$B$1:$V$32,'Construction Planner'!$L428+2,FALSE)</f>
        <v>#N/A</v>
      </c>
      <c r="AD428" s="14" t="e">
        <f>$DT428*HLOOKUP($J428,'Construction Costs (iron)'!$B$1:$V$32,'Construction Planner'!$L428+2,FALSE)</f>
        <v>#N/A</v>
      </c>
      <c r="AE428" s="34" t="e">
        <f t="shared" si="1000"/>
        <v>#N/A</v>
      </c>
      <c r="AF428" s="33" t="e">
        <f t="shared" si="939"/>
        <v>#N/A</v>
      </c>
      <c r="AG428" s="14" t="e">
        <f t="shared" si="940"/>
        <v>#N/A</v>
      </c>
      <c r="AH428" s="14" t="e">
        <f t="shared" si="941"/>
        <v>#N/A</v>
      </c>
      <c r="AI428" s="34" t="e">
        <f t="shared" si="1001"/>
        <v>#N/A</v>
      </c>
      <c r="AJ428" s="49" t="e">
        <f t="shared" si="962"/>
        <v>#N/A</v>
      </c>
      <c r="AK428" s="49" t="e">
        <f t="shared" si="963"/>
        <v>#N/A</v>
      </c>
      <c r="AL428" s="49" t="e">
        <f t="shared" si="964"/>
        <v>#N/A</v>
      </c>
      <c r="AM428" s="25">
        <f t="shared" si="942"/>
        <v>30</v>
      </c>
      <c r="AN428" s="25">
        <f t="shared" si="943"/>
        <v>30</v>
      </c>
      <c r="AO428" s="25">
        <f t="shared" si="944"/>
        <v>30</v>
      </c>
      <c r="AP428" s="52" t="e">
        <f t="shared" si="965"/>
        <v>#N/A</v>
      </c>
      <c r="AQ428" s="53" t="e">
        <f t="shared" si="965"/>
        <v>#N/A</v>
      </c>
      <c r="AR428" s="54" t="e">
        <f t="shared" si="965"/>
        <v>#N/A</v>
      </c>
      <c r="AS428" s="316">
        <f t="shared" si="1033"/>
        <v>0</v>
      </c>
      <c r="AT428" s="106">
        <f>_xlfn.IFNA($M428/VLOOKUP($BT428,'Unit information'!$A$2:$K$29,2,FALSE)*R428,0)*(1+$E$9)</f>
        <v>0</v>
      </c>
      <c r="AU428" s="107">
        <f>_xlfn.IFNA($M428/VLOOKUP($BT428,'Unit information'!$A$2:$K$29,3,FALSE)*S428,0)*(1+$E$9)</f>
        <v>0</v>
      </c>
      <c r="AV428" s="107">
        <f>_xlfn.IFNA($M428/VLOOKUP($BT428,'Unit information'!$A$2:$K$29,4,FALSE)*T428,0)*(1+$E$9)</f>
        <v>0</v>
      </c>
      <c r="AW428" s="107">
        <f>_xlfn.IFNA($M428/VLOOKUP($BT428,'Unit information'!$A$2:$K$29,5,FALSE)*U428,0)*(1+$E$9)</f>
        <v>0</v>
      </c>
      <c r="AX428" s="107">
        <f>_xlfn.IFNA($M428/VLOOKUP($BU428,'Unit information'!$A$2:$K$29,6,FALSE)*V428,0)*(1+$E$9)</f>
        <v>0</v>
      </c>
      <c r="AY428" s="107">
        <f>_xlfn.IFNA($M428/VLOOKUP($BU428,'Unit information'!$A$2:$K$29,7,FALSE)*W428,0)*(1+$E$9)</f>
        <v>0</v>
      </c>
      <c r="AZ428" s="107">
        <f>_xlfn.IFNA($M428/VLOOKUP($BU428,'Unit information'!$A$2:$K$29,8,FALSE)*X428,0)*(1+$E$9)</f>
        <v>0</v>
      </c>
      <c r="BA428" s="107">
        <f>_xlfn.IFNA($M428/VLOOKUP($BU428,'Unit information'!$A$2:$K$29,9,FALSE)*Y428,0)*(1+$E$9)</f>
        <v>0</v>
      </c>
      <c r="BB428" s="107">
        <f>_xlfn.IFNA($M428/VLOOKUP($BV428,'Unit information'!$A$2:$K$29,10,FALSE)*Z428,0)*(1+$E$9)</f>
        <v>0</v>
      </c>
      <c r="BC428" s="108">
        <f>_xlfn.IFNA($M428/VLOOKUP($BV428,'Unit information'!$A$2:$K$29,11,FALSE)*AA428,0)*(1+$E$9)</f>
        <v>0</v>
      </c>
      <c r="BD428" s="106">
        <f t="shared" si="945"/>
        <v>0</v>
      </c>
      <c r="BE428" s="107">
        <f t="shared" si="946"/>
        <v>0</v>
      </c>
      <c r="BF428" s="108">
        <f t="shared" si="947"/>
        <v>0</v>
      </c>
      <c r="BG428" s="25" t="e">
        <f t="shared" si="948"/>
        <v>#N/A</v>
      </c>
      <c r="BH428" s="25" t="e">
        <f t="shared" si="949"/>
        <v>#N/A</v>
      </c>
      <c r="BI428" s="25" t="e">
        <f t="shared" si="950"/>
        <v>#N/A</v>
      </c>
      <c r="BJ428" s="27" t="e">
        <f t="shared" si="951"/>
        <v>#N/A</v>
      </c>
      <c r="BK428" s="18" t="e">
        <f t="shared" si="952"/>
        <v>#N/A</v>
      </c>
      <c r="BL428" s="18" t="e">
        <f t="shared" si="953"/>
        <v>#N/A</v>
      </c>
      <c r="BM428" s="28" t="e">
        <f t="shared" si="1003"/>
        <v>#N/A</v>
      </c>
      <c r="BN428" s="33">
        <f>HLOOKUP("maximum population",Miscelaneous!$C$1:$C$33,CH428+3,FALSE)</f>
        <v>240</v>
      </c>
      <c r="BO428" s="14">
        <f t="shared" si="966"/>
        <v>32</v>
      </c>
      <c r="BP428" s="14">
        <f t="shared" si="967"/>
        <v>0</v>
      </c>
      <c r="BQ428" s="14">
        <f t="shared" si="968"/>
        <v>208</v>
      </c>
      <c r="BR428" s="34" t="e">
        <f>HLOOKUP(J428,Villagers!$B$1:$V$33,L428+3,FALSE)-HLOOKUP(J428,Villagers!$B$1:$V$33,L428+2,FALSE)</f>
        <v>#N/A</v>
      </c>
      <c r="BS428" s="49">
        <f t="shared" si="969"/>
        <v>1</v>
      </c>
      <c r="BT428" s="50">
        <f t="shared" si="970"/>
        <v>0</v>
      </c>
      <c r="BU428" s="50">
        <f t="shared" si="971"/>
        <v>0</v>
      </c>
      <c r="BV428" s="50">
        <f t="shared" si="972"/>
        <v>0</v>
      </c>
      <c r="BW428" s="50">
        <f t="shared" si="1039"/>
        <v>0</v>
      </c>
      <c r="BX428" s="50">
        <f t="shared" si="1037"/>
        <v>0</v>
      </c>
      <c r="BY428" s="50">
        <f t="shared" si="1037"/>
        <v>0</v>
      </c>
      <c r="BZ428" s="50">
        <f t="shared" si="1015"/>
        <v>0</v>
      </c>
      <c r="CA428" s="50">
        <f t="shared" si="1016"/>
        <v>0</v>
      </c>
      <c r="CB428" s="50">
        <f t="shared" si="1017"/>
        <v>1</v>
      </c>
      <c r="CC428" s="50">
        <f t="shared" si="1018"/>
        <v>0</v>
      </c>
      <c r="CD428" s="50">
        <f t="shared" si="1019"/>
        <v>0</v>
      </c>
      <c r="CE428" s="50">
        <f t="shared" si="1020"/>
        <v>1</v>
      </c>
      <c r="CF428" s="50">
        <f t="shared" si="1021"/>
        <v>1</v>
      </c>
      <c r="CG428" s="50">
        <f t="shared" si="1022"/>
        <v>1</v>
      </c>
      <c r="CH428" s="50">
        <f t="shared" si="1023"/>
        <v>1</v>
      </c>
      <c r="CI428" s="50">
        <f t="shared" si="1024"/>
        <v>1</v>
      </c>
      <c r="CJ428" s="50">
        <f t="shared" si="1025"/>
        <v>1</v>
      </c>
      <c r="CK428" s="50">
        <f t="shared" si="1025"/>
        <v>0</v>
      </c>
      <c r="CL428" s="50">
        <f t="shared" si="1025"/>
        <v>0</v>
      </c>
      <c r="CM428" s="51">
        <f t="shared" si="1026"/>
        <v>0</v>
      </c>
      <c r="CN428" s="33">
        <f>ROUND(IF(BS428=0,0,HLOOKUP(BS$14,Villagers!$B$1:$V$33,BS428+3,FALSE)),)</f>
        <v>5</v>
      </c>
      <c r="CO428" s="14">
        <f>ROUND(IF(BT428=0,0,HLOOKUP(BT$14,Villagers!$B$1:$V$33,BT428+3,FALSE)),)</f>
        <v>0</v>
      </c>
      <c r="CP428" s="14">
        <f>ROUND(IF(BU428=0,0,HLOOKUP(BU$14,Villagers!$B$1:$V$33,BU428+3,FALSE)),)</f>
        <v>0</v>
      </c>
      <c r="CQ428" s="14">
        <f>ROUND(IF(BV428=0,0,HLOOKUP(BV$14,Villagers!$B$1:$V$33,BV428+3,FALSE)),)</f>
        <v>0</v>
      </c>
      <c r="CR428" s="14">
        <f>ROUND(IF(BW428=0,0,HLOOKUP(BW$14,Villagers!$B$1:$V$33,BW428+3,FALSE)),)</f>
        <v>0</v>
      </c>
      <c r="CS428" s="14">
        <f>ROUND(IF(BX428=0,0,HLOOKUP(BX$14,Villagers!$B$1:$V$33,BX428+3,FALSE)),)</f>
        <v>0</v>
      </c>
      <c r="CT428" s="14">
        <f>ROUND(IF(BY428=0,0,HLOOKUP(BY$14,Villagers!$B$1:$V$33,BY428+3,FALSE)),)</f>
        <v>0</v>
      </c>
      <c r="CU428" s="14">
        <f>ROUND(IF(BZ428=0,0,HLOOKUP(BZ$14,Villagers!$B$1:$V$33,BZ428+3,FALSE)),)</f>
        <v>0</v>
      </c>
      <c r="CV428" s="14">
        <f>ROUND(IF(CA428=0,0,HLOOKUP(CA$14,Villagers!$B$1:$V$33,CA428+3,FALSE)),)</f>
        <v>0</v>
      </c>
      <c r="CW428" s="14">
        <f>ROUND(IF(CB428=0,0,HLOOKUP(CB$14,Villagers!$B$1:$V$33,CB428+3,FALSE)),)</f>
        <v>0</v>
      </c>
      <c r="CX428" s="14">
        <f>ROUND(IF(CC428=0,0,HLOOKUP(CC$14,Villagers!$B$1:$V$33,CC428+3,FALSE)),)</f>
        <v>0</v>
      </c>
      <c r="CY428" s="14">
        <f>ROUND(IF(CD428=0,0,HLOOKUP(CD$14,Villagers!$B$1:$V$33,CD428+3,FALSE)),)</f>
        <v>0</v>
      </c>
      <c r="CZ428" s="14">
        <f>ROUND(IF(CE428=0,0,HLOOKUP(CE$14,Villagers!$B$1:$V$33,CE428+3,FALSE)),)</f>
        <v>5</v>
      </c>
      <c r="DA428" s="14">
        <f>ROUND(IF(CF428=0,0,HLOOKUP(CF$14,Villagers!$B$1:$V$33,CF428+3,FALSE)),)</f>
        <v>10</v>
      </c>
      <c r="DB428" s="14">
        <f>ROUND(IF(CG428=0,0,HLOOKUP(CG$14,Villagers!$B$1:$V$33,CG428+3,FALSE)),)</f>
        <v>10</v>
      </c>
      <c r="DC428" s="14">
        <f>ROUND(IF(CH428=0,0,HLOOKUP(CH$14,Villagers!$B$1:$V$33,CH428+3,FALSE)),)</f>
        <v>0</v>
      </c>
      <c r="DD428" s="14">
        <f>ROUND(IF(CI428=0,0,HLOOKUP(CI$14,Villagers!$B$1:$V$33,CI428+3,FALSE)),)</f>
        <v>0</v>
      </c>
      <c r="DE428" s="14">
        <f>ROUND(IF(CJ428=0,0,HLOOKUP(CJ$14,Villagers!$B$1:$V$33,CJ428+3,FALSE)),)</f>
        <v>2</v>
      </c>
      <c r="DF428" s="370">
        <f>ROUND(IF(CK428=0,0,HLOOKUP(CK$14,Villagers!$B$1:$V$33,CK428+3,FALSE)),)</f>
        <v>0</v>
      </c>
      <c r="DG428" s="370">
        <f>ROUND(IF(CL428=0,0,HLOOKUP(CL$14,Villagers!$B$1:$V$33,CL428+3,FALSE)),)</f>
        <v>0</v>
      </c>
      <c r="DH428" s="34">
        <f>ROUND(IF(CM428=0,0,HLOOKUP(CM$14,Villagers!$B$1:$V$33,CM428+3,FALSE)),)</f>
        <v>0</v>
      </c>
      <c r="DI428" s="109">
        <f t="shared" si="989"/>
        <v>0</v>
      </c>
      <c r="DJ428" s="50">
        <f t="shared" si="990"/>
        <v>0</v>
      </c>
      <c r="DK428" s="50">
        <f t="shared" si="991"/>
        <v>0</v>
      </c>
      <c r="DL428" s="50">
        <f t="shared" si="992"/>
        <v>0</v>
      </c>
      <c r="DM428" s="50">
        <f t="shared" si="993"/>
        <v>0</v>
      </c>
      <c r="DN428" s="50">
        <f t="shared" si="994"/>
        <v>0</v>
      </c>
      <c r="DO428" s="50">
        <f t="shared" si="995"/>
        <v>0</v>
      </c>
      <c r="DP428" s="50">
        <f t="shared" si="996"/>
        <v>0</v>
      </c>
      <c r="DQ428" s="50">
        <f t="shared" si="973"/>
        <v>0</v>
      </c>
      <c r="DR428" s="50">
        <f t="shared" si="974"/>
        <v>0</v>
      </c>
      <c r="DS428" s="96">
        <f>Miscelaneous!$D$4*Miscelaneous!$D$2^($CI428-1)</f>
        <v>1000</v>
      </c>
      <c r="DT428" s="333">
        <f t="shared" si="955"/>
        <v>1</v>
      </c>
      <c r="DU428" s="81">
        <v>1</v>
      </c>
      <c r="DV428" s="79">
        <f t="shared" si="975"/>
        <v>0</v>
      </c>
      <c r="DW428" s="79">
        <f t="shared" si="976"/>
        <v>0</v>
      </c>
      <c r="DX428" s="79">
        <f t="shared" si="977"/>
        <v>0</v>
      </c>
      <c r="DY428" s="79">
        <v>1</v>
      </c>
      <c r="DZ428" s="79">
        <f t="shared" si="978"/>
        <v>0</v>
      </c>
      <c r="EA428" s="79">
        <f t="shared" si="979"/>
        <v>0</v>
      </c>
      <c r="EB428" s="79">
        <f t="shared" si="980"/>
        <v>0</v>
      </c>
      <c r="EC428" s="79">
        <f t="shared" si="981"/>
        <v>0</v>
      </c>
      <c r="ED428" s="79">
        <v>1</v>
      </c>
      <c r="EE428" s="79">
        <v>1</v>
      </c>
      <c r="EF428" s="79">
        <f t="shared" si="982"/>
        <v>0</v>
      </c>
      <c r="EG428" s="79">
        <v>1</v>
      </c>
      <c r="EH428" s="79">
        <v>1</v>
      </c>
      <c r="EI428" s="79">
        <v>1</v>
      </c>
      <c r="EJ428" s="79">
        <v>1</v>
      </c>
      <c r="EK428" s="79">
        <v>1</v>
      </c>
      <c r="EL428" s="79">
        <v>1</v>
      </c>
      <c r="EM428" s="143">
        <f t="shared" si="983"/>
        <v>0</v>
      </c>
      <c r="EN428" s="143">
        <f t="shared" si="984"/>
        <v>0</v>
      </c>
      <c r="EO428" s="82">
        <f t="shared" si="985"/>
        <v>0</v>
      </c>
    </row>
    <row r="429" spans="1:145" x14ac:dyDescent="0.25">
      <c r="A429">
        <v>415</v>
      </c>
      <c r="B429" s="172" t="e">
        <f t="shared" si="956"/>
        <v>#N/A</v>
      </c>
      <c r="C429" s="121" t="e">
        <f t="shared" ref="C429:E429" si="1044">AJ429-SUM(AB429:AB433)</f>
        <v>#N/A</v>
      </c>
      <c r="D429" s="122" t="e">
        <f t="shared" si="1044"/>
        <v>#N/A</v>
      </c>
      <c r="E429" s="122" t="e">
        <f t="shared" si="1044"/>
        <v>#N/A</v>
      </c>
      <c r="F429" s="176" t="e">
        <f t="shared" si="937"/>
        <v>#N/A</v>
      </c>
      <c r="G429" s="121">
        <f t="shared" si="958"/>
        <v>208</v>
      </c>
      <c r="H429" s="176" t="e">
        <f t="shared" si="959"/>
        <v>#N/A</v>
      </c>
      <c r="I429" s="48">
        <v>1</v>
      </c>
      <c r="J429" s="39"/>
      <c r="K429" s="350">
        <v>1</v>
      </c>
      <c r="L429" s="34" t="e">
        <f t="shared" si="938"/>
        <v>#N/A</v>
      </c>
      <c r="M429" s="38" t="e">
        <f>(HLOOKUP(J429,'Construction Times'!$B$3:$W$34,L429+2,FALSE)*HLOOKUP("hq modifier",'Construction Times'!$W$3:$W$34,BS429+2,FALSE))*(1-$H$9)</f>
        <v>#N/A</v>
      </c>
      <c r="N429" s="426" t="e">
        <f t="shared" si="960"/>
        <v>#N/A</v>
      </c>
      <c r="O429" s="427"/>
      <c r="P429" s="430" t="e">
        <f t="shared" si="961"/>
        <v>#N/A</v>
      </c>
      <c r="Q429" s="431"/>
      <c r="R429" s="103">
        <f t="shared" si="987"/>
        <v>0</v>
      </c>
      <c r="S429" s="104">
        <f t="shared" si="987"/>
        <v>0</v>
      </c>
      <c r="T429" s="104">
        <f t="shared" si="988"/>
        <v>0</v>
      </c>
      <c r="U429" s="104">
        <f t="shared" si="988"/>
        <v>0</v>
      </c>
      <c r="V429" s="104">
        <f t="shared" si="988"/>
        <v>9.9999999999999995E-8</v>
      </c>
      <c r="W429" s="104">
        <f t="shared" si="988"/>
        <v>0</v>
      </c>
      <c r="X429" s="104">
        <f t="shared" ref="X429:AA460" si="1045">X428</f>
        <v>0</v>
      </c>
      <c r="Y429" s="104">
        <f t="shared" si="1045"/>
        <v>9.9999999999999995E-8</v>
      </c>
      <c r="Z429" s="104">
        <f t="shared" si="1045"/>
        <v>9.9999999999999995E-8</v>
      </c>
      <c r="AA429" s="105">
        <f t="shared" si="1045"/>
        <v>9.9999999999999995E-8</v>
      </c>
      <c r="AB429" s="101" t="e">
        <f>$DT429*HLOOKUP($J429,'Construction Costs (timber)'!$B$1:$V$32,'Construction Planner'!$L429+2,FALSE)</f>
        <v>#N/A</v>
      </c>
      <c r="AC429" s="14" t="e">
        <f>$DT429*HLOOKUP($J429,'Construction Costs (clay)'!$B$1:$V$32,'Construction Planner'!$L429+2,FALSE)</f>
        <v>#N/A</v>
      </c>
      <c r="AD429" s="14" t="e">
        <f>$DT429*HLOOKUP($J429,'Construction Costs (iron)'!$B$1:$V$32,'Construction Planner'!$L429+2,FALSE)</f>
        <v>#N/A</v>
      </c>
      <c r="AE429" s="34" t="e">
        <f t="shared" si="1000"/>
        <v>#N/A</v>
      </c>
      <c r="AF429" s="33" t="e">
        <f t="shared" si="939"/>
        <v>#N/A</v>
      </c>
      <c r="AG429" s="14" t="e">
        <f t="shared" si="940"/>
        <v>#N/A</v>
      </c>
      <c r="AH429" s="14" t="e">
        <f t="shared" si="941"/>
        <v>#N/A</v>
      </c>
      <c r="AI429" s="34" t="e">
        <f t="shared" si="1001"/>
        <v>#N/A</v>
      </c>
      <c r="AJ429" s="49" t="e">
        <f t="shared" si="962"/>
        <v>#N/A</v>
      </c>
      <c r="AK429" s="49" t="e">
        <f t="shared" si="963"/>
        <v>#N/A</v>
      </c>
      <c r="AL429" s="49" t="e">
        <f t="shared" si="964"/>
        <v>#N/A</v>
      </c>
      <c r="AM429" s="25">
        <f t="shared" si="942"/>
        <v>30</v>
      </c>
      <c r="AN429" s="25">
        <f t="shared" si="943"/>
        <v>30</v>
      </c>
      <c r="AO429" s="25">
        <f t="shared" si="944"/>
        <v>30</v>
      </c>
      <c r="AP429" s="52" t="e">
        <f t="shared" si="965"/>
        <v>#N/A</v>
      </c>
      <c r="AQ429" s="53" t="e">
        <f t="shared" si="965"/>
        <v>#N/A</v>
      </c>
      <c r="AR429" s="54" t="e">
        <f t="shared" si="965"/>
        <v>#N/A</v>
      </c>
      <c r="AS429" s="316">
        <f t="shared" si="1033"/>
        <v>0</v>
      </c>
      <c r="AT429" s="106">
        <f>_xlfn.IFNA($M429/VLOOKUP($BT429,'Unit information'!$A$2:$K$29,2,FALSE)*R429,0)*(1+$E$9)</f>
        <v>0</v>
      </c>
      <c r="AU429" s="107">
        <f>_xlfn.IFNA($M429/VLOOKUP($BT429,'Unit information'!$A$2:$K$29,3,FALSE)*S429,0)*(1+$E$9)</f>
        <v>0</v>
      </c>
      <c r="AV429" s="107">
        <f>_xlfn.IFNA($M429/VLOOKUP($BT429,'Unit information'!$A$2:$K$29,4,FALSE)*T429,0)*(1+$E$9)</f>
        <v>0</v>
      </c>
      <c r="AW429" s="107">
        <f>_xlfn.IFNA($M429/VLOOKUP($BT429,'Unit information'!$A$2:$K$29,5,FALSE)*U429,0)*(1+$E$9)</f>
        <v>0</v>
      </c>
      <c r="AX429" s="107">
        <f>_xlfn.IFNA($M429/VLOOKUP($BU429,'Unit information'!$A$2:$K$29,6,FALSE)*V429,0)*(1+$E$9)</f>
        <v>0</v>
      </c>
      <c r="AY429" s="107">
        <f>_xlfn.IFNA($M429/VLOOKUP($BU429,'Unit information'!$A$2:$K$29,7,FALSE)*W429,0)*(1+$E$9)</f>
        <v>0</v>
      </c>
      <c r="AZ429" s="107">
        <f>_xlfn.IFNA($M429/VLOOKUP($BU429,'Unit information'!$A$2:$K$29,8,FALSE)*X429,0)*(1+$E$9)</f>
        <v>0</v>
      </c>
      <c r="BA429" s="107">
        <f>_xlfn.IFNA($M429/VLOOKUP($BU429,'Unit information'!$A$2:$K$29,9,FALSE)*Y429,0)*(1+$E$9)</f>
        <v>0</v>
      </c>
      <c r="BB429" s="107">
        <f>_xlfn.IFNA($M429/VLOOKUP($BV429,'Unit information'!$A$2:$K$29,10,FALSE)*Z429,0)*(1+$E$9)</f>
        <v>0</v>
      </c>
      <c r="BC429" s="108">
        <f>_xlfn.IFNA($M429/VLOOKUP($BV429,'Unit information'!$A$2:$K$29,11,FALSE)*AA429,0)*(1+$E$9)</f>
        <v>0</v>
      </c>
      <c r="BD429" s="106">
        <f t="shared" si="945"/>
        <v>0</v>
      </c>
      <c r="BE429" s="107">
        <f t="shared" si="946"/>
        <v>0</v>
      </c>
      <c r="BF429" s="108">
        <f t="shared" si="947"/>
        <v>0</v>
      </c>
      <c r="BG429" s="25" t="e">
        <f t="shared" si="948"/>
        <v>#N/A</v>
      </c>
      <c r="BH429" s="25" t="e">
        <f t="shared" si="949"/>
        <v>#N/A</v>
      </c>
      <c r="BI429" s="25" t="e">
        <f t="shared" si="950"/>
        <v>#N/A</v>
      </c>
      <c r="BJ429" s="27" t="e">
        <f t="shared" si="951"/>
        <v>#N/A</v>
      </c>
      <c r="BK429" s="18" t="e">
        <f t="shared" si="952"/>
        <v>#N/A</v>
      </c>
      <c r="BL429" s="18" t="e">
        <f t="shared" si="953"/>
        <v>#N/A</v>
      </c>
      <c r="BM429" s="28" t="e">
        <f t="shared" si="1003"/>
        <v>#N/A</v>
      </c>
      <c r="BN429" s="33">
        <f>HLOOKUP("maximum population",Miscelaneous!$C$1:$C$33,CH429+3,FALSE)</f>
        <v>240</v>
      </c>
      <c r="BO429" s="14">
        <f t="shared" si="966"/>
        <v>32</v>
      </c>
      <c r="BP429" s="14">
        <f t="shared" si="967"/>
        <v>0</v>
      </c>
      <c r="BQ429" s="14">
        <f t="shared" si="968"/>
        <v>208</v>
      </c>
      <c r="BR429" s="34" t="e">
        <f>HLOOKUP(J429,Villagers!$B$1:$V$33,L429+3,FALSE)-HLOOKUP(J429,Villagers!$B$1:$V$33,L429+2,FALSE)</f>
        <v>#N/A</v>
      </c>
      <c r="BS429" s="49">
        <f t="shared" si="969"/>
        <v>1</v>
      </c>
      <c r="BT429" s="50">
        <f t="shared" si="970"/>
        <v>0</v>
      </c>
      <c r="BU429" s="50">
        <f t="shared" si="971"/>
        <v>0</v>
      </c>
      <c r="BV429" s="50">
        <f t="shared" si="972"/>
        <v>0</v>
      </c>
      <c r="BW429" s="50">
        <f t="shared" si="1039"/>
        <v>0</v>
      </c>
      <c r="BX429" s="50">
        <f t="shared" si="1037"/>
        <v>0</v>
      </c>
      <c r="BY429" s="50">
        <f t="shared" si="1037"/>
        <v>0</v>
      </c>
      <c r="BZ429" s="50">
        <f t="shared" si="1015"/>
        <v>0</v>
      </c>
      <c r="CA429" s="50">
        <f t="shared" si="1016"/>
        <v>0</v>
      </c>
      <c r="CB429" s="50">
        <f t="shared" si="1017"/>
        <v>1</v>
      </c>
      <c r="CC429" s="50">
        <f t="shared" si="1018"/>
        <v>0</v>
      </c>
      <c r="CD429" s="50">
        <f t="shared" si="1019"/>
        <v>0</v>
      </c>
      <c r="CE429" s="50">
        <f t="shared" si="1020"/>
        <v>1</v>
      </c>
      <c r="CF429" s="50">
        <f t="shared" si="1021"/>
        <v>1</v>
      </c>
      <c r="CG429" s="50">
        <f t="shared" si="1022"/>
        <v>1</v>
      </c>
      <c r="CH429" s="50">
        <f t="shared" si="1023"/>
        <v>1</v>
      </c>
      <c r="CI429" s="50">
        <f t="shared" si="1024"/>
        <v>1</v>
      </c>
      <c r="CJ429" s="50">
        <f t="shared" si="1025"/>
        <v>1</v>
      </c>
      <c r="CK429" s="50">
        <f t="shared" si="1025"/>
        <v>0</v>
      </c>
      <c r="CL429" s="50">
        <f t="shared" si="1025"/>
        <v>0</v>
      </c>
      <c r="CM429" s="51">
        <f t="shared" si="1026"/>
        <v>0</v>
      </c>
      <c r="CN429" s="33">
        <f>ROUND(IF(BS429=0,0,HLOOKUP(BS$14,Villagers!$B$1:$V$33,BS429+3,FALSE)),)</f>
        <v>5</v>
      </c>
      <c r="CO429" s="14">
        <f>ROUND(IF(BT429=0,0,HLOOKUP(BT$14,Villagers!$B$1:$V$33,BT429+3,FALSE)),)</f>
        <v>0</v>
      </c>
      <c r="CP429" s="14">
        <f>ROUND(IF(BU429=0,0,HLOOKUP(BU$14,Villagers!$B$1:$V$33,BU429+3,FALSE)),)</f>
        <v>0</v>
      </c>
      <c r="CQ429" s="14">
        <f>ROUND(IF(BV429=0,0,HLOOKUP(BV$14,Villagers!$B$1:$V$33,BV429+3,FALSE)),)</f>
        <v>0</v>
      </c>
      <c r="CR429" s="14">
        <f>ROUND(IF(BW429=0,0,HLOOKUP(BW$14,Villagers!$B$1:$V$33,BW429+3,FALSE)),)</f>
        <v>0</v>
      </c>
      <c r="CS429" s="14">
        <f>ROUND(IF(BX429=0,0,HLOOKUP(BX$14,Villagers!$B$1:$V$33,BX429+3,FALSE)),)</f>
        <v>0</v>
      </c>
      <c r="CT429" s="14">
        <f>ROUND(IF(BY429=0,0,HLOOKUP(BY$14,Villagers!$B$1:$V$33,BY429+3,FALSE)),)</f>
        <v>0</v>
      </c>
      <c r="CU429" s="14">
        <f>ROUND(IF(BZ429=0,0,HLOOKUP(BZ$14,Villagers!$B$1:$V$33,BZ429+3,FALSE)),)</f>
        <v>0</v>
      </c>
      <c r="CV429" s="14">
        <f>ROUND(IF(CA429=0,0,HLOOKUP(CA$14,Villagers!$B$1:$V$33,CA429+3,FALSE)),)</f>
        <v>0</v>
      </c>
      <c r="CW429" s="14">
        <f>ROUND(IF(CB429=0,0,HLOOKUP(CB$14,Villagers!$B$1:$V$33,CB429+3,FALSE)),)</f>
        <v>0</v>
      </c>
      <c r="CX429" s="14">
        <f>ROUND(IF(CC429=0,0,HLOOKUP(CC$14,Villagers!$B$1:$V$33,CC429+3,FALSE)),)</f>
        <v>0</v>
      </c>
      <c r="CY429" s="14">
        <f>ROUND(IF(CD429=0,0,HLOOKUP(CD$14,Villagers!$B$1:$V$33,CD429+3,FALSE)),)</f>
        <v>0</v>
      </c>
      <c r="CZ429" s="14">
        <f>ROUND(IF(CE429=0,0,HLOOKUP(CE$14,Villagers!$B$1:$V$33,CE429+3,FALSE)),)</f>
        <v>5</v>
      </c>
      <c r="DA429" s="14">
        <f>ROUND(IF(CF429=0,0,HLOOKUP(CF$14,Villagers!$B$1:$V$33,CF429+3,FALSE)),)</f>
        <v>10</v>
      </c>
      <c r="DB429" s="14">
        <f>ROUND(IF(CG429=0,0,HLOOKUP(CG$14,Villagers!$B$1:$V$33,CG429+3,FALSE)),)</f>
        <v>10</v>
      </c>
      <c r="DC429" s="14">
        <f>ROUND(IF(CH429=0,0,HLOOKUP(CH$14,Villagers!$B$1:$V$33,CH429+3,FALSE)),)</f>
        <v>0</v>
      </c>
      <c r="DD429" s="14">
        <f>ROUND(IF(CI429=0,0,HLOOKUP(CI$14,Villagers!$B$1:$V$33,CI429+3,FALSE)),)</f>
        <v>0</v>
      </c>
      <c r="DE429" s="14">
        <f>ROUND(IF(CJ429=0,0,HLOOKUP(CJ$14,Villagers!$B$1:$V$33,CJ429+3,FALSE)),)</f>
        <v>2</v>
      </c>
      <c r="DF429" s="370">
        <f>ROUND(IF(CK429=0,0,HLOOKUP(CK$14,Villagers!$B$1:$V$33,CK429+3,FALSE)),)</f>
        <v>0</v>
      </c>
      <c r="DG429" s="370">
        <f>ROUND(IF(CL429=0,0,HLOOKUP(CL$14,Villagers!$B$1:$V$33,CL429+3,FALSE)),)</f>
        <v>0</v>
      </c>
      <c r="DH429" s="34">
        <f>ROUND(IF(CM429=0,0,HLOOKUP(CM$14,Villagers!$B$1:$V$33,CM429+3,FALSE)),)</f>
        <v>0</v>
      </c>
      <c r="DI429" s="109">
        <f t="shared" si="989"/>
        <v>0</v>
      </c>
      <c r="DJ429" s="50">
        <f t="shared" si="990"/>
        <v>0</v>
      </c>
      <c r="DK429" s="50">
        <f t="shared" si="991"/>
        <v>0</v>
      </c>
      <c r="DL429" s="50">
        <f t="shared" si="992"/>
        <v>0</v>
      </c>
      <c r="DM429" s="50">
        <f t="shared" si="993"/>
        <v>0</v>
      </c>
      <c r="DN429" s="50">
        <f t="shared" si="994"/>
        <v>0</v>
      </c>
      <c r="DO429" s="50">
        <f t="shared" si="995"/>
        <v>0</v>
      </c>
      <c r="DP429" s="50">
        <f t="shared" si="996"/>
        <v>0</v>
      </c>
      <c r="DQ429" s="50">
        <f t="shared" si="973"/>
        <v>0</v>
      </c>
      <c r="DR429" s="50">
        <f t="shared" si="974"/>
        <v>0</v>
      </c>
      <c r="DS429" s="96">
        <f>Miscelaneous!$D$4*Miscelaneous!$D$2^($CI429-1)</f>
        <v>1000</v>
      </c>
      <c r="DT429" s="333">
        <f t="shared" si="955"/>
        <v>1</v>
      </c>
      <c r="DU429" s="81">
        <v>1</v>
      </c>
      <c r="DV429" s="79">
        <f t="shared" si="975"/>
        <v>0</v>
      </c>
      <c r="DW429" s="79">
        <f t="shared" si="976"/>
        <v>0</v>
      </c>
      <c r="DX429" s="79">
        <f t="shared" si="977"/>
        <v>0</v>
      </c>
      <c r="DY429" s="79">
        <v>1</v>
      </c>
      <c r="DZ429" s="79">
        <f t="shared" si="978"/>
        <v>0</v>
      </c>
      <c r="EA429" s="79">
        <f t="shared" si="979"/>
        <v>0</v>
      </c>
      <c r="EB429" s="79">
        <f t="shared" si="980"/>
        <v>0</v>
      </c>
      <c r="EC429" s="79">
        <f t="shared" si="981"/>
        <v>0</v>
      </c>
      <c r="ED429" s="79">
        <v>1</v>
      </c>
      <c r="EE429" s="79">
        <v>1</v>
      </c>
      <c r="EF429" s="79">
        <f t="shared" si="982"/>
        <v>0</v>
      </c>
      <c r="EG429" s="79">
        <v>1</v>
      </c>
      <c r="EH429" s="79">
        <v>1</v>
      </c>
      <c r="EI429" s="79">
        <v>1</v>
      </c>
      <c r="EJ429" s="79">
        <v>1</v>
      </c>
      <c r="EK429" s="79">
        <v>1</v>
      </c>
      <c r="EL429" s="79">
        <v>1</v>
      </c>
      <c r="EM429" s="143">
        <f t="shared" si="983"/>
        <v>0</v>
      </c>
      <c r="EN429" s="143">
        <f t="shared" si="984"/>
        <v>0</v>
      </c>
      <c r="EO429" s="82">
        <f t="shared" si="985"/>
        <v>0</v>
      </c>
    </row>
    <row r="430" spans="1:145" x14ac:dyDescent="0.25">
      <c r="A430">
        <v>416</v>
      </c>
      <c r="B430" s="172" t="e">
        <f t="shared" si="956"/>
        <v>#N/A</v>
      </c>
      <c r="C430" s="121" t="e">
        <f t="shared" ref="C430:E430" si="1046">AJ430-SUM(AB430:AB434)</f>
        <v>#N/A</v>
      </c>
      <c r="D430" s="122" t="e">
        <f t="shared" si="1046"/>
        <v>#N/A</v>
      </c>
      <c r="E430" s="122" t="e">
        <f t="shared" si="1046"/>
        <v>#N/A</v>
      </c>
      <c r="F430" s="176" t="e">
        <f t="shared" si="937"/>
        <v>#N/A</v>
      </c>
      <c r="G430" s="121">
        <f t="shared" si="958"/>
        <v>208</v>
      </c>
      <c r="H430" s="176" t="e">
        <f t="shared" si="959"/>
        <v>#N/A</v>
      </c>
      <c r="I430" s="48">
        <v>1</v>
      </c>
      <c r="J430" s="39"/>
      <c r="K430" s="350">
        <v>1</v>
      </c>
      <c r="L430" s="34" t="e">
        <f t="shared" si="938"/>
        <v>#N/A</v>
      </c>
      <c r="M430" s="38" t="e">
        <f>(HLOOKUP(J430,'Construction Times'!$B$3:$W$34,L430+2,FALSE)*HLOOKUP("hq modifier",'Construction Times'!$W$3:$W$34,BS430+2,FALSE))*(1-$H$9)</f>
        <v>#N/A</v>
      </c>
      <c r="N430" s="426" t="e">
        <f t="shared" si="960"/>
        <v>#N/A</v>
      </c>
      <c r="O430" s="427"/>
      <c r="P430" s="430" t="e">
        <f t="shared" si="961"/>
        <v>#N/A</v>
      </c>
      <c r="Q430" s="431"/>
      <c r="R430" s="103">
        <f t="shared" si="987"/>
        <v>0</v>
      </c>
      <c r="S430" s="104">
        <f t="shared" si="987"/>
        <v>0</v>
      </c>
      <c r="T430" s="104">
        <f t="shared" si="988"/>
        <v>0</v>
      </c>
      <c r="U430" s="104">
        <f t="shared" si="988"/>
        <v>0</v>
      </c>
      <c r="V430" s="104">
        <f t="shared" si="988"/>
        <v>9.9999999999999995E-8</v>
      </c>
      <c r="W430" s="104">
        <f t="shared" si="988"/>
        <v>0</v>
      </c>
      <c r="X430" s="104">
        <f t="shared" si="1045"/>
        <v>0</v>
      </c>
      <c r="Y430" s="104">
        <f t="shared" si="1045"/>
        <v>9.9999999999999995E-8</v>
      </c>
      <c r="Z430" s="104">
        <f t="shared" si="1045"/>
        <v>9.9999999999999995E-8</v>
      </c>
      <c r="AA430" s="105">
        <f t="shared" si="1045"/>
        <v>9.9999999999999995E-8</v>
      </c>
      <c r="AB430" s="101" t="e">
        <f>$DT430*HLOOKUP($J430,'Construction Costs (timber)'!$B$1:$V$32,'Construction Planner'!$L430+2,FALSE)</f>
        <v>#N/A</v>
      </c>
      <c r="AC430" s="14" t="e">
        <f>$DT430*HLOOKUP($J430,'Construction Costs (clay)'!$B$1:$V$32,'Construction Planner'!$L430+2,FALSE)</f>
        <v>#N/A</v>
      </c>
      <c r="AD430" s="14" t="e">
        <f>$DT430*HLOOKUP($J430,'Construction Costs (iron)'!$B$1:$V$32,'Construction Planner'!$L430+2,FALSE)</f>
        <v>#N/A</v>
      </c>
      <c r="AE430" s="34" t="e">
        <f t="shared" si="1000"/>
        <v>#N/A</v>
      </c>
      <c r="AF430" s="33" t="e">
        <f t="shared" si="939"/>
        <v>#N/A</v>
      </c>
      <c r="AG430" s="14" t="e">
        <f t="shared" si="940"/>
        <v>#N/A</v>
      </c>
      <c r="AH430" s="14" t="e">
        <f t="shared" si="941"/>
        <v>#N/A</v>
      </c>
      <c r="AI430" s="34" t="e">
        <f t="shared" si="1001"/>
        <v>#N/A</v>
      </c>
      <c r="AJ430" s="49" t="e">
        <f t="shared" si="962"/>
        <v>#N/A</v>
      </c>
      <c r="AK430" s="49" t="e">
        <f t="shared" si="963"/>
        <v>#N/A</v>
      </c>
      <c r="AL430" s="49" t="e">
        <f t="shared" si="964"/>
        <v>#N/A</v>
      </c>
      <c r="AM430" s="25">
        <f t="shared" si="942"/>
        <v>30</v>
      </c>
      <c r="AN430" s="25">
        <f t="shared" si="943"/>
        <v>30</v>
      </c>
      <c r="AO430" s="25">
        <f t="shared" si="944"/>
        <v>30</v>
      </c>
      <c r="AP430" s="52" t="e">
        <f t="shared" si="965"/>
        <v>#N/A</v>
      </c>
      <c r="AQ430" s="53" t="e">
        <f t="shared" si="965"/>
        <v>#N/A</v>
      </c>
      <c r="AR430" s="54" t="e">
        <f t="shared" si="965"/>
        <v>#N/A</v>
      </c>
      <c r="AS430" s="316">
        <f t="shared" si="1033"/>
        <v>0</v>
      </c>
      <c r="AT430" s="106">
        <f>_xlfn.IFNA($M430/VLOOKUP($BT430,'Unit information'!$A$2:$K$29,2,FALSE)*R430,0)*(1+$E$9)</f>
        <v>0</v>
      </c>
      <c r="AU430" s="107">
        <f>_xlfn.IFNA($M430/VLOOKUP($BT430,'Unit information'!$A$2:$K$29,3,FALSE)*S430,0)*(1+$E$9)</f>
        <v>0</v>
      </c>
      <c r="AV430" s="107">
        <f>_xlfn.IFNA($M430/VLOOKUP($BT430,'Unit information'!$A$2:$K$29,4,FALSE)*T430,0)*(1+$E$9)</f>
        <v>0</v>
      </c>
      <c r="AW430" s="107">
        <f>_xlfn.IFNA($M430/VLOOKUP($BT430,'Unit information'!$A$2:$K$29,5,FALSE)*U430,0)*(1+$E$9)</f>
        <v>0</v>
      </c>
      <c r="AX430" s="107">
        <f>_xlfn.IFNA($M430/VLOOKUP($BU430,'Unit information'!$A$2:$K$29,6,FALSE)*V430,0)*(1+$E$9)</f>
        <v>0</v>
      </c>
      <c r="AY430" s="107">
        <f>_xlfn.IFNA($M430/VLOOKUP($BU430,'Unit information'!$A$2:$K$29,7,FALSE)*W430,0)*(1+$E$9)</f>
        <v>0</v>
      </c>
      <c r="AZ430" s="107">
        <f>_xlfn.IFNA($M430/VLOOKUP($BU430,'Unit information'!$A$2:$K$29,8,FALSE)*X430,0)*(1+$E$9)</f>
        <v>0</v>
      </c>
      <c r="BA430" s="107">
        <f>_xlfn.IFNA($M430/VLOOKUP($BU430,'Unit information'!$A$2:$K$29,9,FALSE)*Y430,0)*(1+$E$9)</f>
        <v>0</v>
      </c>
      <c r="BB430" s="107">
        <f>_xlfn.IFNA($M430/VLOOKUP($BV430,'Unit information'!$A$2:$K$29,10,FALSE)*Z430,0)*(1+$E$9)</f>
        <v>0</v>
      </c>
      <c r="BC430" s="108">
        <f>_xlfn.IFNA($M430/VLOOKUP($BV430,'Unit information'!$A$2:$K$29,11,FALSE)*AA430,0)*(1+$E$9)</f>
        <v>0</v>
      </c>
      <c r="BD430" s="106">
        <f t="shared" si="945"/>
        <v>0</v>
      </c>
      <c r="BE430" s="107">
        <f t="shared" si="946"/>
        <v>0</v>
      </c>
      <c r="BF430" s="108">
        <f t="shared" si="947"/>
        <v>0</v>
      </c>
      <c r="BG430" s="25" t="e">
        <f t="shared" si="948"/>
        <v>#N/A</v>
      </c>
      <c r="BH430" s="25" t="e">
        <f t="shared" si="949"/>
        <v>#N/A</v>
      </c>
      <c r="BI430" s="25" t="e">
        <f t="shared" si="950"/>
        <v>#N/A</v>
      </c>
      <c r="BJ430" s="27" t="e">
        <f t="shared" si="951"/>
        <v>#N/A</v>
      </c>
      <c r="BK430" s="18" t="e">
        <f t="shared" si="952"/>
        <v>#N/A</v>
      </c>
      <c r="BL430" s="18" t="e">
        <f t="shared" si="953"/>
        <v>#N/A</v>
      </c>
      <c r="BM430" s="28" t="e">
        <f t="shared" si="1003"/>
        <v>#N/A</v>
      </c>
      <c r="BN430" s="33">
        <f>HLOOKUP("maximum population",Miscelaneous!$C$1:$C$33,CH430+3,FALSE)</f>
        <v>240</v>
      </c>
      <c r="BO430" s="14">
        <f t="shared" si="966"/>
        <v>32</v>
      </c>
      <c r="BP430" s="14">
        <f t="shared" si="967"/>
        <v>0</v>
      </c>
      <c r="BQ430" s="14">
        <f t="shared" si="968"/>
        <v>208</v>
      </c>
      <c r="BR430" s="34" t="e">
        <f>HLOOKUP(J430,Villagers!$B$1:$V$33,L430+3,FALSE)-HLOOKUP(J430,Villagers!$B$1:$V$33,L430+2,FALSE)</f>
        <v>#N/A</v>
      </c>
      <c r="BS430" s="49">
        <f t="shared" si="969"/>
        <v>1</v>
      </c>
      <c r="BT430" s="50">
        <f t="shared" si="970"/>
        <v>0</v>
      </c>
      <c r="BU430" s="50">
        <f t="shared" si="971"/>
        <v>0</v>
      </c>
      <c r="BV430" s="50">
        <f t="shared" si="972"/>
        <v>0</v>
      </c>
      <c r="BW430" s="50">
        <f t="shared" si="1039"/>
        <v>0</v>
      </c>
      <c r="BX430" s="50">
        <f t="shared" si="1037"/>
        <v>0</v>
      </c>
      <c r="BY430" s="50">
        <f t="shared" si="1037"/>
        <v>0</v>
      </c>
      <c r="BZ430" s="50">
        <f t="shared" si="1015"/>
        <v>0</v>
      </c>
      <c r="CA430" s="50">
        <f t="shared" si="1016"/>
        <v>0</v>
      </c>
      <c r="CB430" s="50">
        <f t="shared" si="1017"/>
        <v>1</v>
      </c>
      <c r="CC430" s="50">
        <f t="shared" si="1018"/>
        <v>0</v>
      </c>
      <c r="CD430" s="50">
        <f t="shared" si="1019"/>
        <v>0</v>
      </c>
      <c r="CE430" s="50">
        <f t="shared" si="1020"/>
        <v>1</v>
      </c>
      <c r="CF430" s="50">
        <f t="shared" si="1021"/>
        <v>1</v>
      </c>
      <c r="CG430" s="50">
        <f t="shared" si="1022"/>
        <v>1</v>
      </c>
      <c r="CH430" s="50">
        <f t="shared" si="1023"/>
        <v>1</v>
      </c>
      <c r="CI430" s="50">
        <f t="shared" si="1024"/>
        <v>1</v>
      </c>
      <c r="CJ430" s="50">
        <f t="shared" si="1025"/>
        <v>1</v>
      </c>
      <c r="CK430" s="50">
        <f t="shared" si="1025"/>
        <v>0</v>
      </c>
      <c r="CL430" s="50">
        <f t="shared" si="1025"/>
        <v>0</v>
      </c>
      <c r="CM430" s="51">
        <f t="shared" si="1026"/>
        <v>0</v>
      </c>
      <c r="CN430" s="33">
        <f>ROUND(IF(BS430=0,0,HLOOKUP(BS$14,Villagers!$B$1:$V$33,BS430+3,FALSE)),)</f>
        <v>5</v>
      </c>
      <c r="CO430" s="14">
        <f>ROUND(IF(BT430=0,0,HLOOKUP(BT$14,Villagers!$B$1:$V$33,BT430+3,FALSE)),)</f>
        <v>0</v>
      </c>
      <c r="CP430" s="14">
        <f>ROUND(IF(BU430=0,0,HLOOKUP(BU$14,Villagers!$B$1:$V$33,BU430+3,FALSE)),)</f>
        <v>0</v>
      </c>
      <c r="CQ430" s="14">
        <f>ROUND(IF(BV430=0,0,HLOOKUP(BV$14,Villagers!$B$1:$V$33,BV430+3,FALSE)),)</f>
        <v>0</v>
      </c>
      <c r="CR430" s="14">
        <f>ROUND(IF(BW430=0,0,HLOOKUP(BW$14,Villagers!$B$1:$V$33,BW430+3,FALSE)),)</f>
        <v>0</v>
      </c>
      <c r="CS430" s="14">
        <f>ROUND(IF(BX430=0,0,HLOOKUP(BX$14,Villagers!$B$1:$V$33,BX430+3,FALSE)),)</f>
        <v>0</v>
      </c>
      <c r="CT430" s="14">
        <f>ROUND(IF(BY430=0,0,HLOOKUP(BY$14,Villagers!$B$1:$V$33,BY430+3,FALSE)),)</f>
        <v>0</v>
      </c>
      <c r="CU430" s="14">
        <f>ROUND(IF(BZ430=0,0,HLOOKUP(BZ$14,Villagers!$B$1:$V$33,BZ430+3,FALSE)),)</f>
        <v>0</v>
      </c>
      <c r="CV430" s="14">
        <f>ROUND(IF(CA430=0,0,HLOOKUP(CA$14,Villagers!$B$1:$V$33,CA430+3,FALSE)),)</f>
        <v>0</v>
      </c>
      <c r="CW430" s="14">
        <f>ROUND(IF(CB430=0,0,HLOOKUP(CB$14,Villagers!$B$1:$V$33,CB430+3,FALSE)),)</f>
        <v>0</v>
      </c>
      <c r="CX430" s="14">
        <f>ROUND(IF(CC430=0,0,HLOOKUP(CC$14,Villagers!$B$1:$V$33,CC430+3,FALSE)),)</f>
        <v>0</v>
      </c>
      <c r="CY430" s="14">
        <f>ROUND(IF(CD430=0,0,HLOOKUP(CD$14,Villagers!$B$1:$V$33,CD430+3,FALSE)),)</f>
        <v>0</v>
      </c>
      <c r="CZ430" s="14">
        <f>ROUND(IF(CE430=0,0,HLOOKUP(CE$14,Villagers!$B$1:$V$33,CE430+3,FALSE)),)</f>
        <v>5</v>
      </c>
      <c r="DA430" s="14">
        <f>ROUND(IF(CF430=0,0,HLOOKUP(CF$14,Villagers!$B$1:$V$33,CF430+3,FALSE)),)</f>
        <v>10</v>
      </c>
      <c r="DB430" s="14">
        <f>ROUND(IF(CG430=0,0,HLOOKUP(CG$14,Villagers!$B$1:$V$33,CG430+3,FALSE)),)</f>
        <v>10</v>
      </c>
      <c r="DC430" s="14">
        <f>ROUND(IF(CH430=0,0,HLOOKUP(CH$14,Villagers!$B$1:$V$33,CH430+3,FALSE)),)</f>
        <v>0</v>
      </c>
      <c r="DD430" s="14">
        <f>ROUND(IF(CI430=0,0,HLOOKUP(CI$14,Villagers!$B$1:$V$33,CI430+3,FALSE)),)</f>
        <v>0</v>
      </c>
      <c r="DE430" s="14">
        <f>ROUND(IF(CJ430=0,0,HLOOKUP(CJ$14,Villagers!$B$1:$V$33,CJ430+3,FALSE)),)</f>
        <v>2</v>
      </c>
      <c r="DF430" s="370">
        <f>ROUND(IF(CK430=0,0,HLOOKUP(CK$14,Villagers!$B$1:$V$33,CK430+3,FALSE)),)</f>
        <v>0</v>
      </c>
      <c r="DG430" s="370">
        <f>ROUND(IF(CL430=0,0,HLOOKUP(CL$14,Villagers!$B$1:$V$33,CL430+3,FALSE)),)</f>
        <v>0</v>
      </c>
      <c r="DH430" s="34">
        <f>ROUND(IF(CM430=0,0,HLOOKUP(CM$14,Villagers!$B$1:$V$33,CM430+3,FALSE)),)</f>
        <v>0</v>
      </c>
      <c r="DI430" s="109">
        <f t="shared" si="989"/>
        <v>0</v>
      </c>
      <c r="DJ430" s="50">
        <f t="shared" si="990"/>
        <v>0</v>
      </c>
      <c r="DK430" s="50">
        <f t="shared" si="991"/>
        <v>0</v>
      </c>
      <c r="DL430" s="50">
        <f t="shared" si="992"/>
        <v>0</v>
      </c>
      <c r="DM430" s="50">
        <f t="shared" si="993"/>
        <v>0</v>
      </c>
      <c r="DN430" s="50">
        <f t="shared" si="994"/>
        <v>0</v>
      </c>
      <c r="DO430" s="50">
        <f t="shared" si="995"/>
        <v>0</v>
      </c>
      <c r="DP430" s="50">
        <f t="shared" si="996"/>
        <v>0</v>
      </c>
      <c r="DQ430" s="50">
        <f t="shared" si="973"/>
        <v>0</v>
      </c>
      <c r="DR430" s="50">
        <f t="shared" si="974"/>
        <v>0</v>
      </c>
      <c r="DS430" s="96">
        <f>Miscelaneous!$D$4*Miscelaneous!$D$2^($CI430-1)</f>
        <v>1000</v>
      </c>
      <c r="DT430" s="333">
        <f t="shared" si="955"/>
        <v>1</v>
      </c>
      <c r="DU430" s="81">
        <v>1</v>
      </c>
      <c r="DV430" s="79">
        <f t="shared" si="975"/>
        <v>0</v>
      </c>
      <c r="DW430" s="79">
        <f t="shared" si="976"/>
        <v>0</v>
      </c>
      <c r="DX430" s="79">
        <f t="shared" si="977"/>
        <v>0</v>
      </c>
      <c r="DY430" s="79">
        <v>1</v>
      </c>
      <c r="DZ430" s="79">
        <f t="shared" si="978"/>
        <v>0</v>
      </c>
      <c r="EA430" s="79">
        <f t="shared" si="979"/>
        <v>0</v>
      </c>
      <c r="EB430" s="79">
        <f t="shared" si="980"/>
        <v>0</v>
      </c>
      <c r="EC430" s="79">
        <f t="shared" si="981"/>
        <v>0</v>
      </c>
      <c r="ED430" s="79">
        <v>1</v>
      </c>
      <c r="EE430" s="79">
        <v>1</v>
      </c>
      <c r="EF430" s="79">
        <f t="shared" si="982"/>
        <v>0</v>
      </c>
      <c r="EG430" s="79">
        <v>1</v>
      </c>
      <c r="EH430" s="79">
        <v>1</v>
      </c>
      <c r="EI430" s="79">
        <v>1</v>
      </c>
      <c r="EJ430" s="79">
        <v>1</v>
      </c>
      <c r="EK430" s="79">
        <v>1</v>
      </c>
      <c r="EL430" s="79">
        <v>1</v>
      </c>
      <c r="EM430" s="143">
        <f t="shared" si="983"/>
        <v>0</v>
      </c>
      <c r="EN430" s="143">
        <f t="shared" si="984"/>
        <v>0</v>
      </c>
      <c r="EO430" s="82">
        <f t="shared" si="985"/>
        <v>0</v>
      </c>
    </row>
    <row r="431" spans="1:145" x14ac:dyDescent="0.25">
      <c r="A431">
        <v>417</v>
      </c>
      <c r="B431" s="172" t="e">
        <f t="shared" si="956"/>
        <v>#N/A</v>
      </c>
      <c r="C431" s="121" t="e">
        <f t="shared" ref="C431:E431" si="1047">AJ431-SUM(AB431:AB435)</f>
        <v>#N/A</v>
      </c>
      <c r="D431" s="122" t="e">
        <f t="shared" si="1047"/>
        <v>#N/A</v>
      </c>
      <c r="E431" s="122" t="e">
        <f t="shared" si="1047"/>
        <v>#N/A</v>
      </c>
      <c r="F431" s="176" t="e">
        <f t="shared" si="937"/>
        <v>#N/A</v>
      </c>
      <c r="G431" s="121">
        <f t="shared" si="958"/>
        <v>208</v>
      </c>
      <c r="H431" s="176" t="e">
        <f t="shared" si="959"/>
        <v>#N/A</v>
      </c>
      <c r="I431" s="48">
        <v>1</v>
      </c>
      <c r="J431" s="39"/>
      <c r="K431" s="350">
        <v>1</v>
      </c>
      <c r="L431" s="34" t="e">
        <f t="shared" si="938"/>
        <v>#N/A</v>
      </c>
      <c r="M431" s="38" t="e">
        <f>(HLOOKUP(J431,'Construction Times'!$B$3:$W$34,L431+2,FALSE)*HLOOKUP("hq modifier",'Construction Times'!$W$3:$W$34,BS431+2,FALSE))*(1-$H$9)</f>
        <v>#N/A</v>
      </c>
      <c r="N431" s="426" t="e">
        <f t="shared" si="960"/>
        <v>#N/A</v>
      </c>
      <c r="O431" s="427"/>
      <c r="P431" s="430" t="e">
        <f t="shared" si="961"/>
        <v>#N/A</v>
      </c>
      <c r="Q431" s="431"/>
      <c r="R431" s="103">
        <f t="shared" si="987"/>
        <v>0</v>
      </c>
      <c r="S431" s="104">
        <f t="shared" si="987"/>
        <v>0</v>
      </c>
      <c r="T431" s="104">
        <f t="shared" si="988"/>
        <v>0</v>
      </c>
      <c r="U431" s="104">
        <f t="shared" si="988"/>
        <v>0</v>
      </c>
      <c r="V431" s="104">
        <f t="shared" si="988"/>
        <v>9.9999999999999995E-8</v>
      </c>
      <c r="W431" s="104">
        <f t="shared" si="988"/>
        <v>0</v>
      </c>
      <c r="X431" s="104">
        <f t="shared" si="1045"/>
        <v>0</v>
      </c>
      <c r="Y431" s="104">
        <f t="shared" si="1045"/>
        <v>9.9999999999999995E-8</v>
      </c>
      <c r="Z431" s="104">
        <f t="shared" si="1045"/>
        <v>9.9999999999999995E-8</v>
      </c>
      <c r="AA431" s="105">
        <f t="shared" si="1045"/>
        <v>9.9999999999999995E-8</v>
      </c>
      <c r="AB431" s="101" t="e">
        <f>$DT431*HLOOKUP($J431,'Construction Costs (timber)'!$B$1:$V$32,'Construction Planner'!$L431+2,FALSE)</f>
        <v>#N/A</v>
      </c>
      <c r="AC431" s="14" t="e">
        <f>$DT431*HLOOKUP($J431,'Construction Costs (clay)'!$B$1:$V$32,'Construction Planner'!$L431+2,FALSE)</f>
        <v>#N/A</v>
      </c>
      <c r="AD431" s="14" t="e">
        <f>$DT431*HLOOKUP($J431,'Construction Costs (iron)'!$B$1:$V$32,'Construction Planner'!$L431+2,FALSE)</f>
        <v>#N/A</v>
      </c>
      <c r="AE431" s="34" t="e">
        <f t="shared" si="1000"/>
        <v>#N/A</v>
      </c>
      <c r="AF431" s="33" t="e">
        <f t="shared" si="939"/>
        <v>#N/A</v>
      </c>
      <c r="AG431" s="14" t="e">
        <f t="shared" si="940"/>
        <v>#N/A</v>
      </c>
      <c r="AH431" s="14" t="e">
        <f t="shared" si="941"/>
        <v>#N/A</v>
      </c>
      <c r="AI431" s="34" t="e">
        <f t="shared" si="1001"/>
        <v>#N/A</v>
      </c>
      <c r="AJ431" s="49" t="e">
        <f t="shared" si="962"/>
        <v>#N/A</v>
      </c>
      <c r="AK431" s="49" t="e">
        <f t="shared" si="963"/>
        <v>#N/A</v>
      </c>
      <c r="AL431" s="49" t="e">
        <f t="shared" si="964"/>
        <v>#N/A</v>
      </c>
      <c r="AM431" s="25">
        <f t="shared" si="942"/>
        <v>30</v>
      </c>
      <c r="AN431" s="25">
        <f t="shared" si="943"/>
        <v>30</v>
      </c>
      <c r="AO431" s="25">
        <f t="shared" si="944"/>
        <v>30</v>
      </c>
      <c r="AP431" s="52" t="e">
        <f t="shared" si="965"/>
        <v>#N/A</v>
      </c>
      <c r="AQ431" s="53" t="e">
        <f t="shared" si="965"/>
        <v>#N/A</v>
      </c>
      <c r="AR431" s="54" t="e">
        <f t="shared" si="965"/>
        <v>#N/A</v>
      </c>
      <c r="AS431" s="316">
        <f t="shared" si="1033"/>
        <v>0</v>
      </c>
      <c r="AT431" s="106">
        <f>_xlfn.IFNA($M431/VLOOKUP($BT431,'Unit information'!$A$2:$K$29,2,FALSE)*R431,0)*(1+$E$9)</f>
        <v>0</v>
      </c>
      <c r="AU431" s="107">
        <f>_xlfn.IFNA($M431/VLOOKUP($BT431,'Unit information'!$A$2:$K$29,3,FALSE)*S431,0)*(1+$E$9)</f>
        <v>0</v>
      </c>
      <c r="AV431" s="107">
        <f>_xlfn.IFNA($M431/VLOOKUP($BT431,'Unit information'!$A$2:$K$29,4,FALSE)*T431,0)*(1+$E$9)</f>
        <v>0</v>
      </c>
      <c r="AW431" s="107">
        <f>_xlfn.IFNA($M431/VLOOKUP($BT431,'Unit information'!$A$2:$K$29,5,FALSE)*U431,0)*(1+$E$9)</f>
        <v>0</v>
      </c>
      <c r="AX431" s="107">
        <f>_xlfn.IFNA($M431/VLOOKUP($BU431,'Unit information'!$A$2:$K$29,6,FALSE)*V431,0)*(1+$E$9)</f>
        <v>0</v>
      </c>
      <c r="AY431" s="107">
        <f>_xlfn.IFNA($M431/VLOOKUP($BU431,'Unit information'!$A$2:$K$29,7,FALSE)*W431,0)*(1+$E$9)</f>
        <v>0</v>
      </c>
      <c r="AZ431" s="107">
        <f>_xlfn.IFNA($M431/VLOOKUP($BU431,'Unit information'!$A$2:$K$29,8,FALSE)*X431,0)*(1+$E$9)</f>
        <v>0</v>
      </c>
      <c r="BA431" s="107">
        <f>_xlfn.IFNA($M431/VLOOKUP($BU431,'Unit information'!$A$2:$K$29,9,FALSE)*Y431,0)*(1+$E$9)</f>
        <v>0</v>
      </c>
      <c r="BB431" s="107">
        <f>_xlfn.IFNA($M431/VLOOKUP($BV431,'Unit information'!$A$2:$K$29,10,FALSE)*Z431,0)*(1+$E$9)</f>
        <v>0</v>
      </c>
      <c r="BC431" s="108">
        <f>_xlfn.IFNA($M431/VLOOKUP($BV431,'Unit information'!$A$2:$K$29,11,FALSE)*AA431,0)*(1+$E$9)</f>
        <v>0</v>
      </c>
      <c r="BD431" s="106">
        <f t="shared" si="945"/>
        <v>0</v>
      </c>
      <c r="BE431" s="107">
        <f t="shared" si="946"/>
        <v>0</v>
      </c>
      <c r="BF431" s="108">
        <f t="shared" si="947"/>
        <v>0</v>
      </c>
      <c r="BG431" s="25" t="e">
        <f t="shared" si="948"/>
        <v>#N/A</v>
      </c>
      <c r="BH431" s="25" t="e">
        <f t="shared" si="949"/>
        <v>#N/A</v>
      </c>
      <c r="BI431" s="25" t="e">
        <f t="shared" si="950"/>
        <v>#N/A</v>
      </c>
      <c r="BJ431" s="27" t="e">
        <f t="shared" si="951"/>
        <v>#N/A</v>
      </c>
      <c r="BK431" s="18" t="e">
        <f t="shared" si="952"/>
        <v>#N/A</v>
      </c>
      <c r="BL431" s="18" t="e">
        <f t="shared" si="953"/>
        <v>#N/A</v>
      </c>
      <c r="BM431" s="28" t="e">
        <f t="shared" si="1003"/>
        <v>#N/A</v>
      </c>
      <c r="BN431" s="33">
        <f>HLOOKUP("maximum population",Miscelaneous!$C$1:$C$33,CH431+3,FALSE)</f>
        <v>240</v>
      </c>
      <c r="BO431" s="14">
        <f t="shared" si="966"/>
        <v>32</v>
      </c>
      <c r="BP431" s="14">
        <f t="shared" si="967"/>
        <v>0</v>
      </c>
      <c r="BQ431" s="14">
        <f t="shared" si="968"/>
        <v>208</v>
      </c>
      <c r="BR431" s="34" t="e">
        <f>HLOOKUP(J431,Villagers!$B$1:$V$33,L431+3,FALSE)-HLOOKUP(J431,Villagers!$B$1:$V$33,L431+2,FALSE)</f>
        <v>#N/A</v>
      </c>
      <c r="BS431" s="49">
        <f t="shared" si="969"/>
        <v>1</v>
      </c>
      <c r="BT431" s="50">
        <f t="shared" si="970"/>
        <v>0</v>
      </c>
      <c r="BU431" s="50">
        <f t="shared" si="971"/>
        <v>0</v>
      </c>
      <c r="BV431" s="50">
        <f t="shared" si="972"/>
        <v>0</v>
      </c>
      <c r="BW431" s="50">
        <f t="shared" si="1039"/>
        <v>0</v>
      </c>
      <c r="BX431" s="50">
        <f t="shared" si="1037"/>
        <v>0</v>
      </c>
      <c r="BY431" s="50">
        <f t="shared" si="1037"/>
        <v>0</v>
      </c>
      <c r="BZ431" s="50">
        <f t="shared" si="1015"/>
        <v>0</v>
      </c>
      <c r="CA431" s="50">
        <f t="shared" si="1016"/>
        <v>0</v>
      </c>
      <c r="CB431" s="50">
        <f t="shared" si="1017"/>
        <v>1</v>
      </c>
      <c r="CC431" s="50">
        <f t="shared" si="1018"/>
        <v>0</v>
      </c>
      <c r="CD431" s="50">
        <f t="shared" si="1019"/>
        <v>0</v>
      </c>
      <c r="CE431" s="50">
        <f t="shared" si="1020"/>
        <v>1</v>
      </c>
      <c r="CF431" s="50">
        <f t="shared" si="1021"/>
        <v>1</v>
      </c>
      <c r="CG431" s="50">
        <f t="shared" si="1022"/>
        <v>1</v>
      </c>
      <c r="CH431" s="50">
        <f t="shared" si="1023"/>
        <v>1</v>
      </c>
      <c r="CI431" s="50">
        <f t="shared" si="1024"/>
        <v>1</v>
      </c>
      <c r="CJ431" s="50">
        <f t="shared" si="1025"/>
        <v>1</v>
      </c>
      <c r="CK431" s="50">
        <f t="shared" si="1025"/>
        <v>0</v>
      </c>
      <c r="CL431" s="50">
        <f t="shared" si="1025"/>
        <v>0</v>
      </c>
      <c r="CM431" s="51">
        <f t="shared" si="1026"/>
        <v>0</v>
      </c>
      <c r="CN431" s="33">
        <f>ROUND(IF(BS431=0,0,HLOOKUP(BS$14,Villagers!$B$1:$V$33,BS431+3,FALSE)),)</f>
        <v>5</v>
      </c>
      <c r="CO431" s="14">
        <f>ROUND(IF(BT431=0,0,HLOOKUP(BT$14,Villagers!$B$1:$V$33,BT431+3,FALSE)),)</f>
        <v>0</v>
      </c>
      <c r="CP431" s="14">
        <f>ROUND(IF(BU431=0,0,HLOOKUP(BU$14,Villagers!$B$1:$V$33,BU431+3,FALSE)),)</f>
        <v>0</v>
      </c>
      <c r="CQ431" s="14">
        <f>ROUND(IF(BV431=0,0,HLOOKUP(BV$14,Villagers!$B$1:$V$33,BV431+3,FALSE)),)</f>
        <v>0</v>
      </c>
      <c r="CR431" s="14">
        <f>ROUND(IF(BW431=0,0,HLOOKUP(BW$14,Villagers!$B$1:$V$33,BW431+3,FALSE)),)</f>
        <v>0</v>
      </c>
      <c r="CS431" s="14">
        <f>ROUND(IF(BX431=0,0,HLOOKUP(BX$14,Villagers!$B$1:$V$33,BX431+3,FALSE)),)</f>
        <v>0</v>
      </c>
      <c r="CT431" s="14">
        <f>ROUND(IF(BY431=0,0,HLOOKUP(BY$14,Villagers!$B$1:$V$33,BY431+3,FALSE)),)</f>
        <v>0</v>
      </c>
      <c r="CU431" s="14">
        <f>ROUND(IF(BZ431=0,0,HLOOKUP(BZ$14,Villagers!$B$1:$V$33,BZ431+3,FALSE)),)</f>
        <v>0</v>
      </c>
      <c r="CV431" s="14">
        <f>ROUND(IF(CA431=0,0,HLOOKUP(CA$14,Villagers!$B$1:$V$33,CA431+3,FALSE)),)</f>
        <v>0</v>
      </c>
      <c r="CW431" s="14">
        <f>ROUND(IF(CB431=0,0,HLOOKUP(CB$14,Villagers!$B$1:$V$33,CB431+3,FALSE)),)</f>
        <v>0</v>
      </c>
      <c r="CX431" s="14">
        <f>ROUND(IF(CC431=0,0,HLOOKUP(CC$14,Villagers!$B$1:$V$33,CC431+3,FALSE)),)</f>
        <v>0</v>
      </c>
      <c r="CY431" s="14">
        <f>ROUND(IF(CD431=0,0,HLOOKUP(CD$14,Villagers!$B$1:$V$33,CD431+3,FALSE)),)</f>
        <v>0</v>
      </c>
      <c r="CZ431" s="14">
        <f>ROUND(IF(CE431=0,0,HLOOKUP(CE$14,Villagers!$B$1:$V$33,CE431+3,FALSE)),)</f>
        <v>5</v>
      </c>
      <c r="DA431" s="14">
        <f>ROUND(IF(CF431=0,0,HLOOKUP(CF$14,Villagers!$B$1:$V$33,CF431+3,FALSE)),)</f>
        <v>10</v>
      </c>
      <c r="DB431" s="14">
        <f>ROUND(IF(CG431=0,0,HLOOKUP(CG$14,Villagers!$B$1:$V$33,CG431+3,FALSE)),)</f>
        <v>10</v>
      </c>
      <c r="DC431" s="14">
        <f>ROUND(IF(CH431=0,0,HLOOKUP(CH$14,Villagers!$B$1:$V$33,CH431+3,FALSE)),)</f>
        <v>0</v>
      </c>
      <c r="DD431" s="14">
        <f>ROUND(IF(CI431=0,0,HLOOKUP(CI$14,Villagers!$B$1:$V$33,CI431+3,FALSE)),)</f>
        <v>0</v>
      </c>
      <c r="DE431" s="14">
        <f>ROUND(IF(CJ431=0,0,HLOOKUP(CJ$14,Villagers!$B$1:$V$33,CJ431+3,FALSE)),)</f>
        <v>2</v>
      </c>
      <c r="DF431" s="370">
        <f>ROUND(IF(CK431=0,0,HLOOKUP(CK$14,Villagers!$B$1:$V$33,CK431+3,FALSE)),)</f>
        <v>0</v>
      </c>
      <c r="DG431" s="370">
        <f>ROUND(IF(CL431=0,0,HLOOKUP(CL$14,Villagers!$B$1:$V$33,CL431+3,FALSE)),)</f>
        <v>0</v>
      </c>
      <c r="DH431" s="34">
        <f>ROUND(IF(CM431=0,0,HLOOKUP(CM$14,Villagers!$B$1:$V$33,CM431+3,FALSE)),)</f>
        <v>0</v>
      </c>
      <c r="DI431" s="109">
        <f t="shared" si="989"/>
        <v>0</v>
      </c>
      <c r="DJ431" s="50">
        <f t="shared" si="990"/>
        <v>0</v>
      </c>
      <c r="DK431" s="50">
        <f t="shared" si="991"/>
        <v>0</v>
      </c>
      <c r="DL431" s="50">
        <f t="shared" si="992"/>
        <v>0</v>
      </c>
      <c r="DM431" s="50">
        <f t="shared" si="993"/>
        <v>0</v>
      </c>
      <c r="DN431" s="50">
        <f t="shared" si="994"/>
        <v>0</v>
      </c>
      <c r="DO431" s="50">
        <f t="shared" si="995"/>
        <v>0</v>
      </c>
      <c r="DP431" s="50">
        <f t="shared" si="996"/>
        <v>0</v>
      </c>
      <c r="DQ431" s="50">
        <f t="shared" si="973"/>
        <v>0</v>
      </c>
      <c r="DR431" s="50">
        <f t="shared" si="974"/>
        <v>0</v>
      </c>
      <c r="DS431" s="96">
        <f>Miscelaneous!$D$4*Miscelaneous!$D$2^($CI431-1)</f>
        <v>1000</v>
      </c>
      <c r="DT431" s="333">
        <f t="shared" si="955"/>
        <v>1</v>
      </c>
      <c r="DU431" s="81">
        <v>1</v>
      </c>
      <c r="DV431" s="79">
        <f t="shared" si="975"/>
        <v>0</v>
      </c>
      <c r="DW431" s="79">
        <f t="shared" si="976"/>
        <v>0</v>
      </c>
      <c r="DX431" s="79">
        <f t="shared" si="977"/>
        <v>0</v>
      </c>
      <c r="DY431" s="79">
        <v>1</v>
      </c>
      <c r="DZ431" s="79">
        <f t="shared" si="978"/>
        <v>0</v>
      </c>
      <c r="EA431" s="79">
        <f t="shared" si="979"/>
        <v>0</v>
      </c>
      <c r="EB431" s="79">
        <f t="shared" si="980"/>
        <v>0</v>
      </c>
      <c r="EC431" s="79">
        <f t="shared" si="981"/>
        <v>0</v>
      </c>
      <c r="ED431" s="79">
        <v>1</v>
      </c>
      <c r="EE431" s="79">
        <v>1</v>
      </c>
      <c r="EF431" s="79">
        <f t="shared" si="982"/>
        <v>0</v>
      </c>
      <c r="EG431" s="79">
        <v>1</v>
      </c>
      <c r="EH431" s="79">
        <v>1</v>
      </c>
      <c r="EI431" s="79">
        <v>1</v>
      </c>
      <c r="EJ431" s="79">
        <v>1</v>
      </c>
      <c r="EK431" s="79">
        <v>1</v>
      </c>
      <c r="EL431" s="79">
        <v>1</v>
      </c>
      <c r="EM431" s="143">
        <f t="shared" si="983"/>
        <v>0</v>
      </c>
      <c r="EN431" s="143">
        <f t="shared" si="984"/>
        <v>0</v>
      </c>
      <c r="EO431" s="82">
        <f t="shared" si="985"/>
        <v>0</v>
      </c>
    </row>
    <row r="432" spans="1:145" x14ac:dyDescent="0.25">
      <c r="A432">
        <v>418</v>
      </c>
      <c r="B432" s="172" t="e">
        <f t="shared" si="956"/>
        <v>#N/A</v>
      </c>
      <c r="C432" s="121" t="e">
        <f t="shared" ref="C432:E432" si="1048">AJ432-SUM(AB432:AB436)</f>
        <v>#N/A</v>
      </c>
      <c r="D432" s="122" t="e">
        <f t="shared" si="1048"/>
        <v>#N/A</v>
      </c>
      <c r="E432" s="122" t="e">
        <f t="shared" si="1048"/>
        <v>#N/A</v>
      </c>
      <c r="F432" s="176" t="e">
        <f t="shared" si="937"/>
        <v>#N/A</v>
      </c>
      <c r="G432" s="121">
        <f t="shared" si="958"/>
        <v>208</v>
      </c>
      <c r="H432" s="176" t="e">
        <f t="shared" si="959"/>
        <v>#N/A</v>
      </c>
      <c r="I432" s="48">
        <v>1</v>
      </c>
      <c r="J432" s="39"/>
      <c r="K432" s="350">
        <v>1</v>
      </c>
      <c r="L432" s="34" t="e">
        <f t="shared" si="938"/>
        <v>#N/A</v>
      </c>
      <c r="M432" s="38" t="e">
        <f>(HLOOKUP(J432,'Construction Times'!$B$3:$W$34,L432+2,FALSE)*HLOOKUP("hq modifier",'Construction Times'!$W$3:$W$34,BS432+2,FALSE))*(1-$H$9)</f>
        <v>#N/A</v>
      </c>
      <c r="N432" s="426" t="e">
        <f t="shared" si="960"/>
        <v>#N/A</v>
      </c>
      <c r="O432" s="427"/>
      <c r="P432" s="430" t="e">
        <f t="shared" si="961"/>
        <v>#N/A</v>
      </c>
      <c r="Q432" s="431"/>
      <c r="R432" s="103">
        <f t="shared" si="987"/>
        <v>0</v>
      </c>
      <c r="S432" s="104">
        <f t="shared" si="987"/>
        <v>0</v>
      </c>
      <c r="T432" s="104">
        <f t="shared" si="988"/>
        <v>0</v>
      </c>
      <c r="U432" s="104">
        <f t="shared" si="988"/>
        <v>0</v>
      </c>
      <c r="V432" s="104">
        <f t="shared" si="988"/>
        <v>9.9999999999999995E-8</v>
      </c>
      <c r="W432" s="104">
        <f t="shared" si="988"/>
        <v>0</v>
      </c>
      <c r="X432" s="104">
        <f t="shared" si="1045"/>
        <v>0</v>
      </c>
      <c r="Y432" s="104">
        <f t="shared" si="1045"/>
        <v>9.9999999999999995E-8</v>
      </c>
      <c r="Z432" s="104">
        <f t="shared" si="1045"/>
        <v>9.9999999999999995E-8</v>
      </c>
      <c r="AA432" s="105">
        <f t="shared" si="1045"/>
        <v>9.9999999999999995E-8</v>
      </c>
      <c r="AB432" s="101" t="e">
        <f>$DT432*HLOOKUP($J432,'Construction Costs (timber)'!$B$1:$V$32,'Construction Planner'!$L432+2,FALSE)</f>
        <v>#N/A</v>
      </c>
      <c r="AC432" s="14" t="e">
        <f>$DT432*HLOOKUP($J432,'Construction Costs (clay)'!$B$1:$V$32,'Construction Planner'!$L432+2,FALSE)</f>
        <v>#N/A</v>
      </c>
      <c r="AD432" s="14" t="e">
        <f>$DT432*HLOOKUP($J432,'Construction Costs (iron)'!$B$1:$V$32,'Construction Planner'!$L432+2,FALSE)</f>
        <v>#N/A</v>
      </c>
      <c r="AE432" s="34" t="e">
        <f t="shared" si="1000"/>
        <v>#N/A</v>
      </c>
      <c r="AF432" s="33" t="e">
        <f t="shared" si="939"/>
        <v>#N/A</v>
      </c>
      <c r="AG432" s="14" t="e">
        <f t="shared" si="940"/>
        <v>#N/A</v>
      </c>
      <c r="AH432" s="14" t="e">
        <f t="shared" si="941"/>
        <v>#N/A</v>
      </c>
      <c r="AI432" s="34" t="e">
        <f t="shared" si="1001"/>
        <v>#N/A</v>
      </c>
      <c r="AJ432" s="49" t="e">
        <f t="shared" si="962"/>
        <v>#N/A</v>
      </c>
      <c r="AK432" s="49" t="e">
        <f t="shared" si="963"/>
        <v>#N/A</v>
      </c>
      <c r="AL432" s="49" t="e">
        <f t="shared" si="964"/>
        <v>#N/A</v>
      </c>
      <c r="AM432" s="25">
        <f t="shared" si="942"/>
        <v>30</v>
      </c>
      <c r="AN432" s="25">
        <f t="shared" si="943"/>
        <v>30</v>
      </c>
      <c r="AO432" s="25">
        <f t="shared" si="944"/>
        <v>30</v>
      </c>
      <c r="AP432" s="52" t="e">
        <f t="shared" ref="AP432:AR463" si="1049">($N432-$AK$6+$AK$9+1)*$AK$5/24/3*$AS432</f>
        <v>#N/A</v>
      </c>
      <c r="AQ432" s="53" t="e">
        <f t="shared" si="1049"/>
        <v>#N/A</v>
      </c>
      <c r="AR432" s="54" t="e">
        <f t="shared" si="1049"/>
        <v>#N/A</v>
      </c>
      <c r="AS432" s="316">
        <f t="shared" si="1033"/>
        <v>0</v>
      </c>
      <c r="AT432" s="106">
        <f>_xlfn.IFNA($M432/VLOOKUP($BT432,'Unit information'!$A$2:$K$29,2,FALSE)*R432,0)*(1+$E$9)</f>
        <v>0</v>
      </c>
      <c r="AU432" s="107">
        <f>_xlfn.IFNA($M432/VLOOKUP($BT432,'Unit information'!$A$2:$K$29,3,FALSE)*S432,0)*(1+$E$9)</f>
        <v>0</v>
      </c>
      <c r="AV432" s="107">
        <f>_xlfn.IFNA($M432/VLOOKUP($BT432,'Unit information'!$A$2:$K$29,4,FALSE)*T432,0)*(1+$E$9)</f>
        <v>0</v>
      </c>
      <c r="AW432" s="107">
        <f>_xlfn.IFNA($M432/VLOOKUP($BT432,'Unit information'!$A$2:$K$29,5,FALSE)*U432,0)*(1+$E$9)</f>
        <v>0</v>
      </c>
      <c r="AX432" s="107">
        <f>_xlfn.IFNA($M432/VLOOKUP($BU432,'Unit information'!$A$2:$K$29,6,FALSE)*V432,0)*(1+$E$9)</f>
        <v>0</v>
      </c>
      <c r="AY432" s="107">
        <f>_xlfn.IFNA($M432/VLOOKUP($BU432,'Unit information'!$A$2:$K$29,7,FALSE)*W432,0)*(1+$E$9)</f>
        <v>0</v>
      </c>
      <c r="AZ432" s="107">
        <f>_xlfn.IFNA($M432/VLOOKUP($BU432,'Unit information'!$A$2:$K$29,8,FALSE)*X432,0)*(1+$E$9)</f>
        <v>0</v>
      </c>
      <c r="BA432" s="107">
        <f>_xlfn.IFNA($M432/VLOOKUP($BU432,'Unit information'!$A$2:$K$29,9,FALSE)*Y432,0)*(1+$E$9)</f>
        <v>0</v>
      </c>
      <c r="BB432" s="107">
        <f>_xlfn.IFNA($M432/VLOOKUP($BV432,'Unit information'!$A$2:$K$29,10,FALSE)*Z432,0)*(1+$E$9)</f>
        <v>0</v>
      </c>
      <c r="BC432" s="108">
        <f>_xlfn.IFNA($M432/VLOOKUP($BV432,'Unit information'!$A$2:$K$29,11,FALSE)*AA432,0)*(1+$E$9)</f>
        <v>0</v>
      </c>
      <c r="BD432" s="106">
        <f t="shared" si="945"/>
        <v>0</v>
      </c>
      <c r="BE432" s="107">
        <f t="shared" si="946"/>
        <v>0</v>
      </c>
      <c r="BF432" s="108">
        <f t="shared" si="947"/>
        <v>0</v>
      </c>
      <c r="BG432" s="25" t="e">
        <f t="shared" si="948"/>
        <v>#N/A</v>
      </c>
      <c r="BH432" s="25" t="e">
        <f t="shared" si="949"/>
        <v>#N/A</v>
      </c>
      <c r="BI432" s="25" t="e">
        <f t="shared" si="950"/>
        <v>#N/A</v>
      </c>
      <c r="BJ432" s="27" t="e">
        <f t="shared" si="951"/>
        <v>#N/A</v>
      </c>
      <c r="BK432" s="18" t="e">
        <f t="shared" si="952"/>
        <v>#N/A</v>
      </c>
      <c r="BL432" s="18" t="e">
        <f t="shared" si="953"/>
        <v>#N/A</v>
      </c>
      <c r="BM432" s="28" t="e">
        <f t="shared" si="1003"/>
        <v>#N/A</v>
      </c>
      <c r="BN432" s="33">
        <f>HLOOKUP("maximum population",Miscelaneous!$C$1:$C$33,CH432+3,FALSE)</f>
        <v>240</v>
      </c>
      <c r="BO432" s="14">
        <f t="shared" si="966"/>
        <v>32</v>
      </c>
      <c r="BP432" s="14">
        <f t="shared" si="967"/>
        <v>0</v>
      </c>
      <c r="BQ432" s="14">
        <f t="shared" si="968"/>
        <v>208</v>
      </c>
      <c r="BR432" s="34" t="e">
        <f>HLOOKUP(J432,Villagers!$B$1:$V$33,L432+3,FALSE)-HLOOKUP(J432,Villagers!$B$1:$V$33,L432+2,FALSE)</f>
        <v>#N/A</v>
      </c>
      <c r="BS432" s="49">
        <f t="shared" si="969"/>
        <v>1</v>
      </c>
      <c r="BT432" s="50">
        <f t="shared" si="970"/>
        <v>0</v>
      </c>
      <c r="BU432" s="50">
        <f t="shared" si="971"/>
        <v>0</v>
      </c>
      <c r="BV432" s="50">
        <f t="shared" si="972"/>
        <v>0</v>
      </c>
      <c r="BW432" s="50">
        <f t="shared" ref="BW432:BY438" si="1050">IF($J431=BW$14,$L431,BW431)</f>
        <v>0</v>
      </c>
      <c r="BX432" s="50">
        <f t="shared" si="1050"/>
        <v>0</v>
      </c>
      <c r="BY432" s="50">
        <f t="shared" si="1050"/>
        <v>0</v>
      </c>
      <c r="BZ432" s="50">
        <f t="shared" si="1015"/>
        <v>0</v>
      </c>
      <c r="CA432" s="50">
        <f t="shared" si="1016"/>
        <v>0</v>
      </c>
      <c r="CB432" s="50">
        <f t="shared" si="1017"/>
        <v>1</v>
      </c>
      <c r="CC432" s="50">
        <f t="shared" si="1018"/>
        <v>0</v>
      </c>
      <c r="CD432" s="50">
        <f t="shared" si="1019"/>
        <v>0</v>
      </c>
      <c r="CE432" s="50">
        <f t="shared" si="1020"/>
        <v>1</v>
      </c>
      <c r="CF432" s="50">
        <f t="shared" si="1021"/>
        <v>1</v>
      </c>
      <c r="CG432" s="50">
        <f t="shared" si="1022"/>
        <v>1</v>
      </c>
      <c r="CH432" s="50">
        <f t="shared" si="1023"/>
        <v>1</v>
      </c>
      <c r="CI432" s="50">
        <f t="shared" si="1024"/>
        <v>1</v>
      </c>
      <c r="CJ432" s="50">
        <f t="shared" si="1025"/>
        <v>1</v>
      </c>
      <c r="CK432" s="50">
        <f t="shared" si="1025"/>
        <v>0</v>
      </c>
      <c r="CL432" s="50">
        <f t="shared" si="1025"/>
        <v>0</v>
      </c>
      <c r="CM432" s="51">
        <f t="shared" si="1026"/>
        <v>0</v>
      </c>
      <c r="CN432" s="33">
        <f>ROUND(IF(BS432=0,0,HLOOKUP(BS$14,Villagers!$B$1:$V$33,BS432+3,FALSE)),)</f>
        <v>5</v>
      </c>
      <c r="CO432" s="14">
        <f>ROUND(IF(BT432=0,0,HLOOKUP(BT$14,Villagers!$B$1:$V$33,BT432+3,FALSE)),)</f>
        <v>0</v>
      </c>
      <c r="CP432" s="14">
        <f>ROUND(IF(BU432=0,0,HLOOKUP(BU$14,Villagers!$B$1:$V$33,BU432+3,FALSE)),)</f>
        <v>0</v>
      </c>
      <c r="CQ432" s="14">
        <f>ROUND(IF(BV432=0,0,HLOOKUP(BV$14,Villagers!$B$1:$V$33,BV432+3,FALSE)),)</f>
        <v>0</v>
      </c>
      <c r="CR432" s="14">
        <f>ROUND(IF(BW432=0,0,HLOOKUP(BW$14,Villagers!$B$1:$V$33,BW432+3,FALSE)),)</f>
        <v>0</v>
      </c>
      <c r="CS432" s="14">
        <f>ROUND(IF(BX432=0,0,HLOOKUP(BX$14,Villagers!$B$1:$V$33,BX432+3,FALSE)),)</f>
        <v>0</v>
      </c>
      <c r="CT432" s="14">
        <f>ROUND(IF(BY432=0,0,HLOOKUP(BY$14,Villagers!$B$1:$V$33,BY432+3,FALSE)),)</f>
        <v>0</v>
      </c>
      <c r="CU432" s="14">
        <f>ROUND(IF(BZ432=0,0,HLOOKUP(BZ$14,Villagers!$B$1:$V$33,BZ432+3,FALSE)),)</f>
        <v>0</v>
      </c>
      <c r="CV432" s="14">
        <f>ROUND(IF(CA432=0,0,HLOOKUP(CA$14,Villagers!$B$1:$V$33,CA432+3,FALSE)),)</f>
        <v>0</v>
      </c>
      <c r="CW432" s="14">
        <f>ROUND(IF(CB432=0,0,HLOOKUP(CB$14,Villagers!$B$1:$V$33,CB432+3,FALSE)),)</f>
        <v>0</v>
      </c>
      <c r="CX432" s="14">
        <f>ROUND(IF(CC432=0,0,HLOOKUP(CC$14,Villagers!$B$1:$V$33,CC432+3,FALSE)),)</f>
        <v>0</v>
      </c>
      <c r="CY432" s="14">
        <f>ROUND(IF(CD432=0,0,HLOOKUP(CD$14,Villagers!$B$1:$V$33,CD432+3,FALSE)),)</f>
        <v>0</v>
      </c>
      <c r="CZ432" s="14">
        <f>ROUND(IF(CE432=0,0,HLOOKUP(CE$14,Villagers!$B$1:$V$33,CE432+3,FALSE)),)</f>
        <v>5</v>
      </c>
      <c r="DA432" s="14">
        <f>ROUND(IF(CF432=0,0,HLOOKUP(CF$14,Villagers!$B$1:$V$33,CF432+3,FALSE)),)</f>
        <v>10</v>
      </c>
      <c r="DB432" s="14">
        <f>ROUND(IF(CG432=0,0,HLOOKUP(CG$14,Villagers!$B$1:$V$33,CG432+3,FALSE)),)</f>
        <v>10</v>
      </c>
      <c r="DC432" s="14">
        <f>ROUND(IF(CH432=0,0,HLOOKUP(CH$14,Villagers!$B$1:$V$33,CH432+3,FALSE)),)</f>
        <v>0</v>
      </c>
      <c r="DD432" s="14">
        <f>ROUND(IF(CI432=0,0,HLOOKUP(CI$14,Villagers!$B$1:$V$33,CI432+3,FALSE)),)</f>
        <v>0</v>
      </c>
      <c r="DE432" s="14">
        <f>ROUND(IF(CJ432=0,0,HLOOKUP(CJ$14,Villagers!$B$1:$V$33,CJ432+3,FALSE)),)</f>
        <v>2</v>
      </c>
      <c r="DF432" s="370">
        <f>ROUND(IF(CK432=0,0,HLOOKUP(CK$14,Villagers!$B$1:$V$33,CK432+3,FALSE)),)</f>
        <v>0</v>
      </c>
      <c r="DG432" s="370">
        <f>ROUND(IF(CL432=0,0,HLOOKUP(CL$14,Villagers!$B$1:$V$33,CL432+3,FALSE)),)</f>
        <v>0</v>
      </c>
      <c r="DH432" s="34">
        <f>ROUND(IF(CM432=0,0,HLOOKUP(CM$14,Villagers!$B$1:$V$33,CM432+3,FALSE)),)</f>
        <v>0</v>
      </c>
      <c r="DI432" s="109">
        <f t="shared" si="989"/>
        <v>0</v>
      </c>
      <c r="DJ432" s="50">
        <f t="shared" si="990"/>
        <v>0</v>
      </c>
      <c r="DK432" s="50">
        <f t="shared" si="991"/>
        <v>0</v>
      </c>
      <c r="DL432" s="50">
        <f t="shared" si="992"/>
        <v>0</v>
      </c>
      <c r="DM432" s="50">
        <f t="shared" si="993"/>
        <v>0</v>
      </c>
      <c r="DN432" s="50">
        <f t="shared" si="994"/>
        <v>0</v>
      </c>
      <c r="DO432" s="50">
        <f t="shared" si="995"/>
        <v>0</v>
      </c>
      <c r="DP432" s="50">
        <f t="shared" si="996"/>
        <v>0</v>
      </c>
      <c r="DQ432" s="50">
        <f t="shared" si="973"/>
        <v>0</v>
      </c>
      <c r="DR432" s="50">
        <f t="shared" si="974"/>
        <v>0</v>
      </c>
      <c r="DS432" s="96">
        <f>Miscelaneous!$D$4*Miscelaneous!$D$2^($CI432-1)</f>
        <v>1000</v>
      </c>
      <c r="DT432" s="333">
        <f t="shared" si="955"/>
        <v>1</v>
      </c>
      <c r="DU432" s="81">
        <v>1</v>
      </c>
      <c r="DV432" s="79">
        <f t="shared" si="975"/>
        <v>0</v>
      </c>
      <c r="DW432" s="79">
        <f t="shared" si="976"/>
        <v>0</v>
      </c>
      <c r="DX432" s="79">
        <f t="shared" si="977"/>
        <v>0</v>
      </c>
      <c r="DY432" s="79">
        <v>1</v>
      </c>
      <c r="DZ432" s="79">
        <f t="shared" si="978"/>
        <v>0</v>
      </c>
      <c r="EA432" s="79">
        <f t="shared" si="979"/>
        <v>0</v>
      </c>
      <c r="EB432" s="79">
        <f t="shared" si="980"/>
        <v>0</v>
      </c>
      <c r="EC432" s="79">
        <f t="shared" si="981"/>
        <v>0</v>
      </c>
      <c r="ED432" s="79">
        <v>1</v>
      </c>
      <c r="EE432" s="79">
        <v>1</v>
      </c>
      <c r="EF432" s="79">
        <f t="shared" si="982"/>
        <v>0</v>
      </c>
      <c r="EG432" s="79">
        <v>1</v>
      </c>
      <c r="EH432" s="79">
        <v>1</v>
      </c>
      <c r="EI432" s="79">
        <v>1</v>
      </c>
      <c r="EJ432" s="79">
        <v>1</v>
      </c>
      <c r="EK432" s="79">
        <v>1</v>
      </c>
      <c r="EL432" s="79">
        <v>1</v>
      </c>
      <c r="EM432" s="143">
        <f t="shared" si="983"/>
        <v>0</v>
      </c>
      <c r="EN432" s="143">
        <f t="shared" si="984"/>
        <v>0</v>
      </c>
      <c r="EO432" s="82">
        <f t="shared" si="985"/>
        <v>0</v>
      </c>
    </row>
    <row r="433" spans="1:145" x14ac:dyDescent="0.25">
      <c r="A433">
        <v>419</v>
      </c>
      <c r="B433" s="172" t="e">
        <f t="shared" si="956"/>
        <v>#N/A</v>
      </c>
      <c r="C433" s="121" t="e">
        <f t="shared" ref="C433:E433" si="1051">AJ433-SUM(AB433:AB437)</f>
        <v>#N/A</v>
      </c>
      <c r="D433" s="122" t="e">
        <f t="shared" si="1051"/>
        <v>#N/A</v>
      </c>
      <c r="E433" s="122" t="e">
        <f t="shared" si="1051"/>
        <v>#N/A</v>
      </c>
      <c r="F433" s="176" t="e">
        <f t="shared" si="937"/>
        <v>#N/A</v>
      </c>
      <c r="G433" s="121">
        <f t="shared" si="958"/>
        <v>208</v>
      </c>
      <c r="H433" s="176" t="e">
        <f t="shared" si="959"/>
        <v>#N/A</v>
      </c>
      <c r="I433" s="48">
        <v>1</v>
      </c>
      <c r="J433" s="39"/>
      <c r="K433" s="350">
        <v>1</v>
      </c>
      <c r="L433" s="34" t="e">
        <f t="shared" si="938"/>
        <v>#N/A</v>
      </c>
      <c r="M433" s="38" t="e">
        <f>(HLOOKUP(J433,'Construction Times'!$B$3:$W$34,L433+2,FALSE)*HLOOKUP("hq modifier",'Construction Times'!$W$3:$W$34,BS433+2,FALSE))*(1-$H$9)</f>
        <v>#N/A</v>
      </c>
      <c r="N433" s="426" t="e">
        <f t="shared" si="960"/>
        <v>#N/A</v>
      </c>
      <c r="O433" s="427"/>
      <c r="P433" s="430" t="e">
        <f t="shared" si="961"/>
        <v>#N/A</v>
      </c>
      <c r="Q433" s="431"/>
      <c r="R433" s="103">
        <f t="shared" ref="R433:S464" si="1052">R432</f>
        <v>0</v>
      </c>
      <c r="S433" s="104">
        <f t="shared" si="1052"/>
        <v>0</v>
      </c>
      <c r="T433" s="104">
        <f t="shared" ref="T433:W464" si="1053">T432</f>
        <v>0</v>
      </c>
      <c r="U433" s="104">
        <f t="shared" si="1053"/>
        <v>0</v>
      </c>
      <c r="V433" s="104">
        <f t="shared" si="1053"/>
        <v>9.9999999999999995E-8</v>
      </c>
      <c r="W433" s="104">
        <f t="shared" si="1053"/>
        <v>0</v>
      </c>
      <c r="X433" s="104">
        <f t="shared" si="1045"/>
        <v>0</v>
      </c>
      <c r="Y433" s="104">
        <f t="shared" si="1045"/>
        <v>9.9999999999999995E-8</v>
      </c>
      <c r="Z433" s="104">
        <f t="shared" si="1045"/>
        <v>9.9999999999999995E-8</v>
      </c>
      <c r="AA433" s="105">
        <f t="shared" si="1045"/>
        <v>9.9999999999999995E-8</v>
      </c>
      <c r="AB433" s="101" t="e">
        <f>$DT433*HLOOKUP($J433,'Construction Costs (timber)'!$B$1:$V$32,'Construction Planner'!$L433+2,FALSE)</f>
        <v>#N/A</v>
      </c>
      <c r="AC433" s="14" t="e">
        <f>$DT433*HLOOKUP($J433,'Construction Costs (clay)'!$B$1:$V$32,'Construction Planner'!$L433+2,FALSE)</f>
        <v>#N/A</v>
      </c>
      <c r="AD433" s="14" t="e">
        <f>$DT433*HLOOKUP($J433,'Construction Costs (iron)'!$B$1:$V$32,'Construction Planner'!$L433+2,FALSE)</f>
        <v>#N/A</v>
      </c>
      <c r="AE433" s="34" t="e">
        <f t="shared" si="1000"/>
        <v>#N/A</v>
      </c>
      <c r="AF433" s="33" t="e">
        <f t="shared" si="939"/>
        <v>#N/A</v>
      </c>
      <c r="AG433" s="14" t="e">
        <f t="shared" si="940"/>
        <v>#N/A</v>
      </c>
      <c r="AH433" s="14" t="e">
        <f t="shared" si="941"/>
        <v>#N/A</v>
      </c>
      <c r="AI433" s="34" t="e">
        <f t="shared" si="1001"/>
        <v>#N/A</v>
      </c>
      <c r="AJ433" s="49" t="e">
        <f t="shared" si="962"/>
        <v>#N/A</v>
      </c>
      <c r="AK433" s="49" t="e">
        <f t="shared" si="963"/>
        <v>#N/A</v>
      </c>
      <c r="AL433" s="49" t="e">
        <f t="shared" si="964"/>
        <v>#N/A</v>
      </c>
      <c r="AM433" s="25">
        <f t="shared" si="942"/>
        <v>30</v>
      </c>
      <c r="AN433" s="25">
        <f t="shared" si="943"/>
        <v>30</v>
      </c>
      <c r="AO433" s="25">
        <f t="shared" si="944"/>
        <v>30</v>
      </c>
      <c r="AP433" s="52" t="e">
        <f t="shared" si="1049"/>
        <v>#N/A</v>
      </c>
      <c r="AQ433" s="53" t="e">
        <f t="shared" si="1049"/>
        <v>#N/A</v>
      </c>
      <c r="AR433" s="54" t="e">
        <f t="shared" si="1049"/>
        <v>#N/A</v>
      </c>
      <c r="AS433" s="316">
        <f t="shared" si="1033"/>
        <v>0</v>
      </c>
      <c r="AT433" s="106">
        <f>_xlfn.IFNA($M433/VLOOKUP($BT433,'Unit information'!$A$2:$K$29,2,FALSE)*R433,0)*(1+$E$9)</f>
        <v>0</v>
      </c>
      <c r="AU433" s="107">
        <f>_xlfn.IFNA($M433/VLOOKUP($BT433,'Unit information'!$A$2:$K$29,3,FALSE)*S433,0)*(1+$E$9)</f>
        <v>0</v>
      </c>
      <c r="AV433" s="107">
        <f>_xlfn.IFNA($M433/VLOOKUP($BT433,'Unit information'!$A$2:$K$29,4,FALSE)*T433,0)*(1+$E$9)</f>
        <v>0</v>
      </c>
      <c r="AW433" s="107">
        <f>_xlfn.IFNA($M433/VLOOKUP($BT433,'Unit information'!$A$2:$K$29,5,FALSE)*U433,0)*(1+$E$9)</f>
        <v>0</v>
      </c>
      <c r="AX433" s="107">
        <f>_xlfn.IFNA($M433/VLOOKUP($BU433,'Unit information'!$A$2:$K$29,6,FALSE)*V433,0)*(1+$E$9)</f>
        <v>0</v>
      </c>
      <c r="AY433" s="107">
        <f>_xlfn.IFNA($M433/VLOOKUP($BU433,'Unit information'!$A$2:$K$29,7,FALSE)*W433,0)*(1+$E$9)</f>
        <v>0</v>
      </c>
      <c r="AZ433" s="107">
        <f>_xlfn.IFNA($M433/VLOOKUP($BU433,'Unit information'!$A$2:$K$29,8,FALSE)*X433,0)*(1+$E$9)</f>
        <v>0</v>
      </c>
      <c r="BA433" s="107">
        <f>_xlfn.IFNA($M433/VLOOKUP($BU433,'Unit information'!$A$2:$K$29,9,FALSE)*Y433,0)*(1+$E$9)</f>
        <v>0</v>
      </c>
      <c r="BB433" s="107">
        <f>_xlfn.IFNA($M433/VLOOKUP($BV433,'Unit information'!$A$2:$K$29,10,FALSE)*Z433,0)*(1+$E$9)</f>
        <v>0</v>
      </c>
      <c r="BC433" s="108">
        <f>_xlfn.IFNA($M433/VLOOKUP($BV433,'Unit information'!$A$2:$K$29,11,FALSE)*AA433,0)*(1+$E$9)</f>
        <v>0</v>
      </c>
      <c r="BD433" s="106">
        <f t="shared" si="945"/>
        <v>0</v>
      </c>
      <c r="BE433" s="107">
        <f t="shared" si="946"/>
        <v>0</v>
      </c>
      <c r="BF433" s="108">
        <f t="shared" si="947"/>
        <v>0</v>
      </c>
      <c r="BG433" s="25" t="e">
        <f t="shared" si="948"/>
        <v>#N/A</v>
      </c>
      <c r="BH433" s="25" t="e">
        <f t="shared" si="949"/>
        <v>#N/A</v>
      </c>
      <c r="BI433" s="25" t="e">
        <f t="shared" si="950"/>
        <v>#N/A</v>
      </c>
      <c r="BJ433" s="27" t="e">
        <f t="shared" si="951"/>
        <v>#N/A</v>
      </c>
      <c r="BK433" s="18" t="e">
        <f t="shared" si="952"/>
        <v>#N/A</v>
      </c>
      <c r="BL433" s="18" t="e">
        <f t="shared" si="953"/>
        <v>#N/A</v>
      </c>
      <c r="BM433" s="28" t="e">
        <f t="shared" si="1003"/>
        <v>#N/A</v>
      </c>
      <c r="BN433" s="33">
        <f>HLOOKUP("maximum population",Miscelaneous!$C$1:$C$33,CH433+3,FALSE)</f>
        <v>240</v>
      </c>
      <c r="BO433" s="14">
        <f t="shared" si="966"/>
        <v>32</v>
      </c>
      <c r="BP433" s="14">
        <f t="shared" si="967"/>
        <v>0</v>
      </c>
      <c r="BQ433" s="14">
        <f t="shared" si="968"/>
        <v>208</v>
      </c>
      <c r="BR433" s="34" t="e">
        <f>HLOOKUP(J433,Villagers!$B$1:$V$33,L433+3,FALSE)-HLOOKUP(J433,Villagers!$B$1:$V$33,L433+2,FALSE)</f>
        <v>#N/A</v>
      </c>
      <c r="BS433" s="49">
        <f t="shared" si="969"/>
        <v>1</v>
      </c>
      <c r="BT433" s="50">
        <f t="shared" si="970"/>
        <v>0</v>
      </c>
      <c r="BU433" s="50">
        <f t="shared" si="971"/>
        <v>0</v>
      </c>
      <c r="BV433" s="50">
        <f t="shared" si="972"/>
        <v>0</v>
      </c>
      <c r="BW433" s="50">
        <f t="shared" si="1050"/>
        <v>0</v>
      </c>
      <c r="BX433" s="50">
        <f t="shared" si="1050"/>
        <v>0</v>
      </c>
      <c r="BY433" s="50">
        <f t="shared" si="1050"/>
        <v>0</v>
      </c>
      <c r="BZ433" s="50">
        <f t="shared" si="1015"/>
        <v>0</v>
      </c>
      <c r="CA433" s="50">
        <f t="shared" si="1016"/>
        <v>0</v>
      </c>
      <c r="CB433" s="50">
        <f t="shared" si="1017"/>
        <v>1</v>
      </c>
      <c r="CC433" s="50">
        <f t="shared" si="1018"/>
        <v>0</v>
      </c>
      <c r="CD433" s="50">
        <f t="shared" si="1019"/>
        <v>0</v>
      </c>
      <c r="CE433" s="50">
        <f t="shared" si="1020"/>
        <v>1</v>
      </c>
      <c r="CF433" s="50">
        <f t="shared" si="1021"/>
        <v>1</v>
      </c>
      <c r="CG433" s="50">
        <f t="shared" si="1022"/>
        <v>1</v>
      </c>
      <c r="CH433" s="50">
        <f t="shared" si="1023"/>
        <v>1</v>
      </c>
      <c r="CI433" s="50">
        <f t="shared" si="1024"/>
        <v>1</v>
      </c>
      <c r="CJ433" s="50">
        <f t="shared" si="1025"/>
        <v>1</v>
      </c>
      <c r="CK433" s="50">
        <f t="shared" si="1025"/>
        <v>0</v>
      </c>
      <c r="CL433" s="50">
        <f t="shared" si="1025"/>
        <v>0</v>
      </c>
      <c r="CM433" s="51">
        <f t="shared" si="1026"/>
        <v>0</v>
      </c>
      <c r="CN433" s="33">
        <f>ROUND(IF(BS433=0,0,HLOOKUP(BS$14,Villagers!$B$1:$V$33,BS433+3,FALSE)),)</f>
        <v>5</v>
      </c>
      <c r="CO433" s="14">
        <f>ROUND(IF(BT433=0,0,HLOOKUP(BT$14,Villagers!$B$1:$V$33,BT433+3,FALSE)),)</f>
        <v>0</v>
      </c>
      <c r="CP433" s="14">
        <f>ROUND(IF(BU433=0,0,HLOOKUP(BU$14,Villagers!$B$1:$V$33,BU433+3,FALSE)),)</f>
        <v>0</v>
      </c>
      <c r="CQ433" s="14">
        <f>ROUND(IF(BV433=0,0,HLOOKUP(BV$14,Villagers!$B$1:$V$33,BV433+3,FALSE)),)</f>
        <v>0</v>
      </c>
      <c r="CR433" s="14">
        <f>ROUND(IF(BW433=0,0,HLOOKUP(BW$14,Villagers!$B$1:$V$33,BW433+3,FALSE)),)</f>
        <v>0</v>
      </c>
      <c r="CS433" s="14">
        <f>ROUND(IF(BX433=0,0,HLOOKUP(BX$14,Villagers!$B$1:$V$33,BX433+3,FALSE)),)</f>
        <v>0</v>
      </c>
      <c r="CT433" s="14">
        <f>ROUND(IF(BY433=0,0,HLOOKUP(BY$14,Villagers!$B$1:$V$33,BY433+3,FALSE)),)</f>
        <v>0</v>
      </c>
      <c r="CU433" s="14">
        <f>ROUND(IF(BZ433=0,0,HLOOKUP(BZ$14,Villagers!$B$1:$V$33,BZ433+3,FALSE)),)</f>
        <v>0</v>
      </c>
      <c r="CV433" s="14">
        <f>ROUND(IF(CA433=0,0,HLOOKUP(CA$14,Villagers!$B$1:$V$33,CA433+3,FALSE)),)</f>
        <v>0</v>
      </c>
      <c r="CW433" s="14">
        <f>ROUND(IF(CB433=0,0,HLOOKUP(CB$14,Villagers!$B$1:$V$33,CB433+3,FALSE)),)</f>
        <v>0</v>
      </c>
      <c r="CX433" s="14">
        <f>ROUND(IF(CC433=0,0,HLOOKUP(CC$14,Villagers!$B$1:$V$33,CC433+3,FALSE)),)</f>
        <v>0</v>
      </c>
      <c r="CY433" s="14">
        <f>ROUND(IF(CD433=0,0,HLOOKUP(CD$14,Villagers!$B$1:$V$33,CD433+3,FALSE)),)</f>
        <v>0</v>
      </c>
      <c r="CZ433" s="14">
        <f>ROUND(IF(CE433=0,0,HLOOKUP(CE$14,Villagers!$B$1:$V$33,CE433+3,FALSE)),)</f>
        <v>5</v>
      </c>
      <c r="DA433" s="14">
        <f>ROUND(IF(CF433=0,0,HLOOKUP(CF$14,Villagers!$B$1:$V$33,CF433+3,FALSE)),)</f>
        <v>10</v>
      </c>
      <c r="DB433" s="14">
        <f>ROUND(IF(CG433=0,0,HLOOKUP(CG$14,Villagers!$B$1:$V$33,CG433+3,FALSE)),)</f>
        <v>10</v>
      </c>
      <c r="DC433" s="14">
        <f>ROUND(IF(CH433=0,0,HLOOKUP(CH$14,Villagers!$B$1:$V$33,CH433+3,FALSE)),)</f>
        <v>0</v>
      </c>
      <c r="DD433" s="14">
        <f>ROUND(IF(CI433=0,0,HLOOKUP(CI$14,Villagers!$B$1:$V$33,CI433+3,FALSE)),)</f>
        <v>0</v>
      </c>
      <c r="DE433" s="14">
        <f>ROUND(IF(CJ433=0,0,HLOOKUP(CJ$14,Villagers!$B$1:$V$33,CJ433+3,FALSE)),)</f>
        <v>2</v>
      </c>
      <c r="DF433" s="370">
        <f>ROUND(IF(CK433=0,0,HLOOKUP(CK$14,Villagers!$B$1:$V$33,CK433+3,FALSE)),)</f>
        <v>0</v>
      </c>
      <c r="DG433" s="370">
        <f>ROUND(IF(CL433=0,0,HLOOKUP(CL$14,Villagers!$B$1:$V$33,CL433+3,FALSE)),)</f>
        <v>0</v>
      </c>
      <c r="DH433" s="34">
        <f>ROUND(IF(CM433=0,0,HLOOKUP(CM$14,Villagers!$B$1:$V$33,CM433+3,FALSE)),)</f>
        <v>0</v>
      </c>
      <c r="DI433" s="109">
        <f t="shared" si="989"/>
        <v>0</v>
      </c>
      <c r="DJ433" s="50">
        <f t="shared" si="990"/>
        <v>0</v>
      </c>
      <c r="DK433" s="50">
        <f t="shared" si="991"/>
        <v>0</v>
      </c>
      <c r="DL433" s="50">
        <f t="shared" si="992"/>
        <v>0</v>
      </c>
      <c r="DM433" s="50">
        <f t="shared" si="993"/>
        <v>0</v>
      </c>
      <c r="DN433" s="50">
        <f t="shared" si="994"/>
        <v>0</v>
      </c>
      <c r="DO433" s="50">
        <f t="shared" si="995"/>
        <v>0</v>
      </c>
      <c r="DP433" s="50">
        <f t="shared" si="996"/>
        <v>0</v>
      </c>
      <c r="DQ433" s="50">
        <f t="shared" si="973"/>
        <v>0</v>
      </c>
      <c r="DR433" s="50">
        <f t="shared" si="974"/>
        <v>0</v>
      </c>
      <c r="DS433" s="96">
        <f>Miscelaneous!$D$4*Miscelaneous!$D$2^($CI433-1)</f>
        <v>1000</v>
      </c>
      <c r="DT433" s="333">
        <f t="shared" si="955"/>
        <v>1</v>
      </c>
      <c r="DU433" s="81">
        <v>1</v>
      </c>
      <c r="DV433" s="79">
        <f t="shared" si="975"/>
        <v>0</v>
      </c>
      <c r="DW433" s="79">
        <f t="shared" si="976"/>
        <v>0</v>
      </c>
      <c r="DX433" s="79">
        <f t="shared" si="977"/>
        <v>0</v>
      </c>
      <c r="DY433" s="79">
        <v>1</v>
      </c>
      <c r="DZ433" s="79">
        <f t="shared" si="978"/>
        <v>0</v>
      </c>
      <c r="EA433" s="79">
        <f t="shared" si="979"/>
        <v>0</v>
      </c>
      <c r="EB433" s="79">
        <f t="shared" si="980"/>
        <v>0</v>
      </c>
      <c r="EC433" s="79">
        <f t="shared" si="981"/>
        <v>0</v>
      </c>
      <c r="ED433" s="79">
        <v>1</v>
      </c>
      <c r="EE433" s="79">
        <v>1</v>
      </c>
      <c r="EF433" s="79">
        <f t="shared" si="982"/>
        <v>0</v>
      </c>
      <c r="EG433" s="79">
        <v>1</v>
      </c>
      <c r="EH433" s="79">
        <v>1</v>
      </c>
      <c r="EI433" s="79">
        <v>1</v>
      </c>
      <c r="EJ433" s="79">
        <v>1</v>
      </c>
      <c r="EK433" s="79">
        <v>1</v>
      </c>
      <c r="EL433" s="79">
        <v>1</v>
      </c>
      <c r="EM433" s="143">
        <f t="shared" si="983"/>
        <v>0</v>
      </c>
      <c r="EN433" s="143">
        <f t="shared" si="984"/>
        <v>0</v>
      </c>
      <c r="EO433" s="82">
        <f t="shared" si="985"/>
        <v>0</v>
      </c>
    </row>
    <row r="434" spans="1:145" x14ac:dyDescent="0.25">
      <c r="A434">
        <v>420</v>
      </c>
      <c r="B434" s="172" t="e">
        <f t="shared" si="956"/>
        <v>#N/A</v>
      </c>
      <c r="C434" s="121" t="e">
        <f t="shared" ref="C434:E434" si="1054">AJ434-SUM(AB434:AB438)</f>
        <v>#N/A</v>
      </c>
      <c r="D434" s="122" t="e">
        <f t="shared" si="1054"/>
        <v>#N/A</v>
      </c>
      <c r="E434" s="122" t="e">
        <f t="shared" si="1054"/>
        <v>#N/A</v>
      </c>
      <c r="F434" s="176" t="e">
        <f t="shared" si="937"/>
        <v>#N/A</v>
      </c>
      <c r="G434" s="121">
        <f t="shared" si="958"/>
        <v>208</v>
      </c>
      <c r="H434" s="176" t="e">
        <f t="shared" si="959"/>
        <v>#N/A</v>
      </c>
      <c r="I434" s="48">
        <v>1</v>
      </c>
      <c r="J434" s="39"/>
      <c r="K434" s="350">
        <v>1</v>
      </c>
      <c r="L434" s="34" t="e">
        <f t="shared" si="938"/>
        <v>#N/A</v>
      </c>
      <c r="M434" s="38" t="e">
        <f>(HLOOKUP(J434,'Construction Times'!$B$3:$W$34,L434+2,FALSE)*HLOOKUP("hq modifier",'Construction Times'!$W$3:$W$34,BS434+2,FALSE))*(1-$H$9)</f>
        <v>#N/A</v>
      </c>
      <c r="N434" s="426" t="e">
        <f t="shared" si="960"/>
        <v>#N/A</v>
      </c>
      <c r="O434" s="427"/>
      <c r="P434" s="430" t="e">
        <f t="shared" si="961"/>
        <v>#N/A</v>
      </c>
      <c r="Q434" s="431"/>
      <c r="R434" s="103">
        <f t="shared" si="1052"/>
        <v>0</v>
      </c>
      <c r="S434" s="104">
        <f t="shared" si="1052"/>
        <v>0</v>
      </c>
      <c r="T434" s="104">
        <f t="shared" si="1053"/>
        <v>0</v>
      </c>
      <c r="U434" s="104">
        <f t="shared" si="1053"/>
        <v>0</v>
      </c>
      <c r="V434" s="104">
        <f t="shared" si="1053"/>
        <v>9.9999999999999995E-8</v>
      </c>
      <c r="W434" s="104">
        <f t="shared" si="1053"/>
        <v>0</v>
      </c>
      <c r="X434" s="104">
        <f t="shared" si="1045"/>
        <v>0</v>
      </c>
      <c r="Y434" s="104">
        <f t="shared" si="1045"/>
        <v>9.9999999999999995E-8</v>
      </c>
      <c r="Z434" s="104">
        <f t="shared" si="1045"/>
        <v>9.9999999999999995E-8</v>
      </c>
      <c r="AA434" s="105">
        <f t="shared" si="1045"/>
        <v>9.9999999999999995E-8</v>
      </c>
      <c r="AB434" s="101" t="e">
        <f>$DT434*HLOOKUP($J434,'Construction Costs (timber)'!$B$1:$V$32,'Construction Planner'!$L434+2,FALSE)</f>
        <v>#N/A</v>
      </c>
      <c r="AC434" s="14" t="e">
        <f>$DT434*HLOOKUP($J434,'Construction Costs (clay)'!$B$1:$V$32,'Construction Planner'!$L434+2,FALSE)</f>
        <v>#N/A</v>
      </c>
      <c r="AD434" s="14" t="e">
        <f>$DT434*HLOOKUP($J434,'Construction Costs (iron)'!$B$1:$V$32,'Construction Planner'!$L434+2,FALSE)</f>
        <v>#N/A</v>
      </c>
      <c r="AE434" s="34" t="e">
        <f t="shared" si="1000"/>
        <v>#N/A</v>
      </c>
      <c r="AF434" s="33" t="e">
        <f t="shared" si="939"/>
        <v>#N/A</v>
      </c>
      <c r="AG434" s="14" t="e">
        <f t="shared" si="940"/>
        <v>#N/A</v>
      </c>
      <c r="AH434" s="14" t="e">
        <f t="shared" si="941"/>
        <v>#N/A</v>
      </c>
      <c r="AI434" s="34" t="e">
        <f t="shared" si="1001"/>
        <v>#N/A</v>
      </c>
      <c r="AJ434" s="49" t="e">
        <f t="shared" si="962"/>
        <v>#N/A</v>
      </c>
      <c r="AK434" s="49" t="e">
        <f t="shared" si="963"/>
        <v>#N/A</v>
      </c>
      <c r="AL434" s="49" t="e">
        <f t="shared" si="964"/>
        <v>#N/A</v>
      </c>
      <c r="AM434" s="25">
        <f t="shared" si="942"/>
        <v>30</v>
      </c>
      <c r="AN434" s="25">
        <f t="shared" si="943"/>
        <v>30</v>
      </c>
      <c r="AO434" s="25">
        <f t="shared" si="944"/>
        <v>30</v>
      </c>
      <c r="AP434" s="52" t="e">
        <f t="shared" si="1049"/>
        <v>#N/A</v>
      </c>
      <c r="AQ434" s="53" t="e">
        <f t="shared" si="1049"/>
        <v>#N/A</v>
      </c>
      <c r="AR434" s="54" t="e">
        <f t="shared" si="1049"/>
        <v>#N/A</v>
      </c>
      <c r="AS434" s="316">
        <f t="shared" si="1033"/>
        <v>0</v>
      </c>
      <c r="AT434" s="106">
        <f>_xlfn.IFNA($M434/VLOOKUP($BT434,'Unit information'!$A$2:$K$29,2,FALSE)*R434,0)*(1+$E$9)</f>
        <v>0</v>
      </c>
      <c r="AU434" s="107">
        <f>_xlfn.IFNA($M434/VLOOKUP($BT434,'Unit information'!$A$2:$K$29,3,FALSE)*S434,0)*(1+$E$9)</f>
        <v>0</v>
      </c>
      <c r="AV434" s="107">
        <f>_xlfn.IFNA($M434/VLOOKUP($BT434,'Unit information'!$A$2:$K$29,4,FALSE)*T434,0)*(1+$E$9)</f>
        <v>0</v>
      </c>
      <c r="AW434" s="107">
        <f>_xlfn.IFNA($M434/VLOOKUP($BT434,'Unit information'!$A$2:$K$29,5,FALSE)*U434,0)*(1+$E$9)</f>
        <v>0</v>
      </c>
      <c r="AX434" s="107">
        <f>_xlfn.IFNA($M434/VLOOKUP($BU434,'Unit information'!$A$2:$K$29,6,FALSE)*V434,0)*(1+$E$9)</f>
        <v>0</v>
      </c>
      <c r="AY434" s="107">
        <f>_xlfn.IFNA($M434/VLOOKUP($BU434,'Unit information'!$A$2:$K$29,7,FALSE)*W434,0)*(1+$E$9)</f>
        <v>0</v>
      </c>
      <c r="AZ434" s="107">
        <f>_xlfn.IFNA($M434/VLOOKUP($BU434,'Unit information'!$A$2:$K$29,8,FALSE)*X434,0)*(1+$E$9)</f>
        <v>0</v>
      </c>
      <c r="BA434" s="107">
        <f>_xlfn.IFNA($M434/VLOOKUP($BU434,'Unit information'!$A$2:$K$29,9,FALSE)*Y434,0)*(1+$E$9)</f>
        <v>0</v>
      </c>
      <c r="BB434" s="107">
        <f>_xlfn.IFNA($M434/VLOOKUP($BV434,'Unit information'!$A$2:$K$29,10,FALSE)*Z434,0)*(1+$E$9)</f>
        <v>0</v>
      </c>
      <c r="BC434" s="108">
        <f>_xlfn.IFNA($M434/VLOOKUP($BV434,'Unit information'!$A$2:$K$29,11,FALSE)*AA434,0)*(1+$E$9)</f>
        <v>0</v>
      </c>
      <c r="BD434" s="106">
        <f t="shared" si="945"/>
        <v>0</v>
      </c>
      <c r="BE434" s="107">
        <f t="shared" si="946"/>
        <v>0</v>
      </c>
      <c r="BF434" s="108">
        <f t="shared" si="947"/>
        <v>0</v>
      </c>
      <c r="BG434" s="25" t="e">
        <f t="shared" si="948"/>
        <v>#N/A</v>
      </c>
      <c r="BH434" s="25" t="e">
        <f t="shared" si="949"/>
        <v>#N/A</v>
      </c>
      <c r="BI434" s="25" t="e">
        <f t="shared" si="950"/>
        <v>#N/A</v>
      </c>
      <c r="BJ434" s="27" t="e">
        <f t="shared" si="951"/>
        <v>#N/A</v>
      </c>
      <c r="BK434" s="18" t="e">
        <f t="shared" si="952"/>
        <v>#N/A</v>
      </c>
      <c r="BL434" s="18" t="e">
        <f t="shared" si="953"/>
        <v>#N/A</v>
      </c>
      <c r="BM434" s="28" t="e">
        <f t="shared" si="1003"/>
        <v>#N/A</v>
      </c>
      <c r="BN434" s="33">
        <f>HLOOKUP("maximum population",Miscelaneous!$C$1:$C$33,CH434+3,FALSE)</f>
        <v>240</v>
      </c>
      <c r="BO434" s="14">
        <f t="shared" si="966"/>
        <v>32</v>
      </c>
      <c r="BP434" s="14">
        <f t="shared" si="967"/>
        <v>0</v>
      </c>
      <c r="BQ434" s="14">
        <f t="shared" si="968"/>
        <v>208</v>
      </c>
      <c r="BR434" s="34" t="e">
        <f>HLOOKUP(J434,Villagers!$B$1:$V$33,L434+3,FALSE)-HLOOKUP(J434,Villagers!$B$1:$V$33,L434+2,FALSE)</f>
        <v>#N/A</v>
      </c>
      <c r="BS434" s="49">
        <f t="shared" si="969"/>
        <v>1</v>
      </c>
      <c r="BT434" s="50">
        <f t="shared" si="970"/>
        <v>0</v>
      </c>
      <c r="BU434" s="50">
        <f t="shared" si="971"/>
        <v>0</v>
      </c>
      <c r="BV434" s="50">
        <f t="shared" si="972"/>
        <v>0</v>
      </c>
      <c r="BW434" s="50">
        <f t="shared" si="1050"/>
        <v>0</v>
      </c>
      <c r="BX434" s="50">
        <f t="shared" si="1050"/>
        <v>0</v>
      </c>
      <c r="BY434" s="50">
        <f t="shared" si="1050"/>
        <v>0</v>
      </c>
      <c r="BZ434" s="50">
        <f t="shared" si="1015"/>
        <v>0</v>
      </c>
      <c r="CA434" s="50">
        <f t="shared" si="1016"/>
        <v>0</v>
      </c>
      <c r="CB434" s="50">
        <f t="shared" si="1017"/>
        <v>1</v>
      </c>
      <c r="CC434" s="50">
        <f t="shared" si="1018"/>
        <v>0</v>
      </c>
      <c r="CD434" s="50">
        <f t="shared" si="1019"/>
        <v>0</v>
      </c>
      <c r="CE434" s="50">
        <f t="shared" si="1020"/>
        <v>1</v>
      </c>
      <c r="CF434" s="50">
        <f t="shared" si="1021"/>
        <v>1</v>
      </c>
      <c r="CG434" s="50">
        <f t="shared" si="1022"/>
        <v>1</v>
      </c>
      <c r="CH434" s="50">
        <f t="shared" si="1023"/>
        <v>1</v>
      </c>
      <c r="CI434" s="50">
        <f t="shared" si="1024"/>
        <v>1</v>
      </c>
      <c r="CJ434" s="50">
        <f t="shared" si="1025"/>
        <v>1</v>
      </c>
      <c r="CK434" s="50">
        <f t="shared" si="1025"/>
        <v>0</v>
      </c>
      <c r="CL434" s="50">
        <f t="shared" si="1025"/>
        <v>0</v>
      </c>
      <c r="CM434" s="51">
        <f t="shared" si="1026"/>
        <v>0</v>
      </c>
      <c r="CN434" s="33">
        <f>ROUND(IF(BS434=0,0,HLOOKUP(BS$14,Villagers!$B$1:$V$33,BS434+3,FALSE)),)</f>
        <v>5</v>
      </c>
      <c r="CO434" s="14">
        <f>ROUND(IF(BT434=0,0,HLOOKUP(BT$14,Villagers!$B$1:$V$33,BT434+3,FALSE)),)</f>
        <v>0</v>
      </c>
      <c r="CP434" s="14">
        <f>ROUND(IF(BU434=0,0,HLOOKUP(BU$14,Villagers!$B$1:$V$33,BU434+3,FALSE)),)</f>
        <v>0</v>
      </c>
      <c r="CQ434" s="14">
        <f>ROUND(IF(BV434=0,0,HLOOKUP(BV$14,Villagers!$B$1:$V$33,BV434+3,FALSE)),)</f>
        <v>0</v>
      </c>
      <c r="CR434" s="14">
        <f>ROUND(IF(BW434=0,0,HLOOKUP(BW$14,Villagers!$B$1:$V$33,BW434+3,FALSE)),)</f>
        <v>0</v>
      </c>
      <c r="CS434" s="14">
        <f>ROUND(IF(BX434=0,0,HLOOKUP(BX$14,Villagers!$B$1:$V$33,BX434+3,FALSE)),)</f>
        <v>0</v>
      </c>
      <c r="CT434" s="14">
        <f>ROUND(IF(BY434=0,0,HLOOKUP(BY$14,Villagers!$B$1:$V$33,BY434+3,FALSE)),)</f>
        <v>0</v>
      </c>
      <c r="CU434" s="14">
        <f>ROUND(IF(BZ434=0,0,HLOOKUP(BZ$14,Villagers!$B$1:$V$33,BZ434+3,FALSE)),)</f>
        <v>0</v>
      </c>
      <c r="CV434" s="14">
        <f>ROUND(IF(CA434=0,0,HLOOKUP(CA$14,Villagers!$B$1:$V$33,CA434+3,FALSE)),)</f>
        <v>0</v>
      </c>
      <c r="CW434" s="14">
        <f>ROUND(IF(CB434=0,0,HLOOKUP(CB$14,Villagers!$B$1:$V$33,CB434+3,FALSE)),)</f>
        <v>0</v>
      </c>
      <c r="CX434" s="14">
        <f>ROUND(IF(CC434=0,0,HLOOKUP(CC$14,Villagers!$B$1:$V$33,CC434+3,FALSE)),)</f>
        <v>0</v>
      </c>
      <c r="CY434" s="14">
        <f>ROUND(IF(CD434=0,0,HLOOKUP(CD$14,Villagers!$B$1:$V$33,CD434+3,FALSE)),)</f>
        <v>0</v>
      </c>
      <c r="CZ434" s="14">
        <f>ROUND(IF(CE434=0,0,HLOOKUP(CE$14,Villagers!$B$1:$V$33,CE434+3,FALSE)),)</f>
        <v>5</v>
      </c>
      <c r="DA434" s="14">
        <f>ROUND(IF(CF434=0,0,HLOOKUP(CF$14,Villagers!$B$1:$V$33,CF434+3,FALSE)),)</f>
        <v>10</v>
      </c>
      <c r="DB434" s="14">
        <f>ROUND(IF(CG434=0,0,HLOOKUP(CG$14,Villagers!$B$1:$V$33,CG434+3,FALSE)),)</f>
        <v>10</v>
      </c>
      <c r="DC434" s="14">
        <f>ROUND(IF(CH434=0,0,HLOOKUP(CH$14,Villagers!$B$1:$V$33,CH434+3,FALSE)),)</f>
        <v>0</v>
      </c>
      <c r="DD434" s="14">
        <f>ROUND(IF(CI434=0,0,HLOOKUP(CI$14,Villagers!$B$1:$V$33,CI434+3,FALSE)),)</f>
        <v>0</v>
      </c>
      <c r="DE434" s="14">
        <f>ROUND(IF(CJ434=0,0,HLOOKUP(CJ$14,Villagers!$B$1:$V$33,CJ434+3,FALSE)),)</f>
        <v>2</v>
      </c>
      <c r="DF434" s="370">
        <f>ROUND(IF(CK434=0,0,HLOOKUP(CK$14,Villagers!$B$1:$V$33,CK434+3,FALSE)),)</f>
        <v>0</v>
      </c>
      <c r="DG434" s="370">
        <f>ROUND(IF(CL434=0,0,HLOOKUP(CL$14,Villagers!$B$1:$V$33,CL434+3,FALSE)),)</f>
        <v>0</v>
      </c>
      <c r="DH434" s="34">
        <f>ROUND(IF(CM434=0,0,HLOOKUP(CM$14,Villagers!$B$1:$V$33,CM434+3,FALSE)),)</f>
        <v>0</v>
      </c>
      <c r="DI434" s="109">
        <f t="shared" si="989"/>
        <v>0</v>
      </c>
      <c r="DJ434" s="50">
        <f t="shared" si="990"/>
        <v>0</v>
      </c>
      <c r="DK434" s="50">
        <f t="shared" si="991"/>
        <v>0</v>
      </c>
      <c r="DL434" s="50">
        <f t="shared" si="992"/>
        <v>0</v>
      </c>
      <c r="DM434" s="50">
        <f t="shared" si="993"/>
        <v>0</v>
      </c>
      <c r="DN434" s="50">
        <f t="shared" si="994"/>
        <v>0</v>
      </c>
      <c r="DO434" s="50">
        <f t="shared" si="995"/>
        <v>0</v>
      </c>
      <c r="DP434" s="50">
        <f t="shared" si="996"/>
        <v>0</v>
      </c>
      <c r="DQ434" s="50">
        <f t="shared" si="973"/>
        <v>0</v>
      </c>
      <c r="DR434" s="50">
        <f t="shared" si="974"/>
        <v>0</v>
      </c>
      <c r="DS434" s="96">
        <f>Miscelaneous!$D$4*Miscelaneous!$D$2^($CI434-1)</f>
        <v>1000</v>
      </c>
      <c r="DT434" s="333">
        <f t="shared" si="955"/>
        <v>1</v>
      </c>
      <c r="DU434" s="81">
        <v>1</v>
      </c>
      <c r="DV434" s="79">
        <f t="shared" si="975"/>
        <v>0</v>
      </c>
      <c r="DW434" s="79">
        <f t="shared" si="976"/>
        <v>0</v>
      </c>
      <c r="DX434" s="79">
        <f t="shared" si="977"/>
        <v>0</v>
      </c>
      <c r="DY434" s="79">
        <v>1</v>
      </c>
      <c r="DZ434" s="79">
        <f t="shared" si="978"/>
        <v>0</v>
      </c>
      <c r="EA434" s="79">
        <f t="shared" si="979"/>
        <v>0</v>
      </c>
      <c r="EB434" s="79">
        <f t="shared" si="980"/>
        <v>0</v>
      </c>
      <c r="EC434" s="79">
        <f t="shared" si="981"/>
        <v>0</v>
      </c>
      <c r="ED434" s="79">
        <v>1</v>
      </c>
      <c r="EE434" s="79">
        <v>1</v>
      </c>
      <c r="EF434" s="79">
        <f t="shared" si="982"/>
        <v>0</v>
      </c>
      <c r="EG434" s="79">
        <v>1</v>
      </c>
      <c r="EH434" s="79">
        <v>1</v>
      </c>
      <c r="EI434" s="79">
        <v>1</v>
      </c>
      <c r="EJ434" s="79">
        <v>1</v>
      </c>
      <c r="EK434" s="79">
        <v>1</v>
      </c>
      <c r="EL434" s="79">
        <v>1</v>
      </c>
      <c r="EM434" s="143">
        <f t="shared" si="983"/>
        <v>0</v>
      </c>
      <c r="EN434" s="143">
        <f t="shared" si="984"/>
        <v>0</v>
      </c>
      <c r="EO434" s="82">
        <f t="shared" si="985"/>
        <v>0</v>
      </c>
    </row>
    <row r="435" spans="1:145" x14ac:dyDescent="0.25">
      <c r="A435">
        <v>421</v>
      </c>
      <c r="B435" s="172" t="e">
        <f t="shared" si="956"/>
        <v>#N/A</v>
      </c>
      <c r="C435" s="121" t="e">
        <f t="shared" ref="C435:E435" si="1055">AJ435-SUM(AB435:AB439)</f>
        <v>#N/A</v>
      </c>
      <c r="D435" s="122" t="e">
        <f t="shared" si="1055"/>
        <v>#N/A</v>
      </c>
      <c r="E435" s="122" t="e">
        <f t="shared" si="1055"/>
        <v>#N/A</v>
      </c>
      <c r="F435" s="176" t="e">
        <f t="shared" si="937"/>
        <v>#N/A</v>
      </c>
      <c r="G435" s="121">
        <f t="shared" si="958"/>
        <v>208</v>
      </c>
      <c r="H435" s="176" t="e">
        <f t="shared" si="959"/>
        <v>#N/A</v>
      </c>
      <c r="I435" s="48">
        <v>1</v>
      </c>
      <c r="J435" s="39"/>
      <c r="K435" s="350">
        <v>1</v>
      </c>
      <c r="L435" s="34" t="e">
        <f t="shared" si="938"/>
        <v>#N/A</v>
      </c>
      <c r="M435" s="38" t="e">
        <f>(HLOOKUP(J435,'Construction Times'!$B$3:$W$34,L435+2,FALSE)*HLOOKUP("hq modifier",'Construction Times'!$W$3:$W$34,BS435+2,FALSE))*(1-$H$9)</f>
        <v>#N/A</v>
      </c>
      <c r="N435" s="426" t="e">
        <f t="shared" si="960"/>
        <v>#N/A</v>
      </c>
      <c r="O435" s="427"/>
      <c r="P435" s="430" t="e">
        <f t="shared" si="961"/>
        <v>#N/A</v>
      </c>
      <c r="Q435" s="431"/>
      <c r="R435" s="103">
        <f t="shared" si="1052"/>
        <v>0</v>
      </c>
      <c r="S435" s="104">
        <f t="shared" si="1052"/>
        <v>0</v>
      </c>
      <c r="T435" s="104">
        <f t="shared" si="1053"/>
        <v>0</v>
      </c>
      <c r="U435" s="104">
        <f t="shared" si="1053"/>
        <v>0</v>
      </c>
      <c r="V435" s="104">
        <f t="shared" si="1053"/>
        <v>9.9999999999999995E-8</v>
      </c>
      <c r="W435" s="104">
        <f t="shared" si="1053"/>
        <v>0</v>
      </c>
      <c r="X435" s="104">
        <f t="shared" si="1045"/>
        <v>0</v>
      </c>
      <c r="Y435" s="104">
        <f t="shared" si="1045"/>
        <v>9.9999999999999995E-8</v>
      </c>
      <c r="Z435" s="104">
        <f t="shared" si="1045"/>
        <v>9.9999999999999995E-8</v>
      </c>
      <c r="AA435" s="105">
        <f t="shared" si="1045"/>
        <v>9.9999999999999995E-8</v>
      </c>
      <c r="AB435" s="101" t="e">
        <f>$DT435*HLOOKUP($J435,'Construction Costs (timber)'!$B$1:$V$32,'Construction Planner'!$L435+2,FALSE)</f>
        <v>#N/A</v>
      </c>
      <c r="AC435" s="14" t="e">
        <f>$DT435*HLOOKUP($J435,'Construction Costs (clay)'!$B$1:$V$32,'Construction Planner'!$L435+2,FALSE)</f>
        <v>#N/A</v>
      </c>
      <c r="AD435" s="14" t="e">
        <f>$DT435*HLOOKUP($J435,'Construction Costs (iron)'!$B$1:$V$32,'Construction Planner'!$L435+2,FALSE)</f>
        <v>#N/A</v>
      </c>
      <c r="AE435" s="34" t="e">
        <f t="shared" si="1000"/>
        <v>#N/A</v>
      </c>
      <c r="AF435" s="33" t="e">
        <f t="shared" si="939"/>
        <v>#N/A</v>
      </c>
      <c r="AG435" s="14" t="e">
        <f t="shared" si="940"/>
        <v>#N/A</v>
      </c>
      <c r="AH435" s="14" t="e">
        <f t="shared" si="941"/>
        <v>#N/A</v>
      </c>
      <c r="AI435" s="34" t="e">
        <f t="shared" si="1001"/>
        <v>#N/A</v>
      </c>
      <c r="AJ435" s="49" t="e">
        <f t="shared" si="962"/>
        <v>#N/A</v>
      </c>
      <c r="AK435" s="49" t="e">
        <f t="shared" si="963"/>
        <v>#N/A</v>
      </c>
      <c r="AL435" s="49" t="e">
        <f t="shared" si="964"/>
        <v>#N/A</v>
      </c>
      <c r="AM435" s="25">
        <f t="shared" si="942"/>
        <v>30</v>
      </c>
      <c r="AN435" s="25">
        <f t="shared" si="943"/>
        <v>30</v>
      </c>
      <c r="AO435" s="25">
        <f t="shared" si="944"/>
        <v>30</v>
      </c>
      <c r="AP435" s="52" t="e">
        <f t="shared" si="1049"/>
        <v>#N/A</v>
      </c>
      <c r="AQ435" s="53" t="e">
        <f t="shared" si="1049"/>
        <v>#N/A</v>
      </c>
      <c r="AR435" s="54" t="e">
        <f t="shared" si="1049"/>
        <v>#N/A</v>
      </c>
      <c r="AS435" s="316">
        <f t="shared" si="1033"/>
        <v>0</v>
      </c>
      <c r="AT435" s="106">
        <f>_xlfn.IFNA($M435/VLOOKUP($BT435,'Unit information'!$A$2:$K$29,2,FALSE)*R435,0)*(1+$E$9)</f>
        <v>0</v>
      </c>
      <c r="AU435" s="107">
        <f>_xlfn.IFNA($M435/VLOOKUP($BT435,'Unit information'!$A$2:$K$29,3,FALSE)*S435,0)*(1+$E$9)</f>
        <v>0</v>
      </c>
      <c r="AV435" s="107">
        <f>_xlfn.IFNA($M435/VLOOKUP($BT435,'Unit information'!$A$2:$K$29,4,FALSE)*T435,0)*(1+$E$9)</f>
        <v>0</v>
      </c>
      <c r="AW435" s="107">
        <f>_xlfn.IFNA($M435/VLOOKUP($BT435,'Unit information'!$A$2:$K$29,5,FALSE)*U435,0)*(1+$E$9)</f>
        <v>0</v>
      </c>
      <c r="AX435" s="107">
        <f>_xlfn.IFNA($M435/VLOOKUP($BU435,'Unit information'!$A$2:$K$29,6,FALSE)*V435,0)*(1+$E$9)</f>
        <v>0</v>
      </c>
      <c r="AY435" s="107">
        <f>_xlfn.IFNA($M435/VLOOKUP($BU435,'Unit information'!$A$2:$K$29,7,FALSE)*W435,0)*(1+$E$9)</f>
        <v>0</v>
      </c>
      <c r="AZ435" s="107">
        <f>_xlfn.IFNA($M435/VLOOKUP($BU435,'Unit information'!$A$2:$K$29,8,FALSE)*X435,0)*(1+$E$9)</f>
        <v>0</v>
      </c>
      <c r="BA435" s="107">
        <f>_xlfn.IFNA($M435/VLOOKUP($BU435,'Unit information'!$A$2:$K$29,9,FALSE)*Y435,0)*(1+$E$9)</f>
        <v>0</v>
      </c>
      <c r="BB435" s="107">
        <f>_xlfn.IFNA($M435/VLOOKUP($BV435,'Unit information'!$A$2:$K$29,10,FALSE)*Z435,0)*(1+$E$9)</f>
        <v>0</v>
      </c>
      <c r="BC435" s="108">
        <f>_xlfn.IFNA($M435/VLOOKUP($BV435,'Unit information'!$A$2:$K$29,11,FALSE)*AA435,0)*(1+$E$9)</f>
        <v>0</v>
      </c>
      <c r="BD435" s="106">
        <f t="shared" si="945"/>
        <v>0</v>
      </c>
      <c r="BE435" s="107">
        <f t="shared" si="946"/>
        <v>0</v>
      </c>
      <c r="BF435" s="108">
        <f t="shared" si="947"/>
        <v>0</v>
      </c>
      <c r="BG435" s="25" t="e">
        <f t="shared" si="948"/>
        <v>#N/A</v>
      </c>
      <c r="BH435" s="25" t="e">
        <f t="shared" si="949"/>
        <v>#N/A</v>
      </c>
      <c r="BI435" s="25" t="e">
        <f t="shared" si="950"/>
        <v>#N/A</v>
      </c>
      <c r="BJ435" s="27" t="e">
        <f t="shared" si="951"/>
        <v>#N/A</v>
      </c>
      <c r="BK435" s="18" t="e">
        <f t="shared" si="952"/>
        <v>#N/A</v>
      </c>
      <c r="BL435" s="18" t="e">
        <f t="shared" si="953"/>
        <v>#N/A</v>
      </c>
      <c r="BM435" s="28" t="e">
        <f t="shared" si="1003"/>
        <v>#N/A</v>
      </c>
      <c r="BN435" s="33">
        <f>HLOOKUP("maximum population",Miscelaneous!$C$1:$C$33,CH435+3,FALSE)</f>
        <v>240</v>
      </c>
      <c r="BO435" s="14">
        <f t="shared" si="966"/>
        <v>32</v>
      </c>
      <c r="BP435" s="14">
        <f t="shared" si="967"/>
        <v>0</v>
      </c>
      <c r="BQ435" s="14">
        <f t="shared" si="968"/>
        <v>208</v>
      </c>
      <c r="BR435" s="34" t="e">
        <f>HLOOKUP(J435,Villagers!$B$1:$V$33,L435+3,FALSE)-HLOOKUP(J435,Villagers!$B$1:$V$33,L435+2,FALSE)</f>
        <v>#N/A</v>
      </c>
      <c r="BS435" s="49">
        <f t="shared" si="969"/>
        <v>1</v>
      </c>
      <c r="BT435" s="50">
        <f t="shared" si="970"/>
        <v>0</v>
      </c>
      <c r="BU435" s="50">
        <f t="shared" si="971"/>
        <v>0</v>
      </c>
      <c r="BV435" s="50">
        <f t="shared" si="972"/>
        <v>0</v>
      </c>
      <c r="BW435" s="50">
        <f t="shared" si="1050"/>
        <v>0</v>
      </c>
      <c r="BX435" s="50">
        <f t="shared" si="1050"/>
        <v>0</v>
      </c>
      <c r="BY435" s="50">
        <f t="shared" si="1050"/>
        <v>0</v>
      </c>
      <c r="BZ435" s="50">
        <f t="shared" si="1015"/>
        <v>0</v>
      </c>
      <c r="CA435" s="50">
        <f t="shared" si="1016"/>
        <v>0</v>
      </c>
      <c r="CB435" s="50">
        <f t="shared" si="1017"/>
        <v>1</v>
      </c>
      <c r="CC435" s="50">
        <f t="shared" si="1018"/>
        <v>0</v>
      </c>
      <c r="CD435" s="50">
        <f t="shared" si="1019"/>
        <v>0</v>
      </c>
      <c r="CE435" s="50">
        <f t="shared" si="1020"/>
        <v>1</v>
      </c>
      <c r="CF435" s="50">
        <f t="shared" si="1021"/>
        <v>1</v>
      </c>
      <c r="CG435" s="50">
        <f t="shared" si="1022"/>
        <v>1</v>
      </c>
      <c r="CH435" s="50">
        <f t="shared" si="1023"/>
        <v>1</v>
      </c>
      <c r="CI435" s="50">
        <f t="shared" si="1024"/>
        <v>1</v>
      </c>
      <c r="CJ435" s="50">
        <f t="shared" si="1025"/>
        <v>1</v>
      </c>
      <c r="CK435" s="50">
        <f t="shared" si="1025"/>
        <v>0</v>
      </c>
      <c r="CL435" s="50">
        <f t="shared" si="1025"/>
        <v>0</v>
      </c>
      <c r="CM435" s="51">
        <f t="shared" si="1026"/>
        <v>0</v>
      </c>
      <c r="CN435" s="33">
        <f>ROUND(IF(BS435=0,0,HLOOKUP(BS$14,Villagers!$B$1:$V$33,BS435+3,FALSE)),)</f>
        <v>5</v>
      </c>
      <c r="CO435" s="14">
        <f>ROUND(IF(BT435=0,0,HLOOKUP(BT$14,Villagers!$B$1:$V$33,BT435+3,FALSE)),)</f>
        <v>0</v>
      </c>
      <c r="CP435" s="14">
        <f>ROUND(IF(BU435=0,0,HLOOKUP(BU$14,Villagers!$B$1:$V$33,BU435+3,FALSE)),)</f>
        <v>0</v>
      </c>
      <c r="CQ435" s="14">
        <f>ROUND(IF(BV435=0,0,HLOOKUP(BV$14,Villagers!$B$1:$V$33,BV435+3,FALSE)),)</f>
        <v>0</v>
      </c>
      <c r="CR435" s="14">
        <f>ROUND(IF(BW435=0,0,HLOOKUP(BW$14,Villagers!$B$1:$V$33,BW435+3,FALSE)),)</f>
        <v>0</v>
      </c>
      <c r="CS435" s="14">
        <f>ROUND(IF(BX435=0,0,HLOOKUP(BX$14,Villagers!$B$1:$V$33,BX435+3,FALSE)),)</f>
        <v>0</v>
      </c>
      <c r="CT435" s="14">
        <f>ROUND(IF(BY435=0,0,HLOOKUP(BY$14,Villagers!$B$1:$V$33,BY435+3,FALSE)),)</f>
        <v>0</v>
      </c>
      <c r="CU435" s="14">
        <f>ROUND(IF(BZ435=0,0,HLOOKUP(BZ$14,Villagers!$B$1:$V$33,BZ435+3,FALSE)),)</f>
        <v>0</v>
      </c>
      <c r="CV435" s="14">
        <f>ROUND(IF(CA435=0,0,HLOOKUP(CA$14,Villagers!$B$1:$V$33,CA435+3,FALSE)),)</f>
        <v>0</v>
      </c>
      <c r="CW435" s="14">
        <f>ROUND(IF(CB435=0,0,HLOOKUP(CB$14,Villagers!$B$1:$V$33,CB435+3,FALSE)),)</f>
        <v>0</v>
      </c>
      <c r="CX435" s="14">
        <f>ROUND(IF(CC435=0,0,HLOOKUP(CC$14,Villagers!$B$1:$V$33,CC435+3,FALSE)),)</f>
        <v>0</v>
      </c>
      <c r="CY435" s="14">
        <f>ROUND(IF(CD435=0,0,HLOOKUP(CD$14,Villagers!$B$1:$V$33,CD435+3,FALSE)),)</f>
        <v>0</v>
      </c>
      <c r="CZ435" s="14">
        <f>ROUND(IF(CE435=0,0,HLOOKUP(CE$14,Villagers!$B$1:$V$33,CE435+3,FALSE)),)</f>
        <v>5</v>
      </c>
      <c r="DA435" s="14">
        <f>ROUND(IF(CF435=0,0,HLOOKUP(CF$14,Villagers!$B$1:$V$33,CF435+3,FALSE)),)</f>
        <v>10</v>
      </c>
      <c r="DB435" s="14">
        <f>ROUND(IF(CG435=0,0,HLOOKUP(CG$14,Villagers!$B$1:$V$33,CG435+3,FALSE)),)</f>
        <v>10</v>
      </c>
      <c r="DC435" s="14">
        <f>ROUND(IF(CH435=0,0,HLOOKUP(CH$14,Villagers!$B$1:$V$33,CH435+3,FALSE)),)</f>
        <v>0</v>
      </c>
      <c r="DD435" s="14">
        <f>ROUND(IF(CI435=0,0,HLOOKUP(CI$14,Villagers!$B$1:$V$33,CI435+3,FALSE)),)</f>
        <v>0</v>
      </c>
      <c r="DE435" s="14">
        <f>ROUND(IF(CJ435=0,0,HLOOKUP(CJ$14,Villagers!$B$1:$V$33,CJ435+3,FALSE)),)</f>
        <v>2</v>
      </c>
      <c r="DF435" s="370">
        <f>ROUND(IF(CK435=0,0,HLOOKUP(CK$14,Villagers!$B$1:$V$33,CK435+3,FALSE)),)</f>
        <v>0</v>
      </c>
      <c r="DG435" s="370">
        <f>ROUND(IF(CL435=0,0,HLOOKUP(CL$14,Villagers!$B$1:$V$33,CL435+3,FALSE)),)</f>
        <v>0</v>
      </c>
      <c r="DH435" s="34">
        <f>ROUND(IF(CM435=0,0,HLOOKUP(CM$14,Villagers!$B$1:$V$33,CM435+3,FALSE)),)</f>
        <v>0</v>
      </c>
      <c r="DI435" s="109">
        <f t="shared" si="989"/>
        <v>0</v>
      </c>
      <c r="DJ435" s="50">
        <f t="shared" si="990"/>
        <v>0</v>
      </c>
      <c r="DK435" s="50">
        <f t="shared" si="991"/>
        <v>0</v>
      </c>
      <c r="DL435" s="50">
        <f t="shared" si="992"/>
        <v>0</v>
      </c>
      <c r="DM435" s="50">
        <f t="shared" si="993"/>
        <v>0</v>
      </c>
      <c r="DN435" s="50">
        <f t="shared" si="994"/>
        <v>0</v>
      </c>
      <c r="DO435" s="50">
        <f t="shared" si="995"/>
        <v>0</v>
      </c>
      <c r="DP435" s="50">
        <f t="shared" si="996"/>
        <v>0</v>
      </c>
      <c r="DQ435" s="50">
        <f t="shared" si="973"/>
        <v>0</v>
      </c>
      <c r="DR435" s="50">
        <f t="shared" si="974"/>
        <v>0</v>
      </c>
      <c r="DS435" s="96">
        <f>Miscelaneous!$D$4*Miscelaneous!$D$2^($CI435-1)</f>
        <v>1000</v>
      </c>
      <c r="DT435" s="333">
        <f t="shared" si="955"/>
        <v>1</v>
      </c>
      <c r="DU435" s="81">
        <v>1</v>
      </c>
      <c r="DV435" s="79">
        <f t="shared" si="975"/>
        <v>0</v>
      </c>
      <c r="DW435" s="79">
        <f t="shared" si="976"/>
        <v>0</v>
      </c>
      <c r="DX435" s="79">
        <f t="shared" si="977"/>
        <v>0</v>
      </c>
      <c r="DY435" s="79">
        <v>1</v>
      </c>
      <c r="DZ435" s="79">
        <f t="shared" si="978"/>
        <v>0</v>
      </c>
      <c r="EA435" s="79">
        <f t="shared" si="979"/>
        <v>0</v>
      </c>
      <c r="EB435" s="79">
        <f t="shared" si="980"/>
        <v>0</v>
      </c>
      <c r="EC435" s="79">
        <f t="shared" si="981"/>
        <v>0</v>
      </c>
      <c r="ED435" s="79">
        <v>1</v>
      </c>
      <c r="EE435" s="79">
        <v>1</v>
      </c>
      <c r="EF435" s="79">
        <f t="shared" si="982"/>
        <v>0</v>
      </c>
      <c r="EG435" s="79">
        <v>1</v>
      </c>
      <c r="EH435" s="79">
        <v>1</v>
      </c>
      <c r="EI435" s="79">
        <v>1</v>
      </c>
      <c r="EJ435" s="79">
        <v>1</v>
      </c>
      <c r="EK435" s="79">
        <v>1</v>
      </c>
      <c r="EL435" s="79">
        <v>1</v>
      </c>
      <c r="EM435" s="143">
        <f t="shared" si="983"/>
        <v>0</v>
      </c>
      <c r="EN435" s="143">
        <f t="shared" si="984"/>
        <v>0</v>
      </c>
      <c r="EO435" s="82">
        <f t="shared" si="985"/>
        <v>0</v>
      </c>
    </row>
    <row r="436" spans="1:145" x14ac:dyDescent="0.25">
      <c r="A436">
        <v>422</v>
      </c>
      <c r="B436" s="172" t="e">
        <f t="shared" si="956"/>
        <v>#N/A</v>
      </c>
      <c r="C436" s="121" t="e">
        <f t="shared" ref="C436:E436" si="1056">AJ436-SUM(AB436:AB440)</f>
        <v>#N/A</v>
      </c>
      <c r="D436" s="122" t="e">
        <f t="shared" si="1056"/>
        <v>#N/A</v>
      </c>
      <c r="E436" s="122" t="e">
        <f t="shared" si="1056"/>
        <v>#N/A</v>
      </c>
      <c r="F436" s="176" t="e">
        <f t="shared" si="937"/>
        <v>#N/A</v>
      </c>
      <c r="G436" s="121">
        <f t="shared" si="958"/>
        <v>208</v>
      </c>
      <c r="H436" s="176" t="e">
        <f t="shared" si="959"/>
        <v>#N/A</v>
      </c>
      <c r="I436" s="48">
        <v>1</v>
      </c>
      <c r="J436" s="39"/>
      <c r="K436" s="350">
        <v>1</v>
      </c>
      <c r="L436" s="34" t="e">
        <f t="shared" si="938"/>
        <v>#N/A</v>
      </c>
      <c r="M436" s="38" t="e">
        <f>(HLOOKUP(J436,'Construction Times'!$B$3:$W$34,L436+2,FALSE)*HLOOKUP("hq modifier",'Construction Times'!$W$3:$W$34,BS436+2,FALSE))*(1-$H$9)</f>
        <v>#N/A</v>
      </c>
      <c r="N436" s="426" t="e">
        <f t="shared" si="960"/>
        <v>#N/A</v>
      </c>
      <c r="O436" s="427"/>
      <c r="P436" s="430" t="e">
        <f t="shared" si="961"/>
        <v>#N/A</v>
      </c>
      <c r="Q436" s="431"/>
      <c r="R436" s="103">
        <f t="shared" si="1052"/>
        <v>0</v>
      </c>
      <c r="S436" s="104">
        <f t="shared" si="1052"/>
        <v>0</v>
      </c>
      <c r="T436" s="104">
        <f t="shared" si="1053"/>
        <v>0</v>
      </c>
      <c r="U436" s="104">
        <f t="shared" si="1053"/>
        <v>0</v>
      </c>
      <c r="V436" s="104">
        <f t="shared" si="1053"/>
        <v>9.9999999999999995E-8</v>
      </c>
      <c r="W436" s="104">
        <f t="shared" si="1053"/>
        <v>0</v>
      </c>
      <c r="X436" s="104">
        <f t="shared" si="1045"/>
        <v>0</v>
      </c>
      <c r="Y436" s="104">
        <f t="shared" si="1045"/>
        <v>9.9999999999999995E-8</v>
      </c>
      <c r="Z436" s="104">
        <f t="shared" si="1045"/>
        <v>9.9999999999999995E-8</v>
      </c>
      <c r="AA436" s="105">
        <f t="shared" si="1045"/>
        <v>9.9999999999999995E-8</v>
      </c>
      <c r="AB436" s="101" t="e">
        <f>$DT436*HLOOKUP($J436,'Construction Costs (timber)'!$B$1:$V$32,'Construction Planner'!$L436+2,FALSE)</f>
        <v>#N/A</v>
      </c>
      <c r="AC436" s="14" t="e">
        <f>$DT436*HLOOKUP($J436,'Construction Costs (clay)'!$B$1:$V$32,'Construction Planner'!$L436+2,FALSE)</f>
        <v>#N/A</v>
      </c>
      <c r="AD436" s="14" t="e">
        <f>$DT436*HLOOKUP($J436,'Construction Costs (iron)'!$B$1:$V$32,'Construction Planner'!$L436+2,FALSE)</f>
        <v>#N/A</v>
      </c>
      <c r="AE436" s="34" t="e">
        <f t="shared" si="1000"/>
        <v>#N/A</v>
      </c>
      <c r="AF436" s="33" t="e">
        <f t="shared" si="939"/>
        <v>#N/A</v>
      </c>
      <c r="AG436" s="14" t="e">
        <f t="shared" si="940"/>
        <v>#N/A</v>
      </c>
      <c r="AH436" s="14" t="e">
        <f t="shared" si="941"/>
        <v>#N/A</v>
      </c>
      <c r="AI436" s="34" t="e">
        <f t="shared" si="1001"/>
        <v>#N/A</v>
      </c>
      <c r="AJ436" s="49" t="e">
        <f t="shared" si="962"/>
        <v>#N/A</v>
      </c>
      <c r="AK436" s="49" t="e">
        <f t="shared" si="963"/>
        <v>#N/A</v>
      </c>
      <c r="AL436" s="49" t="e">
        <f t="shared" si="964"/>
        <v>#N/A</v>
      </c>
      <c r="AM436" s="25">
        <f t="shared" si="942"/>
        <v>30</v>
      </c>
      <c r="AN436" s="25">
        <f t="shared" si="943"/>
        <v>30</v>
      </c>
      <c r="AO436" s="25">
        <f t="shared" si="944"/>
        <v>30</v>
      </c>
      <c r="AP436" s="52" t="e">
        <f t="shared" si="1049"/>
        <v>#N/A</v>
      </c>
      <c r="AQ436" s="53" t="e">
        <f t="shared" si="1049"/>
        <v>#N/A</v>
      </c>
      <c r="AR436" s="54" t="e">
        <f t="shared" si="1049"/>
        <v>#N/A</v>
      </c>
      <c r="AS436" s="316">
        <f t="shared" ref="AS436:AS451" si="1057">AS435</f>
        <v>0</v>
      </c>
      <c r="AT436" s="106">
        <f>_xlfn.IFNA($M436/VLOOKUP($BT436,'Unit information'!$A$2:$K$29,2,FALSE)*R436,0)*(1+$E$9)</f>
        <v>0</v>
      </c>
      <c r="AU436" s="107">
        <f>_xlfn.IFNA($M436/VLOOKUP($BT436,'Unit information'!$A$2:$K$29,3,FALSE)*S436,0)*(1+$E$9)</f>
        <v>0</v>
      </c>
      <c r="AV436" s="107">
        <f>_xlfn.IFNA($M436/VLOOKUP($BT436,'Unit information'!$A$2:$K$29,4,FALSE)*T436,0)*(1+$E$9)</f>
        <v>0</v>
      </c>
      <c r="AW436" s="107">
        <f>_xlfn.IFNA($M436/VLOOKUP($BT436,'Unit information'!$A$2:$K$29,5,FALSE)*U436,0)*(1+$E$9)</f>
        <v>0</v>
      </c>
      <c r="AX436" s="107">
        <f>_xlfn.IFNA($M436/VLOOKUP($BU436,'Unit information'!$A$2:$K$29,6,FALSE)*V436,0)*(1+$E$9)</f>
        <v>0</v>
      </c>
      <c r="AY436" s="107">
        <f>_xlfn.IFNA($M436/VLOOKUP($BU436,'Unit information'!$A$2:$K$29,7,FALSE)*W436,0)*(1+$E$9)</f>
        <v>0</v>
      </c>
      <c r="AZ436" s="107">
        <f>_xlfn.IFNA($M436/VLOOKUP($BU436,'Unit information'!$A$2:$K$29,8,FALSE)*X436,0)*(1+$E$9)</f>
        <v>0</v>
      </c>
      <c r="BA436" s="107">
        <f>_xlfn.IFNA($M436/VLOOKUP($BU436,'Unit information'!$A$2:$K$29,9,FALSE)*Y436,0)*(1+$E$9)</f>
        <v>0</v>
      </c>
      <c r="BB436" s="107">
        <f>_xlfn.IFNA($M436/VLOOKUP($BV436,'Unit information'!$A$2:$K$29,10,FALSE)*Z436,0)*(1+$E$9)</f>
        <v>0</v>
      </c>
      <c r="BC436" s="108">
        <f>_xlfn.IFNA($M436/VLOOKUP($BV436,'Unit information'!$A$2:$K$29,11,FALSE)*AA436,0)*(1+$E$9)</f>
        <v>0</v>
      </c>
      <c r="BD436" s="106">
        <f t="shared" si="945"/>
        <v>0</v>
      </c>
      <c r="BE436" s="107">
        <f t="shared" si="946"/>
        <v>0</v>
      </c>
      <c r="BF436" s="108">
        <f t="shared" si="947"/>
        <v>0</v>
      </c>
      <c r="BG436" s="25" t="e">
        <f t="shared" si="948"/>
        <v>#N/A</v>
      </c>
      <c r="BH436" s="25" t="e">
        <f t="shared" si="949"/>
        <v>#N/A</v>
      </c>
      <c r="BI436" s="25" t="e">
        <f t="shared" si="950"/>
        <v>#N/A</v>
      </c>
      <c r="BJ436" s="27" t="e">
        <f t="shared" si="951"/>
        <v>#N/A</v>
      </c>
      <c r="BK436" s="18" t="e">
        <f t="shared" si="952"/>
        <v>#N/A</v>
      </c>
      <c r="BL436" s="18" t="e">
        <f t="shared" si="953"/>
        <v>#N/A</v>
      </c>
      <c r="BM436" s="28" t="e">
        <f t="shared" si="1003"/>
        <v>#N/A</v>
      </c>
      <c r="BN436" s="33">
        <f>HLOOKUP("maximum population",Miscelaneous!$C$1:$C$33,CH436+3,FALSE)</f>
        <v>240</v>
      </c>
      <c r="BO436" s="14">
        <f t="shared" si="966"/>
        <v>32</v>
      </c>
      <c r="BP436" s="14">
        <f t="shared" si="967"/>
        <v>0</v>
      </c>
      <c r="BQ436" s="14">
        <f t="shared" si="968"/>
        <v>208</v>
      </c>
      <c r="BR436" s="34" t="e">
        <f>HLOOKUP(J436,Villagers!$B$1:$V$33,L436+3,FALSE)-HLOOKUP(J436,Villagers!$B$1:$V$33,L436+2,FALSE)</f>
        <v>#N/A</v>
      </c>
      <c r="BS436" s="49">
        <f t="shared" si="969"/>
        <v>1</v>
      </c>
      <c r="BT436" s="50">
        <f t="shared" si="970"/>
        <v>0</v>
      </c>
      <c r="BU436" s="50">
        <f t="shared" si="971"/>
        <v>0</v>
      </c>
      <c r="BV436" s="50">
        <f t="shared" si="972"/>
        <v>0</v>
      </c>
      <c r="BW436" s="50">
        <f t="shared" si="1050"/>
        <v>0</v>
      </c>
      <c r="BX436" s="50">
        <f t="shared" si="1050"/>
        <v>0</v>
      </c>
      <c r="BY436" s="50">
        <f t="shared" si="1050"/>
        <v>0</v>
      </c>
      <c r="BZ436" s="50">
        <f t="shared" si="1015"/>
        <v>0</v>
      </c>
      <c r="CA436" s="50">
        <f t="shared" si="1016"/>
        <v>0</v>
      </c>
      <c r="CB436" s="50">
        <f t="shared" si="1017"/>
        <v>1</v>
      </c>
      <c r="CC436" s="50">
        <f t="shared" si="1018"/>
        <v>0</v>
      </c>
      <c r="CD436" s="50">
        <f t="shared" si="1019"/>
        <v>0</v>
      </c>
      <c r="CE436" s="50">
        <f t="shared" si="1020"/>
        <v>1</v>
      </c>
      <c r="CF436" s="50">
        <f t="shared" si="1021"/>
        <v>1</v>
      </c>
      <c r="CG436" s="50">
        <f t="shared" si="1022"/>
        <v>1</v>
      </c>
      <c r="CH436" s="50">
        <f t="shared" si="1023"/>
        <v>1</v>
      </c>
      <c r="CI436" s="50">
        <f t="shared" si="1024"/>
        <v>1</v>
      </c>
      <c r="CJ436" s="50">
        <f t="shared" si="1025"/>
        <v>1</v>
      </c>
      <c r="CK436" s="50">
        <f t="shared" si="1025"/>
        <v>0</v>
      </c>
      <c r="CL436" s="50">
        <f t="shared" si="1025"/>
        <v>0</v>
      </c>
      <c r="CM436" s="51">
        <f t="shared" si="1026"/>
        <v>0</v>
      </c>
      <c r="CN436" s="33">
        <f>ROUND(IF(BS436=0,0,HLOOKUP(BS$14,Villagers!$B$1:$V$33,BS436+3,FALSE)),)</f>
        <v>5</v>
      </c>
      <c r="CO436" s="14">
        <f>ROUND(IF(BT436=0,0,HLOOKUP(BT$14,Villagers!$B$1:$V$33,BT436+3,FALSE)),)</f>
        <v>0</v>
      </c>
      <c r="CP436" s="14">
        <f>ROUND(IF(BU436=0,0,HLOOKUP(BU$14,Villagers!$B$1:$V$33,BU436+3,FALSE)),)</f>
        <v>0</v>
      </c>
      <c r="CQ436" s="14">
        <f>ROUND(IF(BV436=0,0,HLOOKUP(BV$14,Villagers!$B$1:$V$33,BV436+3,FALSE)),)</f>
        <v>0</v>
      </c>
      <c r="CR436" s="14">
        <f>ROUND(IF(BW436=0,0,HLOOKUP(BW$14,Villagers!$B$1:$V$33,BW436+3,FALSE)),)</f>
        <v>0</v>
      </c>
      <c r="CS436" s="14">
        <f>ROUND(IF(BX436=0,0,HLOOKUP(BX$14,Villagers!$B$1:$V$33,BX436+3,FALSE)),)</f>
        <v>0</v>
      </c>
      <c r="CT436" s="14">
        <f>ROUND(IF(BY436=0,0,HLOOKUP(BY$14,Villagers!$B$1:$V$33,BY436+3,FALSE)),)</f>
        <v>0</v>
      </c>
      <c r="CU436" s="14">
        <f>ROUND(IF(BZ436=0,0,HLOOKUP(BZ$14,Villagers!$B$1:$V$33,BZ436+3,FALSE)),)</f>
        <v>0</v>
      </c>
      <c r="CV436" s="14">
        <f>ROUND(IF(CA436=0,0,HLOOKUP(CA$14,Villagers!$B$1:$V$33,CA436+3,FALSE)),)</f>
        <v>0</v>
      </c>
      <c r="CW436" s="14">
        <f>ROUND(IF(CB436=0,0,HLOOKUP(CB$14,Villagers!$B$1:$V$33,CB436+3,FALSE)),)</f>
        <v>0</v>
      </c>
      <c r="CX436" s="14">
        <f>ROUND(IF(CC436=0,0,HLOOKUP(CC$14,Villagers!$B$1:$V$33,CC436+3,FALSE)),)</f>
        <v>0</v>
      </c>
      <c r="CY436" s="14">
        <f>ROUND(IF(CD436=0,0,HLOOKUP(CD$14,Villagers!$B$1:$V$33,CD436+3,FALSE)),)</f>
        <v>0</v>
      </c>
      <c r="CZ436" s="14">
        <f>ROUND(IF(CE436=0,0,HLOOKUP(CE$14,Villagers!$B$1:$V$33,CE436+3,FALSE)),)</f>
        <v>5</v>
      </c>
      <c r="DA436" s="14">
        <f>ROUND(IF(CF436=0,0,HLOOKUP(CF$14,Villagers!$B$1:$V$33,CF436+3,FALSE)),)</f>
        <v>10</v>
      </c>
      <c r="DB436" s="14">
        <f>ROUND(IF(CG436=0,0,HLOOKUP(CG$14,Villagers!$B$1:$V$33,CG436+3,FALSE)),)</f>
        <v>10</v>
      </c>
      <c r="DC436" s="14">
        <f>ROUND(IF(CH436=0,0,HLOOKUP(CH$14,Villagers!$B$1:$V$33,CH436+3,FALSE)),)</f>
        <v>0</v>
      </c>
      <c r="DD436" s="14">
        <f>ROUND(IF(CI436=0,0,HLOOKUP(CI$14,Villagers!$B$1:$V$33,CI436+3,FALSE)),)</f>
        <v>0</v>
      </c>
      <c r="DE436" s="14">
        <f>ROUND(IF(CJ436=0,0,HLOOKUP(CJ$14,Villagers!$B$1:$V$33,CJ436+3,FALSE)),)</f>
        <v>2</v>
      </c>
      <c r="DF436" s="370">
        <f>ROUND(IF(CK436=0,0,HLOOKUP(CK$14,Villagers!$B$1:$V$33,CK436+3,FALSE)),)</f>
        <v>0</v>
      </c>
      <c r="DG436" s="370">
        <f>ROUND(IF(CL436=0,0,HLOOKUP(CL$14,Villagers!$B$1:$V$33,CL436+3,FALSE)),)</f>
        <v>0</v>
      </c>
      <c r="DH436" s="34">
        <f>ROUND(IF(CM436=0,0,HLOOKUP(CM$14,Villagers!$B$1:$V$33,CM436+3,FALSE)),)</f>
        <v>0</v>
      </c>
      <c r="DI436" s="109">
        <f t="shared" si="989"/>
        <v>0</v>
      </c>
      <c r="DJ436" s="50">
        <f t="shared" si="990"/>
        <v>0</v>
      </c>
      <c r="DK436" s="50">
        <f t="shared" si="991"/>
        <v>0</v>
      </c>
      <c r="DL436" s="50">
        <f t="shared" si="992"/>
        <v>0</v>
      </c>
      <c r="DM436" s="50">
        <f t="shared" si="993"/>
        <v>0</v>
      </c>
      <c r="DN436" s="50">
        <f t="shared" si="994"/>
        <v>0</v>
      </c>
      <c r="DO436" s="50">
        <f t="shared" si="995"/>
        <v>0</v>
      </c>
      <c r="DP436" s="50">
        <f t="shared" si="996"/>
        <v>0</v>
      </c>
      <c r="DQ436" s="50">
        <f t="shared" si="973"/>
        <v>0</v>
      </c>
      <c r="DR436" s="50">
        <f t="shared" si="974"/>
        <v>0</v>
      </c>
      <c r="DS436" s="96">
        <f>Miscelaneous!$D$4*Miscelaneous!$D$2^($CI436-1)</f>
        <v>1000</v>
      </c>
      <c r="DT436" s="333">
        <f t="shared" si="955"/>
        <v>1</v>
      </c>
      <c r="DU436" s="81">
        <v>1</v>
      </c>
      <c r="DV436" s="79">
        <f t="shared" si="975"/>
        <v>0</v>
      </c>
      <c r="DW436" s="79">
        <f t="shared" si="976"/>
        <v>0</v>
      </c>
      <c r="DX436" s="79">
        <f t="shared" si="977"/>
        <v>0</v>
      </c>
      <c r="DY436" s="79">
        <v>1</v>
      </c>
      <c r="DZ436" s="79">
        <f t="shared" si="978"/>
        <v>0</v>
      </c>
      <c r="EA436" s="79">
        <f t="shared" si="979"/>
        <v>0</v>
      </c>
      <c r="EB436" s="79">
        <f t="shared" si="980"/>
        <v>0</v>
      </c>
      <c r="EC436" s="79">
        <f t="shared" si="981"/>
        <v>0</v>
      </c>
      <c r="ED436" s="79">
        <v>1</v>
      </c>
      <c r="EE436" s="79">
        <v>1</v>
      </c>
      <c r="EF436" s="79">
        <f t="shared" si="982"/>
        <v>0</v>
      </c>
      <c r="EG436" s="79">
        <v>1</v>
      </c>
      <c r="EH436" s="79">
        <v>1</v>
      </c>
      <c r="EI436" s="79">
        <v>1</v>
      </c>
      <c r="EJ436" s="79">
        <v>1</v>
      </c>
      <c r="EK436" s="79">
        <v>1</v>
      </c>
      <c r="EL436" s="79">
        <v>1</v>
      </c>
      <c r="EM436" s="143">
        <f t="shared" si="983"/>
        <v>0</v>
      </c>
      <c r="EN436" s="143">
        <f t="shared" si="984"/>
        <v>0</v>
      </c>
      <c r="EO436" s="82">
        <f t="shared" si="985"/>
        <v>0</v>
      </c>
    </row>
    <row r="437" spans="1:145" x14ac:dyDescent="0.25">
      <c r="A437">
        <v>423</v>
      </c>
      <c r="B437" s="172" t="e">
        <f t="shared" si="956"/>
        <v>#N/A</v>
      </c>
      <c r="C437" s="121" t="e">
        <f t="shared" ref="C437:E437" si="1058">AJ437-SUM(AB437:AB441)</f>
        <v>#N/A</v>
      </c>
      <c r="D437" s="122" t="e">
        <f t="shared" si="1058"/>
        <v>#N/A</v>
      </c>
      <c r="E437" s="122" t="e">
        <f t="shared" si="1058"/>
        <v>#N/A</v>
      </c>
      <c r="F437" s="176" t="e">
        <f t="shared" si="937"/>
        <v>#N/A</v>
      </c>
      <c r="G437" s="121">
        <f t="shared" si="958"/>
        <v>208</v>
      </c>
      <c r="H437" s="176" t="e">
        <f t="shared" si="959"/>
        <v>#N/A</v>
      </c>
      <c r="I437" s="48">
        <v>1</v>
      </c>
      <c r="J437" s="39"/>
      <c r="K437" s="350">
        <v>1</v>
      </c>
      <c r="L437" s="34" t="e">
        <f t="shared" si="938"/>
        <v>#N/A</v>
      </c>
      <c r="M437" s="38" t="e">
        <f>(HLOOKUP(J437,'Construction Times'!$B$3:$W$34,L437+2,FALSE)*HLOOKUP("hq modifier",'Construction Times'!$W$3:$W$34,BS437+2,FALSE))*(1-$H$9)</f>
        <v>#N/A</v>
      </c>
      <c r="N437" s="426" t="e">
        <f t="shared" si="960"/>
        <v>#N/A</v>
      </c>
      <c r="O437" s="427"/>
      <c r="P437" s="430" t="e">
        <f t="shared" si="961"/>
        <v>#N/A</v>
      </c>
      <c r="Q437" s="431"/>
      <c r="R437" s="103">
        <f t="shared" si="1052"/>
        <v>0</v>
      </c>
      <c r="S437" s="104">
        <f t="shared" si="1052"/>
        <v>0</v>
      </c>
      <c r="T437" s="104">
        <f t="shared" si="1053"/>
        <v>0</v>
      </c>
      <c r="U437" s="104">
        <f t="shared" si="1053"/>
        <v>0</v>
      </c>
      <c r="V437" s="104">
        <f t="shared" si="1053"/>
        <v>9.9999999999999995E-8</v>
      </c>
      <c r="W437" s="104">
        <f t="shared" si="1053"/>
        <v>0</v>
      </c>
      <c r="X437" s="104">
        <f t="shared" si="1045"/>
        <v>0</v>
      </c>
      <c r="Y437" s="104">
        <f t="shared" si="1045"/>
        <v>9.9999999999999995E-8</v>
      </c>
      <c r="Z437" s="104">
        <f t="shared" si="1045"/>
        <v>9.9999999999999995E-8</v>
      </c>
      <c r="AA437" s="105">
        <f t="shared" si="1045"/>
        <v>9.9999999999999995E-8</v>
      </c>
      <c r="AB437" s="101" t="e">
        <f>$DT437*HLOOKUP($J437,'Construction Costs (timber)'!$B$1:$V$32,'Construction Planner'!$L437+2,FALSE)</f>
        <v>#N/A</v>
      </c>
      <c r="AC437" s="14" t="e">
        <f>$DT437*HLOOKUP($J437,'Construction Costs (clay)'!$B$1:$V$32,'Construction Planner'!$L437+2,FALSE)</f>
        <v>#N/A</v>
      </c>
      <c r="AD437" s="14" t="e">
        <f>$DT437*HLOOKUP($J437,'Construction Costs (iron)'!$B$1:$V$32,'Construction Planner'!$L437+2,FALSE)</f>
        <v>#N/A</v>
      </c>
      <c r="AE437" s="34" t="e">
        <f t="shared" si="1000"/>
        <v>#N/A</v>
      </c>
      <c r="AF437" s="33" t="e">
        <f t="shared" si="939"/>
        <v>#N/A</v>
      </c>
      <c r="AG437" s="14" t="e">
        <f t="shared" si="940"/>
        <v>#N/A</v>
      </c>
      <c r="AH437" s="14" t="e">
        <f t="shared" si="941"/>
        <v>#N/A</v>
      </c>
      <c r="AI437" s="34" t="e">
        <f t="shared" si="1001"/>
        <v>#N/A</v>
      </c>
      <c r="AJ437" s="49" t="e">
        <f t="shared" si="962"/>
        <v>#N/A</v>
      </c>
      <c r="AK437" s="49" t="e">
        <f t="shared" si="963"/>
        <v>#N/A</v>
      </c>
      <c r="AL437" s="49" t="e">
        <f t="shared" si="964"/>
        <v>#N/A</v>
      </c>
      <c r="AM437" s="25">
        <f t="shared" si="942"/>
        <v>30</v>
      </c>
      <c r="AN437" s="25">
        <f t="shared" si="943"/>
        <v>30</v>
      </c>
      <c r="AO437" s="25">
        <f t="shared" si="944"/>
        <v>30</v>
      </c>
      <c r="AP437" s="52" t="e">
        <f t="shared" si="1049"/>
        <v>#N/A</v>
      </c>
      <c r="AQ437" s="53" t="e">
        <f t="shared" si="1049"/>
        <v>#N/A</v>
      </c>
      <c r="AR437" s="54" t="e">
        <f t="shared" si="1049"/>
        <v>#N/A</v>
      </c>
      <c r="AS437" s="316">
        <f t="shared" si="1057"/>
        <v>0</v>
      </c>
      <c r="AT437" s="106">
        <f>_xlfn.IFNA($M437/VLOOKUP($BT437,'Unit information'!$A$2:$K$29,2,FALSE)*R437,0)*(1+$E$9)</f>
        <v>0</v>
      </c>
      <c r="AU437" s="107">
        <f>_xlfn.IFNA($M437/VLOOKUP($BT437,'Unit information'!$A$2:$K$29,3,FALSE)*S437,0)*(1+$E$9)</f>
        <v>0</v>
      </c>
      <c r="AV437" s="107">
        <f>_xlfn.IFNA($M437/VLOOKUP($BT437,'Unit information'!$A$2:$K$29,4,FALSE)*T437,0)*(1+$E$9)</f>
        <v>0</v>
      </c>
      <c r="AW437" s="107">
        <f>_xlfn.IFNA($M437/VLOOKUP($BT437,'Unit information'!$A$2:$K$29,5,FALSE)*U437,0)*(1+$E$9)</f>
        <v>0</v>
      </c>
      <c r="AX437" s="107">
        <f>_xlfn.IFNA($M437/VLOOKUP($BU437,'Unit information'!$A$2:$K$29,6,FALSE)*V437,0)*(1+$E$9)</f>
        <v>0</v>
      </c>
      <c r="AY437" s="107">
        <f>_xlfn.IFNA($M437/VLOOKUP($BU437,'Unit information'!$A$2:$K$29,7,FALSE)*W437,0)*(1+$E$9)</f>
        <v>0</v>
      </c>
      <c r="AZ437" s="107">
        <f>_xlfn.IFNA($M437/VLOOKUP($BU437,'Unit information'!$A$2:$K$29,8,FALSE)*X437,0)*(1+$E$9)</f>
        <v>0</v>
      </c>
      <c r="BA437" s="107">
        <f>_xlfn.IFNA($M437/VLOOKUP($BU437,'Unit information'!$A$2:$K$29,9,FALSE)*Y437,0)*(1+$E$9)</f>
        <v>0</v>
      </c>
      <c r="BB437" s="107">
        <f>_xlfn.IFNA($M437/VLOOKUP($BV437,'Unit information'!$A$2:$K$29,10,FALSE)*Z437,0)*(1+$E$9)</f>
        <v>0</v>
      </c>
      <c r="BC437" s="108">
        <f>_xlfn.IFNA($M437/VLOOKUP($BV437,'Unit information'!$A$2:$K$29,11,FALSE)*AA437,0)*(1+$E$9)</f>
        <v>0</v>
      </c>
      <c r="BD437" s="106">
        <f t="shared" si="945"/>
        <v>0</v>
      </c>
      <c r="BE437" s="107">
        <f t="shared" si="946"/>
        <v>0</v>
      </c>
      <c r="BF437" s="108">
        <f t="shared" si="947"/>
        <v>0</v>
      </c>
      <c r="BG437" s="25" t="e">
        <f t="shared" si="948"/>
        <v>#N/A</v>
      </c>
      <c r="BH437" s="25" t="e">
        <f t="shared" si="949"/>
        <v>#N/A</v>
      </c>
      <c r="BI437" s="25" t="e">
        <f t="shared" si="950"/>
        <v>#N/A</v>
      </c>
      <c r="BJ437" s="27" t="e">
        <f t="shared" si="951"/>
        <v>#N/A</v>
      </c>
      <c r="BK437" s="18" t="e">
        <f t="shared" si="952"/>
        <v>#N/A</v>
      </c>
      <c r="BL437" s="18" t="e">
        <f t="shared" si="953"/>
        <v>#N/A</v>
      </c>
      <c r="BM437" s="28" t="e">
        <f t="shared" si="1003"/>
        <v>#N/A</v>
      </c>
      <c r="BN437" s="33">
        <f>HLOOKUP("maximum population",Miscelaneous!$C$1:$C$33,CH437+3,FALSE)</f>
        <v>240</v>
      </c>
      <c r="BO437" s="14">
        <f t="shared" si="966"/>
        <v>32</v>
      </c>
      <c r="BP437" s="14">
        <f t="shared" si="967"/>
        <v>0</v>
      </c>
      <c r="BQ437" s="14">
        <f t="shared" si="968"/>
        <v>208</v>
      </c>
      <c r="BR437" s="34" t="e">
        <f>HLOOKUP(J437,Villagers!$B$1:$V$33,L437+3,FALSE)-HLOOKUP(J437,Villagers!$B$1:$V$33,L437+2,FALSE)</f>
        <v>#N/A</v>
      </c>
      <c r="BS437" s="49">
        <f t="shared" si="969"/>
        <v>1</v>
      </c>
      <c r="BT437" s="50">
        <f t="shared" si="970"/>
        <v>0</v>
      </c>
      <c r="BU437" s="50">
        <f t="shared" si="971"/>
        <v>0</v>
      </c>
      <c r="BV437" s="50">
        <f t="shared" si="972"/>
        <v>0</v>
      </c>
      <c r="BW437" s="50">
        <f t="shared" si="1050"/>
        <v>0</v>
      </c>
      <c r="BX437" s="50">
        <f t="shared" si="1050"/>
        <v>0</v>
      </c>
      <c r="BY437" s="50">
        <f t="shared" si="1050"/>
        <v>0</v>
      </c>
      <c r="BZ437" s="50">
        <f t="shared" si="1015"/>
        <v>0</v>
      </c>
      <c r="CA437" s="50">
        <f t="shared" si="1016"/>
        <v>0</v>
      </c>
      <c r="CB437" s="50">
        <f t="shared" si="1017"/>
        <v>1</v>
      </c>
      <c r="CC437" s="50">
        <f t="shared" si="1018"/>
        <v>0</v>
      </c>
      <c r="CD437" s="50">
        <f t="shared" si="1019"/>
        <v>0</v>
      </c>
      <c r="CE437" s="50">
        <f t="shared" si="1020"/>
        <v>1</v>
      </c>
      <c r="CF437" s="50">
        <f t="shared" si="1021"/>
        <v>1</v>
      </c>
      <c r="CG437" s="50">
        <f t="shared" si="1022"/>
        <v>1</v>
      </c>
      <c r="CH437" s="50">
        <f t="shared" si="1023"/>
        <v>1</v>
      </c>
      <c r="CI437" s="50">
        <f t="shared" si="1024"/>
        <v>1</v>
      </c>
      <c r="CJ437" s="50">
        <f t="shared" si="1025"/>
        <v>1</v>
      </c>
      <c r="CK437" s="50">
        <f t="shared" si="1025"/>
        <v>0</v>
      </c>
      <c r="CL437" s="50">
        <f t="shared" si="1025"/>
        <v>0</v>
      </c>
      <c r="CM437" s="51">
        <f t="shared" si="1026"/>
        <v>0</v>
      </c>
      <c r="CN437" s="33">
        <f>ROUND(IF(BS437=0,0,HLOOKUP(BS$14,Villagers!$B$1:$V$33,BS437+3,FALSE)),)</f>
        <v>5</v>
      </c>
      <c r="CO437" s="14">
        <f>ROUND(IF(BT437=0,0,HLOOKUP(BT$14,Villagers!$B$1:$V$33,BT437+3,FALSE)),)</f>
        <v>0</v>
      </c>
      <c r="CP437" s="14">
        <f>ROUND(IF(BU437=0,0,HLOOKUP(BU$14,Villagers!$B$1:$V$33,BU437+3,FALSE)),)</f>
        <v>0</v>
      </c>
      <c r="CQ437" s="14">
        <f>ROUND(IF(BV437=0,0,HLOOKUP(BV$14,Villagers!$B$1:$V$33,BV437+3,FALSE)),)</f>
        <v>0</v>
      </c>
      <c r="CR437" s="14">
        <f>ROUND(IF(BW437=0,0,HLOOKUP(BW$14,Villagers!$B$1:$V$33,BW437+3,FALSE)),)</f>
        <v>0</v>
      </c>
      <c r="CS437" s="14">
        <f>ROUND(IF(BX437=0,0,HLOOKUP(BX$14,Villagers!$B$1:$V$33,BX437+3,FALSE)),)</f>
        <v>0</v>
      </c>
      <c r="CT437" s="14">
        <f>ROUND(IF(BY437=0,0,HLOOKUP(BY$14,Villagers!$B$1:$V$33,BY437+3,FALSE)),)</f>
        <v>0</v>
      </c>
      <c r="CU437" s="14">
        <f>ROUND(IF(BZ437=0,0,HLOOKUP(BZ$14,Villagers!$B$1:$V$33,BZ437+3,FALSE)),)</f>
        <v>0</v>
      </c>
      <c r="CV437" s="14">
        <f>ROUND(IF(CA437=0,0,HLOOKUP(CA$14,Villagers!$B$1:$V$33,CA437+3,FALSE)),)</f>
        <v>0</v>
      </c>
      <c r="CW437" s="14">
        <f>ROUND(IF(CB437=0,0,HLOOKUP(CB$14,Villagers!$B$1:$V$33,CB437+3,FALSE)),)</f>
        <v>0</v>
      </c>
      <c r="CX437" s="14">
        <f>ROUND(IF(CC437=0,0,HLOOKUP(CC$14,Villagers!$B$1:$V$33,CC437+3,FALSE)),)</f>
        <v>0</v>
      </c>
      <c r="CY437" s="14">
        <f>ROUND(IF(CD437=0,0,HLOOKUP(CD$14,Villagers!$B$1:$V$33,CD437+3,FALSE)),)</f>
        <v>0</v>
      </c>
      <c r="CZ437" s="14">
        <f>ROUND(IF(CE437=0,0,HLOOKUP(CE$14,Villagers!$B$1:$V$33,CE437+3,FALSE)),)</f>
        <v>5</v>
      </c>
      <c r="DA437" s="14">
        <f>ROUND(IF(CF437=0,0,HLOOKUP(CF$14,Villagers!$B$1:$V$33,CF437+3,FALSE)),)</f>
        <v>10</v>
      </c>
      <c r="DB437" s="14">
        <f>ROUND(IF(CG437=0,0,HLOOKUP(CG$14,Villagers!$B$1:$V$33,CG437+3,FALSE)),)</f>
        <v>10</v>
      </c>
      <c r="DC437" s="14">
        <f>ROUND(IF(CH437=0,0,HLOOKUP(CH$14,Villagers!$B$1:$V$33,CH437+3,FALSE)),)</f>
        <v>0</v>
      </c>
      <c r="DD437" s="14">
        <f>ROUND(IF(CI437=0,0,HLOOKUP(CI$14,Villagers!$B$1:$V$33,CI437+3,FALSE)),)</f>
        <v>0</v>
      </c>
      <c r="DE437" s="14">
        <f>ROUND(IF(CJ437=0,0,HLOOKUP(CJ$14,Villagers!$B$1:$V$33,CJ437+3,FALSE)),)</f>
        <v>2</v>
      </c>
      <c r="DF437" s="370">
        <f>ROUND(IF(CK437=0,0,HLOOKUP(CK$14,Villagers!$B$1:$V$33,CK437+3,FALSE)),)</f>
        <v>0</v>
      </c>
      <c r="DG437" s="370">
        <f>ROUND(IF(CL437=0,0,HLOOKUP(CL$14,Villagers!$B$1:$V$33,CL437+3,FALSE)),)</f>
        <v>0</v>
      </c>
      <c r="DH437" s="34">
        <f>ROUND(IF(CM437=0,0,HLOOKUP(CM$14,Villagers!$B$1:$V$33,CM437+3,FALSE)),)</f>
        <v>0</v>
      </c>
      <c r="DI437" s="109">
        <f t="shared" si="989"/>
        <v>0</v>
      </c>
      <c r="DJ437" s="50">
        <f t="shared" si="990"/>
        <v>0</v>
      </c>
      <c r="DK437" s="50">
        <f t="shared" si="991"/>
        <v>0</v>
      </c>
      <c r="DL437" s="50">
        <f t="shared" si="992"/>
        <v>0</v>
      </c>
      <c r="DM437" s="50">
        <f t="shared" si="993"/>
        <v>0</v>
      </c>
      <c r="DN437" s="50">
        <f t="shared" si="994"/>
        <v>0</v>
      </c>
      <c r="DO437" s="50">
        <f t="shared" si="995"/>
        <v>0</v>
      </c>
      <c r="DP437" s="50">
        <f t="shared" si="996"/>
        <v>0</v>
      </c>
      <c r="DQ437" s="50">
        <f t="shared" si="973"/>
        <v>0</v>
      </c>
      <c r="DR437" s="50">
        <f t="shared" si="974"/>
        <v>0</v>
      </c>
      <c r="DS437" s="96">
        <f>Miscelaneous!$D$4*Miscelaneous!$D$2^($CI437-1)</f>
        <v>1000</v>
      </c>
      <c r="DT437" s="333">
        <f t="shared" si="955"/>
        <v>1</v>
      </c>
      <c r="DU437" s="81">
        <v>1</v>
      </c>
      <c r="DV437" s="79">
        <f t="shared" si="975"/>
        <v>0</v>
      </c>
      <c r="DW437" s="79">
        <f t="shared" si="976"/>
        <v>0</v>
      </c>
      <c r="DX437" s="79">
        <f t="shared" si="977"/>
        <v>0</v>
      </c>
      <c r="DY437" s="79">
        <v>1</v>
      </c>
      <c r="DZ437" s="79">
        <f t="shared" si="978"/>
        <v>0</v>
      </c>
      <c r="EA437" s="79">
        <f t="shared" si="979"/>
        <v>0</v>
      </c>
      <c r="EB437" s="79">
        <f t="shared" si="980"/>
        <v>0</v>
      </c>
      <c r="EC437" s="79">
        <f t="shared" si="981"/>
        <v>0</v>
      </c>
      <c r="ED437" s="79">
        <v>1</v>
      </c>
      <c r="EE437" s="79">
        <v>1</v>
      </c>
      <c r="EF437" s="79">
        <f t="shared" si="982"/>
        <v>0</v>
      </c>
      <c r="EG437" s="79">
        <v>1</v>
      </c>
      <c r="EH437" s="79">
        <v>1</v>
      </c>
      <c r="EI437" s="79">
        <v>1</v>
      </c>
      <c r="EJ437" s="79">
        <v>1</v>
      </c>
      <c r="EK437" s="79">
        <v>1</v>
      </c>
      <c r="EL437" s="79">
        <v>1</v>
      </c>
      <c r="EM437" s="143">
        <f t="shared" si="983"/>
        <v>0</v>
      </c>
      <c r="EN437" s="143">
        <f t="shared" si="984"/>
        <v>0</v>
      </c>
      <c r="EO437" s="82">
        <f t="shared" si="985"/>
        <v>0</v>
      </c>
    </row>
    <row r="438" spans="1:145" x14ac:dyDescent="0.25">
      <c r="A438">
        <v>424</v>
      </c>
      <c r="B438" s="172" t="e">
        <f t="shared" si="956"/>
        <v>#N/A</v>
      </c>
      <c r="C438" s="121" t="e">
        <f t="shared" ref="C438:E438" si="1059">AJ438-SUM(AB438:AB442)</f>
        <v>#N/A</v>
      </c>
      <c r="D438" s="122" t="e">
        <f t="shared" si="1059"/>
        <v>#N/A</v>
      </c>
      <c r="E438" s="122" t="e">
        <f t="shared" si="1059"/>
        <v>#N/A</v>
      </c>
      <c r="F438" s="176" t="e">
        <f t="shared" si="937"/>
        <v>#N/A</v>
      </c>
      <c r="G438" s="121">
        <f t="shared" si="958"/>
        <v>208</v>
      </c>
      <c r="H438" s="176" t="e">
        <f t="shared" si="959"/>
        <v>#N/A</v>
      </c>
      <c r="I438" s="48">
        <v>1</v>
      </c>
      <c r="J438" s="39"/>
      <c r="K438" s="350">
        <v>1</v>
      </c>
      <c r="L438" s="34" t="e">
        <f t="shared" si="938"/>
        <v>#N/A</v>
      </c>
      <c r="M438" s="38" t="e">
        <f>(HLOOKUP(J438,'Construction Times'!$B$3:$W$34,L438+2,FALSE)*HLOOKUP("hq modifier",'Construction Times'!$W$3:$W$34,BS438+2,FALSE))*(1-$H$9)</f>
        <v>#N/A</v>
      </c>
      <c r="N438" s="426" t="e">
        <f t="shared" si="960"/>
        <v>#N/A</v>
      </c>
      <c r="O438" s="427"/>
      <c r="P438" s="430" t="e">
        <f t="shared" si="961"/>
        <v>#N/A</v>
      </c>
      <c r="Q438" s="431"/>
      <c r="R438" s="103">
        <f t="shared" si="1052"/>
        <v>0</v>
      </c>
      <c r="S438" s="104">
        <f t="shared" si="1052"/>
        <v>0</v>
      </c>
      <c r="T438" s="104">
        <f t="shared" si="1053"/>
        <v>0</v>
      </c>
      <c r="U438" s="104">
        <f t="shared" si="1053"/>
        <v>0</v>
      </c>
      <c r="V438" s="104">
        <f t="shared" si="1053"/>
        <v>9.9999999999999995E-8</v>
      </c>
      <c r="W438" s="104">
        <f t="shared" si="1053"/>
        <v>0</v>
      </c>
      <c r="X438" s="104">
        <f t="shared" si="1045"/>
        <v>0</v>
      </c>
      <c r="Y438" s="104">
        <f t="shared" si="1045"/>
        <v>9.9999999999999995E-8</v>
      </c>
      <c r="Z438" s="104">
        <f t="shared" si="1045"/>
        <v>9.9999999999999995E-8</v>
      </c>
      <c r="AA438" s="105">
        <f t="shared" si="1045"/>
        <v>9.9999999999999995E-8</v>
      </c>
      <c r="AB438" s="101" t="e">
        <f>$DT438*HLOOKUP($J438,'Construction Costs (timber)'!$B$1:$V$32,'Construction Planner'!$L438+2,FALSE)</f>
        <v>#N/A</v>
      </c>
      <c r="AC438" s="14" t="e">
        <f>$DT438*HLOOKUP($J438,'Construction Costs (clay)'!$B$1:$V$32,'Construction Planner'!$L438+2,FALSE)</f>
        <v>#N/A</v>
      </c>
      <c r="AD438" s="14" t="e">
        <f>$DT438*HLOOKUP($J438,'Construction Costs (iron)'!$B$1:$V$32,'Construction Planner'!$L438+2,FALSE)</f>
        <v>#N/A</v>
      </c>
      <c r="AE438" s="34" t="e">
        <f t="shared" si="1000"/>
        <v>#N/A</v>
      </c>
      <c r="AF438" s="33" t="e">
        <f t="shared" si="939"/>
        <v>#N/A</v>
      </c>
      <c r="AG438" s="14" t="e">
        <f t="shared" si="940"/>
        <v>#N/A</v>
      </c>
      <c r="AH438" s="14" t="e">
        <f t="shared" si="941"/>
        <v>#N/A</v>
      </c>
      <c r="AI438" s="34" t="e">
        <f t="shared" si="1001"/>
        <v>#N/A</v>
      </c>
      <c r="AJ438" s="49" t="e">
        <f t="shared" si="962"/>
        <v>#N/A</v>
      </c>
      <c r="AK438" s="49" t="e">
        <f t="shared" si="963"/>
        <v>#N/A</v>
      </c>
      <c r="AL438" s="49" t="e">
        <f t="shared" si="964"/>
        <v>#N/A</v>
      </c>
      <c r="AM438" s="25">
        <f t="shared" si="942"/>
        <v>30</v>
      </c>
      <c r="AN438" s="25">
        <f t="shared" si="943"/>
        <v>30</v>
      </c>
      <c r="AO438" s="25">
        <f t="shared" si="944"/>
        <v>30</v>
      </c>
      <c r="AP438" s="52" t="e">
        <f t="shared" si="1049"/>
        <v>#N/A</v>
      </c>
      <c r="AQ438" s="53" t="e">
        <f t="shared" si="1049"/>
        <v>#N/A</v>
      </c>
      <c r="AR438" s="54" t="e">
        <f t="shared" si="1049"/>
        <v>#N/A</v>
      </c>
      <c r="AS438" s="316">
        <f t="shared" si="1057"/>
        <v>0</v>
      </c>
      <c r="AT438" s="106">
        <f>_xlfn.IFNA($M438/VLOOKUP($BT438,'Unit information'!$A$2:$K$29,2,FALSE)*R438,0)*(1+$E$9)</f>
        <v>0</v>
      </c>
      <c r="AU438" s="107">
        <f>_xlfn.IFNA($M438/VLOOKUP($BT438,'Unit information'!$A$2:$K$29,3,FALSE)*S438,0)*(1+$E$9)</f>
        <v>0</v>
      </c>
      <c r="AV438" s="107">
        <f>_xlfn.IFNA($M438/VLOOKUP($BT438,'Unit information'!$A$2:$K$29,4,FALSE)*T438,0)*(1+$E$9)</f>
        <v>0</v>
      </c>
      <c r="AW438" s="107">
        <f>_xlfn.IFNA($M438/VLOOKUP($BT438,'Unit information'!$A$2:$K$29,5,FALSE)*U438,0)*(1+$E$9)</f>
        <v>0</v>
      </c>
      <c r="AX438" s="107">
        <f>_xlfn.IFNA($M438/VLOOKUP($BU438,'Unit information'!$A$2:$K$29,6,FALSE)*V438,0)*(1+$E$9)</f>
        <v>0</v>
      </c>
      <c r="AY438" s="107">
        <f>_xlfn.IFNA($M438/VLOOKUP($BU438,'Unit information'!$A$2:$K$29,7,FALSE)*W438,0)*(1+$E$9)</f>
        <v>0</v>
      </c>
      <c r="AZ438" s="107">
        <f>_xlfn.IFNA($M438/VLOOKUP($BU438,'Unit information'!$A$2:$K$29,8,FALSE)*X438,0)*(1+$E$9)</f>
        <v>0</v>
      </c>
      <c r="BA438" s="107">
        <f>_xlfn.IFNA($M438/VLOOKUP($BU438,'Unit information'!$A$2:$K$29,9,FALSE)*Y438,0)*(1+$E$9)</f>
        <v>0</v>
      </c>
      <c r="BB438" s="107">
        <f>_xlfn.IFNA($M438/VLOOKUP($BV438,'Unit information'!$A$2:$K$29,10,FALSE)*Z438,0)*(1+$E$9)</f>
        <v>0</v>
      </c>
      <c r="BC438" s="108">
        <f>_xlfn.IFNA($M438/VLOOKUP($BV438,'Unit information'!$A$2:$K$29,11,FALSE)*AA438,0)*(1+$E$9)</f>
        <v>0</v>
      </c>
      <c r="BD438" s="106">
        <f t="shared" si="945"/>
        <v>0</v>
      </c>
      <c r="BE438" s="107">
        <f t="shared" si="946"/>
        <v>0</v>
      </c>
      <c r="BF438" s="108">
        <f t="shared" si="947"/>
        <v>0</v>
      </c>
      <c r="BG438" s="25" t="e">
        <f t="shared" si="948"/>
        <v>#N/A</v>
      </c>
      <c r="BH438" s="25" t="e">
        <f t="shared" si="949"/>
        <v>#N/A</v>
      </c>
      <c r="BI438" s="25" t="e">
        <f t="shared" si="950"/>
        <v>#N/A</v>
      </c>
      <c r="BJ438" s="27" t="e">
        <f t="shared" si="951"/>
        <v>#N/A</v>
      </c>
      <c r="BK438" s="18" t="e">
        <f t="shared" si="952"/>
        <v>#N/A</v>
      </c>
      <c r="BL438" s="18" t="e">
        <f t="shared" si="953"/>
        <v>#N/A</v>
      </c>
      <c r="BM438" s="28" t="e">
        <f t="shared" si="1003"/>
        <v>#N/A</v>
      </c>
      <c r="BN438" s="33">
        <f>HLOOKUP("maximum population",Miscelaneous!$C$1:$C$33,CH438+3,FALSE)</f>
        <v>240</v>
      </c>
      <c r="BO438" s="14">
        <f t="shared" si="966"/>
        <v>32</v>
      </c>
      <c r="BP438" s="14">
        <f t="shared" si="967"/>
        <v>0</v>
      </c>
      <c r="BQ438" s="14">
        <f t="shared" si="968"/>
        <v>208</v>
      </c>
      <c r="BR438" s="34" t="e">
        <f>HLOOKUP(J438,Villagers!$B$1:$V$33,L438+3,FALSE)-HLOOKUP(J438,Villagers!$B$1:$V$33,L438+2,FALSE)</f>
        <v>#N/A</v>
      </c>
      <c r="BS438" s="49">
        <f t="shared" si="969"/>
        <v>1</v>
      </c>
      <c r="BT438" s="50">
        <f t="shared" si="970"/>
        <v>0</v>
      </c>
      <c r="BU438" s="50">
        <f t="shared" si="971"/>
        <v>0</v>
      </c>
      <c r="BV438" s="50">
        <f t="shared" si="972"/>
        <v>0</v>
      </c>
      <c r="BW438" s="50">
        <f t="shared" si="1050"/>
        <v>0</v>
      </c>
      <c r="BX438" s="50">
        <f t="shared" si="1050"/>
        <v>0</v>
      </c>
      <c r="BY438" s="50">
        <f t="shared" si="1050"/>
        <v>0</v>
      </c>
      <c r="BZ438" s="50">
        <f t="shared" si="1015"/>
        <v>0</v>
      </c>
      <c r="CA438" s="50">
        <f t="shared" si="1016"/>
        <v>0</v>
      </c>
      <c r="CB438" s="50">
        <f t="shared" si="1017"/>
        <v>1</v>
      </c>
      <c r="CC438" s="50">
        <f t="shared" si="1018"/>
        <v>0</v>
      </c>
      <c r="CD438" s="50">
        <f t="shared" si="1019"/>
        <v>0</v>
      </c>
      <c r="CE438" s="50">
        <f t="shared" si="1020"/>
        <v>1</v>
      </c>
      <c r="CF438" s="50">
        <f t="shared" si="1021"/>
        <v>1</v>
      </c>
      <c r="CG438" s="50">
        <f t="shared" si="1022"/>
        <v>1</v>
      </c>
      <c r="CH438" s="50">
        <f t="shared" si="1023"/>
        <v>1</v>
      </c>
      <c r="CI438" s="50">
        <f t="shared" si="1024"/>
        <v>1</v>
      </c>
      <c r="CJ438" s="50">
        <f t="shared" si="1025"/>
        <v>1</v>
      </c>
      <c r="CK438" s="50">
        <f t="shared" si="1025"/>
        <v>0</v>
      </c>
      <c r="CL438" s="50">
        <f t="shared" si="1025"/>
        <v>0</v>
      </c>
      <c r="CM438" s="51">
        <f t="shared" si="1026"/>
        <v>0</v>
      </c>
      <c r="CN438" s="33">
        <f>ROUND(IF(BS438=0,0,HLOOKUP(BS$14,Villagers!$B$1:$V$33,BS438+3,FALSE)),)</f>
        <v>5</v>
      </c>
      <c r="CO438" s="14">
        <f>ROUND(IF(BT438=0,0,HLOOKUP(BT$14,Villagers!$B$1:$V$33,BT438+3,FALSE)),)</f>
        <v>0</v>
      </c>
      <c r="CP438" s="14">
        <f>ROUND(IF(BU438=0,0,HLOOKUP(BU$14,Villagers!$B$1:$V$33,BU438+3,FALSE)),)</f>
        <v>0</v>
      </c>
      <c r="CQ438" s="14">
        <f>ROUND(IF(BV438=0,0,HLOOKUP(BV$14,Villagers!$B$1:$V$33,BV438+3,FALSE)),)</f>
        <v>0</v>
      </c>
      <c r="CR438" s="14">
        <f>ROUND(IF(BW438=0,0,HLOOKUP(BW$14,Villagers!$B$1:$V$33,BW438+3,FALSE)),)</f>
        <v>0</v>
      </c>
      <c r="CS438" s="14">
        <f>ROUND(IF(BX438=0,0,HLOOKUP(BX$14,Villagers!$B$1:$V$33,BX438+3,FALSE)),)</f>
        <v>0</v>
      </c>
      <c r="CT438" s="14">
        <f>ROUND(IF(BY438=0,0,HLOOKUP(BY$14,Villagers!$B$1:$V$33,BY438+3,FALSE)),)</f>
        <v>0</v>
      </c>
      <c r="CU438" s="14">
        <f>ROUND(IF(BZ438=0,0,HLOOKUP(BZ$14,Villagers!$B$1:$V$33,BZ438+3,FALSE)),)</f>
        <v>0</v>
      </c>
      <c r="CV438" s="14">
        <f>ROUND(IF(CA438=0,0,HLOOKUP(CA$14,Villagers!$B$1:$V$33,CA438+3,FALSE)),)</f>
        <v>0</v>
      </c>
      <c r="CW438" s="14">
        <f>ROUND(IF(CB438=0,0,HLOOKUP(CB$14,Villagers!$B$1:$V$33,CB438+3,FALSE)),)</f>
        <v>0</v>
      </c>
      <c r="CX438" s="14">
        <f>ROUND(IF(CC438=0,0,HLOOKUP(CC$14,Villagers!$B$1:$V$33,CC438+3,FALSE)),)</f>
        <v>0</v>
      </c>
      <c r="CY438" s="14">
        <f>ROUND(IF(CD438=0,0,HLOOKUP(CD$14,Villagers!$B$1:$V$33,CD438+3,FALSE)),)</f>
        <v>0</v>
      </c>
      <c r="CZ438" s="14">
        <f>ROUND(IF(CE438=0,0,HLOOKUP(CE$14,Villagers!$B$1:$V$33,CE438+3,FALSE)),)</f>
        <v>5</v>
      </c>
      <c r="DA438" s="14">
        <f>ROUND(IF(CF438=0,0,HLOOKUP(CF$14,Villagers!$B$1:$V$33,CF438+3,FALSE)),)</f>
        <v>10</v>
      </c>
      <c r="DB438" s="14">
        <f>ROUND(IF(CG438=0,0,HLOOKUP(CG$14,Villagers!$B$1:$V$33,CG438+3,FALSE)),)</f>
        <v>10</v>
      </c>
      <c r="DC438" s="14">
        <f>ROUND(IF(CH438=0,0,HLOOKUP(CH$14,Villagers!$B$1:$V$33,CH438+3,FALSE)),)</f>
        <v>0</v>
      </c>
      <c r="DD438" s="14">
        <f>ROUND(IF(CI438=0,0,HLOOKUP(CI$14,Villagers!$B$1:$V$33,CI438+3,FALSE)),)</f>
        <v>0</v>
      </c>
      <c r="DE438" s="14">
        <f>ROUND(IF(CJ438=0,0,HLOOKUP(CJ$14,Villagers!$B$1:$V$33,CJ438+3,FALSE)),)</f>
        <v>2</v>
      </c>
      <c r="DF438" s="370">
        <f>ROUND(IF(CK438=0,0,HLOOKUP(CK$14,Villagers!$B$1:$V$33,CK438+3,FALSE)),)</f>
        <v>0</v>
      </c>
      <c r="DG438" s="370">
        <f>ROUND(IF(CL438=0,0,HLOOKUP(CL$14,Villagers!$B$1:$V$33,CL438+3,FALSE)),)</f>
        <v>0</v>
      </c>
      <c r="DH438" s="34">
        <f>ROUND(IF(CM438=0,0,HLOOKUP(CM$14,Villagers!$B$1:$V$33,CM438+3,FALSE)),)</f>
        <v>0</v>
      </c>
      <c r="DI438" s="109">
        <f t="shared" si="989"/>
        <v>0</v>
      </c>
      <c r="DJ438" s="50">
        <f t="shared" si="990"/>
        <v>0</v>
      </c>
      <c r="DK438" s="50">
        <f t="shared" si="991"/>
        <v>0</v>
      </c>
      <c r="DL438" s="50">
        <f t="shared" si="992"/>
        <v>0</v>
      </c>
      <c r="DM438" s="50">
        <f t="shared" si="993"/>
        <v>0</v>
      </c>
      <c r="DN438" s="50">
        <f t="shared" si="994"/>
        <v>0</v>
      </c>
      <c r="DO438" s="50">
        <f t="shared" si="995"/>
        <v>0</v>
      </c>
      <c r="DP438" s="50">
        <f t="shared" si="996"/>
        <v>0</v>
      </c>
      <c r="DQ438" s="50">
        <f t="shared" si="973"/>
        <v>0</v>
      </c>
      <c r="DR438" s="50">
        <f t="shared" si="974"/>
        <v>0</v>
      </c>
      <c r="DS438" s="96">
        <f>Miscelaneous!$D$4*Miscelaneous!$D$2^($CI438-1)</f>
        <v>1000</v>
      </c>
      <c r="DT438" s="333">
        <f t="shared" si="955"/>
        <v>1</v>
      </c>
      <c r="DU438" s="81">
        <v>1</v>
      </c>
      <c r="DV438" s="79">
        <f t="shared" si="975"/>
        <v>0</v>
      </c>
      <c r="DW438" s="79">
        <f t="shared" si="976"/>
        <v>0</v>
      </c>
      <c r="DX438" s="79">
        <f t="shared" si="977"/>
        <v>0</v>
      </c>
      <c r="DY438" s="79">
        <v>1</v>
      </c>
      <c r="DZ438" s="79">
        <f t="shared" si="978"/>
        <v>0</v>
      </c>
      <c r="EA438" s="79">
        <f t="shared" si="979"/>
        <v>0</v>
      </c>
      <c r="EB438" s="79">
        <f t="shared" si="980"/>
        <v>0</v>
      </c>
      <c r="EC438" s="79">
        <f t="shared" si="981"/>
        <v>0</v>
      </c>
      <c r="ED438" s="79">
        <v>1</v>
      </c>
      <c r="EE438" s="79">
        <v>1</v>
      </c>
      <c r="EF438" s="79">
        <f t="shared" si="982"/>
        <v>0</v>
      </c>
      <c r="EG438" s="79">
        <v>1</v>
      </c>
      <c r="EH438" s="79">
        <v>1</v>
      </c>
      <c r="EI438" s="79">
        <v>1</v>
      </c>
      <c r="EJ438" s="79">
        <v>1</v>
      </c>
      <c r="EK438" s="79">
        <v>1</v>
      </c>
      <c r="EL438" s="79">
        <v>1</v>
      </c>
      <c r="EM438" s="143">
        <f t="shared" si="983"/>
        <v>0</v>
      </c>
      <c r="EN438" s="143">
        <f t="shared" si="984"/>
        <v>0</v>
      </c>
      <c r="EO438" s="82">
        <f t="shared" si="985"/>
        <v>0</v>
      </c>
    </row>
    <row r="439" spans="1:145" x14ac:dyDescent="0.25">
      <c r="A439">
        <v>425</v>
      </c>
      <c r="B439" s="172" t="e">
        <f t="shared" si="956"/>
        <v>#N/A</v>
      </c>
      <c r="C439" s="121" t="e">
        <f t="shared" ref="C439:E439" si="1060">AJ439-SUM(AB439:AB443)</f>
        <v>#N/A</v>
      </c>
      <c r="D439" s="122" t="e">
        <f t="shared" si="1060"/>
        <v>#N/A</v>
      </c>
      <c r="E439" s="122" t="e">
        <f t="shared" si="1060"/>
        <v>#N/A</v>
      </c>
      <c r="F439" s="176" t="e">
        <f t="shared" si="937"/>
        <v>#N/A</v>
      </c>
      <c r="G439" s="121">
        <f t="shared" si="958"/>
        <v>208</v>
      </c>
      <c r="H439" s="176" t="e">
        <f t="shared" si="959"/>
        <v>#N/A</v>
      </c>
      <c r="I439" s="48">
        <v>1</v>
      </c>
      <c r="J439" s="39"/>
      <c r="K439" s="350">
        <v>1</v>
      </c>
      <c r="L439" s="34" t="e">
        <f t="shared" si="938"/>
        <v>#N/A</v>
      </c>
      <c r="M439" s="38" t="e">
        <f>(HLOOKUP(J439,'Construction Times'!$B$3:$W$34,L439+2,FALSE)*HLOOKUP("hq modifier",'Construction Times'!$W$3:$W$34,BS439+2,FALSE))*(1-$H$9)</f>
        <v>#N/A</v>
      </c>
      <c r="N439" s="426" t="e">
        <f t="shared" si="960"/>
        <v>#N/A</v>
      </c>
      <c r="O439" s="427"/>
      <c r="P439" s="430" t="e">
        <f t="shared" si="961"/>
        <v>#N/A</v>
      </c>
      <c r="Q439" s="431"/>
      <c r="R439" s="103">
        <f t="shared" si="1052"/>
        <v>0</v>
      </c>
      <c r="S439" s="104">
        <f t="shared" si="1052"/>
        <v>0</v>
      </c>
      <c r="T439" s="104">
        <f t="shared" si="1053"/>
        <v>0</v>
      </c>
      <c r="U439" s="104">
        <f t="shared" si="1053"/>
        <v>0</v>
      </c>
      <c r="V439" s="104">
        <f t="shared" si="1053"/>
        <v>9.9999999999999995E-8</v>
      </c>
      <c r="W439" s="104">
        <f t="shared" si="1053"/>
        <v>0</v>
      </c>
      <c r="X439" s="104">
        <f t="shared" si="1045"/>
        <v>0</v>
      </c>
      <c r="Y439" s="104">
        <f t="shared" si="1045"/>
        <v>9.9999999999999995E-8</v>
      </c>
      <c r="Z439" s="104">
        <f t="shared" si="1045"/>
        <v>9.9999999999999995E-8</v>
      </c>
      <c r="AA439" s="105">
        <f t="shared" si="1045"/>
        <v>9.9999999999999995E-8</v>
      </c>
      <c r="AB439" s="101" t="e">
        <f>$DT439*HLOOKUP($J439,'Construction Costs (timber)'!$B$1:$V$32,'Construction Planner'!$L439+2,FALSE)</f>
        <v>#N/A</v>
      </c>
      <c r="AC439" s="14" t="e">
        <f>$DT439*HLOOKUP($J439,'Construction Costs (clay)'!$B$1:$V$32,'Construction Planner'!$L439+2,FALSE)</f>
        <v>#N/A</v>
      </c>
      <c r="AD439" s="14" t="e">
        <f>$DT439*HLOOKUP($J439,'Construction Costs (iron)'!$B$1:$V$32,'Construction Planner'!$L439+2,FALSE)</f>
        <v>#N/A</v>
      </c>
      <c r="AE439" s="34" t="e">
        <f t="shared" si="1000"/>
        <v>#N/A</v>
      </c>
      <c r="AF439" s="33" t="e">
        <f t="shared" si="939"/>
        <v>#N/A</v>
      </c>
      <c r="AG439" s="14" t="e">
        <f t="shared" si="940"/>
        <v>#N/A</v>
      </c>
      <c r="AH439" s="14" t="e">
        <f t="shared" si="941"/>
        <v>#N/A</v>
      </c>
      <c r="AI439" s="34" t="e">
        <f t="shared" si="1001"/>
        <v>#N/A</v>
      </c>
      <c r="AJ439" s="49" t="e">
        <f t="shared" si="962"/>
        <v>#N/A</v>
      </c>
      <c r="AK439" s="49" t="e">
        <f t="shared" si="963"/>
        <v>#N/A</v>
      </c>
      <c r="AL439" s="49" t="e">
        <f t="shared" si="964"/>
        <v>#N/A</v>
      </c>
      <c r="AM439" s="25">
        <f t="shared" si="942"/>
        <v>30</v>
      </c>
      <c r="AN439" s="25">
        <f t="shared" si="943"/>
        <v>30</v>
      </c>
      <c r="AO439" s="25">
        <f t="shared" si="944"/>
        <v>30</v>
      </c>
      <c r="AP439" s="52" t="e">
        <f t="shared" si="1049"/>
        <v>#N/A</v>
      </c>
      <c r="AQ439" s="53" t="e">
        <f t="shared" si="1049"/>
        <v>#N/A</v>
      </c>
      <c r="AR439" s="54" t="e">
        <f t="shared" si="1049"/>
        <v>#N/A</v>
      </c>
      <c r="AS439" s="316">
        <f t="shared" si="1057"/>
        <v>0</v>
      </c>
      <c r="AT439" s="106">
        <f>_xlfn.IFNA($M439/VLOOKUP($BT439,'Unit information'!$A$2:$K$29,2,FALSE)*R439,0)*(1+$E$9)</f>
        <v>0</v>
      </c>
      <c r="AU439" s="107">
        <f>_xlfn.IFNA($M439/VLOOKUP($BT439,'Unit information'!$A$2:$K$29,3,FALSE)*S439,0)*(1+$E$9)</f>
        <v>0</v>
      </c>
      <c r="AV439" s="107">
        <f>_xlfn.IFNA($M439/VLOOKUP($BT439,'Unit information'!$A$2:$K$29,4,FALSE)*T439,0)*(1+$E$9)</f>
        <v>0</v>
      </c>
      <c r="AW439" s="107">
        <f>_xlfn.IFNA($M439/VLOOKUP($BT439,'Unit information'!$A$2:$K$29,5,FALSE)*U439,0)*(1+$E$9)</f>
        <v>0</v>
      </c>
      <c r="AX439" s="107">
        <f>_xlfn.IFNA($M439/VLOOKUP($BU439,'Unit information'!$A$2:$K$29,6,FALSE)*V439,0)*(1+$E$9)</f>
        <v>0</v>
      </c>
      <c r="AY439" s="107">
        <f>_xlfn.IFNA($M439/VLOOKUP($BU439,'Unit information'!$A$2:$K$29,7,FALSE)*W439,0)*(1+$E$9)</f>
        <v>0</v>
      </c>
      <c r="AZ439" s="107">
        <f>_xlfn.IFNA($M439/VLOOKUP($BU439,'Unit information'!$A$2:$K$29,8,FALSE)*X439,0)*(1+$E$9)</f>
        <v>0</v>
      </c>
      <c r="BA439" s="107">
        <f>_xlfn.IFNA($M439/VLOOKUP($BU439,'Unit information'!$A$2:$K$29,9,FALSE)*Y439,0)*(1+$E$9)</f>
        <v>0</v>
      </c>
      <c r="BB439" s="107">
        <f>_xlfn.IFNA($M439/VLOOKUP($BV439,'Unit information'!$A$2:$K$29,10,FALSE)*Z439,0)*(1+$E$9)</f>
        <v>0</v>
      </c>
      <c r="BC439" s="108">
        <f>_xlfn.IFNA($M439/VLOOKUP($BV439,'Unit information'!$A$2:$K$29,11,FALSE)*AA439,0)*(1+$E$9)</f>
        <v>0</v>
      </c>
      <c r="BD439" s="106">
        <f t="shared" si="945"/>
        <v>0</v>
      </c>
      <c r="BE439" s="107">
        <f t="shared" si="946"/>
        <v>0</v>
      </c>
      <c r="BF439" s="108">
        <f t="shared" si="947"/>
        <v>0</v>
      </c>
      <c r="BG439" s="25" t="e">
        <f t="shared" si="948"/>
        <v>#N/A</v>
      </c>
      <c r="BH439" s="25" t="e">
        <f t="shared" si="949"/>
        <v>#N/A</v>
      </c>
      <c r="BI439" s="25" t="e">
        <f t="shared" si="950"/>
        <v>#N/A</v>
      </c>
      <c r="BJ439" s="27" t="e">
        <f t="shared" si="951"/>
        <v>#N/A</v>
      </c>
      <c r="BK439" s="18" t="e">
        <f t="shared" si="952"/>
        <v>#N/A</v>
      </c>
      <c r="BL439" s="18" t="e">
        <f t="shared" si="953"/>
        <v>#N/A</v>
      </c>
      <c r="BM439" s="28" t="e">
        <f t="shared" si="1003"/>
        <v>#N/A</v>
      </c>
      <c r="BN439" s="33">
        <f>HLOOKUP("maximum population",Miscelaneous!$C$1:$C$33,CH439+3,FALSE)</f>
        <v>240</v>
      </c>
      <c r="BO439" s="14">
        <f t="shared" si="966"/>
        <v>32</v>
      </c>
      <c r="BP439" s="14">
        <f t="shared" si="967"/>
        <v>0</v>
      </c>
      <c r="BQ439" s="14">
        <f t="shared" si="968"/>
        <v>208</v>
      </c>
      <c r="BR439" s="34" t="e">
        <f>HLOOKUP(J439,Villagers!$B$1:$V$33,L439+3,FALSE)-HLOOKUP(J439,Villagers!$B$1:$V$33,L439+2,FALSE)</f>
        <v>#N/A</v>
      </c>
      <c r="BS439" s="49">
        <f t="shared" si="969"/>
        <v>1</v>
      </c>
      <c r="BT439" s="50">
        <f t="shared" si="970"/>
        <v>0</v>
      </c>
      <c r="BU439" s="50">
        <f t="shared" si="971"/>
        <v>0</v>
      </c>
      <c r="BV439" s="50">
        <f t="shared" si="972"/>
        <v>0</v>
      </c>
      <c r="BW439" s="50">
        <f>IF($J438=BW$14,$L438,BW438)</f>
        <v>0</v>
      </c>
      <c r="BX439" s="50">
        <f t="shared" ref="BX439:BY447" si="1061">IF($J438=BX$14,$L438,BX438)</f>
        <v>0</v>
      </c>
      <c r="BY439" s="50">
        <f t="shared" si="1061"/>
        <v>0</v>
      </c>
      <c r="BZ439" s="50">
        <f t="shared" si="1015"/>
        <v>0</v>
      </c>
      <c r="CA439" s="50">
        <f t="shared" si="1016"/>
        <v>0</v>
      </c>
      <c r="CB439" s="50">
        <f t="shared" si="1017"/>
        <v>1</v>
      </c>
      <c r="CC439" s="50">
        <f t="shared" si="1018"/>
        <v>0</v>
      </c>
      <c r="CD439" s="50">
        <f t="shared" si="1019"/>
        <v>0</v>
      </c>
      <c r="CE439" s="50">
        <f t="shared" si="1020"/>
        <v>1</v>
      </c>
      <c r="CF439" s="50">
        <f t="shared" si="1021"/>
        <v>1</v>
      </c>
      <c r="CG439" s="50">
        <f t="shared" si="1022"/>
        <v>1</v>
      </c>
      <c r="CH439" s="50">
        <f t="shared" si="1023"/>
        <v>1</v>
      </c>
      <c r="CI439" s="50">
        <f t="shared" si="1024"/>
        <v>1</v>
      </c>
      <c r="CJ439" s="50">
        <f t="shared" si="1025"/>
        <v>1</v>
      </c>
      <c r="CK439" s="50">
        <f t="shared" si="1025"/>
        <v>0</v>
      </c>
      <c r="CL439" s="50">
        <f t="shared" si="1025"/>
        <v>0</v>
      </c>
      <c r="CM439" s="51">
        <f t="shared" si="1026"/>
        <v>0</v>
      </c>
      <c r="CN439" s="33">
        <f>ROUND(IF(BS439=0,0,HLOOKUP(BS$14,Villagers!$B$1:$V$33,BS439+3,FALSE)),)</f>
        <v>5</v>
      </c>
      <c r="CO439" s="14">
        <f>ROUND(IF(BT439=0,0,HLOOKUP(BT$14,Villagers!$B$1:$V$33,BT439+3,FALSE)),)</f>
        <v>0</v>
      </c>
      <c r="CP439" s="14">
        <f>ROUND(IF(BU439=0,0,HLOOKUP(BU$14,Villagers!$B$1:$V$33,BU439+3,FALSE)),)</f>
        <v>0</v>
      </c>
      <c r="CQ439" s="14">
        <f>ROUND(IF(BV439=0,0,HLOOKUP(BV$14,Villagers!$B$1:$V$33,BV439+3,FALSE)),)</f>
        <v>0</v>
      </c>
      <c r="CR439" s="14">
        <f>ROUND(IF(BW439=0,0,HLOOKUP(BW$14,Villagers!$B$1:$V$33,BW439+3,FALSE)),)</f>
        <v>0</v>
      </c>
      <c r="CS439" s="14">
        <f>ROUND(IF(BX439=0,0,HLOOKUP(BX$14,Villagers!$B$1:$V$33,BX439+3,FALSE)),)</f>
        <v>0</v>
      </c>
      <c r="CT439" s="14">
        <f>ROUND(IF(BY439=0,0,HLOOKUP(BY$14,Villagers!$B$1:$V$33,BY439+3,FALSE)),)</f>
        <v>0</v>
      </c>
      <c r="CU439" s="14">
        <f>ROUND(IF(BZ439=0,0,HLOOKUP(BZ$14,Villagers!$B$1:$V$33,BZ439+3,FALSE)),)</f>
        <v>0</v>
      </c>
      <c r="CV439" s="14">
        <f>ROUND(IF(CA439=0,0,HLOOKUP(CA$14,Villagers!$B$1:$V$33,CA439+3,FALSE)),)</f>
        <v>0</v>
      </c>
      <c r="CW439" s="14">
        <f>ROUND(IF(CB439=0,0,HLOOKUP(CB$14,Villagers!$B$1:$V$33,CB439+3,FALSE)),)</f>
        <v>0</v>
      </c>
      <c r="CX439" s="14">
        <f>ROUND(IF(CC439=0,0,HLOOKUP(CC$14,Villagers!$B$1:$V$33,CC439+3,FALSE)),)</f>
        <v>0</v>
      </c>
      <c r="CY439" s="14">
        <f>ROUND(IF(CD439=0,0,HLOOKUP(CD$14,Villagers!$B$1:$V$33,CD439+3,FALSE)),)</f>
        <v>0</v>
      </c>
      <c r="CZ439" s="14">
        <f>ROUND(IF(CE439=0,0,HLOOKUP(CE$14,Villagers!$B$1:$V$33,CE439+3,FALSE)),)</f>
        <v>5</v>
      </c>
      <c r="DA439" s="14">
        <f>ROUND(IF(CF439=0,0,HLOOKUP(CF$14,Villagers!$B$1:$V$33,CF439+3,FALSE)),)</f>
        <v>10</v>
      </c>
      <c r="DB439" s="14">
        <f>ROUND(IF(CG439=0,0,HLOOKUP(CG$14,Villagers!$B$1:$V$33,CG439+3,FALSE)),)</f>
        <v>10</v>
      </c>
      <c r="DC439" s="14">
        <f>ROUND(IF(CH439=0,0,HLOOKUP(CH$14,Villagers!$B$1:$V$33,CH439+3,FALSE)),)</f>
        <v>0</v>
      </c>
      <c r="DD439" s="14">
        <f>ROUND(IF(CI439=0,0,HLOOKUP(CI$14,Villagers!$B$1:$V$33,CI439+3,FALSE)),)</f>
        <v>0</v>
      </c>
      <c r="DE439" s="14">
        <f>ROUND(IF(CJ439=0,0,HLOOKUP(CJ$14,Villagers!$B$1:$V$33,CJ439+3,FALSE)),)</f>
        <v>2</v>
      </c>
      <c r="DF439" s="370">
        <f>ROUND(IF(CK439=0,0,HLOOKUP(CK$14,Villagers!$B$1:$V$33,CK439+3,FALSE)),)</f>
        <v>0</v>
      </c>
      <c r="DG439" s="370">
        <f>ROUND(IF(CL439=0,0,HLOOKUP(CL$14,Villagers!$B$1:$V$33,CL439+3,FALSE)),)</f>
        <v>0</v>
      </c>
      <c r="DH439" s="34">
        <f>ROUND(IF(CM439=0,0,HLOOKUP(CM$14,Villagers!$B$1:$V$33,CM439+3,FALSE)),)</f>
        <v>0</v>
      </c>
      <c r="DI439" s="109">
        <f t="shared" si="989"/>
        <v>0</v>
      </c>
      <c r="DJ439" s="50">
        <f t="shared" si="990"/>
        <v>0</v>
      </c>
      <c r="DK439" s="50">
        <f t="shared" si="991"/>
        <v>0</v>
      </c>
      <c r="DL439" s="50">
        <f t="shared" si="992"/>
        <v>0</v>
      </c>
      <c r="DM439" s="50">
        <f t="shared" si="993"/>
        <v>0</v>
      </c>
      <c r="DN439" s="50">
        <f t="shared" si="994"/>
        <v>0</v>
      </c>
      <c r="DO439" s="50">
        <f t="shared" si="995"/>
        <v>0</v>
      </c>
      <c r="DP439" s="50">
        <f t="shared" si="996"/>
        <v>0</v>
      </c>
      <c r="DQ439" s="50">
        <f t="shared" si="973"/>
        <v>0</v>
      </c>
      <c r="DR439" s="50">
        <f t="shared" si="974"/>
        <v>0</v>
      </c>
      <c r="DS439" s="96">
        <f>Miscelaneous!$D$4*Miscelaneous!$D$2^($CI439-1)</f>
        <v>1000</v>
      </c>
      <c r="DT439" s="333">
        <f t="shared" si="955"/>
        <v>1</v>
      </c>
      <c r="DU439" s="81">
        <v>1</v>
      </c>
      <c r="DV439" s="79">
        <f t="shared" si="975"/>
        <v>0</v>
      </c>
      <c r="DW439" s="79">
        <f t="shared" si="976"/>
        <v>0</v>
      </c>
      <c r="DX439" s="79">
        <f t="shared" si="977"/>
        <v>0</v>
      </c>
      <c r="DY439" s="79">
        <v>1</v>
      </c>
      <c r="DZ439" s="79">
        <f t="shared" si="978"/>
        <v>0</v>
      </c>
      <c r="EA439" s="79">
        <f t="shared" si="979"/>
        <v>0</v>
      </c>
      <c r="EB439" s="79">
        <f t="shared" si="980"/>
        <v>0</v>
      </c>
      <c r="EC439" s="79">
        <f t="shared" si="981"/>
        <v>0</v>
      </c>
      <c r="ED439" s="79">
        <v>1</v>
      </c>
      <c r="EE439" s="79">
        <v>1</v>
      </c>
      <c r="EF439" s="79">
        <f t="shared" si="982"/>
        <v>0</v>
      </c>
      <c r="EG439" s="79">
        <v>1</v>
      </c>
      <c r="EH439" s="79">
        <v>1</v>
      </c>
      <c r="EI439" s="79">
        <v>1</v>
      </c>
      <c r="EJ439" s="79">
        <v>1</v>
      </c>
      <c r="EK439" s="79">
        <v>1</v>
      </c>
      <c r="EL439" s="79">
        <v>1</v>
      </c>
      <c r="EM439" s="143">
        <f t="shared" si="983"/>
        <v>0</v>
      </c>
      <c r="EN439" s="143">
        <f t="shared" si="984"/>
        <v>0</v>
      </c>
      <c r="EO439" s="82">
        <f t="shared" si="985"/>
        <v>0</v>
      </c>
    </row>
    <row r="440" spans="1:145" x14ac:dyDescent="0.25">
      <c r="A440">
        <v>426</v>
      </c>
      <c r="B440" s="172" t="e">
        <f t="shared" si="956"/>
        <v>#N/A</v>
      </c>
      <c r="C440" s="121" t="e">
        <f t="shared" ref="C440:E440" si="1062">AJ440-SUM(AB440:AB444)</f>
        <v>#N/A</v>
      </c>
      <c r="D440" s="122" t="e">
        <f t="shared" si="1062"/>
        <v>#N/A</v>
      </c>
      <c r="E440" s="122" t="e">
        <f t="shared" si="1062"/>
        <v>#N/A</v>
      </c>
      <c r="F440" s="176" t="e">
        <f t="shared" si="937"/>
        <v>#N/A</v>
      </c>
      <c r="G440" s="121">
        <f t="shared" si="958"/>
        <v>208</v>
      </c>
      <c r="H440" s="176" t="e">
        <f t="shared" si="959"/>
        <v>#N/A</v>
      </c>
      <c r="I440" s="48">
        <v>1</v>
      </c>
      <c r="J440" s="39"/>
      <c r="K440" s="350">
        <v>1</v>
      </c>
      <c r="L440" s="34" t="e">
        <f t="shared" si="938"/>
        <v>#N/A</v>
      </c>
      <c r="M440" s="38" t="e">
        <f>(HLOOKUP(J440,'Construction Times'!$B$3:$W$34,L440+2,FALSE)*HLOOKUP("hq modifier",'Construction Times'!$W$3:$W$34,BS440+2,FALSE))*(1-$H$9)</f>
        <v>#N/A</v>
      </c>
      <c r="N440" s="426" t="e">
        <f t="shared" si="960"/>
        <v>#N/A</v>
      </c>
      <c r="O440" s="427"/>
      <c r="P440" s="430" t="e">
        <f t="shared" si="961"/>
        <v>#N/A</v>
      </c>
      <c r="Q440" s="431"/>
      <c r="R440" s="103">
        <f t="shared" si="1052"/>
        <v>0</v>
      </c>
      <c r="S440" s="104">
        <f t="shared" si="1052"/>
        <v>0</v>
      </c>
      <c r="T440" s="104">
        <f t="shared" si="1053"/>
        <v>0</v>
      </c>
      <c r="U440" s="104">
        <f t="shared" si="1053"/>
        <v>0</v>
      </c>
      <c r="V440" s="104">
        <f t="shared" si="1053"/>
        <v>9.9999999999999995E-8</v>
      </c>
      <c r="W440" s="104">
        <f t="shared" si="1053"/>
        <v>0</v>
      </c>
      <c r="X440" s="104">
        <f t="shared" si="1045"/>
        <v>0</v>
      </c>
      <c r="Y440" s="104">
        <f t="shared" si="1045"/>
        <v>9.9999999999999995E-8</v>
      </c>
      <c r="Z440" s="104">
        <f t="shared" si="1045"/>
        <v>9.9999999999999995E-8</v>
      </c>
      <c r="AA440" s="105">
        <f t="shared" si="1045"/>
        <v>9.9999999999999995E-8</v>
      </c>
      <c r="AB440" s="101" t="e">
        <f>$DT440*HLOOKUP($J440,'Construction Costs (timber)'!$B$1:$V$32,'Construction Planner'!$L440+2,FALSE)</f>
        <v>#N/A</v>
      </c>
      <c r="AC440" s="14" t="e">
        <f>$DT440*HLOOKUP($J440,'Construction Costs (clay)'!$B$1:$V$32,'Construction Planner'!$L440+2,FALSE)</f>
        <v>#N/A</v>
      </c>
      <c r="AD440" s="14" t="e">
        <f>$DT440*HLOOKUP($J440,'Construction Costs (iron)'!$B$1:$V$32,'Construction Planner'!$L440+2,FALSE)</f>
        <v>#N/A</v>
      </c>
      <c r="AE440" s="34" t="e">
        <f t="shared" si="1000"/>
        <v>#N/A</v>
      </c>
      <c r="AF440" s="33" t="e">
        <f t="shared" si="939"/>
        <v>#N/A</v>
      </c>
      <c r="AG440" s="14" t="e">
        <f t="shared" si="940"/>
        <v>#N/A</v>
      </c>
      <c r="AH440" s="14" t="e">
        <f t="shared" si="941"/>
        <v>#N/A</v>
      </c>
      <c r="AI440" s="34" t="e">
        <f t="shared" si="1001"/>
        <v>#N/A</v>
      </c>
      <c r="AJ440" s="49" t="e">
        <f t="shared" si="962"/>
        <v>#N/A</v>
      </c>
      <c r="AK440" s="49" t="e">
        <f t="shared" si="963"/>
        <v>#N/A</v>
      </c>
      <c r="AL440" s="49" t="e">
        <f t="shared" si="964"/>
        <v>#N/A</v>
      </c>
      <c r="AM440" s="25">
        <f t="shared" si="942"/>
        <v>30</v>
      </c>
      <c r="AN440" s="25">
        <f t="shared" si="943"/>
        <v>30</v>
      </c>
      <c r="AO440" s="25">
        <f t="shared" si="944"/>
        <v>30</v>
      </c>
      <c r="AP440" s="52" t="e">
        <f t="shared" si="1049"/>
        <v>#N/A</v>
      </c>
      <c r="AQ440" s="53" t="e">
        <f t="shared" si="1049"/>
        <v>#N/A</v>
      </c>
      <c r="AR440" s="54" t="e">
        <f t="shared" si="1049"/>
        <v>#N/A</v>
      </c>
      <c r="AS440" s="316">
        <f t="shared" si="1057"/>
        <v>0</v>
      </c>
      <c r="AT440" s="106">
        <f>_xlfn.IFNA($M440/VLOOKUP($BT440,'Unit information'!$A$2:$K$29,2,FALSE)*R440,0)*(1+$E$9)</f>
        <v>0</v>
      </c>
      <c r="AU440" s="107">
        <f>_xlfn.IFNA($M440/VLOOKUP($BT440,'Unit information'!$A$2:$K$29,3,FALSE)*S440,0)*(1+$E$9)</f>
        <v>0</v>
      </c>
      <c r="AV440" s="107">
        <f>_xlfn.IFNA($M440/VLOOKUP($BT440,'Unit information'!$A$2:$K$29,4,FALSE)*T440,0)*(1+$E$9)</f>
        <v>0</v>
      </c>
      <c r="AW440" s="107">
        <f>_xlfn.IFNA($M440/VLOOKUP($BT440,'Unit information'!$A$2:$K$29,5,FALSE)*U440,0)*(1+$E$9)</f>
        <v>0</v>
      </c>
      <c r="AX440" s="107">
        <f>_xlfn.IFNA($M440/VLOOKUP($BU440,'Unit information'!$A$2:$K$29,6,FALSE)*V440,0)*(1+$E$9)</f>
        <v>0</v>
      </c>
      <c r="AY440" s="107">
        <f>_xlfn.IFNA($M440/VLOOKUP($BU440,'Unit information'!$A$2:$K$29,7,FALSE)*W440,0)*(1+$E$9)</f>
        <v>0</v>
      </c>
      <c r="AZ440" s="107">
        <f>_xlfn.IFNA($M440/VLOOKUP($BU440,'Unit information'!$A$2:$K$29,8,FALSE)*X440,0)*(1+$E$9)</f>
        <v>0</v>
      </c>
      <c r="BA440" s="107">
        <f>_xlfn.IFNA($M440/VLOOKUP($BU440,'Unit information'!$A$2:$K$29,9,FALSE)*Y440,0)*(1+$E$9)</f>
        <v>0</v>
      </c>
      <c r="BB440" s="107">
        <f>_xlfn.IFNA($M440/VLOOKUP($BV440,'Unit information'!$A$2:$K$29,10,FALSE)*Z440,0)*(1+$E$9)</f>
        <v>0</v>
      </c>
      <c r="BC440" s="108">
        <f>_xlfn.IFNA($M440/VLOOKUP($BV440,'Unit information'!$A$2:$K$29,11,FALSE)*AA440,0)*(1+$E$9)</f>
        <v>0</v>
      </c>
      <c r="BD440" s="106">
        <f t="shared" si="945"/>
        <v>0</v>
      </c>
      <c r="BE440" s="107">
        <f t="shared" si="946"/>
        <v>0</v>
      </c>
      <c r="BF440" s="108">
        <f t="shared" si="947"/>
        <v>0</v>
      </c>
      <c r="BG440" s="25" t="e">
        <f t="shared" si="948"/>
        <v>#N/A</v>
      </c>
      <c r="BH440" s="25" t="e">
        <f t="shared" si="949"/>
        <v>#N/A</v>
      </c>
      <c r="BI440" s="25" t="e">
        <f t="shared" si="950"/>
        <v>#N/A</v>
      </c>
      <c r="BJ440" s="27" t="e">
        <f t="shared" si="951"/>
        <v>#N/A</v>
      </c>
      <c r="BK440" s="18" t="e">
        <f t="shared" si="952"/>
        <v>#N/A</v>
      </c>
      <c r="BL440" s="18" t="e">
        <f t="shared" si="953"/>
        <v>#N/A</v>
      </c>
      <c r="BM440" s="28" t="e">
        <f t="shared" si="1003"/>
        <v>#N/A</v>
      </c>
      <c r="BN440" s="33">
        <f>HLOOKUP("maximum population",Miscelaneous!$C$1:$C$33,CH440+3,FALSE)</f>
        <v>240</v>
      </c>
      <c r="BO440" s="14">
        <f t="shared" si="966"/>
        <v>32</v>
      </c>
      <c r="BP440" s="14">
        <f t="shared" si="967"/>
        <v>0</v>
      </c>
      <c r="BQ440" s="14">
        <f t="shared" si="968"/>
        <v>208</v>
      </c>
      <c r="BR440" s="34" t="e">
        <f>HLOOKUP(J440,Villagers!$B$1:$V$33,L440+3,FALSE)-HLOOKUP(J440,Villagers!$B$1:$V$33,L440+2,FALSE)</f>
        <v>#N/A</v>
      </c>
      <c r="BS440" s="49">
        <f t="shared" si="969"/>
        <v>1</v>
      </c>
      <c r="BT440" s="50">
        <f t="shared" si="970"/>
        <v>0</v>
      </c>
      <c r="BU440" s="50">
        <f t="shared" si="971"/>
        <v>0</v>
      </c>
      <c r="BV440" s="50">
        <f t="shared" si="972"/>
        <v>0</v>
      </c>
      <c r="BW440" s="50">
        <f t="shared" ref="BW440:BW447" si="1063">IF($J439=BW$14,$L439,BW439)</f>
        <v>0</v>
      </c>
      <c r="BX440" s="50">
        <f t="shared" si="1061"/>
        <v>0</v>
      </c>
      <c r="BY440" s="50">
        <f t="shared" si="1061"/>
        <v>0</v>
      </c>
      <c r="BZ440" s="50">
        <f t="shared" si="1015"/>
        <v>0</v>
      </c>
      <c r="CA440" s="50">
        <f t="shared" si="1016"/>
        <v>0</v>
      </c>
      <c r="CB440" s="50">
        <f t="shared" si="1017"/>
        <v>1</v>
      </c>
      <c r="CC440" s="50">
        <f t="shared" si="1018"/>
        <v>0</v>
      </c>
      <c r="CD440" s="50">
        <f t="shared" si="1019"/>
        <v>0</v>
      </c>
      <c r="CE440" s="50">
        <f t="shared" si="1020"/>
        <v>1</v>
      </c>
      <c r="CF440" s="50">
        <f t="shared" si="1021"/>
        <v>1</v>
      </c>
      <c r="CG440" s="50">
        <f t="shared" si="1022"/>
        <v>1</v>
      </c>
      <c r="CH440" s="50">
        <f t="shared" si="1023"/>
        <v>1</v>
      </c>
      <c r="CI440" s="50">
        <f t="shared" si="1024"/>
        <v>1</v>
      </c>
      <c r="CJ440" s="50">
        <f t="shared" si="1025"/>
        <v>1</v>
      </c>
      <c r="CK440" s="50">
        <f t="shared" si="1025"/>
        <v>0</v>
      </c>
      <c r="CL440" s="50">
        <f t="shared" si="1025"/>
        <v>0</v>
      </c>
      <c r="CM440" s="51">
        <f t="shared" si="1026"/>
        <v>0</v>
      </c>
      <c r="CN440" s="33">
        <f>ROUND(IF(BS440=0,0,HLOOKUP(BS$14,Villagers!$B$1:$V$33,BS440+3,FALSE)),)</f>
        <v>5</v>
      </c>
      <c r="CO440" s="14">
        <f>ROUND(IF(BT440=0,0,HLOOKUP(BT$14,Villagers!$B$1:$V$33,BT440+3,FALSE)),)</f>
        <v>0</v>
      </c>
      <c r="CP440" s="14">
        <f>ROUND(IF(BU440=0,0,HLOOKUP(BU$14,Villagers!$B$1:$V$33,BU440+3,FALSE)),)</f>
        <v>0</v>
      </c>
      <c r="CQ440" s="14">
        <f>ROUND(IF(BV440=0,0,HLOOKUP(BV$14,Villagers!$B$1:$V$33,BV440+3,FALSE)),)</f>
        <v>0</v>
      </c>
      <c r="CR440" s="14">
        <f>ROUND(IF(BW440=0,0,HLOOKUP(BW$14,Villagers!$B$1:$V$33,BW440+3,FALSE)),)</f>
        <v>0</v>
      </c>
      <c r="CS440" s="14">
        <f>ROUND(IF(BX440=0,0,HLOOKUP(BX$14,Villagers!$B$1:$V$33,BX440+3,FALSE)),)</f>
        <v>0</v>
      </c>
      <c r="CT440" s="14">
        <f>ROUND(IF(BY440=0,0,HLOOKUP(BY$14,Villagers!$B$1:$V$33,BY440+3,FALSE)),)</f>
        <v>0</v>
      </c>
      <c r="CU440" s="14">
        <f>ROUND(IF(BZ440=0,0,HLOOKUP(BZ$14,Villagers!$B$1:$V$33,BZ440+3,FALSE)),)</f>
        <v>0</v>
      </c>
      <c r="CV440" s="14">
        <f>ROUND(IF(CA440=0,0,HLOOKUP(CA$14,Villagers!$B$1:$V$33,CA440+3,FALSE)),)</f>
        <v>0</v>
      </c>
      <c r="CW440" s="14">
        <f>ROUND(IF(CB440=0,0,HLOOKUP(CB$14,Villagers!$B$1:$V$33,CB440+3,FALSE)),)</f>
        <v>0</v>
      </c>
      <c r="CX440" s="14">
        <f>ROUND(IF(CC440=0,0,HLOOKUP(CC$14,Villagers!$B$1:$V$33,CC440+3,FALSE)),)</f>
        <v>0</v>
      </c>
      <c r="CY440" s="14">
        <f>ROUND(IF(CD440=0,0,HLOOKUP(CD$14,Villagers!$B$1:$V$33,CD440+3,FALSE)),)</f>
        <v>0</v>
      </c>
      <c r="CZ440" s="14">
        <f>ROUND(IF(CE440=0,0,HLOOKUP(CE$14,Villagers!$B$1:$V$33,CE440+3,FALSE)),)</f>
        <v>5</v>
      </c>
      <c r="DA440" s="14">
        <f>ROUND(IF(CF440=0,0,HLOOKUP(CF$14,Villagers!$B$1:$V$33,CF440+3,FALSE)),)</f>
        <v>10</v>
      </c>
      <c r="DB440" s="14">
        <f>ROUND(IF(CG440=0,0,HLOOKUP(CG$14,Villagers!$B$1:$V$33,CG440+3,FALSE)),)</f>
        <v>10</v>
      </c>
      <c r="DC440" s="14">
        <f>ROUND(IF(CH440=0,0,HLOOKUP(CH$14,Villagers!$B$1:$V$33,CH440+3,FALSE)),)</f>
        <v>0</v>
      </c>
      <c r="DD440" s="14">
        <f>ROUND(IF(CI440=0,0,HLOOKUP(CI$14,Villagers!$B$1:$V$33,CI440+3,FALSE)),)</f>
        <v>0</v>
      </c>
      <c r="DE440" s="14">
        <f>ROUND(IF(CJ440=0,0,HLOOKUP(CJ$14,Villagers!$B$1:$V$33,CJ440+3,FALSE)),)</f>
        <v>2</v>
      </c>
      <c r="DF440" s="370">
        <f>ROUND(IF(CK440=0,0,HLOOKUP(CK$14,Villagers!$B$1:$V$33,CK440+3,FALSE)),)</f>
        <v>0</v>
      </c>
      <c r="DG440" s="370">
        <f>ROUND(IF(CL440=0,0,HLOOKUP(CL$14,Villagers!$B$1:$V$33,CL440+3,FALSE)),)</f>
        <v>0</v>
      </c>
      <c r="DH440" s="34">
        <f>ROUND(IF(CM440=0,0,HLOOKUP(CM$14,Villagers!$B$1:$V$33,CM440+3,FALSE)),)</f>
        <v>0</v>
      </c>
      <c r="DI440" s="109">
        <f t="shared" si="989"/>
        <v>0</v>
      </c>
      <c r="DJ440" s="50">
        <f t="shared" si="990"/>
        <v>0</v>
      </c>
      <c r="DK440" s="50">
        <f t="shared" si="991"/>
        <v>0</v>
      </c>
      <c r="DL440" s="50">
        <f t="shared" si="992"/>
        <v>0</v>
      </c>
      <c r="DM440" s="50">
        <f t="shared" si="993"/>
        <v>0</v>
      </c>
      <c r="DN440" s="50">
        <f t="shared" si="994"/>
        <v>0</v>
      </c>
      <c r="DO440" s="50">
        <f t="shared" si="995"/>
        <v>0</v>
      </c>
      <c r="DP440" s="50">
        <f t="shared" si="996"/>
        <v>0</v>
      </c>
      <c r="DQ440" s="50">
        <f t="shared" si="973"/>
        <v>0</v>
      </c>
      <c r="DR440" s="50">
        <f t="shared" si="974"/>
        <v>0</v>
      </c>
      <c r="DS440" s="96">
        <f>Miscelaneous!$D$4*Miscelaneous!$D$2^($CI440-1)</f>
        <v>1000</v>
      </c>
      <c r="DT440" s="333">
        <f t="shared" si="955"/>
        <v>1</v>
      </c>
      <c r="DU440" s="81">
        <v>1</v>
      </c>
      <c r="DV440" s="79">
        <f t="shared" si="975"/>
        <v>0</v>
      </c>
      <c r="DW440" s="79">
        <f t="shared" si="976"/>
        <v>0</v>
      </c>
      <c r="DX440" s="79">
        <f t="shared" si="977"/>
        <v>0</v>
      </c>
      <c r="DY440" s="79">
        <v>1</v>
      </c>
      <c r="DZ440" s="79">
        <f t="shared" si="978"/>
        <v>0</v>
      </c>
      <c r="EA440" s="79">
        <f t="shared" si="979"/>
        <v>0</v>
      </c>
      <c r="EB440" s="79">
        <f t="shared" si="980"/>
        <v>0</v>
      </c>
      <c r="EC440" s="79">
        <f t="shared" si="981"/>
        <v>0</v>
      </c>
      <c r="ED440" s="79">
        <v>1</v>
      </c>
      <c r="EE440" s="79">
        <v>1</v>
      </c>
      <c r="EF440" s="79">
        <f t="shared" si="982"/>
        <v>0</v>
      </c>
      <c r="EG440" s="79">
        <v>1</v>
      </c>
      <c r="EH440" s="79">
        <v>1</v>
      </c>
      <c r="EI440" s="79">
        <v>1</v>
      </c>
      <c r="EJ440" s="79">
        <v>1</v>
      </c>
      <c r="EK440" s="79">
        <v>1</v>
      </c>
      <c r="EL440" s="79">
        <v>1</v>
      </c>
      <c r="EM440" s="143">
        <f t="shared" si="983"/>
        <v>0</v>
      </c>
      <c r="EN440" s="143">
        <f t="shared" si="984"/>
        <v>0</v>
      </c>
      <c r="EO440" s="82">
        <f t="shared" si="985"/>
        <v>0</v>
      </c>
    </row>
    <row r="441" spans="1:145" x14ac:dyDescent="0.25">
      <c r="A441">
        <v>427</v>
      </c>
      <c r="B441" s="172" t="e">
        <f t="shared" si="956"/>
        <v>#N/A</v>
      </c>
      <c r="C441" s="121" t="e">
        <f t="shared" ref="C441:E441" si="1064">AJ441-SUM(AB441:AB445)</f>
        <v>#N/A</v>
      </c>
      <c r="D441" s="122" t="e">
        <f t="shared" si="1064"/>
        <v>#N/A</v>
      </c>
      <c r="E441" s="122" t="e">
        <f t="shared" si="1064"/>
        <v>#N/A</v>
      </c>
      <c r="F441" s="176" t="e">
        <f t="shared" si="937"/>
        <v>#N/A</v>
      </c>
      <c r="G441" s="121">
        <f t="shared" si="958"/>
        <v>208</v>
      </c>
      <c r="H441" s="176" t="e">
        <f t="shared" si="959"/>
        <v>#N/A</v>
      </c>
      <c r="I441" s="48">
        <v>1</v>
      </c>
      <c r="J441" s="39"/>
      <c r="K441" s="350">
        <v>1</v>
      </c>
      <c r="L441" s="34" t="e">
        <f t="shared" si="938"/>
        <v>#N/A</v>
      </c>
      <c r="M441" s="38" t="e">
        <f>(HLOOKUP(J441,'Construction Times'!$B$3:$W$34,L441+2,FALSE)*HLOOKUP("hq modifier",'Construction Times'!$W$3:$W$34,BS441+2,FALSE))*(1-$H$9)</f>
        <v>#N/A</v>
      </c>
      <c r="N441" s="426" t="e">
        <f t="shared" si="960"/>
        <v>#N/A</v>
      </c>
      <c r="O441" s="427"/>
      <c r="P441" s="430" t="e">
        <f t="shared" si="961"/>
        <v>#N/A</v>
      </c>
      <c r="Q441" s="431"/>
      <c r="R441" s="103">
        <f t="shared" si="1052"/>
        <v>0</v>
      </c>
      <c r="S441" s="104">
        <f t="shared" si="1052"/>
        <v>0</v>
      </c>
      <c r="T441" s="104">
        <f t="shared" si="1053"/>
        <v>0</v>
      </c>
      <c r="U441" s="104">
        <f t="shared" si="1053"/>
        <v>0</v>
      </c>
      <c r="V441" s="104">
        <f t="shared" si="1053"/>
        <v>9.9999999999999995E-8</v>
      </c>
      <c r="W441" s="104">
        <f t="shared" si="1053"/>
        <v>0</v>
      </c>
      <c r="X441" s="104">
        <f t="shared" si="1045"/>
        <v>0</v>
      </c>
      <c r="Y441" s="104">
        <f t="shared" si="1045"/>
        <v>9.9999999999999995E-8</v>
      </c>
      <c r="Z441" s="104">
        <f t="shared" si="1045"/>
        <v>9.9999999999999995E-8</v>
      </c>
      <c r="AA441" s="105">
        <f t="shared" si="1045"/>
        <v>9.9999999999999995E-8</v>
      </c>
      <c r="AB441" s="101" t="e">
        <f>$DT441*HLOOKUP($J441,'Construction Costs (timber)'!$B$1:$V$32,'Construction Planner'!$L441+2,FALSE)</f>
        <v>#N/A</v>
      </c>
      <c r="AC441" s="14" t="e">
        <f>$DT441*HLOOKUP($J441,'Construction Costs (clay)'!$B$1:$V$32,'Construction Planner'!$L441+2,FALSE)</f>
        <v>#N/A</v>
      </c>
      <c r="AD441" s="14" t="e">
        <f>$DT441*HLOOKUP($J441,'Construction Costs (iron)'!$B$1:$V$32,'Construction Planner'!$L441+2,FALSE)</f>
        <v>#N/A</v>
      </c>
      <c r="AE441" s="34" t="e">
        <f t="shared" si="1000"/>
        <v>#N/A</v>
      </c>
      <c r="AF441" s="33" t="e">
        <f t="shared" si="939"/>
        <v>#N/A</v>
      </c>
      <c r="AG441" s="14" t="e">
        <f t="shared" si="940"/>
        <v>#N/A</v>
      </c>
      <c r="AH441" s="14" t="e">
        <f t="shared" si="941"/>
        <v>#N/A</v>
      </c>
      <c r="AI441" s="34" t="e">
        <f t="shared" si="1001"/>
        <v>#N/A</v>
      </c>
      <c r="AJ441" s="49" t="e">
        <f t="shared" si="962"/>
        <v>#N/A</v>
      </c>
      <c r="AK441" s="49" t="e">
        <f t="shared" si="963"/>
        <v>#N/A</v>
      </c>
      <c r="AL441" s="49" t="e">
        <f t="shared" si="964"/>
        <v>#N/A</v>
      </c>
      <c r="AM441" s="25">
        <f t="shared" si="942"/>
        <v>30</v>
      </c>
      <c r="AN441" s="25">
        <f t="shared" si="943"/>
        <v>30</v>
      </c>
      <c r="AO441" s="25">
        <f t="shared" si="944"/>
        <v>30</v>
      </c>
      <c r="AP441" s="52" t="e">
        <f t="shared" si="1049"/>
        <v>#N/A</v>
      </c>
      <c r="AQ441" s="53" t="e">
        <f t="shared" si="1049"/>
        <v>#N/A</v>
      </c>
      <c r="AR441" s="54" t="e">
        <f t="shared" si="1049"/>
        <v>#N/A</v>
      </c>
      <c r="AS441" s="316">
        <f t="shared" si="1057"/>
        <v>0</v>
      </c>
      <c r="AT441" s="106">
        <f>_xlfn.IFNA($M441/VLOOKUP($BT441,'Unit information'!$A$2:$K$29,2,FALSE)*R441,0)*(1+$E$9)</f>
        <v>0</v>
      </c>
      <c r="AU441" s="107">
        <f>_xlfn.IFNA($M441/VLOOKUP($BT441,'Unit information'!$A$2:$K$29,3,FALSE)*S441,0)*(1+$E$9)</f>
        <v>0</v>
      </c>
      <c r="AV441" s="107">
        <f>_xlfn.IFNA($M441/VLOOKUP($BT441,'Unit information'!$A$2:$K$29,4,FALSE)*T441,0)*(1+$E$9)</f>
        <v>0</v>
      </c>
      <c r="AW441" s="107">
        <f>_xlfn.IFNA($M441/VLOOKUP($BT441,'Unit information'!$A$2:$K$29,5,FALSE)*U441,0)*(1+$E$9)</f>
        <v>0</v>
      </c>
      <c r="AX441" s="107">
        <f>_xlfn.IFNA($M441/VLOOKUP($BU441,'Unit information'!$A$2:$K$29,6,FALSE)*V441,0)*(1+$E$9)</f>
        <v>0</v>
      </c>
      <c r="AY441" s="107">
        <f>_xlfn.IFNA($M441/VLOOKUP($BU441,'Unit information'!$A$2:$K$29,7,FALSE)*W441,0)*(1+$E$9)</f>
        <v>0</v>
      </c>
      <c r="AZ441" s="107">
        <f>_xlfn.IFNA($M441/VLOOKUP($BU441,'Unit information'!$A$2:$K$29,8,FALSE)*X441,0)*(1+$E$9)</f>
        <v>0</v>
      </c>
      <c r="BA441" s="107">
        <f>_xlfn.IFNA($M441/VLOOKUP($BU441,'Unit information'!$A$2:$K$29,9,FALSE)*Y441,0)*(1+$E$9)</f>
        <v>0</v>
      </c>
      <c r="BB441" s="107">
        <f>_xlfn.IFNA($M441/VLOOKUP($BV441,'Unit information'!$A$2:$K$29,10,FALSE)*Z441,0)*(1+$E$9)</f>
        <v>0</v>
      </c>
      <c r="BC441" s="108">
        <f>_xlfn.IFNA($M441/VLOOKUP($BV441,'Unit information'!$A$2:$K$29,11,FALSE)*AA441,0)*(1+$E$9)</f>
        <v>0</v>
      </c>
      <c r="BD441" s="106">
        <f t="shared" si="945"/>
        <v>0</v>
      </c>
      <c r="BE441" s="107">
        <f t="shared" si="946"/>
        <v>0</v>
      </c>
      <c r="BF441" s="108">
        <f t="shared" si="947"/>
        <v>0</v>
      </c>
      <c r="BG441" s="25" t="e">
        <f t="shared" si="948"/>
        <v>#N/A</v>
      </c>
      <c r="BH441" s="25" t="e">
        <f t="shared" si="949"/>
        <v>#N/A</v>
      </c>
      <c r="BI441" s="25" t="e">
        <f t="shared" si="950"/>
        <v>#N/A</v>
      </c>
      <c r="BJ441" s="27" t="e">
        <f t="shared" si="951"/>
        <v>#N/A</v>
      </c>
      <c r="BK441" s="18" t="e">
        <f t="shared" si="952"/>
        <v>#N/A</v>
      </c>
      <c r="BL441" s="18" t="e">
        <f t="shared" si="953"/>
        <v>#N/A</v>
      </c>
      <c r="BM441" s="28" t="e">
        <f t="shared" si="1003"/>
        <v>#N/A</v>
      </c>
      <c r="BN441" s="33">
        <f>HLOOKUP("maximum population",Miscelaneous!$C$1:$C$33,CH441+3,FALSE)</f>
        <v>240</v>
      </c>
      <c r="BO441" s="14">
        <f t="shared" si="966"/>
        <v>32</v>
      </c>
      <c r="BP441" s="14">
        <f t="shared" si="967"/>
        <v>0</v>
      </c>
      <c r="BQ441" s="14">
        <f t="shared" si="968"/>
        <v>208</v>
      </c>
      <c r="BR441" s="34" t="e">
        <f>HLOOKUP(J441,Villagers!$B$1:$V$33,L441+3,FALSE)-HLOOKUP(J441,Villagers!$B$1:$V$33,L441+2,FALSE)</f>
        <v>#N/A</v>
      </c>
      <c r="BS441" s="49">
        <f t="shared" si="969"/>
        <v>1</v>
      </c>
      <c r="BT441" s="50">
        <f t="shared" si="970"/>
        <v>0</v>
      </c>
      <c r="BU441" s="50">
        <f t="shared" si="971"/>
        <v>0</v>
      </c>
      <c r="BV441" s="50">
        <f t="shared" si="972"/>
        <v>0</v>
      </c>
      <c r="BW441" s="50">
        <f t="shared" si="1063"/>
        <v>0</v>
      </c>
      <c r="BX441" s="50">
        <f t="shared" si="1061"/>
        <v>0</v>
      </c>
      <c r="BY441" s="50">
        <f t="shared" si="1061"/>
        <v>0</v>
      </c>
      <c r="BZ441" s="50">
        <f t="shared" si="1015"/>
        <v>0</v>
      </c>
      <c r="CA441" s="50">
        <f t="shared" si="1016"/>
        <v>0</v>
      </c>
      <c r="CB441" s="50">
        <f t="shared" si="1017"/>
        <v>1</v>
      </c>
      <c r="CC441" s="50">
        <f t="shared" si="1018"/>
        <v>0</v>
      </c>
      <c r="CD441" s="50">
        <f t="shared" si="1019"/>
        <v>0</v>
      </c>
      <c r="CE441" s="50">
        <f t="shared" si="1020"/>
        <v>1</v>
      </c>
      <c r="CF441" s="50">
        <f t="shared" si="1021"/>
        <v>1</v>
      </c>
      <c r="CG441" s="50">
        <f t="shared" si="1022"/>
        <v>1</v>
      </c>
      <c r="CH441" s="50">
        <f t="shared" si="1023"/>
        <v>1</v>
      </c>
      <c r="CI441" s="50">
        <f t="shared" si="1024"/>
        <v>1</v>
      </c>
      <c r="CJ441" s="50">
        <f t="shared" si="1025"/>
        <v>1</v>
      </c>
      <c r="CK441" s="50">
        <f t="shared" si="1025"/>
        <v>0</v>
      </c>
      <c r="CL441" s="50">
        <f t="shared" si="1025"/>
        <v>0</v>
      </c>
      <c r="CM441" s="51">
        <f t="shared" si="1026"/>
        <v>0</v>
      </c>
      <c r="CN441" s="33">
        <f>ROUND(IF(BS441=0,0,HLOOKUP(BS$14,Villagers!$B$1:$V$33,BS441+3,FALSE)),)</f>
        <v>5</v>
      </c>
      <c r="CO441" s="14">
        <f>ROUND(IF(BT441=0,0,HLOOKUP(BT$14,Villagers!$B$1:$V$33,BT441+3,FALSE)),)</f>
        <v>0</v>
      </c>
      <c r="CP441" s="14">
        <f>ROUND(IF(BU441=0,0,HLOOKUP(BU$14,Villagers!$B$1:$V$33,BU441+3,FALSE)),)</f>
        <v>0</v>
      </c>
      <c r="CQ441" s="14">
        <f>ROUND(IF(BV441=0,0,HLOOKUP(BV$14,Villagers!$B$1:$V$33,BV441+3,FALSE)),)</f>
        <v>0</v>
      </c>
      <c r="CR441" s="14">
        <f>ROUND(IF(BW441=0,0,HLOOKUP(BW$14,Villagers!$B$1:$V$33,BW441+3,FALSE)),)</f>
        <v>0</v>
      </c>
      <c r="CS441" s="14">
        <f>ROUND(IF(BX441=0,0,HLOOKUP(BX$14,Villagers!$B$1:$V$33,BX441+3,FALSE)),)</f>
        <v>0</v>
      </c>
      <c r="CT441" s="14">
        <f>ROUND(IF(BY441=0,0,HLOOKUP(BY$14,Villagers!$B$1:$V$33,BY441+3,FALSE)),)</f>
        <v>0</v>
      </c>
      <c r="CU441" s="14">
        <f>ROUND(IF(BZ441=0,0,HLOOKUP(BZ$14,Villagers!$B$1:$V$33,BZ441+3,FALSE)),)</f>
        <v>0</v>
      </c>
      <c r="CV441" s="14">
        <f>ROUND(IF(CA441=0,0,HLOOKUP(CA$14,Villagers!$B$1:$V$33,CA441+3,FALSE)),)</f>
        <v>0</v>
      </c>
      <c r="CW441" s="14">
        <f>ROUND(IF(CB441=0,0,HLOOKUP(CB$14,Villagers!$B$1:$V$33,CB441+3,FALSE)),)</f>
        <v>0</v>
      </c>
      <c r="CX441" s="14">
        <f>ROUND(IF(CC441=0,0,HLOOKUP(CC$14,Villagers!$B$1:$V$33,CC441+3,FALSE)),)</f>
        <v>0</v>
      </c>
      <c r="CY441" s="14">
        <f>ROUND(IF(CD441=0,0,HLOOKUP(CD$14,Villagers!$B$1:$V$33,CD441+3,FALSE)),)</f>
        <v>0</v>
      </c>
      <c r="CZ441" s="14">
        <f>ROUND(IF(CE441=0,0,HLOOKUP(CE$14,Villagers!$B$1:$V$33,CE441+3,FALSE)),)</f>
        <v>5</v>
      </c>
      <c r="DA441" s="14">
        <f>ROUND(IF(CF441=0,0,HLOOKUP(CF$14,Villagers!$B$1:$V$33,CF441+3,FALSE)),)</f>
        <v>10</v>
      </c>
      <c r="DB441" s="14">
        <f>ROUND(IF(CG441=0,0,HLOOKUP(CG$14,Villagers!$B$1:$V$33,CG441+3,FALSE)),)</f>
        <v>10</v>
      </c>
      <c r="DC441" s="14">
        <f>ROUND(IF(CH441=0,0,HLOOKUP(CH$14,Villagers!$B$1:$V$33,CH441+3,FALSE)),)</f>
        <v>0</v>
      </c>
      <c r="DD441" s="14">
        <f>ROUND(IF(CI441=0,0,HLOOKUP(CI$14,Villagers!$B$1:$V$33,CI441+3,FALSE)),)</f>
        <v>0</v>
      </c>
      <c r="DE441" s="14">
        <f>ROUND(IF(CJ441=0,0,HLOOKUP(CJ$14,Villagers!$B$1:$V$33,CJ441+3,FALSE)),)</f>
        <v>2</v>
      </c>
      <c r="DF441" s="370">
        <f>ROUND(IF(CK441=0,0,HLOOKUP(CK$14,Villagers!$B$1:$V$33,CK441+3,FALSE)),)</f>
        <v>0</v>
      </c>
      <c r="DG441" s="370">
        <f>ROUND(IF(CL441=0,0,HLOOKUP(CL$14,Villagers!$B$1:$V$33,CL441+3,FALSE)),)</f>
        <v>0</v>
      </c>
      <c r="DH441" s="34">
        <f>ROUND(IF(CM441=0,0,HLOOKUP(CM$14,Villagers!$B$1:$V$33,CM441+3,FALSE)),)</f>
        <v>0</v>
      </c>
      <c r="DI441" s="109">
        <f t="shared" si="989"/>
        <v>0</v>
      </c>
      <c r="DJ441" s="50">
        <f t="shared" si="990"/>
        <v>0</v>
      </c>
      <c r="DK441" s="50">
        <f t="shared" si="991"/>
        <v>0</v>
      </c>
      <c r="DL441" s="50">
        <f t="shared" si="992"/>
        <v>0</v>
      </c>
      <c r="DM441" s="50">
        <f t="shared" si="993"/>
        <v>0</v>
      </c>
      <c r="DN441" s="50">
        <f t="shared" si="994"/>
        <v>0</v>
      </c>
      <c r="DO441" s="50">
        <f t="shared" si="995"/>
        <v>0</v>
      </c>
      <c r="DP441" s="50">
        <f t="shared" si="996"/>
        <v>0</v>
      </c>
      <c r="DQ441" s="50">
        <f t="shared" si="973"/>
        <v>0</v>
      </c>
      <c r="DR441" s="50">
        <f t="shared" si="974"/>
        <v>0</v>
      </c>
      <c r="DS441" s="96">
        <f>Miscelaneous!$D$4*Miscelaneous!$D$2^($CI441-1)</f>
        <v>1000</v>
      </c>
      <c r="DT441" s="333">
        <f t="shared" si="955"/>
        <v>1</v>
      </c>
      <c r="DU441" s="81">
        <v>1</v>
      </c>
      <c r="DV441" s="79">
        <f t="shared" si="975"/>
        <v>0</v>
      </c>
      <c r="DW441" s="79">
        <f t="shared" si="976"/>
        <v>0</v>
      </c>
      <c r="DX441" s="79">
        <f t="shared" si="977"/>
        <v>0</v>
      </c>
      <c r="DY441" s="79">
        <v>1</v>
      </c>
      <c r="DZ441" s="79">
        <f t="shared" si="978"/>
        <v>0</v>
      </c>
      <c r="EA441" s="79">
        <f t="shared" si="979"/>
        <v>0</v>
      </c>
      <c r="EB441" s="79">
        <f t="shared" si="980"/>
        <v>0</v>
      </c>
      <c r="EC441" s="79">
        <f t="shared" si="981"/>
        <v>0</v>
      </c>
      <c r="ED441" s="79">
        <v>1</v>
      </c>
      <c r="EE441" s="79">
        <v>1</v>
      </c>
      <c r="EF441" s="79">
        <f t="shared" si="982"/>
        <v>0</v>
      </c>
      <c r="EG441" s="79">
        <v>1</v>
      </c>
      <c r="EH441" s="79">
        <v>1</v>
      </c>
      <c r="EI441" s="79">
        <v>1</v>
      </c>
      <c r="EJ441" s="79">
        <v>1</v>
      </c>
      <c r="EK441" s="79">
        <v>1</v>
      </c>
      <c r="EL441" s="79">
        <v>1</v>
      </c>
      <c r="EM441" s="143">
        <f t="shared" si="983"/>
        <v>0</v>
      </c>
      <c r="EN441" s="143">
        <f t="shared" si="984"/>
        <v>0</v>
      </c>
      <c r="EO441" s="82">
        <f t="shared" si="985"/>
        <v>0</v>
      </c>
    </row>
    <row r="442" spans="1:145" x14ac:dyDescent="0.25">
      <c r="A442">
        <v>428</v>
      </c>
      <c r="B442" s="172" t="e">
        <f t="shared" si="956"/>
        <v>#N/A</v>
      </c>
      <c r="C442" s="121" t="e">
        <f t="shared" ref="C442:E442" si="1065">AJ442-SUM(AB442:AB446)</f>
        <v>#N/A</v>
      </c>
      <c r="D442" s="122" t="e">
        <f t="shared" si="1065"/>
        <v>#N/A</v>
      </c>
      <c r="E442" s="122" t="e">
        <f t="shared" si="1065"/>
        <v>#N/A</v>
      </c>
      <c r="F442" s="176" t="e">
        <f t="shared" si="937"/>
        <v>#N/A</v>
      </c>
      <c r="G442" s="121">
        <f t="shared" si="958"/>
        <v>208</v>
      </c>
      <c r="H442" s="176" t="e">
        <f t="shared" si="959"/>
        <v>#N/A</v>
      </c>
      <c r="I442" s="48">
        <v>1</v>
      </c>
      <c r="J442" s="39"/>
      <c r="K442" s="350">
        <v>1</v>
      </c>
      <c r="L442" s="34" t="e">
        <f t="shared" si="938"/>
        <v>#N/A</v>
      </c>
      <c r="M442" s="38" t="e">
        <f>(HLOOKUP(J442,'Construction Times'!$B$3:$W$34,L442+2,FALSE)*HLOOKUP("hq modifier",'Construction Times'!$W$3:$W$34,BS442+2,FALSE))*(1-$H$9)</f>
        <v>#N/A</v>
      </c>
      <c r="N442" s="426" t="e">
        <f t="shared" si="960"/>
        <v>#N/A</v>
      </c>
      <c r="O442" s="427"/>
      <c r="P442" s="430" t="e">
        <f t="shared" si="961"/>
        <v>#N/A</v>
      </c>
      <c r="Q442" s="431"/>
      <c r="R442" s="103">
        <f t="shared" si="1052"/>
        <v>0</v>
      </c>
      <c r="S442" s="104">
        <f t="shared" si="1052"/>
        <v>0</v>
      </c>
      <c r="T442" s="104">
        <f t="shared" si="1053"/>
        <v>0</v>
      </c>
      <c r="U442" s="104">
        <f t="shared" si="1053"/>
        <v>0</v>
      </c>
      <c r="V442" s="104">
        <f t="shared" si="1053"/>
        <v>9.9999999999999995E-8</v>
      </c>
      <c r="W442" s="104">
        <f t="shared" si="1053"/>
        <v>0</v>
      </c>
      <c r="X442" s="104">
        <f t="shared" si="1045"/>
        <v>0</v>
      </c>
      <c r="Y442" s="104">
        <f t="shared" si="1045"/>
        <v>9.9999999999999995E-8</v>
      </c>
      <c r="Z442" s="104">
        <f t="shared" si="1045"/>
        <v>9.9999999999999995E-8</v>
      </c>
      <c r="AA442" s="105">
        <f t="shared" si="1045"/>
        <v>9.9999999999999995E-8</v>
      </c>
      <c r="AB442" s="101" t="e">
        <f>$DT442*HLOOKUP($J442,'Construction Costs (timber)'!$B$1:$V$32,'Construction Planner'!$L442+2,FALSE)</f>
        <v>#N/A</v>
      </c>
      <c r="AC442" s="14" t="e">
        <f>$DT442*HLOOKUP($J442,'Construction Costs (clay)'!$B$1:$V$32,'Construction Planner'!$L442+2,FALSE)</f>
        <v>#N/A</v>
      </c>
      <c r="AD442" s="14" t="e">
        <f>$DT442*HLOOKUP($J442,'Construction Costs (iron)'!$B$1:$V$32,'Construction Planner'!$L442+2,FALSE)</f>
        <v>#N/A</v>
      </c>
      <c r="AE442" s="34" t="e">
        <f t="shared" si="1000"/>
        <v>#N/A</v>
      </c>
      <c r="AF442" s="33" t="e">
        <f t="shared" si="939"/>
        <v>#N/A</v>
      </c>
      <c r="AG442" s="14" t="e">
        <f t="shared" si="940"/>
        <v>#N/A</v>
      </c>
      <c r="AH442" s="14" t="e">
        <f t="shared" si="941"/>
        <v>#N/A</v>
      </c>
      <c r="AI442" s="34" t="e">
        <f t="shared" si="1001"/>
        <v>#N/A</v>
      </c>
      <c r="AJ442" s="49" t="e">
        <f t="shared" si="962"/>
        <v>#N/A</v>
      </c>
      <c r="AK442" s="49" t="e">
        <f t="shared" si="963"/>
        <v>#N/A</v>
      </c>
      <c r="AL442" s="49" t="e">
        <f t="shared" si="964"/>
        <v>#N/A</v>
      </c>
      <c r="AM442" s="25">
        <f t="shared" si="942"/>
        <v>30</v>
      </c>
      <c r="AN442" s="25">
        <f t="shared" si="943"/>
        <v>30</v>
      </c>
      <c r="AO442" s="25">
        <f t="shared" si="944"/>
        <v>30</v>
      </c>
      <c r="AP442" s="52" t="e">
        <f t="shared" si="1049"/>
        <v>#N/A</v>
      </c>
      <c r="AQ442" s="53" t="e">
        <f t="shared" si="1049"/>
        <v>#N/A</v>
      </c>
      <c r="AR442" s="54" t="e">
        <f t="shared" si="1049"/>
        <v>#N/A</v>
      </c>
      <c r="AS442" s="316">
        <f t="shared" si="1057"/>
        <v>0</v>
      </c>
      <c r="AT442" s="106">
        <f>_xlfn.IFNA($M442/VLOOKUP($BT442,'Unit information'!$A$2:$K$29,2,FALSE)*R442,0)*(1+$E$9)</f>
        <v>0</v>
      </c>
      <c r="AU442" s="107">
        <f>_xlfn.IFNA($M442/VLOOKUP($BT442,'Unit information'!$A$2:$K$29,3,FALSE)*S442,0)*(1+$E$9)</f>
        <v>0</v>
      </c>
      <c r="AV442" s="107">
        <f>_xlfn.IFNA($M442/VLOOKUP($BT442,'Unit information'!$A$2:$K$29,4,FALSE)*T442,0)*(1+$E$9)</f>
        <v>0</v>
      </c>
      <c r="AW442" s="107">
        <f>_xlfn.IFNA($M442/VLOOKUP($BT442,'Unit information'!$A$2:$K$29,5,FALSE)*U442,0)*(1+$E$9)</f>
        <v>0</v>
      </c>
      <c r="AX442" s="107">
        <f>_xlfn.IFNA($M442/VLOOKUP($BU442,'Unit information'!$A$2:$K$29,6,FALSE)*V442,0)*(1+$E$9)</f>
        <v>0</v>
      </c>
      <c r="AY442" s="107">
        <f>_xlfn.IFNA($M442/VLOOKUP($BU442,'Unit information'!$A$2:$K$29,7,FALSE)*W442,0)*(1+$E$9)</f>
        <v>0</v>
      </c>
      <c r="AZ442" s="107">
        <f>_xlfn.IFNA($M442/VLOOKUP($BU442,'Unit information'!$A$2:$K$29,8,FALSE)*X442,0)*(1+$E$9)</f>
        <v>0</v>
      </c>
      <c r="BA442" s="107">
        <f>_xlfn.IFNA($M442/VLOOKUP($BU442,'Unit information'!$A$2:$K$29,9,FALSE)*Y442,0)*(1+$E$9)</f>
        <v>0</v>
      </c>
      <c r="BB442" s="107">
        <f>_xlfn.IFNA($M442/VLOOKUP($BV442,'Unit information'!$A$2:$K$29,10,FALSE)*Z442,0)*(1+$E$9)</f>
        <v>0</v>
      </c>
      <c r="BC442" s="108">
        <f>_xlfn.IFNA($M442/VLOOKUP($BV442,'Unit information'!$A$2:$K$29,11,FALSE)*AA442,0)*(1+$E$9)</f>
        <v>0</v>
      </c>
      <c r="BD442" s="106">
        <f t="shared" si="945"/>
        <v>0</v>
      </c>
      <c r="BE442" s="107">
        <f t="shared" si="946"/>
        <v>0</v>
      </c>
      <c r="BF442" s="108">
        <f t="shared" si="947"/>
        <v>0</v>
      </c>
      <c r="BG442" s="25" t="e">
        <f t="shared" si="948"/>
        <v>#N/A</v>
      </c>
      <c r="BH442" s="25" t="e">
        <f t="shared" si="949"/>
        <v>#N/A</v>
      </c>
      <c r="BI442" s="25" t="e">
        <f t="shared" si="950"/>
        <v>#N/A</v>
      </c>
      <c r="BJ442" s="27" t="e">
        <f t="shared" si="951"/>
        <v>#N/A</v>
      </c>
      <c r="BK442" s="18" t="e">
        <f t="shared" si="952"/>
        <v>#N/A</v>
      </c>
      <c r="BL442" s="18" t="e">
        <f t="shared" si="953"/>
        <v>#N/A</v>
      </c>
      <c r="BM442" s="28" t="e">
        <f t="shared" si="1003"/>
        <v>#N/A</v>
      </c>
      <c r="BN442" s="33">
        <f>HLOOKUP("maximum population",Miscelaneous!$C$1:$C$33,CH442+3,FALSE)</f>
        <v>240</v>
      </c>
      <c r="BO442" s="14">
        <f t="shared" si="966"/>
        <v>32</v>
      </c>
      <c r="BP442" s="14">
        <f t="shared" si="967"/>
        <v>0</v>
      </c>
      <c r="BQ442" s="14">
        <f t="shared" si="968"/>
        <v>208</v>
      </c>
      <c r="BR442" s="34" t="e">
        <f>HLOOKUP(J442,Villagers!$B$1:$V$33,L442+3,FALSE)-HLOOKUP(J442,Villagers!$B$1:$V$33,L442+2,FALSE)</f>
        <v>#N/A</v>
      </c>
      <c r="BS442" s="49">
        <f t="shared" si="969"/>
        <v>1</v>
      </c>
      <c r="BT442" s="50">
        <f t="shared" si="970"/>
        <v>0</v>
      </c>
      <c r="BU442" s="50">
        <f t="shared" si="971"/>
        <v>0</v>
      </c>
      <c r="BV442" s="50">
        <f t="shared" si="972"/>
        <v>0</v>
      </c>
      <c r="BW442" s="50">
        <f t="shared" si="1063"/>
        <v>0</v>
      </c>
      <c r="BX442" s="50">
        <f t="shared" si="1061"/>
        <v>0</v>
      </c>
      <c r="BY442" s="50">
        <f t="shared" si="1061"/>
        <v>0</v>
      </c>
      <c r="BZ442" s="50">
        <f t="shared" si="1015"/>
        <v>0</v>
      </c>
      <c r="CA442" s="50">
        <f t="shared" si="1016"/>
        <v>0</v>
      </c>
      <c r="CB442" s="50">
        <f t="shared" si="1017"/>
        <v>1</v>
      </c>
      <c r="CC442" s="50">
        <f t="shared" si="1018"/>
        <v>0</v>
      </c>
      <c r="CD442" s="50">
        <f t="shared" si="1019"/>
        <v>0</v>
      </c>
      <c r="CE442" s="50">
        <f t="shared" si="1020"/>
        <v>1</v>
      </c>
      <c r="CF442" s="50">
        <f t="shared" si="1021"/>
        <v>1</v>
      </c>
      <c r="CG442" s="50">
        <f t="shared" si="1022"/>
        <v>1</v>
      </c>
      <c r="CH442" s="50">
        <f t="shared" si="1023"/>
        <v>1</v>
      </c>
      <c r="CI442" s="50">
        <f t="shared" si="1024"/>
        <v>1</v>
      </c>
      <c r="CJ442" s="50">
        <f t="shared" si="1025"/>
        <v>1</v>
      </c>
      <c r="CK442" s="50">
        <f t="shared" si="1025"/>
        <v>0</v>
      </c>
      <c r="CL442" s="50">
        <f t="shared" si="1025"/>
        <v>0</v>
      </c>
      <c r="CM442" s="51">
        <f t="shared" si="1026"/>
        <v>0</v>
      </c>
      <c r="CN442" s="33">
        <f>ROUND(IF(BS442=0,0,HLOOKUP(BS$14,Villagers!$B$1:$V$33,BS442+3,FALSE)),)</f>
        <v>5</v>
      </c>
      <c r="CO442" s="14">
        <f>ROUND(IF(BT442=0,0,HLOOKUP(BT$14,Villagers!$B$1:$V$33,BT442+3,FALSE)),)</f>
        <v>0</v>
      </c>
      <c r="CP442" s="14">
        <f>ROUND(IF(BU442=0,0,HLOOKUP(BU$14,Villagers!$B$1:$V$33,BU442+3,FALSE)),)</f>
        <v>0</v>
      </c>
      <c r="CQ442" s="14">
        <f>ROUND(IF(BV442=0,0,HLOOKUP(BV$14,Villagers!$B$1:$V$33,BV442+3,FALSE)),)</f>
        <v>0</v>
      </c>
      <c r="CR442" s="14">
        <f>ROUND(IF(BW442=0,0,HLOOKUP(BW$14,Villagers!$B$1:$V$33,BW442+3,FALSE)),)</f>
        <v>0</v>
      </c>
      <c r="CS442" s="14">
        <f>ROUND(IF(BX442=0,0,HLOOKUP(BX$14,Villagers!$B$1:$V$33,BX442+3,FALSE)),)</f>
        <v>0</v>
      </c>
      <c r="CT442" s="14">
        <f>ROUND(IF(BY442=0,0,HLOOKUP(BY$14,Villagers!$B$1:$V$33,BY442+3,FALSE)),)</f>
        <v>0</v>
      </c>
      <c r="CU442" s="14">
        <f>ROUND(IF(BZ442=0,0,HLOOKUP(BZ$14,Villagers!$B$1:$V$33,BZ442+3,FALSE)),)</f>
        <v>0</v>
      </c>
      <c r="CV442" s="14">
        <f>ROUND(IF(CA442=0,0,HLOOKUP(CA$14,Villagers!$B$1:$V$33,CA442+3,FALSE)),)</f>
        <v>0</v>
      </c>
      <c r="CW442" s="14">
        <f>ROUND(IF(CB442=0,0,HLOOKUP(CB$14,Villagers!$B$1:$V$33,CB442+3,FALSE)),)</f>
        <v>0</v>
      </c>
      <c r="CX442" s="14">
        <f>ROUND(IF(CC442=0,0,HLOOKUP(CC$14,Villagers!$B$1:$V$33,CC442+3,FALSE)),)</f>
        <v>0</v>
      </c>
      <c r="CY442" s="14">
        <f>ROUND(IF(CD442=0,0,HLOOKUP(CD$14,Villagers!$B$1:$V$33,CD442+3,FALSE)),)</f>
        <v>0</v>
      </c>
      <c r="CZ442" s="14">
        <f>ROUND(IF(CE442=0,0,HLOOKUP(CE$14,Villagers!$B$1:$V$33,CE442+3,FALSE)),)</f>
        <v>5</v>
      </c>
      <c r="DA442" s="14">
        <f>ROUND(IF(CF442=0,0,HLOOKUP(CF$14,Villagers!$B$1:$V$33,CF442+3,FALSE)),)</f>
        <v>10</v>
      </c>
      <c r="DB442" s="14">
        <f>ROUND(IF(CG442=0,0,HLOOKUP(CG$14,Villagers!$B$1:$V$33,CG442+3,FALSE)),)</f>
        <v>10</v>
      </c>
      <c r="DC442" s="14">
        <f>ROUND(IF(CH442=0,0,HLOOKUP(CH$14,Villagers!$B$1:$V$33,CH442+3,FALSE)),)</f>
        <v>0</v>
      </c>
      <c r="DD442" s="14">
        <f>ROUND(IF(CI442=0,0,HLOOKUP(CI$14,Villagers!$B$1:$V$33,CI442+3,FALSE)),)</f>
        <v>0</v>
      </c>
      <c r="DE442" s="14">
        <f>ROUND(IF(CJ442=0,0,HLOOKUP(CJ$14,Villagers!$B$1:$V$33,CJ442+3,FALSE)),)</f>
        <v>2</v>
      </c>
      <c r="DF442" s="370">
        <f>ROUND(IF(CK442=0,0,HLOOKUP(CK$14,Villagers!$B$1:$V$33,CK442+3,FALSE)),)</f>
        <v>0</v>
      </c>
      <c r="DG442" s="370">
        <f>ROUND(IF(CL442=0,0,HLOOKUP(CL$14,Villagers!$B$1:$V$33,CL442+3,FALSE)),)</f>
        <v>0</v>
      </c>
      <c r="DH442" s="34">
        <f>ROUND(IF(CM442=0,0,HLOOKUP(CM$14,Villagers!$B$1:$V$33,CM442+3,FALSE)),)</f>
        <v>0</v>
      </c>
      <c r="DI442" s="109">
        <f t="shared" si="989"/>
        <v>0</v>
      </c>
      <c r="DJ442" s="50">
        <f t="shared" si="990"/>
        <v>0</v>
      </c>
      <c r="DK442" s="50">
        <f t="shared" si="991"/>
        <v>0</v>
      </c>
      <c r="DL442" s="50">
        <f t="shared" si="992"/>
        <v>0</v>
      </c>
      <c r="DM442" s="50">
        <f t="shared" si="993"/>
        <v>0</v>
      </c>
      <c r="DN442" s="50">
        <f t="shared" si="994"/>
        <v>0</v>
      </c>
      <c r="DO442" s="50">
        <f t="shared" si="995"/>
        <v>0</v>
      </c>
      <c r="DP442" s="50">
        <f t="shared" si="996"/>
        <v>0</v>
      </c>
      <c r="DQ442" s="50">
        <f t="shared" si="973"/>
        <v>0</v>
      </c>
      <c r="DR442" s="50">
        <f t="shared" si="974"/>
        <v>0</v>
      </c>
      <c r="DS442" s="96">
        <f>Miscelaneous!$D$4*Miscelaneous!$D$2^($CI442-1)</f>
        <v>1000</v>
      </c>
      <c r="DT442" s="333">
        <f t="shared" si="955"/>
        <v>1</v>
      </c>
      <c r="DU442" s="81">
        <v>1</v>
      </c>
      <c r="DV442" s="79">
        <f t="shared" si="975"/>
        <v>0</v>
      </c>
      <c r="DW442" s="79">
        <f t="shared" si="976"/>
        <v>0</v>
      </c>
      <c r="DX442" s="79">
        <f t="shared" si="977"/>
        <v>0</v>
      </c>
      <c r="DY442" s="79">
        <v>1</v>
      </c>
      <c r="DZ442" s="79">
        <f t="shared" si="978"/>
        <v>0</v>
      </c>
      <c r="EA442" s="79">
        <f t="shared" si="979"/>
        <v>0</v>
      </c>
      <c r="EB442" s="79">
        <f t="shared" si="980"/>
        <v>0</v>
      </c>
      <c r="EC442" s="79">
        <f t="shared" si="981"/>
        <v>0</v>
      </c>
      <c r="ED442" s="79">
        <v>1</v>
      </c>
      <c r="EE442" s="79">
        <v>1</v>
      </c>
      <c r="EF442" s="79">
        <f t="shared" si="982"/>
        <v>0</v>
      </c>
      <c r="EG442" s="79">
        <v>1</v>
      </c>
      <c r="EH442" s="79">
        <v>1</v>
      </c>
      <c r="EI442" s="79">
        <v>1</v>
      </c>
      <c r="EJ442" s="79">
        <v>1</v>
      </c>
      <c r="EK442" s="79">
        <v>1</v>
      </c>
      <c r="EL442" s="79">
        <v>1</v>
      </c>
      <c r="EM442" s="143">
        <f t="shared" si="983"/>
        <v>0</v>
      </c>
      <c r="EN442" s="143">
        <f t="shared" si="984"/>
        <v>0</v>
      </c>
      <c r="EO442" s="82">
        <f t="shared" si="985"/>
        <v>0</v>
      </c>
    </row>
    <row r="443" spans="1:145" x14ac:dyDescent="0.25">
      <c r="A443">
        <v>429</v>
      </c>
      <c r="B443" s="172" t="e">
        <f t="shared" si="956"/>
        <v>#N/A</v>
      </c>
      <c r="C443" s="121" t="e">
        <f t="shared" ref="C443:E443" si="1066">AJ443-SUM(AB443:AB447)</f>
        <v>#N/A</v>
      </c>
      <c r="D443" s="122" t="e">
        <f t="shared" si="1066"/>
        <v>#N/A</v>
      </c>
      <c r="E443" s="122" t="e">
        <f t="shared" si="1066"/>
        <v>#N/A</v>
      </c>
      <c r="F443" s="176" t="e">
        <f t="shared" si="937"/>
        <v>#N/A</v>
      </c>
      <c r="G443" s="121">
        <f t="shared" si="958"/>
        <v>208</v>
      </c>
      <c r="H443" s="176" t="e">
        <f t="shared" si="959"/>
        <v>#N/A</v>
      </c>
      <c r="I443" s="48">
        <v>1</v>
      </c>
      <c r="J443" s="39"/>
      <c r="K443" s="350">
        <v>1</v>
      </c>
      <c r="L443" s="34" t="e">
        <f t="shared" si="938"/>
        <v>#N/A</v>
      </c>
      <c r="M443" s="38" t="e">
        <f>(HLOOKUP(J443,'Construction Times'!$B$3:$W$34,L443+2,FALSE)*HLOOKUP("hq modifier",'Construction Times'!$W$3:$W$34,BS443+2,FALSE))*(1-$H$9)</f>
        <v>#N/A</v>
      </c>
      <c r="N443" s="426" t="e">
        <f t="shared" si="960"/>
        <v>#N/A</v>
      </c>
      <c r="O443" s="427"/>
      <c r="P443" s="430" t="e">
        <f t="shared" si="961"/>
        <v>#N/A</v>
      </c>
      <c r="Q443" s="431"/>
      <c r="R443" s="103">
        <f t="shared" si="1052"/>
        <v>0</v>
      </c>
      <c r="S443" s="104">
        <f t="shared" si="1052"/>
        <v>0</v>
      </c>
      <c r="T443" s="104">
        <f t="shared" si="1053"/>
        <v>0</v>
      </c>
      <c r="U443" s="104">
        <f t="shared" si="1053"/>
        <v>0</v>
      </c>
      <c r="V443" s="104">
        <f t="shared" si="1053"/>
        <v>9.9999999999999995E-8</v>
      </c>
      <c r="W443" s="104">
        <f t="shared" si="1053"/>
        <v>0</v>
      </c>
      <c r="X443" s="104">
        <f t="shared" si="1045"/>
        <v>0</v>
      </c>
      <c r="Y443" s="104">
        <f t="shared" si="1045"/>
        <v>9.9999999999999995E-8</v>
      </c>
      <c r="Z443" s="104">
        <f t="shared" si="1045"/>
        <v>9.9999999999999995E-8</v>
      </c>
      <c r="AA443" s="105">
        <f t="shared" si="1045"/>
        <v>9.9999999999999995E-8</v>
      </c>
      <c r="AB443" s="101" t="e">
        <f>$DT443*HLOOKUP($J443,'Construction Costs (timber)'!$B$1:$V$32,'Construction Planner'!$L443+2,FALSE)</f>
        <v>#N/A</v>
      </c>
      <c r="AC443" s="14" t="e">
        <f>$DT443*HLOOKUP($J443,'Construction Costs (clay)'!$B$1:$V$32,'Construction Planner'!$L443+2,FALSE)</f>
        <v>#N/A</v>
      </c>
      <c r="AD443" s="14" t="e">
        <f>$DT443*HLOOKUP($J443,'Construction Costs (iron)'!$B$1:$V$32,'Construction Planner'!$L443+2,FALSE)</f>
        <v>#N/A</v>
      </c>
      <c r="AE443" s="34" t="e">
        <f t="shared" si="1000"/>
        <v>#N/A</v>
      </c>
      <c r="AF443" s="33" t="e">
        <f t="shared" si="939"/>
        <v>#N/A</v>
      </c>
      <c r="AG443" s="14" t="e">
        <f t="shared" si="940"/>
        <v>#N/A</v>
      </c>
      <c r="AH443" s="14" t="e">
        <f t="shared" si="941"/>
        <v>#N/A</v>
      </c>
      <c r="AI443" s="34" t="e">
        <f t="shared" si="1001"/>
        <v>#N/A</v>
      </c>
      <c r="AJ443" s="49" t="e">
        <f t="shared" si="962"/>
        <v>#N/A</v>
      </c>
      <c r="AK443" s="49" t="e">
        <f t="shared" si="963"/>
        <v>#N/A</v>
      </c>
      <c r="AL443" s="49" t="e">
        <f t="shared" si="964"/>
        <v>#N/A</v>
      </c>
      <c r="AM443" s="25">
        <f t="shared" si="942"/>
        <v>30</v>
      </c>
      <c r="AN443" s="25">
        <f t="shared" si="943"/>
        <v>30</v>
      </c>
      <c r="AO443" s="25">
        <f t="shared" si="944"/>
        <v>30</v>
      </c>
      <c r="AP443" s="52" t="e">
        <f t="shared" si="1049"/>
        <v>#N/A</v>
      </c>
      <c r="AQ443" s="53" t="e">
        <f t="shared" si="1049"/>
        <v>#N/A</v>
      </c>
      <c r="AR443" s="54" t="e">
        <f t="shared" si="1049"/>
        <v>#N/A</v>
      </c>
      <c r="AS443" s="316">
        <f t="shared" si="1057"/>
        <v>0</v>
      </c>
      <c r="AT443" s="106">
        <f>_xlfn.IFNA($M443/VLOOKUP($BT443,'Unit information'!$A$2:$K$29,2,FALSE)*R443,0)*(1+$E$9)</f>
        <v>0</v>
      </c>
      <c r="AU443" s="107">
        <f>_xlfn.IFNA($M443/VLOOKUP($BT443,'Unit information'!$A$2:$K$29,3,FALSE)*S443,0)*(1+$E$9)</f>
        <v>0</v>
      </c>
      <c r="AV443" s="107">
        <f>_xlfn.IFNA($M443/VLOOKUP($BT443,'Unit information'!$A$2:$K$29,4,FALSE)*T443,0)*(1+$E$9)</f>
        <v>0</v>
      </c>
      <c r="AW443" s="107">
        <f>_xlfn.IFNA($M443/VLOOKUP($BT443,'Unit information'!$A$2:$K$29,5,FALSE)*U443,0)*(1+$E$9)</f>
        <v>0</v>
      </c>
      <c r="AX443" s="107">
        <f>_xlfn.IFNA($M443/VLOOKUP($BU443,'Unit information'!$A$2:$K$29,6,FALSE)*V443,0)*(1+$E$9)</f>
        <v>0</v>
      </c>
      <c r="AY443" s="107">
        <f>_xlfn.IFNA($M443/VLOOKUP($BU443,'Unit information'!$A$2:$K$29,7,FALSE)*W443,0)*(1+$E$9)</f>
        <v>0</v>
      </c>
      <c r="AZ443" s="107">
        <f>_xlfn.IFNA($M443/VLOOKUP($BU443,'Unit information'!$A$2:$K$29,8,FALSE)*X443,0)*(1+$E$9)</f>
        <v>0</v>
      </c>
      <c r="BA443" s="107">
        <f>_xlfn.IFNA($M443/VLOOKUP($BU443,'Unit information'!$A$2:$K$29,9,FALSE)*Y443,0)*(1+$E$9)</f>
        <v>0</v>
      </c>
      <c r="BB443" s="107">
        <f>_xlfn.IFNA($M443/VLOOKUP($BV443,'Unit information'!$A$2:$K$29,10,FALSE)*Z443,0)*(1+$E$9)</f>
        <v>0</v>
      </c>
      <c r="BC443" s="108">
        <f>_xlfn.IFNA($M443/VLOOKUP($BV443,'Unit information'!$A$2:$K$29,11,FALSE)*AA443,0)*(1+$E$9)</f>
        <v>0</v>
      </c>
      <c r="BD443" s="106">
        <f t="shared" si="945"/>
        <v>0</v>
      </c>
      <c r="BE443" s="107">
        <f t="shared" si="946"/>
        <v>0</v>
      </c>
      <c r="BF443" s="108">
        <f t="shared" si="947"/>
        <v>0</v>
      </c>
      <c r="BG443" s="25" t="e">
        <f t="shared" si="948"/>
        <v>#N/A</v>
      </c>
      <c r="BH443" s="25" t="e">
        <f t="shared" si="949"/>
        <v>#N/A</v>
      </c>
      <c r="BI443" s="25" t="e">
        <f t="shared" si="950"/>
        <v>#N/A</v>
      </c>
      <c r="BJ443" s="27" t="e">
        <f t="shared" si="951"/>
        <v>#N/A</v>
      </c>
      <c r="BK443" s="18" t="e">
        <f t="shared" si="952"/>
        <v>#N/A</v>
      </c>
      <c r="BL443" s="18" t="e">
        <f t="shared" si="953"/>
        <v>#N/A</v>
      </c>
      <c r="BM443" s="28" t="e">
        <f t="shared" si="1003"/>
        <v>#N/A</v>
      </c>
      <c r="BN443" s="33">
        <f>HLOOKUP("maximum population",Miscelaneous!$C$1:$C$33,CH443+3,FALSE)</f>
        <v>240</v>
      </c>
      <c r="BO443" s="14">
        <f t="shared" si="966"/>
        <v>32</v>
      </c>
      <c r="BP443" s="14">
        <f t="shared" si="967"/>
        <v>0</v>
      </c>
      <c r="BQ443" s="14">
        <f t="shared" si="968"/>
        <v>208</v>
      </c>
      <c r="BR443" s="34" t="e">
        <f>HLOOKUP(J443,Villagers!$B$1:$V$33,L443+3,FALSE)-HLOOKUP(J443,Villagers!$B$1:$V$33,L443+2,FALSE)</f>
        <v>#N/A</v>
      </c>
      <c r="BS443" s="49">
        <f t="shared" si="969"/>
        <v>1</v>
      </c>
      <c r="BT443" s="50">
        <f t="shared" si="970"/>
        <v>0</v>
      </c>
      <c r="BU443" s="50">
        <f t="shared" si="971"/>
        <v>0</v>
      </c>
      <c r="BV443" s="50">
        <f t="shared" si="972"/>
        <v>0</v>
      </c>
      <c r="BW443" s="50">
        <f t="shared" si="1063"/>
        <v>0</v>
      </c>
      <c r="BX443" s="50">
        <f t="shared" si="1061"/>
        <v>0</v>
      </c>
      <c r="BY443" s="50">
        <f t="shared" si="1061"/>
        <v>0</v>
      </c>
      <c r="BZ443" s="50">
        <f t="shared" si="1015"/>
        <v>0</v>
      </c>
      <c r="CA443" s="50">
        <f t="shared" si="1016"/>
        <v>0</v>
      </c>
      <c r="CB443" s="50">
        <f t="shared" si="1017"/>
        <v>1</v>
      </c>
      <c r="CC443" s="50">
        <f t="shared" si="1018"/>
        <v>0</v>
      </c>
      <c r="CD443" s="50">
        <f t="shared" si="1019"/>
        <v>0</v>
      </c>
      <c r="CE443" s="50">
        <f t="shared" si="1020"/>
        <v>1</v>
      </c>
      <c r="CF443" s="50">
        <f t="shared" si="1021"/>
        <v>1</v>
      </c>
      <c r="CG443" s="50">
        <f t="shared" si="1022"/>
        <v>1</v>
      </c>
      <c r="CH443" s="50">
        <f t="shared" si="1023"/>
        <v>1</v>
      </c>
      <c r="CI443" s="50">
        <f t="shared" si="1024"/>
        <v>1</v>
      </c>
      <c r="CJ443" s="50">
        <f t="shared" si="1025"/>
        <v>1</v>
      </c>
      <c r="CK443" s="50">
        <f t="shared" si="1025"/>
        <v>0</v>
      </c>
      <c r="CL443" s="50">
        <f t="shared" si="1025"/>
        <v>0</v>
      </c>
      <c r="CM443" s="51">
        <f t="shared" si="1026"/>
        <v>0</v>
      </c>
      <c r="CN443" s="33">
        <f>ROUND(IF(BS443=0,0,HLOOKUP(BS$14,Villagers!$B$1:$V$33,BS443+3,FALSE)),)</f>
        <v>5</v>
      </c>
      <c r="CO443" s="14">
        <f>ROUND(IF(BT443=0,0,HLOOKUP(BT$14,Villagers!$B$1:$V$33,BT443+3,FALSE)),)</f>
        <v>0</v>
      </c>
      <c r="CP443" s="14">
        <f>ROUND(IF(BU443=0,0,HLOOKUP(BU$14,Villagers!$B$1:$V$33,BU443+3,FALSE)),)</f>
        <v>0</v>
      </c>
      <c r="CQ443" s="14">
        <f>ROUND(IF(BV443=0,0,HLOOKUP(BV$14,Villagers!$B$1:$V$33,BV443+3,FALSE)),)</f>
        <v>0</v>
      </c>
      <c r="CR443" s="14">
        <f>ROUND(IF(BW443=0,0,HLOOKUP(BW$14,Villagers!$B$1:$V$33,BW443+3,FALSE)),)</f>
        <v>0</v>
      </c>
      <c r="CS443" s="14">
        <f>ROUND(IF(BX443=0,0,HLOOKUP(BX$14,Villagers!$B$1:$V$33,BX443+3,FALSE)),)</f>
        <v>0</v>
      </c>
      <c r="CT443" s="14">
        <f>ROUND(IF(BY443=0,0,HLOOKUP(BY$14,Villagers!$B$1:$V$33,BY443+3,FALSE)),)</f>
        <v>0</v>
      </c>
      <c r="CU443" s="14">
        <f>ROUND(IF(BZ443=0,0,HLOOKUP(BZ$14,Villagers!$B$1:$V$33,BZ443+3,FALSE)),)</f>
        <v>0</v>
      </c>
      <c r="CV443" s="14">
        <f>ROUND(IF(CA443=0,0,HLOOKUP(CA$14,Villagers!$B$1:$V$33,CA443+3,FALSE)),)</f>
        <v>0</v>
      </c>
      <c r="CW443" s="14">
        <f>ROUND(IF(CB443=0,0,HLOOKUP(CB$14,Villagers!$B$1:$V$33,CB443+3,FALSE)),)</f>
        <v>0</v>
      </c>
      <c r="CX443" s="14">
        <f>ROUND(IF(CC443=0,0,HLOOKUP(CC$14,Villagers!$B$1:$V$33,CC443+3,FALSE)),)</f>
        <v>0</v>
      </c>
      <c r="CY443" s="14">
        <f>ROUND(IF(CD443=0,0,HLOOKUP(CD$14,Villagers!$B$1:$V$33,CD443+3,FALSE)),)</f>
        <v>0</v>
      </c>
      <c r="CZ443" s="14">
        <f>ROUND(IF(CE443=0,0,HLOOKUP(CE$14,Villagers!$B$1:$V$33,CE443+3,FALSE)),)</f>
        <v>5</v>
      </c>
      <c r="DA443" s="14">
        <f>ROUND(IF(CF443=0,0,HLOOKUP(CF$14,Villagers!$B$1:$V$33,CF443+3,FALSE)),)</f>
        <v>10</v>
      </c>
      <c r="DB443" s="14">
        <f>ROUND(IF(CG443=0,0,HLOOKUP(CG$14,Villagers!$B$1:$V$33,CG443+3,FALSE)),)</f>
        <v>10</v>
      </c>
      <c r="DC443" s="14">
        <f>ROUND(IF(CH443=0,0,HLOOKUP(CH$14,Villagers!$B$1:$V$33,CH443+3,FALSE)),)</f>
        <v>0</v>
      </c>
      <c r="DD443" s="14">
        <f>ROUND(IF(CI443=0,0,HLOOKUP(CI$14,Villagers!$B$1:$V$33,CI443+3,FALSE)),)</f>
        <v>0</v>
      </c>
      <c r="DE443" s="14">
        <f>ROUND(IF(CJ443=0,0,HLOOKUP(CJ$14,Villagers!$B$1:$V$33,CJ443+3,FALSE)),)</f>
        <v>2</v>
      </c>
      <c r="DF443" s="370">
        <f>ROUND(IF(CK443=0,0,HLOOKUP(CK$14,Villagers!$B$1:$V$33,CK443+3,FALSE)),)</f>
        <v>0</v>
      </c>
      <c r="DG443" s="370">
        <f>ROUND(IF(CL443=0,0,HLOOKUP(CL$14,Villagers!$B$1:$V$33,CL443+3,FALSE)),)</f>
        <v>0</v>
      </c>
      <c r="DH443" s="34">
        <f>ROUND(IF(CM443=0,0,HLOOKUP(CM$14,Villagers!$B$1:$V$33,CM443+3,FALSE)),)</f>
        <v>0</v>
      </c>
      <c r="DI443" s="109">
        <f t="shared" si="989"/>
        <v>0</v>
      </c>
      <c r="DJ443" s="50">
        <f t="shared" si="990"/>
        <v>0</v>
      </c>
      <c r="DK443" s="50">
        <f t="shared" si="991"/>
        <v>0</v>
      </c>
      <c r="DL443" s="50">
        <f t="shared" si="992"/>
        <v>0</v>
      </c>
      <c r="DM443" s="50">
        <f t="shared" si="993"/>
        <v>0</v>
      </c>
      <c r="DN443" s="50">
        <f t="shared" si="994"/>
        <v>0</v>
      </c>
      <c r="DO443" s="50">
        <f t="shared" si="995"/>
        <v>0</v>
      </c>
      <c r="DP443" s="50">
        <f t="shared" si="996"/>
        <v>0</v>
      </c>
      <c r="DQ443" s="50">
        <f t="shared" si="973"/>
        <v>0</v>
      </c>
      <c r="DR443" s="50">
        <f t="shared" si="974"/>
        <v>0</v>
      </c>
      <c r="DS443" s="96">
        <f>Miscelaneous!$D$4*Miscelaneous!$D$2^($CI443-1)</f>
        <v>1000</v>
      </c>
      <c r="DT443" s="333">
        <f t="shared" si="955"/>
        <v>1</v>
      </c>
      <c r="DU443" s="81">
        <v>1</v>
      </c>
      <c r="DV443" s="79">
        <f t="shared" si="975"/>
        <v>0</v>
      </c>
      <c r="DW443" s="79">
        <f t="shared" si="976"/>
        <v>0</v>
      </c>
      <c r="DX443" s="79">
        <f t="shared" si="977"/>
        <v>0</v>
      </c>
      <c r="DY443" s="79">
        <v>1</v>
      </c>
      <c r="DZ443" s="79">
        <f t="shared" si="978"/>
        <v>0</v>
      </c>
      <c r="EA443" s="79">
        <f t="shared" si="979"/>
        <v>0</v>
      </c>
      <c r="EB443" s="79">
        <f t="shared" si="980"/>
        <v>0</v>
      </c>
      <c r="EC443" s="79">
        <f t="shared" si="981"/>
        <v>0</v>
      </c>
      <c r="ED443" s="79">
        <v>1</v>
      </c>
      <c r="EE443" s="79">
        <v>1</v>
      </c>
      <c r="EF443" s="79">
        <f t="shared" si="982"/>
        <v>0</v>
      </c>
      <c r="EG443" s="79">
        <v>1</v>
      </c>
      <c r="EH443" s="79">
        <v>1</v>
      </c>
      <c r="EI443" s="79">
        <v>1</v>
      </c>
      <c r="EJ443" s="79">
        <v>1</v>
      </c>
      <c r="EK443" s="79">
        <v>1</v>
      </c>
      <c r="EL443" s="79">
        <v>1</v>
      </c>
      <c r="EM443" s="143">
        <f t="shared" si="983"/>
        <v>0</v>
      </c>
      <c r="EN443" s="143">
        <f t="shared" si="984"/>
        <v>0</v>
      </c>
      <c r="EO443" s="82">
        <f t="shared" si="985"/>
        <v>0</v>
      </c>
    </row>
    <row r="444" spans="1:145" x14ac:dyDescent="0.25">
      <c r="A444">
        <v>430</v>
      </c>
      <c r="B444" s="172" t="e">
        <f t="shared" si="956"/>
        <v>#N/A</v>
      </c>
      <c r="C444" s="121" t="e">
        <f t="shared" ref="C444:E444" si="1067">AJ444-SUM(AB444:AB448)</f>
        <v>#N/A</v>
      </c>
      <c r="D444" s="122" t="e">
        <f t="shared" si="1067"/>
        <v>#N/A</v>
      </c>
      <c r="E444" s="122" t="e">
        <f t="shared" si="1067"/>
        <v>#N/A</v>
      </c>
      <c r="F444" s="176" t="e">
        <f t="shared" si="937"/>
        <v>#N/A</v>
      </c>
      <c r="G444" s="121">
        <f t="shared" si="958"/>
        <v>208</v>
      </c>
      <c r="H444" s="176" t="e">
        <f t="shared" si="959"/>
        <v>#N/A</v>
      </c>
      <c r="I444" s="48">
        <v>1</v>
      </c>
      <c r="J444" s="39"/>
      <c r="K444" s="350">
        <v>1</v>
      </c>
      <c r="L444" s="34" t="e">
        <f t="shared" si="938"/>
        <v>#N/A</v>
      </c>
      <c r="M444" s="38" t="e">
        <f>(HLOOKUP(J444,'Construction Times'!$B$3:$W$34,L444+2,FALSE)*HLOOKUP("hq modifier",'Construction Times'!$W$3:$W$34,BS444+2,FALSE))*(1-$H$9)</f>
        <v>#N/A</v>
      </c>
      <c r="N444" s="426" t="e">
        <f t="shared" si="960"/>
        <v>#N/A</v>
      </c>
      <c r="O444" s="427"/>
      <c r="P444" s="430" t="e">
        <f t="shared" si="961"/>
        <v>#N/A</v>
      </c>
      <c r="Q444" s="431"/>
      <c r="R444" s="103">
        <f t="shared" si="1052"/>
        <v>0</v>
      </c>
      <c r="S444" s="104">
        <f t="shared" si="1052"/>
        <v>0</v>
      </c>
      <c r="T444" s="104">
        <f t="shared" si="1053"/>
        <v>0</v>
      </c>
      <c r="U444" s="104">
        <f t="shared" si="1053"/>
        <v>0</v>
      </c>
      <c r="V444" s="104">
        <f t="shared" si="1053"/>
        <v>9.9999999999999995E-8</v>
      </c>
      <c r="W444" s="104">
        <f t="shared" si="1053"/>
        <v>0</v>
      </c>
      <c r="X444" s="104">
        <f t="shared" si="1045"/>
        <v>0</v>
      </c>
      <c r="Y444" s="104">
        <f t="shared" si="1045"/>
        <v>9.9999999999999995E-8</v>
      </c>
      <c r="Z444" s="104">
        <f t="shared" si="1045"/>
        <v>9.9999999999999995E-8</v>
      </c>
      <c r="AA444" s="105">
        <f t="shared" si="1045"/>
        <v>9.9999999999999995E-8</v>
      </c>
      <c r="AB444" s="101" t="e">
        <f>$DT444*HLOOKUP($J444,'Construction Costs (timber)'!$B$1:$V$32,'Construction Planner'!$L444+2,FALSE)</f>
        <v>#N/A</v>
      </c>
      <c r="AC444" s="14" t="e">
        <f>$DT444*HLOOKUP($J444,'Construction Costs (clay)'!$B$1:$V$32,'Construction Planner'!$L444+2,FALSE)</f>
        <v>#N/A</v>
      </c>
      <c r="AD444" s="14" t="e">
        <f>$DT444*HLOOKUP($J444,'Construction Costs (iron)'!$B$1:$V$32,'Construction Planner'!$L444+2,FALSE)</f>
        <v>#N/A</v>
      </c>
      <c r="AE444" s="34" t="e">
        <f t="shared" si="1000"/>
        <v>#N/A</v>
      </c>
      <c r="AF444" s="33" t="e">
        <f t="shared" si="939"/>
        <v>#N/A</v>
      </c>
      <c r="AG444" s="14" t="e">
        <f t="shared" si="940"/>
        <v>#N/A</v>
      </c>
      <c r="AH444" s="14" t="e">
        <f t="shared" si="941"/>
        <v>#N/A</v>
      </c>
      <c r="AI444" s="34" t="e">
        <f t="shared" si="1001"/>
        <v>#N/A</v>
      </c>
      <c r="AJ444" s="49" t="e">
        <f t="shared" si="962"/>
        <v>#N/A</v>
      </c>
      <c r="AK444" s="49" t="e">
        <f t="shared" si="963"/>
        <v>#N/A</v>
      </c>
      <c r="AL444" s="49" t="e">
        <f t="shared" si="964"/>
        <v>#N/A</v>
      </c>
      <c r="AM444" s="25">
        <f t="shared" si="942"/>
        <v>30</v>
      </c>
      <c r="AN444" s="25">
        <f t="shared" si="943"/>
        <v>30</v>
      </c>
      <c r="AO444" s="25">
        <f t="shared" si="944"/>
        <v>30</v>
      </c>
      <c r="AP444" s="52" t="e">
        <f t="shared" si="1049"/>
        <v>#N/A</v>
      </c>
      <c r="AQ444" s="53" t="e">
        <f t="shared" si="1049"/>
        <v>#N/A</v>
      </c>
      <c r="AR444" s="54" t="e">
        <f t="shared" si="1049"/>
        <v>#N/A</v>
      </c>
      <c r="AS444" s="316">
        <f t="shared" si="1057"/>
        <v>0</v>
      </c>
      <c r="AT444" s="106">
        <f>_xlfn.IFNA($M444/VLOOKUP($BT444,'Unit information'!$A$2:$K$29,2,FALSE)*R444,0)*(1+$E$9)</f>
        <v>0</v>
      </c>
      <c r="AU444" s="107">
        <f>_xlfn.IFNA($M444/VLOOKUP($BT444,'Unit information'!$A$2:$K$29,3,FALSE)*S444,0)*(1+$E$9)</f>
        <v>0</v>
      </c>
      <c r="AV444" s="107">
        <f>_xlfn.IFNA($M444/VLOOKUP($BT444,'Unit information'!$A$2:$K$29,4,FALSE)*T444,0)*(1+$E$9)</f>
        <v>0</v>
      </c>
      <c r="AW444" s="107">
        <f>_xlfn.IFNA($M444/VLOOKUP($BT444,'Unit information'!$A$2:$K$29,5,FALSE)*U444,0)*(1+$E$9)</f>
        <v>0</v>
      </c>
      <c r="AX444" s="107">
        <f>_xlfn.IFNA($M444/VLOOKUP($BU444,'Unit information'!$A$2:$K$29,6,FALSE)*V444,0)*(1+$E$9)</f>
        <v>0</v>
      </c>
      <c r="AY444" s="107">
        <f>_xlfn.IFNA($M444/VLOOKUP($BU444,'Unit information'!$A$2:$K$29,7,FALSE)*W444,0)*(1+$E$9)</f>
        <v>0</v>
      </c>
      <c r="AZ444" s="107">
        <f>_xlfn.IFNA($M444/VLOOKUP($BU444,'Unit information'!$A$2:$K$29,8,FALSE)*X444,0)*(1+$E$9)</f>
        <v>0</v>
      </c>
      <c r="BA444" s="107">
        <f>_xlfn.IFNA($M444/VLOOKUP($BU444,'Unit information'!$A$2:$K$29,9,FALSE)*Y444,0)*(1+$E$9)</f>
        <v>0</v>
      </c>
      <c r="BB444" s="107">
        <f>_xlfn.IFNA($M444/VLOOKUP($BV444,'Unit information'!$A$2:$K$29,10,FALSE)*Z444,0)*(1+$E$9)</f>
        <v>0</v>
      </c>
      <c r="BC444" s="108">
        <f>_xlfn.IFNA($M444/VLOOKUP($BV444,'Unit information'!$A$2:$K$29,11,FALSE)*AA444,0)*(1+$E$9)</f>
        <v>0</v>
      </c>
      <c r="BD444" s="106">
        <f t="shared" si="945"/>
        <v>0</v>
      </c>
      <c r="BE444" s="107">
        <f t="shared" si="946"/>
        <v>0</v>
      </c>
      <c r="BF444" s="108">
        <f t="shared" si="947"/>
        <v>0</v>
      </c>
      <c r="BG444" s="25" t="e">
        <f t="shared" si="948"/>
        <v>#N/A</v>
      </c>
      <c r="BH444" s="25" t="e">
        <f t="shared" si="949"/>
        <v>#N/A</v>
      </c>
      <c r="BI444" s="25" t="e">
        <f t="shared" si="950"/>
        <v>#N/A</v>
      </c>
      <c r="BJ444" s="27" t="e">
        <f t="shared" si="951"/>
        <v>#N/A</v>
      </c>
      <c r="BK444" s="18" t="e">
        <f t="shared" si="952"/>
        <v>#N/A</v>
      </c>
      <c r="BL444" s="18" t="e">
        <f t="shared" si="953"/>
        <v>#N/A</v>
      </c>
      <c r="BM444" s="28" t="e">
        <f t="shared" si="1003"/>
        <v>#N/A</v>
      </c>
      <c r="BN444" s="33">
        <f>HLOOKUP("maximum population",Miscelaneous!$C$1:$C$33,CH444+3,FALSE)</f>
        <v>240</v>
      </c>
      <c r="BO444" s="14">
        <f t="shared" si="966"/>
        <v>32</v>
      </c>
      <c r="BP444" s="14">
        <f t="shared" si="967"/>
        <v>0</v>
      </c>
      <c r="BQ444" s="14">
        <f t="shared" si="968"/>
        <v>208</v>
      </c>
      <c r="BR444" s="34" t="e">
        <f>HLOOKUP(J444,Villagers!$B$1:$V$33,L444+3,FALSE)-HLOOKUP(J444,Villagers!$B$1:$V$33,L444+2,FALSE)</f>
        <v>#N/A</v>
      </c>
      <c r="BS444" s="49">
        <f t="shared" si="969"/>
        <v>1</v>
      </c>
      <c r="BT444" s="50">
        <f t="shared" si="970"/>
        <v>0</v>
      </c>
      <c r="BU444" s="50">
        <f t="shared" si="971"/>
        <v>0</v>
      </c>
      <c r="BV444" s="50">
        <f t="shared" si="972"/>
        <v>0</v>
      </c>
      <c r="BW444" s="50">
        <f t="shared" si="1063"/>
        <v>0</v>
      </c>
      <c r="BX444" s="50">
        <f t="shared" si="1061"/>
        <v>0</v>
      </c>
      <c r="BY444" s="50">
        <f t="shared" si="1061"/>
        <v>0</v>
      </c>
      <c r="BZ444" s="50">
        <f t="shared" si="1015"/>
        <v>0</v>
      </c>
      <c r="CA444" s="50">
        <f t="shared" si="1016"/>
        <v>0</v>
      </c>
      <c r="CB444" s="50">
        <f t="shared" si="1017"/>
        <v>1</v>
      </c>
      <c r="CC444" s="50">
        <f t="shared" si="1018"/>
        <v>0</v>
      </c>
      <c r="CD444" s="50">
        <f t="shared" si="1019"/>
        <v>0</v>
      </c>
      <c r="CE444" s="50">
        <f t="shared" si="1020"/>
        <v>1</v>
      </c>
      <c r="CF444" s="50">
        <f t="shared" si="1021"/>
        <v>1</v>
      </c>
      <c r="CG444" s="50">
        <f t="shared" si="1022"/>
        <v>1</v>
      </c>
      <c r="CH444" s="50">
        <f t="shared" si="1023"/>
        <v>1</v>
      </c>
      <c r="CI444" s="50">
        <f t="shared" si="1024"/>
        <v>1</v>
      </c>
      <c r="CJ444" s="50">
        <f t="shared" si="1025"/>
        <v>1</v>
      </c>
      <c r="CK444" s="50">
        <f t="shared" si="1025"/>
        <v>0</v>
      </c>
      <c r="CL444" s="50">
        <f t="shared" si="1025"/>
        <v>0</v>
      </c>
      <c r="CM444" s="51">
        <f t="shared" si="1026"/>
        <v>0</v>
      </c>
      <c r="CN444" s="33">
        <f>ROUND(IF(BS444=0,0,HLOOKUP(BS$14,Villagers!$B$1:$V$33,BS444+3,FALSE)),)</f>
        <v>5</v>
      </c>
      <c r="CO444" s="14">
        <f>ROUND(IF(BT444=0,0,HLOOKUP(BT$14,Villagers!$B$1:$V$33,BT444+3,FALSE)),)</f>
        <v>0</v>
      </c>
      <c r="CP444" s="14">
        <f>ROUND(IF(BU444=0,0,HLOOKUP(BU$14,Villagers!$B$1:$V$33,BU444+3,FALSE)),)</f>
        <v>0</v>
      </c>
      <c r="CQ444" s="14">
        <f>ROUND(IF(BV444=0,0,HLOOKUP(BV$14,Villagers!$B$1:$V$33,BV444+3,FALSE)),)</f>
        <v>0</v>
      </c>
      <c r="CR444" s="14">
        <f>ROUND(IF(BW444=0,0,HLOOKUP(BW$14,Villagers!$B$1:$V$33,BW444+3,FALSE)),)</f>
        <v>0</v>
      </c>
      <c r="CS444" s="14">
        <f>ROUND(IF(BX444=0,0,HLOOKUP(BX$14,Villagers!$B$1:$V$33,BX444+3,FALSE)),)</f>
        <v>0</v>
      </c>
      <c r="CT444" s="14">
        <f>ROUND(IF(BY444=0,0,HLOOKUP(BY$14,Villagers!$B$1:$V$33,BY444+3,FALSE)),)</f>
        <v>0</v>
      </c>
      <c r="CU444" s="14">
        <f>ROUND(IF(BZ444=0,0,HLOOKUP(BZ$14,Villagers!$B$1:$V$33,BZ444+3,FALSE)),)</f>
        <v>0</v>
      </c>
      <c r="CV444" s="14">
        <f>ROUND(IF(CA444=0,0,HLOOKUP(CA$14,Villagers!$B$1:$V$33,CA444+3,FALSE)),)</f>
        <v>0</v>
      </c>
      <c r="CW444" s="14">
        <f>ROUND(IF(CB444=0,0,HLOOKUP(CB$14,Villagers!$B$1:$V$33,CB444+3,FALSE)),)</f>
        <v>0</v>
      </c>
      <c r="CX444" s="14">
        <f>ROUND(IF(CC444=0,0,HLOOKUP(CC$14,Villagers!$B$1:$V$33,CC444+3,FALSE)),)</f>
        <v>0</v>
      </c>
      <c r="CY444" s="14">
        <f>ROUND(IF(CD444=0,0,HLOOKUP(CD$14,Villagers!$B$1:$V$33,CD444+3,FALSE)),)</f>
        <v>0</v>
      </c>
      <c r="CZ444" s="14">
        <f>ROUND(IF(CE444=0,0,HLOOKUP(CE$14,Villagers!$B$1:$V$33,CE444+3,FALSE)),)</f>
        <v>5</v>
      </c>
      <c r="DA444" s="14">
        <f>ROUND(IF(CF444=0,0,HLOOKUP(CF$14,Villagers!$B$1:$V$33,CF444+3,FALSE)),)</f>
        <v>10</v>
      </c>
      <c r="DB444" s="14">
        <f>ROUND(IF(CG444=0,0,HLOOKUP(CG$14,Villagers!$B$1:$V$33,CG444+3,FALSE)),)</f>
        <v>10</v>
      </c>
      <c r="DC444" s="14">
        <f>ROUND(IF(CH444=0,0,HLOOKUP(CH$14,Villagers!$B$1:$V$33,CH444+3,FALSE)),)</f>
        <v>0</v>
      </c>
      <c r="DD444" s="14">
        <f>ROUND(IF(CI444=0,0,HLOOKUP(CI$14,Villagers!$B$1:$V$33,CI444+3,FALSE)),)</f>
        <v>0</v>
      </c>
      <c r="DE444" s="14">
        <f>ROUND(IF(CJ444=0,0,HLOOKUP(CJ$14,Villagers!$B$1:$V$33,CJ444+3,FALSE)),)</f>
        <v>2</v>
      </c>
      <c r="DF444" s="370">
        <f>ROUND(IF(CK444=0,0,HLOOKUP(CK$14,Villagers!$B$1:$V$33,CK444+3,FALSE)),)</f>
        <v>0</v>
      </c>
      <c r="DG444" s="370">
        <f>ROUND(IF(CL444=0,0,HLOOKUP(CL$14,Villagers!$B$1:$V$33,CL444+3,FALSE)),)</f>
        <v>0</v>
      </c>
      <c r="DH444" s="34">
        <f>ROUND(IF(CM444=0,0,HLOOKUP(CM$14,Villagers!$B$1:$V$33,CM444+3,FALSE)),)</f>
        <v>0</v>
      </c>
      <c r="DI444" s="109">
        <f t="shared" si="989"/>
        <v>0</v>
      </c>
      <c r="DJ444" s="50">
        <f t="shared" si="990"/>
        <v>0</v>
      </c>
      <c r="DK444" s="50">
        <f t="shared" si="991"/>
        <v>0</v>
      </c>
      <c r="DL444" s="50">
        <f t="shared" si="992"/>
        <v>0</v>
      </c>
      <c r="DM444" s="50">
        <f t="shared" si="993"/>
        <v>0</v>
      </c>
      <c r="DN444" s="50">
        <f t="shared" si="994"/>
        <v>0</v>
      </c>
      <c r="DO444" s="50">
        <f t="shared" si="995"/>
        <v>0</v>
      </c>
      <c r="DP444" s="50">
        <f t="shared" si="996"/>
        <v>0</v>
      </c>
      <c r="DQ444" s="50">
        <f t="shared" si="973"/>
        <v>0</v>
      </c>
      <c r="DR444" s="50">
        <f t="shared" si="974"/>
        <v>0</v>
      </c>
      <c r="DS444" s="96">
        <f>Miscelaneous!$D$4*Miscelaneous!$D$2^($CI444-1)</f>
        <v>1000</v>
      </c>
      <c r="DT444" s="333">
        <f t="shared" si="955"/>
        <v>1</v>
      </c>
      <c r="DU444" s="81">
        <v>1</v>
      </c>
      <c r="DV444" s="79">
        <f t="shared" si="975"/>
        <v>0</v>
      </c>
      <c r="DW444" s="79">
        <f t="shared" si="976"/>
        <v>0</v>
      </c>
      <c r="DX444" s="79">
        <f t="shared" si="977"/>
        <v>0</v>
      </c>
      <c r="DY444" s="79">
        <v>1</v>
      </c>
      <c r="DZ444" s="79">
        <f t="shared" si="978"/>
        <v>0</v>
      </c>
      <c r="EA444" s="79">
        <f t="shared" si="979"/>
        <v>0</v>
      </c>
      <c r="EB444" s="79">
        <f t="shared" si="980"/>
        <v>0</v>
      </c>
      <c r="EC444" s="79">
        <f t="shared" si="981"/>
        <v>0</v>
      </c>
      <c r="ED444" s="79">
        <v>1</v>
      </c>
      <c r="EE444" s="79">
        <v>1</v>
      </c>
      <c r="EF444" s="79">
        <f t="shared" si="982"/>
        <v>0</v>
      </c>
      <c r="EG444" s="79">
        <v>1</v>
      </c>
      <c r="EH444" s="79">
        <v>1</v>
      </c>
      <c r="EI444" s="79">
        <v>1</v>
      </c>
      <c r="EJ444" s="79">
        <v>1</v>
      </c>
      <c r="EK444" s="79">
        <v>1</v>
      </c>
      <c r="EL444" s="79">
        <v>1</v>
      </c>
      <c r="EM444" s="143">
        <f t="shared" si="983"/>
        <v>0</v>
      </c>
      <c r="EN444" s="143">
        <f t="shared" si="984"/>
        <v>0</v>
      </c>
      <c r="EO444" s="82">
        <f t="shared" si="985"/>
        <v>0</v>
      </c>
    </row>
    <row r="445" spans="1:145" x14ac:dyDescent="0.25">
      <c r="A445">
        <v>431</v>
      </c>
      <c r="B445" s="172" t="e">
        <f t="shared" si="956"/>
        <v>#N/A</v>
      </c>
      <c r="C445" s="121" t="e">
        <f t="shared" ref="C445:E445" si="1068">AJ445-SUM(AB445:AB449)</f>
        <v>#N/A</v>
      </c>
      <c r="D445" s="122" t="e">
        <f t="shared" si="1068"/>
        <v>#N/A</v>
      </c>
      <c r="E445" s="122" t="e">
        <f t="shared" si="1068"/>
        <v>#N/A</v>
      </c>
      <c r="F445" s="176" t="e">
        <f t="shared" si="937"/>
        <v>#N/A</v>
      </c>
      <c r="G445" s="121">
        <f t="shared" si="958"/>
        <v>208</v>
      </c>
      <c r="H445" s="176" t="e">
        <f t="shared" si="959"/>
        <v>#N/A</v>
      </c>
      <c r="I445" s="48">
        <v>1</v>
      </c>
      <c r="J445" s="39"/>
      <c r="K445" s="350">
        <v>1</v>
      </c>
      <c r="L445" s="34" t="e">
        <f t="shared" si="938"/>
        <v>#N/A</v>
      </c>
      <c r="M445" s="38" t="e">
        <f>(HLOOKUP(J445,'Construction Times'!$B$3:$W$34,L445+2,FALSE)*HLOOKUP("hq modifier",'Construction Times'!$W$3:$W$34,BS445+2,FALSE))*(1-$H$9)</f>
        <v>#N/A</v>
      </c>
      <c r="N445" s="426" t="e">
        <f t="shared" si="960"/>
        <v>#N/A</v>
      </c>
      <c r="O445" s="427"/>
      <c r="P445" s="430" t="e">
        <f t="shared" si="961"/>
        <v>#N/A</v>
      </c>
      <c r="Q445" s="431"/>
      <c r="R445" s="103">
        <f t="shared" si="1052"/>
        <v>0</v>
      </c>
      <c r="S445" s="104">
        <f t="shared" si="1052"/>
        <v>0</v>
      </c>
      <c r="T445" s="104">
        <f t="shared" si="1053"/>
        <v>0</v>
      </c>
      <c r="U445" s="104">
        <f t="shared" si="1053"/>
        <v>0</v>
      </c>
      <c r="V445" s="104">
        <f t="shared" si="1053"/>
        <v>9.9999999999999995E-8</v>
      </c>
      <c r="W445" s="104">
        <f t="shared" si="1053"/>
        <v>0</v>
      </c>
      <c r="X445" s="104">
        <f t="shared" si="1045"/>
        <v>0</v>
      </c>
      <c r="Y445" s="104">
        <f t="shared" si="1045"/>
        <v>9.9999999999999995E-8</v>
      </c>
      <c r="Z445" s="104">
        <f t="shared" si="1045"/>
        <v>9.9999999999999995E-8</v>
      </c>
      <c r="AA445" s="105">
        <f t="shared" si="1045"/>
        <v>9.9999999999999995E-8</v>
      </c>
      <c r="AB445" s="101" t="e">
        <f>$DT445*HLOOKUP($J445,'Construction Costs (timber)'!$B$1:$V$32,'Construction Planner'!$L445+2,FALSE)</f>
        <v>#N/A</v>
      </c>
      <c r="AC445" s="14" t="e">
        <f>$DT445*HLOOKUP($J445,'Construction Costs (clay)'!$B$1:$V$32,'Construction Planner'!$L445+2,FALSE)</f>
        <v>#N/A</v>
      </c>
      <c r="AD445" s="14" t="e">
        <f>$DT445*HLOOKUP($J445,'Construction Costs (iron)'!$B$1:$V$32,'Construction Planner'!$L445+2,FALSE)</f>
        <v>#N/A</v>
      </c>
      <c r="AE445" s="34" t="e">
        <f t="shared" si="1000"/>
        <v>#N/A</v>
      </c>
      <c r="AF445" s="33" t="e">
        <f t="shared" si="939"/>
        <v>#N/A</v>
      </c>
      <c r="AG445" s="14" t="e">
        <f t="shared" si="940"/>
        <v>#N/A</v>
      </c>
      <c r="AH445" s="14" t="e">
        <f t="shared" si="941"/>
        <v>#N/A</v>
      </c>
      <c r="AI445" s="34" t="e">
        <f t="shared" si="1001"/>
        <v>#N/A</v>
      </c>
      <c r="AJ445" s="49" t="e">
        <f t="shared" si="962"/>
        <v>#N/A</v>
      </c>
      <c r="AK445" s="49" t="e">
        <f t="shared" si="963"/>
        <v>#N/A</v>
      </c>
      <c r="AL445" s="49" t="e">
        <f t="shared" si="964"/>
        <v>#N/A</v>
      </c>
      <c r="AM445" s="25">
        <f t="shared" si="942"/>
        <v>30</v>
      </c>
      <c r="AN445" s="25">
        <f t="shared" si="943"/>
        <v>30</v>
      </c>
      <c r="AO445" s="25">
        <f t="shared" si="944"/>
        <v>30</v>
      </c>
      <c r="AP445" s="52" t="e">
        <f t="shared" si="1049"/>
        <v>#N/A</v>
      </c>
      <c r="AQ445" s="53" t="e">
        <f t="shared" si="1049"/>
        <v>#N/A</v>
      </c>
      <c r="AR445" s="54" t="e">
        <f t="shared" si="1049"/>
        <v>#N/A</v>
      </c>
      <c r="AS445" s="316">
        <f t="shared" si="1057"/>
        <v>0</v>
      </c>
      <c r="AT445" s="106">
        <f>_xlfn.IFNA($M445/VLOOKUP($BT445,'Unit information'!$A$2:$K$29,2,FALSE)*R445,0)*(1+$E$9)</f>
        <v>0</v>
      </c>
      <c r="AU445" s="107">
        <f>_xlfn.IFNA($M445/VLOOKUP($BT445,'Unit information'!$A$2:$K$29,3,FALSE)*S445,0)*(1+$E$9)</f>
        <v>0</v>
      </c>
      <c r="AV445" s="107">
        <f>_xlfn.IFNA($M445/VLOOKUP($BT445,'Unit information'!$A$2:$K$29,4,FALSE)*T445,0)*(1+$E$9)</f>
        <v>0</v>
      </c>
      <c r="AW445" s="107">
        <f>_xlfn.IFNA($M445/VLOOKUP($BT445,'Unit information'!$A$2:$K$29,5,FALSE)*U445,0)*(1+$E$9)</f>
        <v>0</v>
      </c>
      <c r="AX445" s="107">
        <f>_xlfn.IFNA($M445/VLOOKUP($BU445,'Unit information'!$A$2:$K$29,6,FALSE)*V445,0)*(1+$E$9)</f>
        <v>0</v>
      </c>
      <c r="AY445" s="107">
        <f>_xlfn.IFNA($M445/VLOOKUP($BU445,'Unit information'!$A$2:$K$29,7,FALSE)*W445,0)*(1+$E$9)</f>
        <v>0</v>
      </c>
      <c r="AZ445" s="107">
        <f>_xlfn.IFNA($M445/VLOOKUP($BU445,'Unit information'!$A$2:$K$29,8,FALSE)*X445,0)*(1+$E$9)</f>
        <v>0</v>
      </c>
      <c r="BA445" s="107">
        <f>_xlfn.IFNA($M445/VLOOKUP($BU445,'Unit information'!$A$2:$K$29,9,FALSE)*Y445,0)*(1+$E$9)</f>
        <v>0</v>
      </c>
      <c r="BB445" s="107">
        <f>_xlfn.IFNA($M445/VLOOKUP($BV445,'Unit information'!$A$2:$K$29,10,FALSE)*Z445,0)*(1+$E$9)</f>
        <v>0</v>
      </c>
      <c r="BC445" s="108">
        <f>_xlfn.IFNA($M445/VLOOKUP($BV445,'Unit information'!$A$2:$K$29,11,FALSE)*AA445,0)*(1+$E$9)</f>
        <v>0</v>
      </c>
      <c r="BD445" s="106">
        <f t="shared" si="945"/>
        <v>0</v>
      </c>
      <c r="BE445" s="107">
        <f t="shared" si="946"/>
        <v>0</v>
      </c>
      <c r="BF445" s="108">
        <f t="shared" si="947"/>
        <v>0</v>
      </c>
      <c r="BG445" s="25" t="e">
        <f t="shared" si="948"/>
        <v>#N/A</v>
      </c>
      <c r="BH445" s="25" t="e">
        <f t="shared" si="949"/>
        <v>#N/A</v>
      </c>
      <c r="BI445" s="25" t="e">
        <f t="shared" si="950"/>
        <v>#N/A</v>
      </c>
      <c r="BJ445" s="27" t="e">
        <f t="shared" si="951"/>
        <v>#N/A</v>
      </c>
      <c r="BK445" s="18" t="e">
        <f t="shared" si="952"/>
        <v>#N/A</v>
      </c>
      <c r="BL445" s="18" t="e">
        <f t="shared" si="953"/>
        <v>#N/A</v>
      </c>
      <c r="BM445" s="28" t="e">
        <f t="shared" si="1003"/>
        <v>#N/A</v>
      </c>
      <c r="BN445" s="33">
        <f>HLOOKUP("maximum population",Miscelaneous!$C$1:$C$33,CH445+3,FALSE)</f>
        <v>240</v>
      </c>
      <c r="BO445" s="14">
        <f t="shared" si="966"/>
        <v>32</v>
      </c>
      <c r="BP445" s="14">
        <f t="shared" si="967"/>
        <v>0</v>
      </c>
      <c r="BQ445" s="14">
        <f t="shared" si="968"/>
        <v>208</v>
      </c>
      <c r="BR445" s="34" t="e">
        <f>HLOOKUP(J445,Villagers!$B$1:$V$33,L445+3,FALSE)-HLOOKUP(J445,Villagers!$B$1:$V$33,L445+2,FALSE)</f>
        <v>#N/A</v>
      </c>
      <c r="BS445" s="49">
        <f t="shared" si="969"/>
        <v>1</v>
      </c>
      <c r="BT445" s="50">
        <f t="shared" si="970"/>
        <v>0</v>
      </c>
      <c r="BU445" s="50">
        <f t="shared" si="971"/>
        <v>0</v>
      </c>
      <c r="BV445" s="50">
        <f t="shared" si="972"/>
        <v>0</v>
      </c>
      <c r="BW445" s="50">
        <f t="shared" si="1063"/>
        <v>0</v>
      </c>
      <c r="BX445" s="50">
        <f t="shared" si="1061"/>
        <v>0</v>
      </c>
      <c r="BY445" s="50">
        <f t="shared" si="1061"/>
        <v>0</v>
      </c>
      <c r="BZ445" s="50">
        <f t="shared" si="1015"/>
        <v>0</v>
      </c>
      <c r="CA445" s="50">
        <f t="shared" si="1016"/>
        <v>0</v>
      </c>
      <c r="CB445" s="50">
        <f t="shared" si="1017"/>
        <v>1</v>
      </c>
      <c r="CC445" s="50">
        <f t="shared" si="1018"/>
        <v>0</v>
      </c>
      <c r="CD445" s="50">
        <f t="shared" si="1019"/>
        <v>0</v>
      </c>
      <c r="CE445" s="50">
        <f t="shared" si="1020"/>
        <v>1</v>
      </c>
      <c r="CF445" s="50">
        <f t="shared" si="1021"/>
        <v>1</v>
      </c>
      <c r="CG445" s="50">
        <f t="shared" si="1022"/>
        <v>1</v>
      </c>
      <c r="CH445" s="50">
        <f t="shared" si="1023"/>
        <v>1</v>
      </c>
      <c r="CI445" s="50">
        <f t="shared" si="1024"/>
        <v>1</v>
      </c>
      <c r="CJ445" s="50">
        <f t="shared" si="1025"/>
        <v>1</v>
      </c>
      <c r="CK445" s="50">
        <f t="shared" si="1025"/>
        <v>0</v>
      </c>
      <c r="CL445" s="50">
        <f t="shared" si="1025"/>
        <v>0</v>
      </c>
      <c r="CM445" s="51">
        <f t="shared" si="1026"/>
        <v>0</v>
      </c>
      <c r="CN445" s="33">
        <f>ROUND(IF(BS445=0,0,HLOOKUP(BS$14,Villagers!$B$1:$V$33,BS445+3,FALSE)),)</f>
        <v>5</v>
      </c>
      <c r="CO445" s="14">
        <f>ROUND(IF(BT445=0,0,HLOOKUP(BT$14,Villagers!$B$1:$V$33,BT445+3,FALSE)),)</f>
        <v>0</v>
      </c>
      <c r="CP445" s="14">
        <f>ROUND(IF(BU445=0,0,HLOOKUP(BU$14,Villagers!$B$1:$V$33,BU445+3,FALSE)),)</f>
        <v>0</v>
      </c>
      <c r="CQ445" s="14">
        <f>ROUND(IF(BV445=0,0,HLOOKUP(BV$14,Villagers!$B$1:$V$33,BV445+3,FALSE)),)</f>
        <v>0</v>
      </c>
      <c r="CR445" s="14">
        <f>ROUND(IF(BW445=0,0,HLOOKUP(BW$14,Villagers!$B$1:$V$33,BW445+3,FALSE)),)</f>
        <v>0</v>
      </c>
      <c r="CS445" s="14">
        <f>ROUND(IF(BX445=0,0,HLOOKUP(BX$14,Villagers!$B$1:$V$33,BX445+3,FALSE)),)</f>
        <v>0</v>
      </c>
      <c r="CT445" s="14">
        <f>ROUND(IF(BY445=0,0,HLOOKUP(BY$14,Villagers!$B$1:$V$33,BY445+3,FALSE)),)</f>
        <v>0</v>
      </c>
      <c r="CU445" s="14">
        <f>ROUND(IF(BZ445=0,0,HLOOKUP(BZ$14,Villagers!$B$1:$V$33,BZ445+3,FALSE)),)</f>
        <v>0</v>
      </c>
      <c r="CV445" s="14">
        <f>ROUND(IF(CA445=0,0,HLOOKUP(CA$14,Villagers!$B$1:$V$33,CA445+3,FALSE)),)</f>
        <v>0</v>
      </c>
      <c r="CW445" s="14">
        <f>ROUND(IF(CB445=0,0,HLOOKUP(CB$14,Villagers!$B$1:$V$33,CB445+3,FALSE)),)</f>
        <v>0</v>
      </c>
      <c r="CX445" s="14">
        <f>ROUND(IF(CC445=0,0,HLOOKUP(CC$14,Villagers!$B$1:$V$33,CC445+3,FALSE)),)</f>
        <v>0</v>
      </c>
      <c r="CY445" s="14">
        <f>ROUND(IF(CD445=0,0,HLOOKUP(CD$14,Villagers!$B$1:$V$33,CD445+3,FALSE)),)</f>
        <v>0</v>
      </c>
      <c r="CZ445" s="14">
        <f>ROUND(IF(CE445=0,0,HLOOKUP(CE$14,Villagers!$B$1:$V$33,CE445+3,FALSE)),)</f>
        <v>5</v>
      </c>
      <c r="DA445" s="14">
        <f>ROUND(IF(CF445=0,0,HLOOKUP(CF$14,Villagers!$B$1:$V$33,CF445+3,FALSE)),)</f>
        <v>10</v>
      </c>
      <c r="DB445" s="14">
        <f>ROUND(IF(CG445=0,0,HLOOKUP(CG$14,Villagers!$B$1:$V$33,CG445+3,FALSE)),)</f>
        <v>10</v>
      </c>
      <c r="DC445" s="14">
        <f>ROUND(IF(CH445=0,0,HLOOKUP(CH$14,Villagers!$B$1:$V$33,CH445+3,FALSE)),)</f>
        <v>0</v>
      </c>
      <c r="DD445" s="14">
        <f>ROUND(IF(CI445=0,0,HLOOKUP(CI$14,Villagers!$B$1:$V$33,CI445+3,FALSE)),)</f>
        <v>0</v>
      </c>
      <c r="DE445" s="14">
        <f>ROUND(IF(CJ445=0,0,HLOOKUP(CJ$14,Villagers!$B$1:$V$33,CJ445+3,FALSE)),)</f>
        <v>2</v>
      </c>
      <c r="DF445" s="370">
        <f>ROUND(IF(CK445=0,0,HLOOKUP(CK$14,Villagers!$B$1:$V$33,CK445+3,FALSE)),)</f>
        <v>0</v>
      </c>
      <c r="DG445" s="370">
        <f>ROUND(IF(CL445=0,0,HLOOKUP(CL$14,Villagers!$B$1:$V$33,CL445+3,FALSE)),)</f>
        <v>0</v>
      </c>
      <c r="DH445" s="34">
        <f>ROUND(IF(CM445=0,0,HLOOKUP(CM$14,Villagers!$B$1:$V$33,CM445+3,FALSE)),)</f>
        <v>0</v>
      </c>
      <c r="DI445" s="109">
        <f t="shared" si="989"/>
        <v>0</v>
      </c>
      <c r="DJ445" s="50">
        <f t="shared" si="990"/>
        <v>0</v>
      </c>
      <c r="DK445" s="50">
        <f t="shared" si="991"/>
        <v>0</v>
      </c>
      <c r="DL445" s="50">
        <f t="shared" si="992"/>
        <v>0</v>
      </c>
      <c r="DM445" s="50">
        <f t="shared" si="993"/>
        <v>0</v>
      </c>
      <c r="DN445" s="50">
        <f t="shared" si="994"/>
        <v>0</v>
      </c>
      <c r="DO445" s="50">
        <f t="shared" si="995"/>
        <v>0</v>
      </c>
      <c r="DP445" s="50">
        <f t="shared" si="996"/>
        <v>0</v>
      </c>
      <c r="DQ445" s="50">
        <f t="shared" si="973"/>
        <v>0</v>
      </c>
      <c r="DR445" s="50">
        <f t="shared" si="974"/>
        <v>0</v>
      </c>
      <c r="DS445" s="96">
        <f>Miscelaneous!$D$4*Miscelaneous!$D$2^($CI445-1)</f>
        <v>1000</v>
      </c>
      <c r="DT445" s="333">
        <f t="shared" si="955"/>
        <v>1</v>
      </c>
      <c r="DU445" s="81">
        <v>1</v>
      </c>
      <c r="DV445" s="79">
        <f t="shared" si="975"/>
        <v>0</v>
      </c>
      <c r="DW445" s="79">
        <f t="shared" si="976"/>
        <v>0</v>
      </c>
      <c r="DX445" s="79">
        <f t="shared" si="977"/>
        <v>0</v>
      </c>
      <c r="DY445" s="79">
        <v>1</v>
      </c>
      <c r="DZ445" s="79">
        <f t="shared" si="978"/>
        <v>0</v>
      </c>
      <c r="EA445" s="79">
        <f t="shared" si="979"/>
        <v>0</v>
      </c>
      <c r="EB445" s="79">
        <f t="shared" si="980"/>
        <v>0</v>
      </c>
      <c r="EC445" s="79">
        <f t="shared" si="981"/>
        <v>0</v>
      </c>
      <c r="ED445" s="79">
        <v>1</v>
      </c>
      <c r="EE445" s="79">
        <v>1</v>
      </c>
      <c r="EF445" s="79">
        <f t="shared" si="982"/>
        <v>0</v>
      </c>
      <c r="EG445" s="79">
        <v>1</v>
      </c>
      <c r="EH445" s="79">
        <v>1</v>
      </c>
      <c r="EI445" s="79">
        <v>1</v>
      </c>
      <c r="EJ445" s="79">
        <v>1</v>
      </c>
      <c r="EK445" s="79">
        <v>1</v>
      </c>
      <c r="EL445" s="79">
        <v>1</v>
      </c>
      <c r="EM445" s="143">
        <f t="shared" si="983"/>
        <v>0</v>
      </c>
      <c r="EN445" s="143">
        <f t="shared" si="984"/>
        <v>0</v>
      </c>
      <c r="EO445" s="82">
        <f t="shared" si="985"/>
        <v>0</v>
      </c>
    </row>
    <row r="446" spans="1:145" x14ac:dyDescent="0.25">
      <c r="A446">
        <v>432</v>
      </c>
      <c r="B446" s="172" t="e">
        <f t="shared" si="956"/>
        <v>#N/A</v>
      </c>
      <c r="C446" s="121" t="e">
        <f t="shared" ref="C446:E446" si="1069">AJ446-SUM(AB446:AB450)</f>
        <v>#N/A</v>
      </c>
      <c r="D446" s="122" t="e">
        <f t="shared" si="1069"/>
        <v>#N/A</v>
      </c>
      <c r="E446" s="122" t="e">
        <f t="shared" si="1069"/>
        <v>#N/A</v>
      </c>
      <c r="F446" s="176" t="e">
        <f t="shared" si="937"/>
        <v>#N/A</v>
      </c>
      <c r="G446" s="121">
        <f t="shared" si="958"/>
        <v>208</v>
      </c>
      <c r="H446" s="176" t="e">
        <f t="shared" si="959"/>
        <v>#N/A</v>
      </c>
      <c r="I446" s="48">
        <v>1</v>
      </c>
      <c r="J446" s="39"/>
      <c r="K446" s="350">
        <v>1</v>
      </c>
      <c r="L446" s="34" t="e">
        <f t="shared" si="938"/>
        <v>#N/A</v>
      </c>
      <c r="M446" s="38" t="e">
        <f>(HLOOKUP(J446,'Construction Times'!$B$3:$W$34,L446+2,FALSE)*HLOOKUP("hq modifier",'Construction Times'!$W$3:$W$34,BS446+2,FALSE))*(1-$H$9)</f>
        <v>#N/A</v>
      </c>
      <c r="N446" s="426" t="e">
        <f t="shared" si="960"/>
        <v>#N/A</v>
      </c>
      <c r="O446" s="427"/>
      <c r="P446" s="430" t="e">
        <f t="shared" si="961"/>
        <v>#N/A</v>
      </c>
      <c r="Q446" s="431"/>
      <c r="R446" s="103">
        <f t="shared" si="1052"/>
        <v>0</v>
      </c>
      <c r="S446" s="104">
        <f t="shared" si="1052"/>
        <v>0</v>
      </c>
      <c r="T446" s="104">
        <f t="shared" si="1053"/>
        <v>0</v>
      </c>
      <c r="U446" s="104">
        <f t="shared" si="1053"/>
        <v>0</v>
      </c>
      <c r="V446" s="104">
        <f t="shared" si="1053"/>
        <v>9.9999999999999995E-8</v>
      </c>
      <c r="W446" s="104">
        <f t="shared" si="1053"/>
        <v>0</v>
      </c>
      <c r="X446" s="104">
        <f t="shared" si="1045"/>
        <v>0</v>
      </c>
      <c r="Y446" s="104">
        <f t="shared" si="1045"/>
        <v>9.9999999999999995E-8</v>
      </c>
      <c r="Z446" s="104">
        <f t="shared" si="1045"/>
        <v>9.9999999999999995E-8</v>
      </c>
      <c r="AA446" s="105">
        <f t="shared" si="1045"/>
        <v>9.9999999999999995E-8</v>
      </c>
      <c r="AB446" s="101" t="e">
        <f>$DT446*HLOOKUP($J446,'Construction Costs (timber)'!$B$1:$V$32,'Construction Planner'!$L446+2,FALSE)</f>
        <v>#N/A</v>
      </c>
      <c r="AC446" s="14" t="e">
        <f>$DT446*HLOOKUP($J446,'Construction Costs (clay)'!$B$1:$V$32,'Construction Planner'!$L446+2,FALSE)</f>
        <v>#N/A</v>
      </c>
      <c r="AD446" s="14" t="e">
        <f>$DT446*HLOOKUP($J446,'Construction Costs (iron)'!$B$1:$V$32,'Construction Planner'!$L446+2,FALSE)</f>
        <v>#N/A</v>
      </c>
      <c r="AE446" s="34" t="e">
        <f t="shared" si="1000"/>
        <v>#N/A</v>
      </c>
      <c r="AF446" s="33" t="e">
        <f t="shared" si="939"/>
        <v>#N/A</v>
      </c>
      <c r="AG446" s="14" t="e">
        <f t="shared" si="940"/>
        <v>#N/A</v>
      </c>
      <c r="AH446" s="14" t="e">
        <f t="shared" si="941"/>
        <v>#N/A</v>
      </c>
      <c r="AI446" s="34" t="e">
        <f t="shared" si="1001"/>
        <v>#N/A</v>
      </c>
      <c r="AJ446" s="49" t="e">
        <f t="shared" si="962"/>
        <v>#N/A</v>
      </c>
      <c r="AK446" s="49" t="e">
        <f t="shared" si="963"/>
        <v>#N/A</v>
      </c>
      <c r="AL446" s="49" t="e">
        <f t="shared" si="964"/>
        <v>#N/A</v>
      </c>
      <c r="AM446" s="25">
        <f t="shared" si="942"/>
        <v>30</v>
      </c>
      <c r="AN446" s="25">
        <f t="shared" si="943"/>
        <v>30</v>
      </c>
      <c r="AO446" s="25">
        <f t="shared" si="944"/>
        <v>30</v>
      </c>
      <c r="AP446" s="52" t="e">
        <f t="shared" si="1049"/>
        <v>#N/A</v>
      </c>
      <c r="AQ446" s="53" t="e">
        <f t="shared" si="1049"/>
        <v>#N/A</v>
      </c>
      <c r="AR446" s="54" t="e">
        <f t="shared" si="1049"/>
        <v>#N/A</v>
      </c>
      <c r="AS446" s="316">
        <f t="shared" si="1057"/>
        <v>0</v>
      </c>
      <c r="AT446" s="106">
        <f>_xlfn.IFNA($M446/VLOOKUP($BT446,'Unit information'!$A$2:$K$29,2,FALSE)*R446,0)*(1+$E$9)</f>
        <v>0</v>
      </c>
      <c r="AU446" s="107">
        <f>_xlfn.IFNA($M446/VLOOKUP($BT446,'Unit information'!$A$2:$K$29,3,FALSE)*S446,0)*(1+$E$9)</f>
        <v>0</v>
      </c>
      <c r="AV446" s="107">
        <f>_xlfn.IFNA($M446/VLOOKUP($BT446,'Unit information'!$A$2:$K$29,4,FALSE)*T446,0)*(1+$E$9)</f>
        <v>0</v>
      </c>
      <c r="AW446" s="107">
        <f>_xlfn.IFNA($M446/VLOOKUP($BT446,'Unit information'!$A$2:$K$29,5,FALSE)*U446,0)*(1+$E$9)</f>
        <v>0</v>
      </c>
      <c r="AX446" s="107">
        <f>_xlfn.IFNA($M446/VLOOKUP($BU446,'Unit information'!$A$2:$K$29,6,FALSE)*V446,0)*(1+$E$9)</f>
        <v>0</v>
      </c>
      <c r="AY446" s="107">
        <f>_xlfn.IFNA($M446/VLOOKUP($BU446,'Unit information'!$A$2:$K$29,7,FALSE)*W446,0)*(1+$E$9)</f>
        <v>0</v>
      </c>
      <c r="AZ446" s="107">
        <f>_xlfn.IFNA($M446/VLOOKUP($BU446,'Unit information'!$A$2:$K$29,8,FALSE)*X446,0)*(1+$E$9)</f>
        <v>0</v>
      </c>
      <c r="BA446" s="107">
        <f>_xlfn.IFNA($M446/VLOOKUP($BU446,'Unit information'!$A$2:$K$29,9,FALSE)*Y446,0)*(1+$E$9)</f>
        <v>0</v>
      </c>
      <c r="BB446" s="107">
        <f>_xlfn.IFNA($M446/VLOOKUP($BV446,'Unit information'!$A$2:$K$29,10,FALSE)*Z446,0)*(1+$E$9)</f>
        <v>0</v>
      </c>
      <c r="BC446" s="108">
        <f>_xlfn.IFNA($M446/VLOOKUP($BV446,'Unit information'!$A$2:$K$29,11,FALSE)*AA446,0)*(1+$E$9)</f>
        <v>0</v>
      </c>
      <c r="BD446" s="106">
        <f t="shared" si="945"/>
        <v>0</v>
      </c>
      <c r="BE446" s="107">
        <f t="shared" si="946"/>
        <v>0</v>
      </c>
      <c r="BF446" s="108">
        <f t="shared" si="947"/>
        <v>0</v>
      </c>
      <c r="BG446" s="25" t="e">
        <f t="shared" si="948"/>
        <v>#N/A</v>
      </c>
      <c r="BH446" s="25" t="e">
        <f t="shared" si="949"/>
        <v>#N/A</v>
      </c>
      <c r="BI446" s="25" t="e">
        <f t="shared" si="950"/>
        <v>#N/A</v>
      </c>
      <c r="BJ446" s="27" t="e">
        <f t="shared" si="951"/>
        <v>#N/A</v>
      </c>
      <c r="BK446" s="18" t="e">
        <f t="shared" si="952"/>
        <v>#N/A</v>
      </c>
      <c r="BL446" s="18" t="e">
        <f t="shared" si="953"/>
        <v>#N/A</v>
      </c>
      <c r="BM446" s="28" t="e">
        <f t="shared" si="1003"/>
        <v>#N/A</v>
      </c>
      <c r="BN446" s="33">
        <f>HLOOKUP("maximum population",Miscelaneous!$C$1:$C$33,CH446+3,FALSE)</f>
        <v>240</v>
      </c>
      <c r="BO446" s="14">
        <f t="shared" si="966"/>
        <v>32</v>
      </c>
      <c r="BP446" s="14">
        <f t="shared" si="967"/>
        <v>0</v>
      </c>
      <c r="BQ446" s="14">
        <f t="shared" si="968"/>
        <v>208</v>
      </c>
      <c r="BR446" s="34" t="e">
        <f>HLOOKUP(J446,Villagers!$B$1:$V$33,L446+3,FALSE)-HLOOKUP(J446,Villagers!$B$1:$V$33,L446+2,FALSE)</f>
        <v>#N/A</v>
      </c>
      <c r="BS446" s="49">
        <f t="shared" si="969"/>
        <v>1</v>
      </c>
      <c r="BT446" s="50">
        <f t="shared" si="970"/>
        <v>0</v>
      </c>
      <c r="BU446" s="50">
        <f t="shared" si="971"/>
        <v>0</v>
      </c>
      <c r="BV446" s="50">
        <f t="shared" si="972"/>
        <v>0</v>
      </c>
      <c r="BW446" s="50">
        <f t="shared" si="1063"/>
        <v>0</v>
      </c>
      <c r="BX446" s="50">
        <f t="shared" si="1061"/>
        <v>0</v>
      </c>
      <c r="BY446" s="50">
        <f t="shared" si="1061"/>
        <v>0</v>
      </c>
      <c r="BZ446" s="50">
        <f t="shared" si="1015"/>
        <v>0</v>
      </c>
      <c r="CA446" s="50">
        <f t="shared" si="1016"/>
        <v>0</v>
      </c>
      <c r="CB446" s="50">
        <f t="shared" si="1017"/>
        <v>1</v>
      </c>
      <c r="CC446" s="50">
        <f t="shared" si="1018"/>
        <v>0</v>
      </c>
      <c r="CD446" s="50">
        <f t="shared" si="1019"/>
        <v>0</v>
      </c>
      <c r="CE446" s="50">
        <f t="shared" si="1020"/>
        <v>1</v>
      </c>
      <c r="CF446" s="50">
        <f t="shared" si="1021"/>
        <v>1</v>
      </c>
      <c r="CG446" s="50">
        <f t="shared" si="1022"/>
        <v>1</v>
      </c>
      <c r="CH446" s="50">
        <f t="shared" si="1023"/>
        <v>1</v>
      </c>
      <c r="CI446" s="50">
        <f t="shared" si="1024"/>
        <v>1</v>
      </c>
      <c r="CJ446" s="50">
        <f t="shared" si="1025"/>
        <v>1</v>
      </c>
      <c r="CK446" s="50">
        <f t="shared" si="1025"/>
        <v>0</v>
      </c>
      <c r="CL446" s="50">
        <f t="shared" si="1025"/>
        <v>0</v>
      </c>
      <c r="CM446" s="51">
        <f t="shared" si="1026"/>
        <v>0</v>
      </c>
      <c r="CN446" s="33">
        <f>ROUND(IF(BS446=0,0,HLOOKUP(BS$14,Villagers!$B$1:$V$33,BS446+3,FALSE)),)</f>
        <v>5</v>
      </c>
      <c r="CO446" s="14">
        <f>ROUND(IF(BT446=0,0,HLOOKUP(BT$14,Villagers!$B$1:$V$33,BT446+3,FALSE)),)</f>
        <v>0</v>
      </c>
      <c r="CP446" s="14">
        <f>ROUND(IF(BU446=0,0,HLOOKUP(BU$14,Villagers!$B$1:$V$33,BU446+3,FALSE)),)</f>
        <v>0</v>
      </c>
      <c r="CQ446" s="14">
        <f>ROUND(IF(BV446=0,0,HLOOKUP(BV$14,Villagers!$B$1:$V$33,BV446+3,FALSE)),)</f>
        <v>0</v>
      </c>
      <c r="CR446" s="14">
        <f>ROUND(IF(BW446=0,0,HLOOKUP(BW$14,Villagers!$B$1:$V$33,BW446+3,FALSE)),)</f>
        <v>0</v>
      </c>
      <c r="CS446" s="14">
        <f>ROUND(IF(BX446=0,0,HLOOKUP(BX$14,Villagers!$B$1:$V$33,BX446+3,FALSE)),)</f>
        <v>0</v>
      </c>
      <c r="CT446" s="14">
        <f>ROUND(IF(BY446=0,0,HLOOKUP(BY$14,Villagers!$B$1:$V$33,BY446+3,FALSE)),)</f>
        <v>0</v>
      </c>
      <c r="CU446" s="14">
        <f>ROUND(IF(BZ446=0,0,HLOOKUP(BZ$14,Villagers!$B$1:$V$33,BZ446+3,FALSE)),)</f>
        <v>0</v>
      </c>
      <c r="CV446" s="14">
        <f>ROUND(IF(CA446=0,0,HLOOKUP(CA$14,Villagers!$B$1:$V$33,CA446+3,FALSE)),)</f>
        <v>0</v>
      </c>
      <c r="CW446" s="14">
        <f>ROUND(IF(CB446=0,0,HLOOKUP(CB$14,Villagers!$B$1:$V$33,CB446+3,FALSE)),)</f>
        <v>0</v>
      </c>
      <c r="CX446" s="14">
        <f>ROUND(IF(CC446=0,0,HLOOKUP(CC$14,Villagers!$B$1:$V$33,CC446+3,FALSE)),)</f>
        <v>0</v>
      </c>
      <c r="CY446" s="14">
        <f>ROUND(IF(CD446=0,0,HLOOKUP(CD$14,Villagers!$B$1:$V$33,CD446+3,FALSE)),)</f>
        <v>0</v>
      </c>
      <c r="CZ446" s="14">
        <f>ROUND(IF(CE446=0,0,HLOOKUP(CE$14,Villagers!$B$1:$V$33,CE446+3,FALSE)),)</f>
        <v>5</v>
      </c>
      <c r="DA446" s="14">
        <f>ROUND(IF(CF446=0,0,HLOOKUP(CF$14,Villagers!$B$1:$V$33,CF446+3,FALSE)),)</f>
        <v>10</v>
      </c>
      <c r="DB446" s="14">
        <f>ROUND(IF(CG446=0,0,HLOOKUP(CG$14,Villagers!$B$1:$V$33,CG446+3,FALSE)),)</f>
        <v>10</v>
      </c>
      <c r="DC446" s="14">
        <f>ROUND(IF(CH446=0,0,HLOOKUP(CH$14,Villagers!$B$1:$V$33,CH446+3,FALSE)),)</f>
        <v>0</v>
      </c>
      <c r="DD446" s="14">
        <f>ROUND(IF(CI446=0,0,HLOOKUP(CI$14,Villagers!$B$1:$V$33,CI446+3,FALSE)),)</f>
        <v>0</v>
      </c>
      <c r="DE446" s="14">
        <f>ROUND(IF(CJ446=0,0,HLOOKUP(CJ$14,Villagers!$B$1:$V$33,CJ446+3,FALSE)),)</f>
        <v>2</v>
      </c>
      <c r="DF446" s="370">
        <f>ROUND(IF(CK446=0,0,HLOOKUP(CK$14,Villagers!$B$1:$V$33,CK446+3,FALSE)),)</f>
        <v>0</v>
      </c>
      <c r="DG446" s="370">
        <f>ROUND(IF(CL446=0,0,HLOOKUP(CL$14,Villagers!$B$1:$V$33,CL446+3,FALSE)),)</f>
        <v>0</v>
      </c>
      <c r="DH446" s="34">
        <f>ROUND(IF(CM446=0,0,HLOOKUP(CM$14,Villagers!$B$1:$V$33,CM446+3,FALSE)),)</f>
        <v>0</v>
      </c>
      <c r="DI446" s="109">
        <f t="shared" si="989"/>
        <v>0</v>
      </c>
      <c r="DJ446" s="50">
        <f t="shared" si="990"/>
        <v>0</v>
      </c>
      <c r="DK446" s="50">
        <f t="shared" si="991"/>
        <v>0</v>
      </c>
      <c r="DL446" s="50">
        <f t="shared" si="992"/>
        <v>0</v>
      </c>
      <c r="DM446" s="50">
        <f t="shared" si="993"/>
        <v>0</v>
      </c>
      <c r="DN446" s="50">
        <f t="shared" si="994"/>
        <v>0</v>
      </c>
      <c r="DO446" s="50">
        <f t="shared" si="995"/>
        <v>0</v>
      </c>
      <c r="DP446" s="50">
        <f t="shared" si="996"/>
        <v>0</v>
      </c>
      <c r="DQ446" s="50">
        <f t="shared" si="973"/>
        <v>0</v>
      </c>
      <c r="DR446" s="50">
        <f t="shared" si="974"/>
        <v>0</v>
      </c>
      <c r="DS446" s="96">
        <f>Miscelaneous!$D$4*Miscelaneous!$D$2^($CI446-1)</f>
        <v>1000</v>
      </c>
      <c r="DT446" s="333">
        <f t="shared" si="955"/>
        <v>1</v>
      </c>
      <c r="DU446" s="81">
        <v>1</v>
      </c>
      <c r="DV446" s="79">
        <f t="shared" si="975"/>
        <v>0</v>
      </c>
      <c r="DW446" s="79">
        <f t="shared" si="976"/>
        <v>0</v>
      </c>
      <c r="DX446" s="79">
        <f t="shared" si="977"/>
        <v>0</v>
      </c>
      <c r="DY446" s="79">
        <v>1</v>
      </c>
      <c r="DZ446" s="79">
        <f t="shared" si="978"/>
        <v>0</v>
      </c>
      <c r="EA446" s="79">
        <f t="shared" si="979"/>
        <v>0</v>
      </c>
      <c r="EB446" s="79">
        <f t="shared" si="980"/>
        <v>0</v>
      </c>
      <c r="EC446" s="79">
        <f t="shared" si="981"/>
        <v>0</v>
      </c>
      <c r="ED446" s="79">
        <v>1</v>
      </c>
      <c r="EE446" s="79">
        <v>1</v>
      </c>
      <c r="EF446" s="79">
        <f t="shared" si="982"/>
        <v>0</v>
      </c>
      <c r="EG446" s="79">
        <v>1</v>
      </c>
      <c r="EH446" s="79">
        <v>1</v>
      </c>
      <c r="EI446" s="79">
        <v>1</v>
      </c>
      <c r="EJ446" s="79">
        <v>1</v>
      </c>
      <c r="EK446" s="79">
        <v>1</v>
      </c>
      <c r="EL446" s="79">
        <v>1</v>
      </c>
      <c r="EM446" s="143">
        <f t="shared" si="983"/>
        <v>0</v>
      </c>
      <c r="EN446" s="143">
        <f t="shared" si="984"/>
        <v>0</v>
      </c>
      <c r="EO446" s="82">
        <f t="shared" si="985"/>
        <v>0</v>
      </c>
    </row>
    <row r="447" spans="1:145" x14ac:dyDescent="0.25">
      <c r="A447">
        <v>433</v>
      </c>
      <c r="B447" s="172" t="e">
        <f t="shared" si="956"/>
        <v>#N/A</v>
      </c>
      <c r="C447" s="121" t="e">
        <f t="shared" ref="C447:E447" si="1070">AJ447-SUM(AB447:AB451)</f>
        <v>#N/A</v>
      </c>
      <c r="D447" s="122" t="e">
        <f t="shared" si="1070"/>
        <v>#N/A</v>
      </c>
      <c r="E447" s="122" t="e">
        <f t="shared" si="1070"/>
        <v>#N/A</v>
      </c>
      <c r="F447" s="176" t="e">
        <f t="shared" si="937"/>
        <v>#N/A</v>
      </c>
      <c r="G447" s="121">
        <f t="shared" si="958"/>
        <v>208</v>
      </c>
      <c r="H447" s="176" t="e">
        <f t="shared" si="959"/>
        <v>#N/A</v>
      </c>
      <c r="I447" s="48">
        <v>1</v>
      </c>
      <c r="J447" s="39"/>
      <c r="K447" s="350">
        <v>1</v>
      </c>
      <c r="L447" s="34" t="e">
        <f t="shared" si="938"/>
        <v>#N/A</v>
      </c>
      <c r="M447" s="38" t="e">
        <f>(HLOOKUP(J447,'Construction Times'!$B$3:$W$34,L447+2,FALSE)*HLOOKUP("hq modifier",'Construction Times'!$W$3:$W$34,BS447+2,FALSE))*(1-$H$9)</f>
        <v>#N/A</v>
      </c>
      <c r="N447" s="426" t="e">
        <f t="shared" si="960"/>
        <v>#N/A</v>
      </c>
      <c r="O447" s="427"/>
      <c r="P447" s="430" t="e">
        <f t="shared" si="961"/>
        <v>#N/A</v>
      </c>
      <c r="Q447" s="431"/>
      <c r="R447" s="103">
        <f t="shared" si="1052"/>
        <v>0</v>
      </c>
      <c r="S447" s="104">
        <f t="shared" si="1052"/>
        <v>0</v>
      </c>
      <c r="T447" s="104">
        <f t="shared" si="1053"/>
        <v>0</v>
      </c>
      <c r="U447" s="104">
        <f t="shared" si="1053"/>
        <v>0</v>
      </c>
      <c r="V447" s="104">
        <f t="shared" si="1053"/>
        <v>9.9999999999999995E-8</v>
      </c>
      <c r="W447" s="104">
        <f t="shared" si="1053"/>
        <v>0</v>
      </c>
      <c r="X447" s="104">
        <f t="shared" si="1045"/>
        <v>0</v>
      </c>
      <c r="Y447" s="104">
        <f t="shared" si="1045"/>
        <v>9.9999999999999995E-8</v>
      </c>
      <c r="Z447" s="104">
        <f t="shared" si="1045"/>
        <v>9.9999999999999995E-8</v>
      </c>
      <c r="AA447" s="105">
        <f t="shared" si="1045"/>
        <v>9.9999999999999995E-8</v>
      </c>
      <c r="AB447" s="101" t="e">
        <f>$DT447*HLOOKUP($J447,'Construction Costs (timber)'!$B$1:$V$32,'Construction Planner'!$L447+2,FALSE)</f>
        <v>#N/A</v>
      </c>
      <c r="AC447" s="14" t="e">
        <f>$DT447*HLOOKUP($J447,'Construction Costs (clay)'!$B$1:$V$32,'Construction Planner'!$L447+2,FALSE)</f>
        <v>#N/A</v>
      </c>
      <c r="AD447" s="14" t="e">
        <f>$DT447*HLOOKUP($J447,'Construction Costs (iron)'!$B$1:$V$32,'Construction Planner'!$L447+2,FALSE)</f>
        <v>#N/A</v>
      </c>
      <c r="AE447" s="34" t="e">
        <f t="shared" si="1000"/>
        <v>#N/A</v>
      </c>
      <c r="AF447" s="33" t="e">
        <f t="shared" si="939"/>
        <v>#N/A</v>
      </c>
      <c r="AG447" s="14" t="e">
        <f t="shared" si="940"/>
        <v>#N/A</v>
      </c>
      <c r="AH447" s="14" t="e">
        <f t="shared" si="941"/>
        <v>#N/A</v>
      </c>
      <c r="AI447" s="34" t="e">
        <f t="shared" si="1001"/>
        <v>#N/A</v>
      </c>
      <c r="AJ447" s="49" t="e">
        <f t="shared" si="962"/>
        <v>#N/A</v>
      </c>
      <c r="AK447" s="49" t="e">
        <f t="shared" si="963"/>
        <v>#N/A</v>
      </c>
      <c r="AL447" s="49" t="e">
        <f t="shared" si="964"/>
        <v>#N/A</v>
      </c>
      <c r="AM447" s="25">
        <f t="shared" si="942"/>
        <v>30</v>
      </c>
      <c r="AN447" s="25">
        <f t="shared" si="943"/>
        <v>30</v>
      </c>
      <c r="AO447" s="25">
        <f t="shared" si="944"/>
        <v>30</v>
      </c>
      <c r="AP447" s="52" t="e">
        <f t="shared" si="1049"/>
        <v>#N/A</v>
      </c>
      <c r="AQ447" s="53" t="e">
        <f t="shared" si="1049"/>
        <v>#N/A</v>
      </c>
      <c r="AR447" s="54" t="e">
        <f t="shared" si="1049"/>
        <v>#N/A</v>
      </c>
      <c r="AS447" s="316">
        <f t="shared" si="1057"/>
        <v>0</v>
      </c>
      <c r="AT447" s="106">
        <f>_xlfn.IFNA($M447/VLOOKUP($BT447,'Unit information'!$A$2:$K$29,2,FALSE)*R447,0)*(1+$E$9)</f>
        <v>0</v>
      </c>
      <c r="AU447" s="107">
        <f>_xlfn.IFNA($M447/VLOOKUP($BT447,'Unit information'!$A$2:$K$29,3,FALSE)*S447,0)*(1+$E$9)</f>
        <v>0</v>
      </c>
      <c r="AV447" s="107">
        <f>_xlfn.IFNA($M447/VLOOKUP($BT447,'Unit information'!$A$2:$K$29,4,FALSE)*T447,0)*(1+$E$9)</f>
        <v>0</v>
      </c>
      <c r="AW447" s="107">
        <f>_xlfn.IFNA($M447/VLOOKUP($BT447,'Unit information'!$A$2:$K$29,5,FALSE)*U447,0)*(1+$E$9)</f>
        <v>0</v>
      </c>
      <c r="AX447" s="107">
        <f>_xlfn.IFNA($M447/VLOOKUP($BU447,'Unit information'!$A$2:$K$29,6,FALSE)*V447,0)*(1+$E$9)</f>
        <v>0</v>
      </c>
      <c r="AY447" s="107">
        <f>_xlfn.IFNA($M447/VLOOKUP($BU447,'Unit information'!$A$2:$K$29,7,FALSE)*W447,0)*(1+$E$9)</f>
        <v>0</v>
      </c>
      <c r="AZ447" s="107">
        <f>_xlfn.IFNA($M447/VLOOKUP($BU447,'Unit information'!$A$2:$K$29,8,FALSE)*X447,0)*(1+$E$9)</f>
        <v>0</v>
      </c>
      <c r="BA447" s="107">
        <f>_xlfn.IFNA($M447/VLOOKUP($BU447,'Unit information'!$A$2:$K$29,9,FALSE)*Y447,0)*(1+$E$9)</f>
        <v>0</v>
      </c>
      <c r="BB447" s="107">
        <f>_xlfn.IFNA($M447/VLOOKUP($BV447,'Unit information'!$A$2:$K$29,10,FALSE)*Z447,0)*(1+$E$9)</f>
        <v>0</v>
      </c>
      <c r="BC447" s="108">
        <f>_xlfn.IFNA($M447/VLOOKUP($BV447,'Unit information'!$A$2:$K$29,11,FALSE)*AA447,0)*(1+$E$9)</f>
        <v>0</v>
      </c>
      <c r="BD447" s="106">
        <f t="shared" si="945"/>
        <v>0</v>
      </c>
      <c r="BE447" s="107">
        <f t="shared" si="946"/>
        <v>0</v>
      </c>
      <c r="BF447" s="108">
        <f t="shared" si="947"/>
        <v>0</v>
      </c>
      <c r="BG447" s="25" t="e">
        <f t="shared" si="948"/>
        <v>#N/A</v>
      </c>
      <c r="BH447" s="25" t="e">
        <f t="shared" si="949"/>
        <v>#N/A</v>
      </c>
      <c r="BI447" s="25" t="e">
        <f t="shared" si="950"/>
        <v>#N/A</v>
      </c>
      <c r="BJ447" s="27" t="e">
        <f t="shared" si="951"/>
        <v>#N/A</v>
      </c>
      <c r="BK447" s="18" t="e">
        <f t="shared" si="952"/>
        <v>#N/A</v>
      </c>
      <c r="BL447" s="18" t="e">
        <f t="shared" si="953"/>
        <v>#N/A</v>
      </c>
      <c r="BM447" s="28" t="e">
        <f t="shared" si="1003"/>
        <v>#N/A</v>
      </c>
      <c r="BN447" s="33">
        <f>HLOOKUP("maximum population",Miscelaneous!$C$1:$C$33,CH447+3,FALSE)</f>
        <v>240</v>
      </c>
      <c r="BO447" s="14">
        <f t="shared" si="966"/>
        <v>32</v>
      </c>
      <c r="BP447" s="14">
        <f t="shared" si="967"/>
        <v>0</v>
      </c>
      <c r="BQ447" s="14">
        <f t="shared" si="968"/>
        <v>208</v>
      </c>
      <c r="BR447" s="34" t="e">
        <f>HLOOKUP(J447,Villagers!$B$1:$V$33,L447+3,FALSE)-HLOOKUP(J447,Villagers!$B$1:$V$33,L447+2,FALSE)</f>
        <v>#N/A</v>
      </c>
      <c r="BS447" s="49">
        <f t="shared" si="969"/>
        <v>1</v>
      </c>
      <c r="BT447" s="50">
        <f t="shared" si="970"/>
        <v>0</v>
      </c>
      <c r="BU447" s="50">
        <f t="shared" si="971"/>
        <v>0</v>
      </c>
      <c r="BV447" s="50">
        <f t="shared" si="972"/>
        <v>0</v>
      </c>
      <c r="BW447" s="50">
        <f t="shared" si="1063"/>
        <v>0</v>
      </c>
      <c r="BX447" s="50">
        <f t="shared" si="1061"/>
        <v>0</v>
      </c>
      <c r="BY447" s="50">
        <f t="shared" si="1061"/>
        <v>0</v>
      </c>
      <c r="BZ447" s="50">
        <f t="shared" si="1015"/>
        <v>0</v>
      </c>
      <c r="CA447" s="50">
        <f t="shared" si="1016"/>
        <v>0</v>
      </c>
      <c r="CB447" s="50">
        <f t="shared" si="1017"/>
        <v>1</v>
      </c>
      <c r="CC447" s="50">
        <f t="shared" si="1018"/>
        <v>0</v>
      </c>
      <c r="CD447" s="50">
        <f t="shared" si="1019"/>
        <v>0</v>
      </c>
      <c r="CE447" s="50">
        <f t="shared" si="1020"/>
        <v>1</v>
      </c>
      <c r="CF447" s="50">
        <f t="shared" si="1021"/>
        <v>1</v>
      </c>
      <c r="CG447" s="50">
        <f t="shared" si="1022"/>
        <v>1</v>
      </c>
      <c r="CH447" s="50">
        <f t="shared" si="1023"/>
        <v>1</v>
      </c>
      <c r="CI447" s="50">
        <f t="shared" si="1024"/>
        <v>1</v>
      </c>
      <c r="CJ447" s="50">
        <f t="shared" si="1025"/>
        <v>1</v>
      </c>
      <c r="CK447" s="50">
        <f t="shared" si="1025"/>
        <v>0</v>
      </c>
      <c r="CL447" s="50">
        <f t="shared" si="1025"/>
        <v>0</v>
      </c>
      <c r="CM447" s="51">
        <f t="shared" si="1026"/>
        <v>0</v>
      </c>
      <c r="CN447" s="33">
        <f>ROUND(IF(BS447=0,0,HLOOKUP(BS$14,Villagers!$B$1:$V$33,BS447+3,FALSE)),)</f>
        <v>5</v>
      </c>
      <c r="CO447" s="14">
        <f>ROUND(IF(BT447=0,0,HLOOKUP(BT$14,Villagers!$B$1:$V$33,BT447+3,FALSE)),)</f>
        <v>0</v>
      </c>
      <c r="CP447" s="14">
        <f>ROUND(IF(BU447=0,0,HLOOKUP(BU$14,Villagers!$B$1:$V$33,BU447+3,FALSE)),)</f>
        <v>0</v>
      </c>
      <c r="CQ447" s="14">
        <f>ROUND(IF(BV447=0,0,HLOOKUP(BV$14,Villagers!$B$1:$V$33,BV447+3,FALSE)),)</f>
        <v>0</v>
      </c>
      <c r="CR447" s="14">
        <f>ROUND(IF(BW447=0,0,HLOOKUP(BW$14,Villagers!$B$1:$V$33,BW447+3,FALSE)),)</f>
        <v>0</v>
      </c>
      <c r="CS447" s="14">
        <f>ROUND(IF(BX447=0,0,HLOOKUP(BX$14,Villagers!$B$1:$V$33,BX447+3,FALSE)),)</f>
        <v>0</v>
      </c>
      <c r="CT447" s="14">
        <f>ROUND(IF(BY447=0,0,HLOOKUP(BY$14,Villagers!$B$1:$V$33,BY447+3,FALSE)),)</f>
        <v>0</v>
      </c>
      <c r="CU447" s="14">
        <f>ROUND(IF(BZ447=0,0,HLOOKUP(BZ$14,Villagers!$B$1:$V$33,BZ447+3,FALSE)),)</f>
        <v>0</v>
      </c>
      <c r="CV447" s="14">
        <f>ROUND(IF(CA447=0,0,HLOOKUP(CA$14,Villagers!$B$1:$V$33,CA447+3,FALSE)),)</f>
        <v>0</v>
      </c>
      <c r="CW447" s="14">
        <f>ROUND(IF(CB447=0,0,HLOOKUP(CB$14,Villagers!$B$1:$V$33,CB447+3,FALSE)),)</f>
        <v>0</v>
      </c>
      <c r="CX447" s="14">
        <f>ROUND(IF(CC447=0,0,HLOOKUP(CC$14,Villagers!$B$1:$V$33,CC447+3,FALSE)),)</f>
        <v>0</v>
      </c>
      <c r="CY447" s="14">
        <f>ROUND(IF(CD447=0,0,HLOOKUP(CD$14,Villagers!$B$1:$V$33,CD447+3,FALSE)),)</f>
        <v>0</v>
      </c>
      <c r="CZ447" s="14">
        <f>ROUND(IF(CE447=0,0,HLOOKUP(CE$14,Villagers!$B$1:$V$33,CE447+3,FALSE)),)</f>
        <v>5</v>
      </c>
      <c r="DA447" s="14">
        <f>ROUND(IF(CF447=0,0,HLOOKUP(CF$14,Villagers!$B$1:$V$33,CF447+3,FALSE)),)</f>
        <v>10</v>
      </c>
      <c r="DB447" s="14">
        <f>ROUND(IF(CG447=0,0,HLOOKUP(CG$14,Villagers!$B$1:$V$33,CG447+3,FALSE)),)</f>
        <v>10</v>
      </c>
      <c r="DC447" s="14">
        <f>ROUND(IF(CH447=0,0,HLOOKUP(CH$14,Villagers!$B$1:$V$33,CH447+3,FALSE)),)</f>
        <v>0</v>
      </c>
      <c r="DD447" s="14">
        <f>ROUND(IF(CI447=0,0,HLOOKUP(CI$14,Villagers!$B$1:$V$33,CI447+3,FALSE)),)</f>
        <v>0</v>
      </c>
      <c r="DE447" s="14">
        <f>ROUND(IF(CJ447=0,0,HLOOKUP(CJ$14,Villagers!$B$1:$V$33,CJ447+3,FALSE)),)</f>
        <v>2</v>
      </c>
      <c r="DF447" s="370">
        <f>ROUND(IF(CK447=0,0,HLOOKUP(CK$14,Villagers!$B$1:$V$33,CK447+3,FALSE)),)</f>
        <v>0</v>
      </c>
      <c r="DG447" s="370">
        <f>ROUND(IF(CL447=0,0,HLOOKUP(CL$14,Villagers!$B$1:$V$33,CL447+3,FALSE)),)</f>
        <v>0</v>
      </c>
      <c r="DH447" s="34">
        <f>ROUND(IF(CM447=0,0,HLOOKUP(CM$14,Villagers!$B$1:$V$33,CM447+3,FALSE)),)</f>
        <v>0</v>
      </c>
      <c r="DI447" s="109">
        <f t="shared" si="989"/>
        <v>0</v>
      </c>
      <c r="DJ447" s="50">
        <f t="shared" si="990"/>
        <v>0</v>
      </c>
      <c r="DK447" s="50">
        <f t="shared" si="991"/>
        <v>0</v>
      </c>
      <c r="DL447" s="50">
        <f t="shared" si="992"/>
        <v>0</v>
      </c>
      <c r="DM447" s="50">
        <f t="shared" si="993"/>
        <v>0</v>
      </c>
      <c r="DN447" s="50">
        <f t="shared" si="994"/>
        <v>0</v>
      </c>
      <c r="DO447" s="50">
        <f t="shared" si="995"/>
        <v>0</v>
      </c>
      <c r="DP447" s="50">
        <f t="shared" si="996"/>
        <v>0</v>
      </c>
      <c r="DQ447" s="50">
        <f t="shared" si="973"/>
        <v>0</v>
      </c>
      <c r="DR447" s="50">
        <f t="shared" si="974"/>
        <v>0</v>
      </c>
      <c r="DS447" s="96">
        <f>Miscelaneous!$D$4*Miscelaneous!$D$2^($CI447-1)</f>
        <v>1000</v>
      </c>
      <c r="DT447" s="333">
        <f t="shared" si="955"/>
        <v>1</v>
      </c>
      <c r="DU447" s="81">
        <v>1</v>
      </c>
      <c r="DV447" s="79">
        <f t="shared" si="975"/>
        <v>0</v>
      </c>
      <c r="DW447" s="79">
        <f t="shared" si="976"/>
        <v>0</v>
      </c>
      <c r="DX447" s="79">
        <f t="shared" si="977"/>
        <v>0</v>
      </c>
      <c r="DY447" s="79">
        <v>1</v>
      </c>
      <c r="DZ447" s="79">
        <f t="shared" si="978"/>
        <v>0</v>
      </c>
      <c r="EA447" s="79">
        <f t="shared" si="979"/>
        <v>0</v>
      </c>
      <c r="EB447" s="79">
        <f t="shared" si="980"/>
        <v>0</v>
      </c>
      <c r="EC447" s="79">
        <f t="shared" si="981"/>
        <v>0</v>
      </c>
      <c r="ED447" s="79">
        <v>1</v>
      </c>
      <c r="EE447" s="79">
        <v>1</v>
      </c>
      <c r="EF447" s="79">
        <f t="shared" si="982"/>
        <v>0</v>
      </c>
      <c r="EG447" s="79">
        <v>1</v>
      </c>
      <c r="EH447" s="79">
        <v>1</v>
      </c>
      <c r="EI447" s="79">
        <v>1</v>
      </c>
      <c r="EJ447" s="79">
        <v>1</v>
      </c>
      <c r="EK447" s="79">
        <v>1</v>
      </c>
      <c r="EL447" s="79">
        <v>1</v>
      </c>
      <c r="EM447" s="143">
        <f t="shared" si="983"/>
        <v>0</v>
      </c>
      <c r="EN447" s="143">
        <f t="shared" si="984"/>
        <v>0</v>
      </c>
      <c r="EO447" s="82">
        <f t="shared" si="985"/>
        <v>0</v>
      </c>
    </row>
    <row r="448" spans="1:145" x14ac:dyDescent="0.25">
      <c r="A448">
        <v>434</v>
      </c>
      <c r="B448" s="172" t="e">
        <f t="shared" si="956"/>
        <v>#N/A</v>
      </c>
      <c r="C448" s="121" t="e">
        <f t="shared" ref="C448:E448" si="1071">AJ448-SUM(AB448:AB452)</f>
        <v>#N/A</v>
      </c>
      <c r="D448" s="122" t="e">
        <f t="shared" si="1071"/>
        <v>#N/A</v>
      </c>
      <c r="E448" s="122" t="e">
        <f t="shared" si="1071"/>
        <v>#N/A</v>
      </c>
      <c r="F448" s="176" t="e">
        <f t="shared" si="937"/>
        <v>#N/A</v>
      </c>
      <c r="G448" s="121">
        <f t="shared" si="958"/>
        <v>208</v>
      </c>
      <c r="H448" s="176" t="e">
        <f t="shared" si="959"/>
        <v>#N/A</v>
      </c>
      <c r="I448" s="48">
        <v>1</v>
      </c>
      <c r="J448" s="39"/>
      <c r="K448" s="350">
        <v>1</v>
      </c>
      <c r="L448" s="34" t="e">
        <f t="shared" si="938"/>
        <v>#N/A</v>
      </c>
      <c r="M448" s="38" t="e">
        <f>(HLOOKUP(J448,'Construction Times'!$B$3:$W$34,L448+2,FALSE)*HLOOKUP("hq modifier",'Construction Times'!$W$3:$W$34,BS448+2,FALSE))*(1-$H$9)</f>
        <v>#N/A</v>
      </c>
      <c r="N448" s="426" t="e">
        <f t="shared" si="960"/>
        <v>#N/A</v>
      </c>
      <c r="O448" s="427"/>
      <c r="P448" s="430" t="e">
        <f t="shared" si="961"/>
        <v>#N/A</v>
      </c>
      <c r="Q448" s="431"/>
      <c r="R448" s="103">
        <f t="shared" si="1052"/>
        <v>0</v>
      </c>
      <c r="S448" s="104">
        <f t="shared" si="1052"/>
        <v>0</v>
      </c>
      <c r="T448" s="104">
        <f t="shared" si="1053"/>
        <v>0</v>
      </c>
      <c r="U448" s="104">
        <f t="shared" si="1053"/>
        <v>0</v>
      </c>
      <c r="V448" s="104">
        <f t="shared" si="1053"/>
        <v>9.9999999999999995E-8</v>
      </c>
      <c r="W448" s="104">
        <f t="shared" si="1053"/>
        <v>0</v>
      </c>
      <c r="X448" s="104">
        <f t="shared" si="1045"/>
        <v>0</v>
      </c>
      <c r="Y448" s="104">
        <f t="shared" si="1045"/>
        <v>9.9999999999999995E-8</v>
      </c>
      <c r="Z448" s="104">
        <f t="shared" si="1045"/>
        <v>9.9999999999999995E-8</v>
      </c>
      <c r="AA448" s="105">
        <f t="shared" si="1045"/>
        <v>9.9999999999999995E-8</v>
      </c>
      <c r="AB448" s="101" t="e">
        <f>$DT448*HLOOKUP($J448,'Construction Costs (timber)'!$B$1:$V$32,'Construction Planner'!$L448+2,FALSE)</f>
        <v>#N/A</v>
      </c>
      <c r="AC448" s="14" t="e">
        <f>$DT448*HLOOKUP($J448,'Construction Costs (clay)'!$B$1:$V$32,'Construction Planner'!$L448+2,FALSE)</f>
        <v>#N/A</v>
      </c>
      <c r="AD448" s="14" t="e">
        <f>$DT448*HLOOKUP($J448,'Construction Costs (iron)'!$B$1:$V$32,'Construction Planner'!$L448+2,FALSE)</f>
        <v>#N/A</v>
      </c>
      <c r="AE448" s="34" t="e">
        <f t="shared" si="1000"/>
        <v>#N/A</v>
      </c>
      <c r="AF448" s="33" t="e">
        <f t="shared" si="939"/>
        <v>#N/A</v>
      </c>
      <c r="AG448" s="14" t="e">
        <f t="shared" si="940"/>
        <v>#N/A</v>
      </c>
      <c r="AH448" s="14" t="e">
        <f t="shared" si="941"/>
        <v>#N/A</v>
      </c>
      <c r="AI448" s="34" t="e">
        <f t="shared" si="1001"/>
        <v>#N/A</v>
      </c>
      <c r="AJ448" s="49" t="e">
        <f t="shared" si="962"/>
        <v>#N/A</v>
      </c>
      <c r="AK448" s="49" t="e">
        <f t="shared" si="963"/>
        <v>#N/A</v>
      </c>
      <c r="AL448" s="49" t="e">
        <f t="shared" si="964"/>
        <v>#N/A</v>
      </c>
      <c r="AM448" s="25">
        <f t="shared" si="942"/>
        <v>30</v>
      </c>
      <c r="AN448" s="25">
        <f t="shared" si="943"/>
        <v>30</v>
      </c>
      <c r="AO448" s="25">
        <f t="shared" si="944"/>
        <v>30</v>
      </c>
      <c r="AP448" s="52" t="e">
        <f t="shared" si="1049"/>
        <v>#N/A</v>
      </c>
      <c r="AQ448" s="53" t="e">
        <f t="shared" si="1049"/>
        <v>#N/A</v>
      </c>
      <c r="AR448" s="54" t="e">
        <f t="shared" si="1049"/>
        <v>#N/A</v>
      </c>
      <c r="AS448" s="316">
        <f t="shared" si="1057"/>
        <v>0</v>
      </c>
      <c r="AT448" s="106">
        <f>_xlfn.IFNA($M448/VLOOKUP($BT448,'Unit information'!$A$2:$K$29,2,FALSE)*R448,0)*(1+$E$9)</f>
        <v>0</v>
      </c>
      <c r="AU448" s="107">
        <f>_xlfn.IFNA($M448/VLOOKUP($BT448,'Unit information'!$A$2:$K$29,3,FALSE)*S448,0)*(1+$E$9)</f>
        <v>0</v>
      </c>
      <c r="AV448" s="107">
        <f>_xlfn.IFNA($M448/VLOOKUP($BT448,'Unit information'!$A$2:$K$29,4,FALSE)*T448,0)*(1+$E$9)</f>
        <v>0</v>
      </c>
      <c r="AW448" s="107">
        <f>_xlfn.IFNA($M448/VLOOKUP($BT448,'Unit information'!$A$2:$K$29,5,FALSE)*U448,0)*(1+$E$9)</f>
        <v>0</v>
      </c>
      <c r="AX448" s="107">
        <f>_xlfn.IFNA($M448/VLOOKUP($BU448,'Unit information'!$A$2:$K$29,6,FALSE)*V448,0)*(1+$E$9)</f>
        <v>0</v>
      </c>
      <c r="AY448" s="107">
        <f>_xlfn.IFNA($M448/VLOOKUP($BU448,'Unit information'!$A$2:$K$29,7,FALSE)*W448,0)*(1+$E$9)</f>
        <v>0</v>
      </c>
      <c r="AZ448" s="107">
        <f>_xlfn.IFNA($M448/VLOOKUP($BU448,'Unit information'!$A$2:$K$29,8,FALSE)*X448,0)*(1+$E$9)</f>
        <v>0</v>
      </c>
      <c r="BA448" s="107">
        <f>_xlfn.IFNA($M448/VLOOKUP($BU448,'Unit information'!$A$2:$K$29,9,FALSE)*Y448,0)*(1+$E$9)</f>
        <v>0</v>
      </c>
      <c r="BB448" s="107">
        <f>_xlfn.IFNA($M448/VLOOKUP($BV448,'Unit information'!$A$2:$K$29,10,FALSE)*Z448,0)*(1+$E$9)</f>
        <v>0</v>
      </c>
      <c r="BC448" s="108">
        <f>_xlfn.IFNA($M448/VLOOKUP($BV448,'Unit information'!$A$2:$K$29,11,FALSE)*AA448,0)*(1+$E$9)</f>
        <v>0</v>
      </c>
      <c r="BD448" s="106">
        <f t="shared" si="945"/>
        <v>0</v>
      </c>
      <c r="BE448" s="107">
        <f t="shared" si="946"/>
        <v>0</v>
      </c>
      <c r="BF448" s="108">
        <f t="shared" si="947"/>
        <v>0</v>
      </c>
      <c r="BG448" s="25" t="e">
        <f t="shared" si="948"/>
        <v>#N/A</v>
      </c>
      <c r="BH448" s="25" t="e">
        <f t="shared" si="949"/>
        <v>#N/A</v>
      </c>
      <c r="BI448" s="25" t="e">
        <f t="shared" si="950"/>
        <v>#N/A</v>
      </c>
      <c r="BJ448" s="27" t="e">
        <f t="shared" si="951"/>
        <v>#N/A</v>
      </c>
      <c r="BK448" s="18" t="e">
        <f t="shared" si="952"/>
        <v>#N/A</v>
      </c>
      <c r="BL448" s="18" t="e">
        <f t="shared" si="953"/>
        <v>#N/A</v>
      </c>
      <c r="BM448" s="28" t="e">
        <f t="shared" si="1003"/>
        <v>#N/A</v>
      </c>
      <c r="BN448" s="33">
        <f>HLOOKUP("maximum population",Miscelaneous!$C$1:$C$33,CH448+3,FALSE)</f>
        <v>240</v>
      </c>
      <c r="BO448" s="14">
        <f t="shared" si="966"/>
        <v>32</v>
      </c>
      <c r="BP448" s="14">
        <f t="shared" si="967"/>
        <v>0</v>
      </c>
      <c r="BQ448" s="14">
        <f t="shared" si="968"/>
        <v>208</v>
      </c>
      <c r="BR448" s="34" t="e">
        <f>HLOOKUP(J448,Villagers!$B$1:$V$33,L448+3,FALSE)-HLOOKUP(J448,Villagers!$B$1:$V$33,L448+2,FALSE)</f>
        <v>#N/A</v>
      </c>
      <c r="BS448" s="49">
        <f t="shared" si="969"/>
        <v>1</v>
      </c>
      <c r="BT448" s="50">
        <f t="shared" si="970"/>
        <v>0</v>
      </c>
      <c r="BU448" s="50">
        <f t="shared" si="971"/>
        <v>0</v>
      </c>
      <c r="BV448" s="50">
        <f t="shared" si="972"/>
        <v>0</v>
      </c>
      <c r="BW448" s="50">
        <f t="shared" ref="BW448:BY454" si="1072">IF($J447=BW$14,$L447,BW447)</f>
        <v>0</v>
      </c>
      <c r="BX448" s="50">
        <f t="shared" si="1072"/>
        <v>0</v>
      </c>
      <c r="BY448" s="50">
        <f t="shared" si="1072"/>
        <v>0</v>
      </c>
      <c r="BZ448" s="50">
        <f t="shared" si="1015"/>
        <v>0</v>
      </c>
      <c r="CA448" s="50">
        <f t="shared" si="1016"/>
        <v>0</v>
      </c>
      <c r="CB448" s="50">
        <f t="shared" si="1017"/>
        <v>1</v>
      </c>
      <c r="CC448" s="50">
        <f t="shared" si="1018"/>
        <v>0</v>
      </c>
      <c r="CD448" s="50">
        <f t="shared" si="1019"/>
        <v>0</v>
      </c>
      <c r="CE448" s="50">
        <f t="shared" si="1020"/>
        <v>1</v>
      </c>
      <c r="CF448" s="50">
        <f t="shared" si="1021"/>
        <v>1</v>
      </c>
      <c r="CG448" s="50">
        <f t="shared" si="1022"/>
        <v>1</v>
      </c>
      <c r="CH448" s="50">
        <f t="shared" si="1023"/>
        <v>1</v>
      </c>
      <c r="CI448" s="50">
        <f t="shared" si="1024"/>
        <v>1</v>
      </c>
      <c r="CJ448" s="50">
        <f t="shared" si="1025"/>
        <v>1</v>
      </c>
      <c r="CK448" s="50">
        <f t="shared" si="1025"/>
        <v>0</v>
      </c>
      <c r="CL448" s="50">
        <f t="shared" si="1025"/>
        <v>0</v>
      </c>
      <c r="CM448" s="51">
        <f t="shared" si="1026"/>
        <v>0</v>
      </c>
      <c r="CN448" s="33">
        <f>ROUND(IF(BS448=0,0,HLOOKUP(BS$14,Villagers!$B$1:$V$33,BS448+3,FALSE)),)</f>
        <v>5</v>
      </c>
      <c r="CO448" s="14">
        <f>ROUND(IF(BT448=0,0,HLOOKUP(BT$14,Villagers!$B$1:$V$33,BT448+3,FALSE)),)</f>
        <v>0</v>
      </c>
      <c r="CP448" s="14">
        <f>ROUND(IF(BU448=0,0,HLOOKUP(BU$14,Villagers!$B$1:$V$33,BU448+3,FALSE)),)</f>
        <v>0</v>
      </c>
      <c r="CQ448" s="14">
        <f>ROUND(IF(BV448=0,0,HLOOKUP(BV$14,Villagers!$B$1:$V$33,BV448+3,FALSE)),)</f>
        <v>0</v>
      </c>
      <c r="CR448" s="14">
        <f>ROUND(IF(BW448=0,0,HLOOKUP(BW$14,Villagers!$B$1:$V$33,BW448+3,FALSE)),)</f>
        <v>0</v>
      </c>
      <c r="CS448" s="14">
        <f>ROUND(IF(BX448=0,0,HLOOKUP(BX$14,Villagers!$B$1:$V$33,BX448+3,FALSE)),)</f>
        <v>0</v>
      </c>
      <c r="CT448" s="14">
        <f>ROUND(IF(BY448=0,0,HLOOKUP(BY$14,Villagers!$B$1:$V$33,BY448+3,FALSE)),)</f>
        <v>0</v>
      </c>
      <c r="CU448" s="14">
        <f>ROUND(IF(BZ448=0,0,HLOOKUP(BZ$14,Villagers!$B$1:$V$33,BZ448+3,FALSE)),)</f>
        <v>0</v>
      </c>
      <c r="CV448" s="14">
        <f>ROUND(IF(CA448=0,0,HLOOKUP(CA$14,Villagers!$B$1:$V$33,CA448+3,FALSE)),)</f>
        <v>0</v>
      </c>
      <c r="CW448" s="14">
        <f>ROUND(IF(CB448=0,0,HLOOKUP(CB$14,Villagers!$B$1:$V$33,CB448+3,FALSE)),)</f>
        <v>0</v>
      </c>
      <c r="CX448" s="14">
        <f>ROUND(IF(CC448=0,0,HLOOKUP(CC$14,Villagers!$B$1:$V$33,CC448+3,FALSE)),)</f>
        <v>0</v>
      </c>
      <c r="CY448" s="14">
        <f>ROUND(IF(CD448=0,0,HLOOKUP(CD$14,Villagers!$B$1:$V$33,CD448+3,FALSE)),)</f>
        <v>0</v>
      </c>
      <c r="CZ448" s="14">
        <f>ROUND(IF(CE448=0,0,HLOOKUP(CE$14,Villagers!$B$1:$V$33,CE448+3,FALSE)),)</f>
        <v>5</v>
      </c>
      <c r="DA448" s="14">
        <f>ROUND(IF(CF448=0,0,HLOOKUP(CF$14,Villagers!$B$1:$V$33,CF448+3,FALSE)),)</f>
        <v>10</v>
      </c>
      <c r="DB448" s="14">
        <f>ROUND(IF(CG448=0,0,HLOOKUP(CG$14,Villagers!$B$1:$V$33,CG448+3,FALSE)),)</f>
        <v>10</v>
      </c>
      <c r="DC448" s="14">
        <f>ROUND(IF(CH448=0,0,HLOOKUP(CH$14,Villagers!$B$1:$V$33,CH448+3,FALSE)),)</f>
        <v>0</v>
      </c>
      <c r="DD448" s="14">
        <f>ROUND(IF(CI448=0,0,HLOOKUP(CI$14,Villagers!$B$1:$V$33,CI448+3,FALSE)),)</f>
        <v>0</v>
      </c>
      <c r="DE448" s="14">
        <f>ROUND(IF(CJ448=0,0,HLOOKUP(CJ$14,Villagers!$B$1:$V$33,CJ448+3,FALSE)),)</f>
        <v>2</v>
      </c>
      <c r="DF448" s="370">
        <f>ROUND(IF(CK448=0,0,HLOOKUP(CK$14,Villagers!$B$1:$V$33,CK448+3,FALSE)),)</f>
        <v>0</v>
      </c>
      <c r="DG448" s="370">
        <f>ROUND(IF(CL448=0,0,HLOOKUP(CL$14,Villagers!$B$1:$V$33,CL448+3,FALSE)),)</f>
        <v>0</v>
      </c>
      <c r="DH448" s="34">
        <f>ROUND(IF(CM448=0,0,HLOOKUP(CM$14,Villagers!$B$1:$V$33,CM448+3,FALSE)),)</f>
        <v>0</v>
      </c>
      <c r="DI448" s="109">
        <f t="shared" si="989"/>
        <v>0</v>
      </c>
      <c r="DJ448" s="50">
        <f t="shared" si="990"/>
        <v>0</v>
      </c>
      <c r="DK448" s="50">
        <f t="shared" si="991"/>
        <v>0</v>
      </c>
      <c r="DL448" s="50">
        <f t="shared" si="992"/>
        <v>0</v>
      </c>
      <c r="DM448" s="50">
        <f t="shared" si="993"/>
        <v>0</v>
      </c>
      <c r="DN448" s="50">
        <f t="shared" si="994"/>
        <v>0</v>
      </c>
      <c r="DO448" s="50">
        <f t="shared" si="995"/>
        <v>0</v>
      </c>
      <c r="DP448" s="50">
        <f t="shared" si="996"/>
        <v>0</v>
      </c>
      <c r="DQ448" s="50">
        <f t="shared" si="973"/>
        <v>0</v>
      </c>
      <c r="DR448" s="50">
        <f t="shared" si="974"/>
        <v>0</v>
      </c>
      <c r="DS448" s="96">
        <f>Miscelaneous!$D$4*Miscelaneous!$D$2^($CI448-1)</f>
        <v>1000</v>
      </c>
      <c r="DT448" s="333">
        <f t="shared" si="955"/>
        <v>1</v>
      </c>
      <c r="DU448" s="81">
        <v>1</v>
      </c>
      <c r="DV448" s="79">
        <f t="shared" si="975"/>
        <v>0</v>
      </c>
      <c r="DW448" s="79">
        <f t="shared" si="976"/>
        <v>0</v>
      </c>
      <c r="DX448" s="79">
        <f t="shared" si="977"/>
        <v>0</v>
      </c>
      <c r="DY448" s="79">
        <v>1</v>
      </c>
      <c r="DZ448" s="79">
        <f t="shared" si="978"/>
        <v>0</v>
      </c>
      <c r="EA448" s="79">
        <f t="shared" si="979"/>
        <v>0</v>
      </c>
      <c r="EB448" s="79">
        <f t="shared" si="980"/>
        <v>0</v>
      </c>
      <c r="EC448" s="79">
        <f t="shared" si="981"/>
        <v>0</v>
      </c>
      <c r="ED448" s="79">
        <v>1</v>
      </c>
      <c r="EE448" s="79">
        <v>1</v>
      </c>
      <c r="EF448" s="79">
        <f t="shared" si="982"/>
        <v>0</v>
      </c>
      <c r="EG448" s="79">
        <v>1</v>
      </c>
      <c r="EH448" s="79">
        <v>1</v>
      </c>
      <c r="EI448" s="79">
        <v>1</v>
      </c>
      <c r="EJ448" s="79">
        <v>1</v>
      </c>
      <c r="EK448" s="79">
        <v>1</v>
      </c>
      <c r="EL448" s="79">
        <v>1</v>
      </c>
      <c r="EM448" s="143">
        <f t="shared" si="983"/>
        <v>0</v>
      </c>
      <c r="EN448" s="143">
        <f t="shared" si="984"/>
        <v>0</v>
      </c>
      <c r="EO448" s="82">
        <f t="shared" si="985"/>
        <v>0</v>
      </c>
    </row>
    <row r="449" spans="1:145" x14ac:dyDescent="0.25">
      <c r="A449">
        <v>435</v>
      </c>
      <c r="B449" s="172" t="e">
        <f t="shared" si="956"/>
        <v>#N/A</v>
      </c>
      <c r="C449" s="121" t="e">
        <f t="shared" ref="C449:E449" si="1073">AJ449-SUM(AB449:AB453)</f>
        <v>#N/A</v>
      </c>
      <c r="D449" s="122" t="e">
        <f t="shared" si="1073"/>
        <v>#N/A</v>
      </c>
      <c r="E449" s="122" t="e">
        <f t="shared" si="1073"/>
        <v>#N/A</v>
      </c>
      <c r="F449" s="176" t="e">
        <f t="shared" si="937"/>
        <v>#N/A</v>
      </c>
      <c r="G449" s="121">
        <f t="shared" si="958"/>
        <v>208</v>
      </c>
      <c r="H449" s="176" t="e">
        <f t="shared" si="959"/>
        <v>#N/A</v>
      </c>
      <c r="I449" s="48">
        <v>1</v>
      </c>
      <c r="J449" s="39"/>
      <c r="K449" s="350">
        <v>1</v>
      </c>
      <c r="L449" s="34" t="e">
        <f t="shared" si="938"/>
        <v>#N/A</v>
      </c>
      <c r="M449" s="38" t="e">
        <f>(HLOOKUP(J449,'Construction Times'!$B$3:$W$34,L449+2,FALSE)*HLOOKUP("hq modifier",'Construction Times'!$W$3:$W$34,BS449+2,FALSE))*(1-$H$9)</f>
        <v>#N/A</v>
      </c>
      <c r="N449" s="426" t="e">
        <f t="shared" si="960"/>
        <v>#N/A</v>
      </c>
      <c r="O449" s="427"/>
      <c r="P449" s="430" t="e">
        <f t="shared" si="961"/>
        <v>#N/A</v>
      </c>
      <c r="Q449" s="431"/>
      <c r="R449" s="103">
        <f t="shared" si="1052"/>
        <v>0</v>
      </c>
      <c r="S449" s="104">
        <f t="shared" si="1052"/>
        <v>0</v>
      </c>
      <c r="T449" s="104">
        <f t="shared" si="1053"/>
        <v>0</v>
      </c>
      <c r="U449" s="104">
        <f t="shared" si="1053"/>
        <v>0</v>
      </c>
      <c r="V449" s="104">
        <f t="shared" si="1053"/>
        <v>9.9999999999999995E-8</v>
      </c>
      <c r="W449" s="104">
        <f t="shared" si="1053"/>
        <v>0</v>
      </c>
      <c r="X449" s="104">
        <f t="shared" si="1045"/>
        <v>0</v>
      </c>
      <c r="Y449" s="104">
        <f t="shared" si="1045"/>
        <v>9.9999999999999995E-8</v>
      </c>
      <c r="Z449" s="104">
        <f t="shared" si="1045"/>
        <v>9.9999999999999995E-8</v>
      </c>
      <c r="AA449" s="105">
        <f t="shared" si="1045"/>
        <v>9.9999999999999995E-8</v>
      </c>
      <c r="AB449" s="101" t="e">
        <f>$DT449*HLOOKUP($J449,'Construction Costs (timber)'!$B$1:$V$32,'Construction Planner'!$L449+2,FALSE)</f>
        <v>#N/A</v>
      </c>
      <c r="AC449" s="14" t="e">
        <f>$DT449*HLOOKUP($J449,'Construction Costs (clay)'!$B$1:$V$32,'Construction Planner'!$L449+2,FALSE)</f>
        <v>#N/A</v>
      </c>
      <c r="AD449" s="14" t="e">
        <f>$DT449*HLOOKUP($J449,'Construction Costs (iron)'!$B$1:$V$32,'Construction Planner'!$L449+2,FALSE)</f>
        <v>#N/A</v>
      </c>
      <c r="AE449" s="34" t="e">
        <f t="shared" si="1000"/>
        <v>#N/A</v>
      </c>
      <c r="AF449" s="33" t="e">
        <f t="shared" si="939"/>
        <v>#N/A</v>
      </c>
      <c r="AG449" s="14" t="e">
        <f t="shared" si="940"/>
        <v>#N/A</v>
      </c>
      <c r="AH449" s="14" t="e">
        <f t="shared" si="941"/>
        <v>#N/A</v>
      </c>
      <c r="AI449" s="34" t="e">
        <f t="shared" si="1001"/>
        <v>#N/A</v>
      </c>
      <c r="AJ449" s="49" t="e">
        <f t="shared" si="962"/>
        <v>#N/A</v>
      </c>
      <c r="AK449" s="49" t="e">
        <f t="shared" si="963"/>
        <v>#N/A</v>
      </c>
      <c r="AL449" s="49" t="e">
        <f t="shared" si="964"/>
        <v>#N/A</v>
      </c>
      <c r="AM449" s="25">
        <f t="shared" si="942"/>
        <v>30</v>
      </c>
      <c r="AN449" s="25">
        <f t="shared" si="943"/>
        <v>30</v>
      </c>
      <c r="AO449" s="25">
        <f t="shared" si="944"/>
        <v>30</v>
      </c>
      <c r="AP449" s="52" t="e">
        <f t="shared" si="1049"/>
        <v>#N/A</v>
      </c>
      <c r="AQ449" s="53" t="e">
        <f t="shared" si="1049"/>
        <v>#N/A</v>
      </c>
      <c r="AR449" s="54" t="e">
        <f t="shared" si="1049"/>
        <v>#N/A</v>
      </c>
      <c r="AS449" s="316">
        <f t="shared" si="1057"/>
        <v>0</v>
      </c>
      <c r="AT449" s="106">
        <f>_xlfn.IFNA($M449/VLOOKUP($BT449,'Unit information'!$A$2:$K$29,2,FALSE)*R449,0)*(1+$E$9)</f>
        <v>0</v>
      </c>
      <c r="AU449" s="107">
        <f>_xlfn.IFNA($M449/VLOOKUP($BT449,'Unit information'!$A$2:$K$29,3,FALSE)*S449,0)*(1+$E$9)</f>
        <v>0</v>
      </c>
      <c r="AV449" s="107">
        <f>_xlfn.IFNA($M449/VLOOKUP($BT449,'Unit information'!$A$2:$K$29,4,FALSE)*T449,0)*(1+$E$9)</f>
        <v>0</v>
      </c>
      <c r="AW449" s="107">
        <f>_xlfn.IFNA($M449/VLOOKUP($BT449,'Unit information'!$A$2:$K$29,5,FALSE)*U449,0)*(1+$E$9)</f>
        <v>0</v>
      </c>
      <c r="AX449" s="107">
        <f>_xlfn.IFNA($M449/VLOOKUP($BU449,'Unit information'!$A$2:$K$29,6,FALSE)*V449,0)*(1+$E$9)</f>
        <v>0</v>
      </c>
      <c r="AY449" s="107">
        <f>_xlfn.IFNA($M449/VLOOKUP($BU449,'Unit information'!$A$2:$K$29,7,FALSE)*W449,0)*(1+$E$9)</f>
        <v>0</v>
      </c>
      <c r="AZ449" s="107">
        <f>_xlfn.IFNA($M449/VLOOKUP($BU449,'Unit information'!$A$2:$K$29,8,FALSE)*X449,0)*(1+$E$9)</f>
        <v>0</v>
      </c>
      <c r="BA449" s="107">
        <f>_xlfn.IFNA($M449/VLOOKUP($BU449,'Unit information'!$A$2:$K$29,9,FALSE)*Y449,0)*(1+$E$9)</f>
        <v>0</v>
      </c>
      <c r="BB449" s="107">
        <f>_xlfn.IFNA($M449/VLOOKUP($BV449,'Unit information'!$A$2:$K$29,10,FALSE)*Z449,0)*(1+$E$9)</f>
        <v>0</v>
      </c>
      <c r="BC449" s="108">
        <f>_xlfn.IFNA($M449/VLOOKUP($BV449,'Unit information'!$A$2:$K$29,11,FALSE)*AA449,0)*(1+$E$9)</f>
        <v>0</v>
      </c>
      <c r="BD449" s="106">
        <f t="shared" si="945"/>
        <v>0</v>
      </c>
      <c r="BE449" s="107">
        <f t="shared" si="946"/>
        <v>0</v>
      </c>
      <c r="BF449" s="108">
        <f t="shared" si="947"/>
        <v>0</v>
      </c>
      <c r="BG449" s="25" t="e">
        <f t="shared" si="948"/>
        <v>#N/A</v>
      </c>
      <c r="BH449" s="25" t="e">
        <f t="shared" si="949"/>
        <v>#N/A</v>
      </c>
      <c r="BI449" s="25" t="e">
        <f t="shared" si="950"/>
        <v>#N/A</v>
      </c>
      <c r="BJ449" s="27" t="e">
        <f t="shared" si="951"/>
        <v>#N/A</v>
      </c>
      <c r="BK449" s="18" t="e">
        <f t="shared" si="952"/>
        <v>#N/A</v>
      </c>
      <c r="BL449" s="18" t="e">
        <f t="shared" si="953"/>
        <v>#N/A</v>
      </c>
      <c r="BM449" s="28" t="e">
        <f t="shared" si="1003"/>
        <v>#N/A</v>
      </c>
      <c r="BN449" s="33">
        <f>HLOOKUP("maximum population",Miscelaneous!$C$1:$C$33,CH449+3,FALSE)</f>
        <v>240</v>
      </c>
      <c r="BO449" s="14">
        <f t="shared" si="966"/>
        <v>32</v>
      </c>
      <c r="BP449" s="14">
        <f t="shared" si="967"/>
        <v>0</v>
      </c>
      <c r="BQ449" s="14">
        <f t="shared" si="968"/>
        <v>208</v>
      </c>
      <c r="BR449" s="34" t="e">
        <f>HLOOKUP(J449,Villagers!$B$1:$V$33,L449+3,FALSE)-HLOOKUP(J449,Villagers!$B$1:$V$33,L449+2,FALSE)</f>
        <v>#N/A</v>
      </c>
      <c r="BS449" s="49">
        <f t="shared" si="969"/>
        <v>1</v>
      </c>
      <c r="BT449" s="50">
        <f t="shared" si="970"/>
        <v>0</v>
      </c>
      <c r="BU449" s="50">
        <f t="shared" si="971"/>
        <v>0</v>
      </c>
      <c r="BV449" s="50">
        <f t="shared" si="972"/>
        <v>0</v>
      </c>
      <c r="BW449" s="50">
        <f t="shared" si="1072"/>
        <v>0</v>
      </c>
      <c r="BX449" s="50">
        <f t="shared" si="1072"/>
        <v>0</v>
      </c>
      <c r="BY449" s="50">
        <f t="shared" si="1072"/>
        <v>0</v>
      </c>
      <c r="BZ449" s="50">
        <f t="shared" si="1015"/>
        <v>0</v>
      </c>
      <c r="CA449" s="50">
        <f t="shared" si="1016"/>
        <v>0</v>
      </c>
      <c r="CB449" s="50">
        <f t="shared" si="1017"/>
        <v>1</v>
      </c>
      <c r="CC449" s="50">
        <f t="shared" si="1018"/>
        <v>0</v>
      </c>
      <c r="CD449" s="50">
        <f t="shared" si="1019"/>
        <v>0</v>
      </c>
      <c r="CE449" s="50">
        <f t="shared" si="1020"/>
        <v>1</v>
      </c>
      <c r="CF449" s="50">
        <f t="shared" si="1021"/>
        <v>1</v>
      </c>
      <c r="CG449" s="50">
        <f t="shared" si="1022"/>
        <v>1</v>
      </c>
      <c r="CH449" s="50">
        <f t="shared" si="1023"/>
        <v>1</v>
      </c>
      <c r="CI449" s="50">
        <f t="shared" si="1024"/>
        <v>1</v>
      </c>
      <c r="CJ449" s="50">
        <f t="shared" si="1025"/>
        <v>1</v>
      </c>
      <c r="CK449" s="50">
        <f t="shared" si="1025"/>
        <v>0</v>
      </c>
      <c r="CL449" s="50">
        <f t="shared" si="1025"/>
        <v>0</v>
      </c>
      <c r="CM449" s="51">
        <f t="shared" si="1026"/>
        <v>0</v>
      </c>
      <c r="CN449" s="33">
        <f>ROUND(IF(BS449=0,0,HLOOKUP(BS$14,Villagers!$B$1:$V$33,BS449+3,FALSE)),)</f>
        <v>5</v>
      </c>
      <c r="CO449" s="14">
        <f>ROUND(IF(BT449=0,0,HLOOKUP(BT$14,Villagers!$B$1:$V$33,BT449+3,FALSE)),)</f>
        <v>0</v>
      </c>
      <c r="CP449" s="14">
        <f>ROUND(IF(BU449=0,0,HLOOKUP(BU$14,Villagers!$B$1:$V$33,BU449+3,FALSE)),)</f>
        <v>0</v>
      </c>
      <c r="CQ449" s="14">
        <f>ROUND(IF(BV449=0,0,HLOOKUP(BV$14,Villagers!$B$1:$V$33,BV449+3,FALSE)),)</f>
        <v>0</v>
      </c>
      <c r="CR449" s="14">
        <f>ROUND(IF(BW449=0,0,HLOOKUP(BW$14,Villagers!$B$1:$V$33,BW449+3,FALSE)),)</f>
        <v>0</v>
      </c>
      <c r="CS449" s="14">
        <f>ROUND(IF(BX449=0,0,HLOOKUP(BX$14,Villagers!$B$1:$V$33,BX449+3,FALSE)),)</f>
        <v>0</v>
      </c>
      <c r="CT449" s="14">
        <f>ROUND(IF(BY449=0,0,HLOOKUP(BY$14,Villagers!$B$1:$V$33,BY449+3,FALSE)),)</f>
        <v>0</v>
      </c>
      <c r="CU449" s="14">
        <f>ROUND(IF(BZ449=0,0,HLOOKUP(BZ$14,Villagers!$B$1:$V$33,BZ449+3,FALSE)),)</f>
        <v>0</v>
      </c>
      <c r="CV449" s="14">
        <f>ROUND(IF(CA449=0,0,HLOOKUP(CA$14,Villagers!$B$1:$V$33,CA449+3,FALSE)),)</f>
        <v>0</v>
      </c>
      <c r="CW449" s="14">
        <f>ROUND(IF(CB449=0,0,HLOOKUP(CB$14,Villagers!$B$1:$V$33,CB449+3,FALSE)),)</f>
        <v>0</v>
      </c>
      <c r="CX449" s="14">
        <f>ROUND(IF(CC449=0,0,HLOOKUP(CC$14,Villagers!$B$1:$V$33,CC449+3,FALSE)),)</f>
        <v>0</v>
      </c>
      <c r="CY449" s="14">
        <f>ROUND(IF(CD449=0,0,HLOOKUP(CD$14,Villagers!$B$1:$V$33,CD449+3,FALSE)),)</f>
        <v>0</v>
      </c>
      <c r="CZ449" s="14">
        <f>ROUND(IF(CE449=0,0,HLOOKUP(CE$14,Villagers!$B$1:$V$33,CE449+3,FALSE)),)</f>
        <v>5</v>
      </c>
      <c r="DA449" s="14">
        <f>ROUND(IF(CF449=0,0,HLOOKUP(CF$14,Villagers!$B$1:$V$33,CF449+3,FALSE)),)</f>
        <v>10</v>
      </c>
      <c r="DB449" s="14">
        <f>ROUND(IF(CG449=0,0,HLOOKUP(CG$14,Villagers!$B$1:$V$33,CG449+3,FALSE)),)</f>
        <v>10</v>
      </c>
      <c r="DC449" s="14">
        <f>ROUND(IF(CH449=0,0,HLOOKUP(CH$14,Villagers!$B$1:$V$33,CH449+3,FALSE)),)</f>
        <v>0</v>
      </c>
      <c r="DD449" s="14">
        <f>ROUND(IF(CI449=0,0,HLOOKUP(CI$14,Villagers!$B$1:$V$33,CI449+3,FALSE)),)</f>
        <v>0</v>
      </c>
      <c r="DE449" s="14">
        <f>ROUND(IF(CJ449=0,0,HLOOKUP(CJ$14,Villagers!$B$1:$V$33,CJ449+3,FALSE)),)</f>
        <v>2</v>
      </c>
      <c r="DF449" s="370">
        <f>ROUND(IF(CK449=0,0,HLOOKUP(CK$14,Villagers!$B$1:$V$33,CK449+3,FALSE)),)</f>
        <v>0</v>
      </c>
      <c r="DG449" s="370">
        <f>ROUND(IF(CL449=0,0,HLOOKUP(CL$14,Villagers!$B$1:$V$33,CL449+3,FALSE)),)</f>
        <v>0</v>
      </c>
      <c r="DH449" s="34">
        <f>ROUND(IF(CM449=0,0,HLOOKUP(CM$14,Villagers!$B$1:$V$33,CM449+3,FALSE)),)</f>
        <v>0</v>
      </c>
      <c r="DI449" s="109">
        <f t="shared" si="989"/>
        <v>0</v>
      </c>
      <c r="DJ449" s="50">
        <f t="shared" si="990"/>
        <v>0</v>
      </c>
      <c r="DK449" s="50">
        <f t="shared" si="991"/>
        <v>0</v>
      </c>
      <c r="DL449" s="50">
        <f t="shared" si="992"/>
        <v>0</v>
      </c>
      <c r="DM449" s="50">
        <f t="shared" si="993"/>
        <v>0</v>
      </c>
      <c r="DN449" s="50">
        <f t="shared" si="994"/>
        <v>0</v>
      </c>
      <c r="DO449" s="50">
        <f t="shared" si="995"/>
        <v>0</v>
      </c>
      <c r="DP449" s="50">
        <f t="shared" si="996"/>
        <v>0</v>
      </c>
      <c r="DQ449" s="50">
        <f t="shared" si="973"/>
        <v>0</v>
      </c>
      <c r="DR449" s="50">
        <f t="shared" si="974"/>
        <v>0</v>
      </c>
      <c r="DS449" s="96">
        <f>Miscelaneous!$D$4*Miscelaneous!$D$2^($CI449-1)</f>
        <v>1000</v>
      </c>
      <c r="DT449" s="333">
        <f t="shared" si="955"/>
        <v>1</v>
      </c>
      <c r="DU449" s="81">
        <v>1</v>
      </c>
      <c r="DV449" s="79">
        <f t="shared" si="975"/>
        <v>0</v>
      </c>
      <c r="DW449" s="79">
        <f t="shared" si="976"/>
        <v>0</v>
      </c>
      <c r="DX449" s="79">
        <f t="shared" si="977"/>
        <v>0</v>
      </c>
      <c r="DY449" s="79">
        <v>1</v>
      </c>
      <c r="DZ449" s="79">
        <f t="shared" si="978"/>
        <v>0</v>
      </c>
      <c r="EA449" s="79">
        <f t="shared" si="979"/>
        <v>0</v>
      </c>
      <c r="EB449" s="79">
        <f t="shared" si="980"/>
        <v>0</v>
      </c>
      <c r="EC449" s="79">
        <f t="shared" si="981"/>
        <v>0</v>
      </c>
      <c r="ED449" s="79">
        <v>1</v>
      </c>
      <c r="EE449" s="79">
        <v>1</v>
      </c>
      <c r="EF449" s="79">
        <f t="shared" si="982"/>
        <v>0</v>
      </c>
      <c r="EG449" s="79">
        <v>1</v>
      </c>
      <c r="EH449" s="79">
        <v>1</v>
      </c>
      <c r="EI449" s="79">
        <v>1</v>
      </c>
      <c r="EJ449" s="79">
        <v>1</v>
      </c>
      <c r="EK449" s="79">
        <v>1</v>
      </c>
      <c r="EL449" s="79">
        <v>1</v>
      </c>
      <c r="EM449" s="143">
        <f t="shared" si="983"/>
        <v>0</v>
      </c>
      <c r="EN449" s="143">
        <f t="shared" si="984"/>
        <v>0</v>
      </c>
      <c r="EO449" s="82">
        <f t="shared" si="985"/>
        <v>0</v>
      </c>
    </row>
    <row r="450" spans="1:145" x14ac:dyDescent="0.25">
      <c r="A450">
        <v>436</v>
      </c>
      <c r="B450" s="172" t="e">
        <f t="shared" si="956"/>
        <v>#N/A</v>
      </c>
      <c r="C450" s="121" t="e">
        <f t="shared" ref="C450:E450" si="1074">AJ450-SUM(AB450:AB454)</f>
        <v>#N/A</v>
      </c>
      <c r="D450" s="122" t="e">
        <f t="shared" si="1074"/>
        <v>#N/A</v>
      </c>
      <c r="E450" s="122" t="e">
        <f t="shared" si="1074"/>
        <v>#N/A</v>
      </c>
      <c r="F450" s="176" t="e">
        <f t="shared" si="937"/>
        <v>#N/A</v>
      </c>
      <c r="G450" s="121">
        <f t="shared" si="958"/>
        <v>208</v>
      </c>
      <c r="H450" s="176" t="e">
        <f t="shared" si="959"/>
        <v>#N/A</v>
      </c>
      <c r="I450" s="48">
        <v>1</v>
      </c>
      <c r="J450" s="39"/>
      <c r="K450" s="350">
        <v>1</v>
      </c>
      <c r="L450" s="34" t="e">
        <f t="shared" si="938"/>
        <v>#N/A</v>
      </c>
      <c r="M450" s="38" t="e">
        <f>(HLOOKUP(J450,'Construction Times'!$B$3:$W$34,L450+2,FALSE)*HLOOKUP("hq modifier",'Construction Times'!$W$3:$W$34,BS450+2,FALSE))*(1-$H$9)</f>
        <v>#N/A</v>
      </c>
      <c r="N450" s="426" t="e">
        <f t="shared" si="960"/>
        <v>#N/A</v>
      </c>
      <c r="O450" s="427"/>
      <c r="P450" s="430" t="e">
        <f t="shared" si="961"/>
        <v>#N/A</v>
      </c>
      <c r="Q450" s="431"/>
      <c r="R450" s="103">
        <f t="shared" si="1052"/>
        <v>0</v>
      </c>
      <c r="S450" s="104">
        <f t="shared" si="1052"/>
        <v>0</v>
      </c>
      <c r="T450" s="104">
        <f t="shared" si="1053"/>
        <v>0</v>
      </c>
      <c r="U450" s="104">
        <f t="shared" si="1053"/>
        <v>0</v>
      </c>
      <c r="V450" s="104">
        <f t="shared" si="1053"/>
        <v>9.9999999999999995E-8</v>
      </c>
      <c r="W450" s="104">
        <f t="shared" si="1053"/>
        <v>0</v>
      </c>
      <c r="X450" s="104">
        <f t="shared" si="1045"/>
        <v>0</v>
      </c>
      <c r="Y450" s="104">
        <f t="shared" si="1045"/>
        <v>9.9999999999999995E-8</v>
      </c>
      <c r="Z450" s="104">
        <f t="shared" si="1045"/>
        <v>9.9999999999999995E-8</v>
      </c>
      <c r="AA450" s="105">
        <f t="shared" si="1045"/>
        <v>9.9999999999999995E-8</v>
      </c>
      <c r="AB450" s="101" t="e">
        <f>$DT450*HLOOKUP($J450,'Construction Costs (timber)'!$B$1:$V$32,'Construction Planner'!$L450+2,FALSE)</f>
        <v>#N/A</v>
      </c>
      <c r="AC450" s="14" t="e">
        <f>$DT450*HLOOKUP($J450,'Construction Costs (clay)'!$B$1:$V$32,'Construction Planner'!$L450+2,FALSE)</f>
        <v>#N/A</v>
      </c>
      <c r="AD450" s="14" t="e">
        <f>$DT450*HLOOKUP($J450,'Construction Costs (iron)'!$B$1:$V$32,'Construction Planner'!$L450+2,FALSE)</f>
        <v>#N/A</v>
      </c>
      <c r="AE450" s="34" t="e">
        <f t="shared" si="1000"/>
        <v>#N/A</v>
      </c>
      <c r="AF450" s="33" t="e">
        <f t="shared" si="939"/>
        <v>#N/A</v>
      </c>
      <c r="AG450" s="14" t="e">
        <f t="shared" si="940"/>
        <v>#N/A</v>
      </c>
      <c r="AH450" s="14" t="e">
        <f t="shared" si="941"/>
        <v>#N/A</v>
      </c>
      <c r="AI450" s="34" t="e">
        <f t="shared" si="1001"/>
        <v>#N/A</v>
      </c>
      <c r="AJ450" s="49" t="e">
        <f t="shared" si="962"/>
        <v>#N/A</v>
      </c>
      <c r="AK450" s="49" t="e">
        <f t="shared" si="963"/>
        <v>#N/A</v>
      </c>
      <c r="AL450" s="49" t="e">
        <f t="shared" si="964"/>
        <v>#N/A</v>
      </c>
      <c r="AM450" s="25">
        <f t="shared" si="942"/>
        <v>30</v>
      </c>
      <c r="AN450" s="25">
        <f t="shared" si="943"/>
        <v>30</v>
      </c>
      <c r="AO450" s="25">
        <f t="shared" si="944"/>
        <v>30</v>
      </c>
      <c r="AP450" s="52" t="e">
        <f t="shared" si="1049"/>
        <v>#N/A</v>
      </c>
      <c r="AQ450" s="53" t="e">
        <f t="shared" si="1049"/>
        <v>#N/A</v>
      </c>
      <c r="AR450" s="54" t="e">
        <f t="shared" si="1049"/>
        <v>#N/A</v>
      </c>
      <c r="AS450" s="316">
        <f t="shared" si="1057"/>
        <v>0</v>
      </c>
      <c r="AT450" s="106">
        <f>_xlfn.IFNA($M450/VLOOKUP($BT450,'Unit information'!$A$2:$K$29,2,FALSE)*R450,0)*(1+$E$9)</f>
        <v>0</v>
      </c>
      <c r="AU450" s="107">
        <f>_xlfn.IFNA($M450/VLOOKUP($BT450,'Unit information'!$A$2:$K$29,3,FALSE)*S450,0)*(1+$E$9)</f>
        <v>0</v>
      </c>
      <c r="AV450" s="107">
        <f>_xlfn.IFNA($M450/VLOOKUP($BT450,'Unit information'!$A$2:$K$29,4,FALSE)*T450,0)*(1+$E$9)</f>
        <v>0</v>
      </c>
      <c r="AW450" s="107">
        <f>_xlfn.IFNA($M450/VLOOKUP($BT450,'Unit information'!$A$2:$K$29,5,FALSE)*U450,0)*(1+$E$9)</f>
        <v>0</v>
      </c>
      <c r="AX450" s="107">
        <f>_xlfn.IFNA($M450/VLOOKUP($BU450,'Unit information'!$A$2:$K$29,6,FALSE)*V450,0)*(1+$E$9)</f>
        <v>0</v>
      </c>
      <c r="AY450" s="107">
        <f>_xlfn.IFNA($M450/VLOOKUP($BU450,'Unit information'!$A$2:$K$29,7,FALSE)*W450,0)*(1+$E$9)</f>
        <v>0</v>
      </c>
      <c r="AZ450" s="107">
        <f>_xlfn.IFNA($M450/VLOOKUP($BU450,'Unit information'!$A$2:$K$29,8,FALSE)*X450,0)*(1+$E$9)</f>
        <v>0</v>
      </c>
      <c r="BA450" s="107">
        <f>_xlfn.IFNA($M450/VLOOKUP($BU450,'Unit information'!$A$2:$K$29,9,FALSE)*Y450,0)*(1+$E$9)</f>
        <v>0</v>
      </c>
      <c r="BB450" s="107">
        <f>_xlfn.IFNA($M450/VLOOKUP($BV450,'Unit information'!$A$2:$K$29,10,FALSE)*Z450,0)*(1+$E$9)</f>
        <v>0</v>
      </c>
      <c r="BC450" s="108">
        <f>_xlfn.IFNA($M450/VLOOKUP($BV450,'Unit information'!$A$2:$K$29,11,FALSE)*AA450,0)*(1+$E$9)</f>
        <v>0</v>
      </c>
      <c r="BD450" s="106">
        <f t="shared" si="945"/>
        <v>0</v>
      </c>
      <c r="BE450" s="107">
        <f t="shared" si="946"/>
        <v>0</v>
      </c>
      <c r="BF450" s="108">
        <f t="shared" si="947"/>
        <v>0</v>
      </c>
      <c r="BG450" s="25" t="e">
        <f t="shared" si="948"/>
        <v>#N/A</v>
      </c>
      <c r="BH450" s="25" t="e">
        <f t="shared" si="949"/>
        <v>#N/A</v>
      </c>
      <c r="BI450" s="25" t="e">
        <f t="shared" si="950"/>
        <v>#N/A</v>
      </c>
      <c r="BJ450" s="27" t="e">
        <f t="shared" si="951"/>
        <v>#N/A</v>
      </c>
      <c r="BK450" s="18" t="e">
        <f t="shared" si="952"/>
        <v>#N/A</v>
      </c>
      <c r="BL450" s="18" t="e">
        <f t="shared" si="953"/>
        <v>#N/A</v>
      </c>
      <c r="BM450" s="28" t="e">
        <f t="shared" si="1003"/>
        <v>#N/A</v>
      </c>
      <c r="BN450" s="33">
        <f>HLOOKUP("maximum population",Miscelaneous!$C$1:$C$33,CH450+3,FALSE)</f>
        <v>240</v>
      </c>
      <c r="BO450" s="14">
        <f t="shared" si="966"/>
        <v>32</v>
      </c>
      <c r="BP450" s="14">
        <f t="shared" si="967"/>
        <v>0</v>
      </c>
      <c r="BQ450" s="14">
        <f t="shared" si="968"/>
        <v>208</v>
      </c>
      <c r="BR450" s="34" t="e">
        <f>HLOOKUP(J450,Villagers!$B$1:$V$33,L450+3,FALSE)-HLOOKUP(J450,Villagers!$B$1:$V$33,L450+2,FALSE)</f>
        <v>#N/A</v>
      </c>
      <c r="BS450" s="49">
        <f t="shared" si="969"/>
        <v>1</v>
      </c>
      <c r="BT450" s="50">
        <f t="shared" si="970"/>
        <v>0</v>
      </c>
      <c r="BU450" s="50">
        <f t="shared" si="971"/>
        <v>0</v>
      </c>
      <c r="BV450" s="50">
        <f t="shared" si="972"/>
        <v>0</v>
      </c>
      <c r="BW450" s="50">
        <f t="shared" si="1072"/>
        <v>0</v>
      </c>
      <c r="BX450" s="50">
        <f t="shared" si="1072"/>
        <v>0</v>
      </c>
      <c r="BY450" s="50">
        <f t="shared" si="1072"/>
        <v>0</v>
      </c>
      <c r="BZ450" s="50">
        <f t="shared" si="1015"/>
        <v>0</v>
      </c>
      <c r="CA450" s="50">
        <f t="shared" si="1016"/>
        <v>0</v>
      </c>
      <c r="CB450" s="50">
        <f t="shared" si="1017"/>
        <v>1</v>
      </c>
      <c r="CC450" s="50">
        <f t="shared" si="1018"/>
        <v>0</v>
      </c>
      <c r="CD450" s="50">
        <f t="shared" si="1019"/>
        <v>0</v>
      </c>
      <c r="CE450" s="50">
        <f t="shared" si="1020"/>
        <v>1</v>
      </c>
      <c r="CF450" s="50">
        <f t="shared" si="1021"/>
        <v>1</v>
      </c>
      <c r="CG450" s="50">
        <f t="shared" si="1022"/>
        <v>1</v>
      </c>
      <c r="CH450" s="50">
        <f t="shared" si="1023"/>
        <v>1</v>
      </c>
      <c r="CI450" s="50">
        <f t="shared" si="1024"/>
        <v>1</v>
      </c>
      <c r="CJ450" s="50">
        <f t="shared" si="1025"/>
        <v>1</v>
      </c>
      <c r="CK450" s="50">
        <f t="shared" si="1025"/>
        <v>0</v>
      </c>
      <c r="CL450" s="50">
        <f t="shared" si="1025"/>
        <v>0</v>
      </c>
      <c r="CM450" s="51">
        <f t="shared" si="1026"/>
        <v>0</v>
      </c>
      <c r="CN450" s="33">
        <f>ROUND(IF(BS450=0,0,HLOOKUP(BS$14,Villagers!$B$1:$V$33,BS450+3,FALSE)),)</f>
        <v>5</v>
      </c>
      <c r="CO450" s="14">
        <f>ROUND(IF(BT450=0,0,HLOOKUP(BT$14,Villagers!$B$1:$V$33,BT450+3,FALSE)),)</f>
        <v>0</v>
      </c>
      <c r="CP450" s="14">
        <f>ROUND(IF(BU450=0,0,HLOOKUP(BU$14,Villagers!$B$1:$V$33,BU450+3,FALSE)),)</f>
        <v>0</v>
      </c>
      <c r="CQ450" s="14">
        <f>ROUND(IF(BV450=0,0,HLOOKUP(BV$14,Villagers!$B$1:$V$33,BV450+3,FALSE)),)</f>
        <v>0</v>
      </c>
      <c r="CR450" s="14">
        <f>ROUND(IF(BW450=0,0,HLOOKUP(BW$14,Villagers!$B$1:$V$33,BW450+3,FALSE)),)</f>
        <v>0</v>
      </c>
      <c r="CS450" s="14">
        <f>ROUND(IF(BX450=0,0,HLOOKUP(BX$14,Villagers!$B$1:$V$33,BX450+3,FALSE)),)</f>
        <v>0</v>
      </c>
      <c r="CT450" s="14">
        <f>ROUND(IF(BY450=0,0,HLOOKUP(BY$14,Villagers!$B$1:$V$33,BY450+3,FALSE)),)</f>
        <v>0</v>
      </c>
      <c r="CU450" s="14">
        <f>ROUND(IF(BZ450=0,0,HLOOKUP(BZ$14,Villagers!$B$1:$V$33,BZ450+3,FALSE)),)</f>
        <v>0</v>
      </c>
      <c r="CV450" s="14">
        <f>ROUND(IF(CA450=0,0,HLOOKUP(CA$14,Villagers!$B$1:$V$33,CA450+3,FALSE)),)</f>
        <v>0</v>
      </c>
      <c r="CW450" s="14">
        <f>ROUND(IF(CB450=0,0,HLOOKUP(CB$14,Villagers!$B$1:$V$33,CB450+3,FALSE)),)</f>
        <v>0</v>
      </c>
      <c r="CX450" s="14">
        <f>ROUND(IF(CC450=0,0,HLOOKUP(CC$14,Villagers!$B$1:$V$33,CC450+3,FALSE)),)</f>
        <v>0</v>
      </c>
      <c r="CY450" s="14">
        <f>ROUND(IF(CD450=0,0,HLOOKUP(CD$14,Villagers!$B$1:$V$33,CD450+3,FALSE)),)</f>
        <v>0</v>
      </c>
      <c r="CZ450" s="14">
        <f>ROUND(IF(CE450=0,0,HLOOKUP(CE$14,Villagers!$B$1:$V$33,CE450+3,FALSE)),)</f>
        <v>5</v>
      </c>
      <c r="DA450" s="14">
        <f>ROUND(IF(CF450=0,0,HLOOKUP(CF$14,Villagers!$B$1:$V$33,CF450+3,FALSE)),)</f>
        <v>10</v>
      </c>
      <c r="DB450" s="14">
        <f>ROUND(IF(CG450=0,0,HLOOKUP(CG$14,Villagers!$B$1:$V$33,CG450+3,FALSE)),)</f>
        <v>10</v>
      </c>
      <c r="DC450" s="14">
        <f>ROUND(IF(CH450=0,0,HLOOKUP(CH$14,Villagers!$B$1:$V$33,CH450+3,FALSE)),)</f>
        <v>0</v>
      </c>
      <c r="DD450" s="14">
        <f>ROUND(IF(CI450=0,0,HLOOKUP(CI$14,Villagers!$B$1:$V$33,CI450+3,FALSE)),)</f>
        <v>0</v>
      </c>
      <c r="DE450" s="14">
        <f>ROUND(IF(CJ450=0,0,HLOOKUP(CJ$14,Villagers!$B$1:$V$33,CJ450+3,FALSE)),)</f>
        <v>2</v>
      </c>
      <c r="DF450" s="370">
        <f>ROUND(IF(CK450=0,0,HLOOKUP(CK$14,Villagers!$B$1:$V$33,CK450+3,FALSE)),)</f>
        <v>0</v>
      </c>
      <c r="DG450" s="370">
        <f>ROUND(IF(CL450=0,0,HLOOKUP(CL$14,Villagers!$B$1:$V$33,CL450+3,FALSE)),)</f>
        <v>0</v>
      </c>
      <c r="DH450" s="34">
        <f>ROUND(IF(CM450=0,0,HLOOKUP(CM$14,Villagers!$B$1:$V$33,CM450+3,FALSE)),)</f>
        <v>0</v>
      </c>
      <c r="DI450" s="109">
        <f t="shared" si="989"/>
        <v>0</v>
      </c>
      <c r="DJ450" s="50">
        <f t="shared" si="990"/>
        <v>0</v>
      </c>
      <c r="DK450" s="50">
        <f t="shared" si="991"/>
        <v>0</v>
      </c>
      <c r="DL450" s="50">
        <f t="shared" si="992"/>
        <v>0</v>
      </c>
      <c r="DM450" s="50">
        <f t="shared" si="993"/>
        <v>0</v>
      </c>
      <c r="DN450" s="50">
        <f t="shared" si="994"/>
        <v>0</v>
      </c>
      <c r="DO450" s="50">
        <f t="shared" si="995"/>
        <v>0</v>
      </c>
      <c r="DP450" s="50">
        <f t="shared" si="996"/>
        <v>0</v>
      </c>
      <c r="DQ450" s="50">
        <f t="shared" si="973"/>
        <v>0</v>
      </c>
      <c r="DR450" s="50">
        <f t="shared" si="974"/>
        <v>0</v>
      </c>
      <c r="DS450" s="96">
        <f>Miscelaneous!$D$4*Miscelaneous!$D$2^($CI450-1)</f>
        <v>1000</v>
      </c>
      <c r="DT450" s="333">
        <f t="shared" si="955"/>
        <v>1</v>
      </c>
      <c r="DU450" s="81">
        <v>1</v>
      </c>
      <c r="DV450" s="79">
        <f t="shared" si="975"/>
        <v>0</v>
      </c>
      <c r="DW450" s="79">
        <f t="shared" si="976"/>
        <v>0</v>
      </c>
      <c r="DX450" s="79">
        <f t="shared" si="977"/>
        <v>0</v>
      </c>
      <c r="DY450" s="79">
        <v>1</v>
      </c>
      <c r="DZ450" s="79">
        <f t="shared" si="978"/>
        <v>0</v>
      </c>
      <c r="EA450" s="79">
        <f t="shared" si="979"/>
        <v>0</v>
      </c>
      <c r="EB450" s="79">
        <f t="shared" si="980"/>
        <v>0</v>
      </c>
      <c r="EC450" s="79">
        <f t="shared" si="981"/>
        <v>0</v>
      </c>
      <c r="ED450" s="79">
        <v>1</v>
      </c>
      <c r="EE450" s="79">
        <v>1</v>
      </c>
      <c r="EF450" s="79">
        <f t="shared" si="982"/>
        <v>0</v>
      </c>
      <c r="EG450" s="79">
        <v>1</v>
      </c>
      <c r="EH450" s="79">
        <v>1</v>
      </c>
      <c r="EI450" s="79">
        <v>1</v>
      </c>
      <c r="EJ450" s="79">
        <v>1</v>
      </c>
      <c r="EK450" s="79">
        <v>1</v>
      </c>
      <c r="EL450" s="79">
        <v>1</v>
      </c>
      <c r="EM450" s="143">
        <f t="shared" si="983"/>
        <v>0</v>
      </c>
      <c r="EN450" s="143">
        <f t="shared" si="984"/>
        <v>0</v>
      </c>
      <c r="EO450" s="82">
        <f t="shared" si="985"/>
        <v>0</v>
      </c>
    </row>
    <row r="451" spans="1:145" x14ac:dyDescent="0.25">
      <c r="A451">
        <v>437</v>
      </c>
      <c r="B451" s="172" t="e">
        <f t="shared" si="956"/>
        <v>#N/A</v>
      </c>
      <c r="C451" s="121" t="e">
        <f t="shared" ref="C451:E451" si="1075">AJ451-SUM(AB451:AB455)</f>
        <v>#N/A</v>
      </c>
      <c r="D451" s="122" t="e">
        <f t="shared" si="1075"/>
        <v>#N/A</v>
      </c>
      <c r="E451" s="122" t="e">
        <f t="shared" si="1075"/>
        <v>#N/A</v>
      </c>
      <c r="F451" s="176" t="e">
        <f t="shared" si="937"/>
        <v>#N/A</v>
      </c>
      <c r="G451" s="121">
        <f t="shared" si="958"/>
        <v>208</v>
      </c>
      <c r="H451" s="176" t="e">
        <f t="shared" si="959"/>
        <v>#N/A</v>
      </c>
      <c r="I451" s="48">
        <v>1</v>
      </c>
      <c r="J451" s="39"/>
      <c r="K451" s="350">
        <v>1</v>
      </c>
      <c r="L451" s="34" t="e">
        <f t="shared" si="938"/>
        <v>#N/A</v>
      </c>
      <c r="M451" s="38" t="e">
        <f>(HLOOKUP(J451,'Construction Times'!$B$3:$W$34,L451+2,FALSE)*HLOOKUP("hq modifier",'Construction Times'!$W$3:$W$34,BS451+2,FALSE))*(1-$H$9)</f>
        <v>#N/A</v>
      </c>
      <c r="N451" s="426" t="e">
        <f t="shared" si="960"/>
        <v>#N/A</v>
      </c>
      <c r="O451" s="427"/>
      <c r="P451" s="430" t="e">
        <f t="shared" si="961"/>
        <v>#N/A</v>
      </c>
      <c r="Q451" s="431"/>
      <c r="R451" s="103">
        <f t="shared" si="1052"/>
        <v>0</v>
      </c>
      <c r="S451" s="104">
        <f t="shared" si="1052"/>
        <v>0</v>
      </c>
      <c r="T451" s="104">
        <f t="shared" si="1053"/>
        <v>0</v>
      </c>
      <c r="U451" s="104">
        <f t="shared" si="1053"/>
        <v>0</v>
      </c>
      <c r="V451" s="104">
        <f t="shared" si="1053"/>
        <v>9.9999999999999995E-8</v>
      </c>
      <c r="W451" s="104">
        <f t="shared" si="1053"/>
        <v>0</v>
      </c>
      <c r="X451" s="104">
        <f t="shared" si="1045"/>
        <v>0</v>
      </c>
      <c r="Y451" s="104">
        <f t="shared" si="1045"/>
        <v>9.9999999999999995E-8</v>
      </c>
      <c r="Z451" s="104">
        <f t="shared" si="1045"/>
        <v>9.9999999999999995E-8</v>
      </c>
      <c r="AA451" s="105">
        <f t="shared" si="1045"/>
        <v>9.9999999999999995E-8</v>
      </c>
      <c r="AB451" s="101" t="e">
        <f>$DT451*HLOOKUP($J451,'Construction Costs (timber)'!$B$1:$V$32,'Construction Planner'!$L451+2,FALSE)</f>
        <v>#N/A</v>
      </c>
      <c r="AC451" s="14" t="e">
        <f>$DT451*HLOOKUP($J451,'Construction Costs (clay)'!$B$1:$V$32,'Construction Planner'!$L451+2,FALSE)</f>
        <v>#N/A</v>
      </c>
      <c r="AD451" s="14" t="e">
        <f>$DT451*HLOOKUP($J451,'Construction Costs (iron)'!$B$1:$V$32,'Construction Planner'!$L451+2,FALSE)</f>
        <v>#N/A</v>
      </c>
      <c r="AE451" s="34" t="e">
        <f t="shared" si="1000"/>
        <v>#N/A</v>
      </c>
      <c r="AF451" s="33" t="e">
        <f t="shared" si="939"/>
        <v>#N/A</v>
      </c>
      <c r="AG451" s="14" t="e">
        <f t="shared" si="940"/>
        <v>#N/A</v>
      </c>
      <c r="AH451" s="14" t="e">
        <f t="shared" si="941"/>
        <v>#N/A</v>
      </c>
      <c r="AI451" s="34" t="e">
        <f t="shared" si="1001"/>
        <v>#N/A</v>
      </c>
      <c r="AJ451" s="49" t="e">
        <f t="shared" si="962"/>
        <v>#N/A</v>
      </c>
      <c r="AK451" s="49" t="e">
        <f t="shared" si="963"/>
        <v>#N/A</v>
      </c>
      <c r="AL451" s="49" t="e">
        <f t="shared" si="964"/>
        <v>#N/A</v>
      </c>
      <c r="AM451" s="25">
        <f t="shared" si="942"/>
        <v>30</v>
      </c>
      <c r="AN451" s="25">
        <f t="shared" si="943"/>
        <v>30</v>
      </c>
      <c r="AO451" s="25">
        <f t="shared" si="944"/>
        <v>30</v>
      </c>
      <c r="AP451" s="52" t="e">
        <f t="shared" si="1049"/>
        <v>#N/A</v>
      </c>
      <c r="AQ451" s="53" t="e">
        <f t="shared" si="1049"/>
        <v>#N/A</v>
      </c>
      <c r="AR451" s="54" t="e">
        <f t="shared" si="1049"/>
        <v>#N/A</v>
      </c>
      <c r="AS451" s="316">
        <f t="shared" si="1057"/>
        <v>0</v>
      </c>
      <c r="AT451" s="106">
        <f>_xlfn.IFNA($M451/VLOOKUP($BT451,'Unit information'!$A$2:$K$29,2,FALSE)*R451,0)*(1+$E$9)</f>
        <v>0</v>
      </c>
      <c r="AU451" s="107">
        <f>_xlfn.IFNA($M451/VLOOKUP($BT451,'Unit information'!$A$2:$K$29,3,FALSE)*S451,0)*(1+$E$9)</f>
        <v>0</v>
      </c>
      <c r="AV451" s="107">
        <f>_xlfn.IFNA($M451/VLOOKUP($BT451,'Unit information'!$A$2:$K$29,4,FALSE)*T451,0)*(1+$E$9)</f>
        <v>0</v>
      </c>
      <c r="AW451" s="107">
        <f>_xlfn.IFNA($M451/VLOOKUP($BT451,'Unit information'!$A$2:$K$29,5,FALSE)*U451,0)*(1+$E$9)</f>
        <v>0</v>
      </c>
      <c r="AX451" s="107">
        <f>_xlfn.IFNA($M451/VLOOKUP($BU451,'Unit information'!$A$2:$K$29,6,FALSE)*V451,0)*(1+$E$9)</f>
        <v>0</v>
      </c>
      <c r="AY451" s="107">
        <f>_xlfn.IFNA($M451/VLOOKUP($BU451,'Unit information'!$A$2:$K$29,7,FALSE)*W451,0)*(1+$E$9)</f>
        <v>0</v>
      </c>
      <c r="AZ451" s="107">
        <f>_xlfn.IFNA($M451/VLOOKUP($BU451,'Unit information'!$A$2:$K$29,8,FALSE)*X451,0)*(1+$E$9)</f>
        <v>0</v>
      </c>
      <c r="BA451" s="107">
        <f>_xlfn.IFNA($M451/VLOOKUP($BU451,'Unit information'!$A$2:$K$29,9,FALSE)*Y451,0)*(1+$E$9)</f>
        <v>0</v>
      </c>
      <c r="BB451" s="107">
        <f>_xlfn.IFNA($M451/VLOOKUP($BV451,'Unit information'!$A$2:$K$29,10,FALSE)*Z451,0)*(1+$E$9)</f>
        <v>0</v>
      </c>
      <c r="BC451" s="108">
        <f>_xlfn.IFNA($M451/VLOOKUP($BV451,'Unit information'!$A$2:$K$29,11,FALSE)*AA451,0)*(1+$E$9)</f>
        <v>0</v>
      </c>
      <c r="BD451" s="106">
        <f t="shared" si="945"/>
        <v>0</v>
      </c>
      <c r="BE451" s="107">
        <f t="shared" si="946"/>
        <v>0</v>
      </c>
      <c r="BF451" s="108">
        <f t="shared" si="947"/>
        <v>0</v>
      </c>
      <c r="BG451" s="25" t="e">
        <f t="shared" si="948"/>
        <v>#N/A</v>
      </c>
      <c r="BH451" s="25" t="e">
        <f t="shared" si="949"/>
        <v>#N/A</v>
      </c>
      <c r="BI451" s="25" t="e">
        <f t="shared" si="950"/>
        <v>#N/A</v>
      </c>
      <c r="BJ451" s="27" t="e">
        <f t="shared" si="951"/>
        <v>#N/A</v>
      </c>
      <c r="BK451" s="18" t="e">
        <f t="shared" si="952"/>
        <v>#N/A</v>
      </c>
      <c r="BL451" s="18" t="e">
        <f t="shared" si="953"/>
        <v>#N/A</v>
      </c>
      <c r="BM451" s="28" t="e">
        <f t="shared" si="1003"/>
        <v>#N/A</v>
      </c>
      <c r="BN451" s="33">
        <f>HLOOKUP("maximum population",Miscelaneous!$C$1:$C$33,CH451+3,FALSE)</f>
        <v>240</v>
      </c>
      <c r="BO451" s="14">
        <f t="shared" si="966"/>
        <v>32</v>
      </c>
      <c r="BP451" s="14">
        <f t="shared" si="967"/>
        <v>0</v>
      </c>
      <c r="BQ451" s="14">
        <f t="shared" si="968"/>
        <v>208</v>
      </c>
      <c r="BR451" s="34" t="e">
        <f>HLOOKUP(J451,Villagers!$B$1:$V$33,L451+3,FALSE)-HLOOKUP(J451,Villagers!$B$1:$V$33,L451+2,FALSE)</f>
        <v>#N/A</v>
      </c>
      <c r="BS451" s="49">
        <f t="shared" si="969"/>
        <v>1</v>
      </c>
      <c r="BT451" s="50">
        <f t="shared" si="970"/>
        <v>0</v>
      </c>
      <c r="BU451" s="50">
        <f t="shared" si="971"/>
        <v>0</v>
      </c>
      <c r="BV451" s="50">
        <f t="shared" si="972"/>
        <v>0</v>
      </c>
      <c r="BW451" s="50">
        <f t="shared" si="1072"/>
        <v>0</v>
      </c>
      <c r="BX451" s="50">
        <f t="shared" si="1072"/>
        <v>0</v>
      </c>
      <c r="BY451" s="50">
        <f t="shared" si="1072"/>
        <v>0</v>
      </c>
      <c r="BZ451" s="50">
        <f t="shared" si="1015"/>
        <v>0</v>
      </c>
      <c r="CA451" s="50">
        <f t="shared" si="1016"/>
        <v>0</v>
      </c>
      <c r="CB451" s="50">
        <f t="shared" si="1017"/>
        <v>1</v>
      </c>
      <c r="CC451" s="50">
        <f t="shared" si="1018"/>
        <v>0</v>
      </c>
      <c r="CD451" s="50">
        <f t="shared" si="1019"/>
        <v>0</v>
      </c>
      <c r="CE451" s="50">
        <f t="shared" si="1020"/>
        <v>1</v>
      </c>
      <c r="CF451" s="50">
        <f t="shared" si="1021"/>
        <v>1</v>
      </c>
      <c r="CG451" s="50">
        <f t="shared" si="1022"/>
        <v>1</v>
      </c>
      <c r="CH451" s="50">
        <f t="shared" si="1023"/>
        <v>1</v>
      </c>
      <c r="CI451" s="50">
        <f t="shared" si="1024"/>
        <v>1</v>
      </c>
      <c r="CJ451" s="50">
        <f t="shared" si="1025"/>
        <v>1</v>
      </c>
      <c r="CK451" s="50">
        <f t="shared" si="1025"/>
        <v>0</v>
      </c>
      <c r="CL451" s="50">
        <f t="shared" si="1025"/>
        <v>0</v>
      </c>
      <c r="CM451" s="51">
        <f t="shared" si="1026"/>
        <v>0</v>
      </c>
      <c r="CN451" s="33">
        <f>ROUND(IF(BS451=0,0,HLOOKUP(BS$14,Villagers!$B$1:$V$33,BS451+3,FALSE)),)</f>
        <v>5</v>
      </c>
      <c r="CO451" s="14">
        <f>ROUND(IF(BT451=0,0,HLOOKUP(BT$14,Villagers!$B$1:$V$33,BT451+3,FALSE)),)</f>
        <v>0</v>
      </c>
      <c r="CP451" s="14">
        <f>ROUND(IF(BU451=0,0,HLOOKUP(BU$14,Villagers!$B$1:$V$33,BU451+3,FALSE)),)</f>
        <v>0</v>
      </c>
      <c r="CQ451" s="14">
        <f>ROUND(IF(BV451=0,0,HLOOKUP(BV$14,Villagers!$B$1:$V$33,BV451+3,FALSE)),)</f>
        <v>0</v>
      </c>
      <c r="CR451" s="14">
        <f>ROUND(IF(BW451=0,0,HLOOKUP(BW$14,Villagers!$B$1:$V$33,BW451+3,FALSE)),)</f>
        <v>0</v>
      </c>
      <c r="CS451" s="14">
        <f>ROUND(IF(BX451=0,0,HLOOKUP(BX$14,Villagers!$B$1:$V$33,BX451+3,FALSE)),)</f>
        <v>0</v>
      </c>
      <c r="CT451" s="14">
        <f>ROUND(IF(BY451=0,0,HLOOKUP(BY$14,Villagers!$B$1:$V$33,BY451+3,FALSE)),)</f>
        <v>0</v>
      </c>
      <c r="CU451" s="14">
        <f>ROUND(IF(BZ451=0,0,HLOOKUP(BZ$14,Villagers!$B$1:$V$33,BZ451+3,FALSE)),)</f>
        <v>0</v>
      </c>
      <c r="CV451" s="14">
        <f>ROUND(IF(CA451=0,0,HLOOKUP(CA$14,Villagers!$B$1:$V$33,CA451+3,FALSE)),)</f>
        <v>0</v>
      </c>
      <c r="CW451" s="14">
        <f>ROUND(IF(CB451=0,0,HLOOKUP(CB$14,Villagers!$B$1:$V$33,CB451+3,FALSE)),)</f>
        <v>0</v>
      </c>
      <c r="CX451" s="14">
        <f>ROUND(IF(CC451=0,0,HLOOKUP(CC$14,Villagers!$B$1:$V$33,CC451+3,FALSE)),)</f>
        <v>0</v>
      </c>
      <c r="CY451" s="14">
        <f>ROUND(IF(CD451=0,0,HLOOKUP(CD$14,Villagers!$B$1:$V$33,CD451+3,FALSE)),)</f>
        <v>0</v>
      </c>
      <c r="CZ451" s="14">
        <f>ROUND(IF(CE451=0,0,HLOOKUP(CE$14,Villagers!$B$1:$V$33,CE451+3,FALSE)),)</f>
        <v>5</v>
      </c>
      <c r="DA451" s="14">
        <f>ROUND(IF(CF451=0,0,HLOOKUP(CF$14,Villagers!$B$1:$V$33,CF451+3,FALSE)),)</f>
        <v>10</v>
      </c>
      <c r="DB451" s="14">
        <f>ROUND(IF(CG451=0,0,HLOOKUP(CG$14,Villagers!$B$1:$V$33,CG451+3,FALSE)),)</f>
        <v>10</v>
      </c>
      <c r="DC451" s="14">
        <f>ROUND(IF(CH451=0,0,HLOOKUP(CH$14,Villagers!$B$1:$V$33,CH451+3,FALSE)),)</f>
        <v>0</v>
      </c>
      <c r="DD451" s="14">
        <f>ROUND(IF(CI451=0,0,HLOOKUP(CI$14,Villagers!$B$1:$V$33,CI451+3,FALSE)),)</f>
        <v>0</v>
      </c>
      <c r="DE451" s="14">
        <f>ROUND(IF(CJ451=0,0,HLOOKUP(CJ$14,Villagers!$B$1:$V$33,CJ451+3,FALSE)),)</f>
        <v>2</v>
      </c>
      <c r="DF451" s="370">
        <f>ROUND(IF(CK451=0,0,HLOOKUP(CK$14,Villagers!$B$1:$V$33,CK451+3,FALSE)),)</f>
        <v>0</v>
      </c>
      <c r="DG451" s="370">
        <f>ROUND(IF(CL451=0,0,HLOOKUP(CL$14,Villagers!$B$1:$V$33,CL451+3,FALSE)),)</f>
        <v>0</v>
      </c>
      <c r="DH451" s="34">
        <f>ROUND(IF(CM451=0,0,HLOOKUP(CM$14,Villagers!$B$1:$V$33,CM451+3,FALSE)),)</f>
        <v>0</v>
      </c>
      <c r="DI451" s="109">
        <f t="shared" si="989"/>
        <v>0</v>
      </c>
      <c r="DJ451" s="50">
        <f t="shared" si="990"/>
        <v>0</v>
      </c>
      <c r="DK451" s="50">
        <f t="shared" si="991"/>
        <v>0</v>
      </c>
      <c r="DL451" s="50">
        <f t="shared" si="992"/>
        <v>0</v>
      </c>
      <c r="DM451" s="50">
        <f t="shared" si="993"/>
        <v>0</v>
      </c>
      <c r="DN451" s="50">
        <f t="shared" si="994"/>
        <v>0</v>
      </c>
      <c r="DO451" s="50">
        <f t="shared" si="995"/>
        <v>0</v>
      </c>
      <c r="DP451" s="50">
        <f t="shared" si="996"/>
        <v>0</v>
      </c>
      <c r="DQ451" s="50">
        <f t="shared" si="973"/>
        <v>0</v>
      </c>
      <c r="DR451" s="50">
        <f t="shared" si="974"/>
        <v>0</v>
      </c>
      <c r="DS451" s="96">
        <f>Miscelaneous!$D$4*Miscelaneous!$D$2^($CI451-1)</f>
        <v>1000</v>
      </c>
      <c r="DT451" s="333">
        <f t="shared" si="955"/>
        <v>1</v>
      </c>
      <c r="DU451" s="81">
        <v>1</v>
      </c>
      <c r="DV451" s="79">
        <f t="shared" si="975"/>
        <v>0</v>
      </c>
      <c r="DW451" s="79">
        <f t="shared" si="976"/>
        <v>0</v>
      </c>
      <c r="DX451" s="79">
        <f t="shared" si="977"/>
        <v>0</v>
      </c>
      <c r="DY451" s="79">
        <v>1</v>
      </c>
      <c r="DZ451" s="79">
        <f t="shared" si="978"/>
        <v>0</v>
      </c>
      <c r="EA451" s="79">
        <f t="shared" si="979"/>
        <v>0</v>
      </c>
      <c r="EB451" s="79">
        <f t="shared" si="980"/>
        <v>0</v>
      </c>
      <c r="EC451" s="79">
        <f t="shared" si="981"/>
        <v>0</v>
      </c>
      <c r="ED451" s="79">
        <v>1</v>
      </c>
      <c r="EE451" s="79">
        <v>1</v>
      </c>
      <c r="EF451" s="79">
        <f t="shared" si="982"/>
        <v>0</v>
      </c>
      <c r="EG451" s="79">
        <v>1</v>
      </c>
      <c r="EH451" s="79">
        <v>1</v>
      </c>
      <c r="EI451" s="79">
        <v>1</v>
      </c>
      <c r="EJ451" s="79">
        <v>1</v>
      </c>
      <c r="EK451" s="79">
        <v>1</v>
      </c>
      <c r="EL451" s="79">
        <v>1</v>
      </c>
      <c r="EM451" s="143">
        <f t="shared" si="983"/>
        <v>0</v>
      </c>
      <c r="EN451" s="143">
        <f t="shared" si="984"/>
        <v>0</v>
      </c>
      <c r="EO451" s="82">
        <f t="shared" si="985"/>
        <v>0</v>
      </c>
    </row>
    <row r="452" spans="1:145" x14ac:dyDescent="0.25">
      <c r="A452">
        <v>438</v>
      </c>
      <c r="B452" s="172" t="e">
        <f t="shared" si="956"/>
        <v>#N/A</v>
      </c>
      <c r="C452" s="121" t="e">
        <f t="shared" ref="C452:E452" si="1076">AJ452-SUM(AB452:AB456)</f>
        <v>#N/A</v>
      </c>
      <c r="D452" s="122" t="e">
        <f t="shared" si="1076"/>
        <v>#N/A</v>
      </c>
      <c r="E452" s="122" t="e">
        <f t="shared" si="1076"/>
        <v>#N/A</v>
      </c>
      <c r="F452" s="176" t="e">
        <f t="shared" si="937"/>
        <v>#N/A</v>
      </c>
      <c r="G452" s="121">
        <f t="shared" si="958"/>
        <v>208</v>
      </c>
      <c r="H452" s="176" t="e">
        <f t="shared" si="959"/>
        <v>#N/A</v>
      </c>
      <c r="I452" s="48">
        <v>1</v>
      </c>
      <c r="J452" s="39"/>
      <c r="K452" s="350">
        <v>1</v>
      </c>
      <c r="L452" s="34" t="e">
        <f t="shared" si="938"/>
        <v>#N/A</v>
      </c>
      <c r="M452" s="38" t="e">
        <f>(HLOOKUP(J452,'Construction Times'!$B$3:$W$34,L452+2,FALSE)*HLOOKUP("hq modifier",'Construction Times'!$W$3:$W$34,BS452+2,FALSE))*(1-$H$9)</f>
        <v>#N/A</v>
      </c>
      <c r="N452" s="426" t="e">
        <f t="shared" si="960"/>
        <v>#N/A</v>
      </c>
      <c r="O452" s="427"/>
      <c r="P452" s="430" t="e">
        <f t="shared" si="961"/>
        <v>#N/A</v>
      </c>
      <c r="Q452" s="431"/>
      <c r="R452" s="103">
        <f t="shared" si="1052"/>
        <v>0</v>
      </c>
      <c r="S452" s="104">
        <f t="shared" si="1052"/>
        <v>0</v>
      </c>
      <c r="T452" s="104">
        <f t="shared" si="1053"/>
        <v>0</v>
      </c>
      <c r="U452" s="104">
        <f t="shared" si="1053"/>
        <v>0</v>
      </c>
      <c r="V452" s="104">
        <f t="shared" si="1053"/>
        <v>9.9999999999999995E-8</v>
      </c>
      <c r="W452" s="104">
        <f t="shared" si="1053"/>
        <v>0</v>
      </c>
      <c r="X452" s="104">
        <f t="shared" si="1045"/>
        <v>0</v>
      </c>
      <c r="Y452" s="104">
        <f t="shared" si="1045"/>
        <v>9.9999999999999995E-8</v>
      </c>
      <c r="Z452" s="104">
        <f t="shared" si="1045"/>
        <v>9.9999999999999995E-8</v>
      </c>
      <c r="AA452" s="105">
        <f t="shared" si="1045"/>
        <v>9.9999999999999995E-8</v>
      </c>
      <c r="AB452" s="101" t="e">
        <f>$DT452*HLOOKUP($J452,'Construction Costs (timber)'!$B$1:$V$32,'Construction Planner'!$L452+2,FALSE)</f>
        <v>#N/A</v>
      </c>
      <c r="AC452" s="14" t="e">
        <f>$DT452*HLOOKUP($J452,'Construction Costs (clay)'!$B$1:$V$32,'Construction Planner'!$L452+2,FALSE)</f>
        <v>#N/A</v>
      </c>
      <c r="AD452" s="14" t="e">
        <f>$DT452*HLOOKUP($J452,'Construction Costs (iron)'!$B$1:$V$32,'Construction Planner'!$L452+2,FALSE)</f>
        <v>#N/A</v>
      </c>
      <c r="AE452" s="34" t="e">
        <f t="shared" si="1000"/>
        <v>#N/A</v>
      </c>
      <c r="AF452" s="33" t="e">
        <f t="shared" si="939"/>
        <v>#N/A</v>
      </c>
      <c r="AG452" s="14" t="e">
        <f t="shared" si="940"/>
        <v>#N/A</v>
      </c>
      <c r="AH452" s="14" t="e">
        <f t="shared" si="941"/>
        <v>#N/A</v>
      </c>
      <c r="AI452" s="34" t="e">
        <f t="shared" si="1001"/>
        <v>#N/A</v>
      </c>
      <c r="AJ452" s="49" t="e">
        <f t="shared" si="962"/>
        <v>#N/A</v>
      </c>
      <c r="AK452" s="49" t="e">
        <f t="shared" si="963"/>
        <v>#N/A</v>
      </c>
      <c r="AL452" s="49" t="e">
        <f t="shared" si="964"/>
        <v>#N/A</v>
      </c>
      <c r="AM452" s="25">
        <f t="shared" si="942"/>
        <v>30</v>
      </c>
      <c r="AN452" s="25">
        <f t="shared" si="943"/>
        <v>30</v>
      </c>
      <c r="AO452" s="25">
        <f t="shared" si="944"/>
        <v>30</v>
      </c>
      <c r="AP452" s="52" t="e">
        <f t="shared" si="1049"/>
        <v>#N/A</v>
      </c>
      <c r="AQ452" s="53" t="e">
        <f t="shared" si="1049"/>
        <v>#N/A</v>
      </c>
      <c r="AR452" s="54" t="e">
        <f t="shared" si="1049"/>
        <v>#N/A</v>
      </c>
      <c r="AS452" s="316">
        <f t="shared" ref="AS452:AS467" si="1077">AS451</f>
        <v>0</v>
      </c>
      <c r="AT452" s="106">
        <f>_xlfn.IFNA($M452/VLOOKUP($BT452,'Unit information'!$A$2:$K$29,2,FALSE)*R452,0)*(1+$E$9)</f>
        <v>0</v>
      </c>
      <c r="AU452" s="107">
        <f>_xlfn.IFNA($M452/VLOOKUP($BT452,'Unit information'!$A$2:$K$29,3,FALSE)*S452,0)*(1+$E$9)</f>
        <v>0</v>
      </c>
      <c r="AV452" s="107">
        <f>_xlfn.IFNA($M452/VLOOKUP($BT452,'Unit information'!$A$2:$K$29,4,FALSE)*T452,0)*(1+$E$9)</f>
        <v>0</v>
      </c>
      <c r="AW452" s="107">
        <f>_xlfn.IFNA($M452/VLOOKUP($BT452,'Unit information'!$A$2:$K$29,5,FALSE)*U452,0)*(1+$E$9)</f>
        <v>0</v>
      </c>
      <c r="AX452" s="107">
        <f>_xlfn.IFNA($M452/VLOOKUP($BU452,'Unit information'!$A$2:$K$29,6,FALSE)*V452,0)*(1+$E$9)</f>
        <v>0</v>
      </c>
      <c r="AY452" s="107">
        <f>_xlfn.IFNA($M452/VLOOKUP($BU452,'Unit information'!$A$2:$K$29,7,FALSE)*W452,0)*(1+$E$9)</f>
        <v>0</v>
      </c>
      <c r="AZ452" s="107">
        <f>_xlfn.IFNA($M452/VLOOKUP($BU452,'Unit information'!$A$2:$K$29,8,FALSE)*X452,0)*(1+$E$9)</f>
        <v>0</v>
      </c>
      <c r="BA452" s="107">
        <f>_xlfn.IFNA($M452/VLOOKUP($BU452,'Unit information'!$A$2:$K$29,9,FALSE)*Y452,0)*(1+$E$9)</f>
        <v>0</v>
      </c>
      <c r="BB452" s="107">
        <f>_xlfn.IFNA($M452/VLOOKUP($BV452,'Unit information'!$A$2:$K$29,10,FALSE)*Z452,0)*(1+$E$9)</f>
        <v>0</v>
      </c>
      <c r="BC452" s="108">
        <f>_xlfn.IFNA($M452/VLOOKUP($BV452,'Unit information'!$A$2:$K$29,11,FALSE)*AA452,0)*(1+$E$9)</f>
        <v>0</v>
      </c>
      <c r="BD452" s="106">
        <f t="shared" si="945"/>
        <v>0</v>
      </c>
      <c r="BE452" s="107">
        <f t="shared" si="946"/>
        <v>0</v>
      </c>
      <c r="BF452" s="108">
        <f t="shared" si="947"/>
        <v>0</v>
      </c>
      <c r="BG452" s="25" t="e">
        <f t="shared" si="948"/>
        <v>#N/A</v>
      </c>
      <c r="BH452" s="25" t="e">
        <f t="shared" si="949"/>
        <v>#N/A</v>
      </c>
      <c r="BI452" s="25" t="e">
        <f t="shared" si="950"/>
        <v>#N/A</v>
      </c>
      <c r="BJ452" s="27" t="e">
        <f t="shared" si="951"/>
        <v>#N/A</v>
      </c>
      <c r="BK452" s="18" t="e">
        <f t="shared" si="952"/>
        <v>#N/A</v>
      </c>
      <c r="BL452" s="18" t="e">
        <f t="shared" si="953"/>
        <v>#N/A</v>
      </c>
      <c r="BM452" s="28" t="e">
        <f t="shared" si="1003"/>
        <v>#N/A</v>
      </c>
      <c r="BN452" s="33">
        <f>HLOOKUP("maximum population",Miscelaneous!$C$1:$C$33,CH452+3,FALSE)</f>
        <v>240</v>
      </c>
      <c r="BO452" s="14">
        <f t="shared" si="966"/>
        <v>32</v>
      </c>
      <c r="BP452" s="14">
        <f t="shared" si="967"/>
        <v>0</v>
      </c>
      <c r="BQ452" s="14">
        <f t="shared" si="968"/>
        <v>208</v>
      </c>
      <c r="BR452" s="34" t="e">
        <f>HLOOKUP(J452,Villagers!$B$1:$V$33,L452+3,FALSE)-HLOOKUP(J452,Villagers!$B$1:$V$33,L452+2,FALSE)</f>
        <v>#N/A</v>
      </c>
      <c r="BS452" s="49">
        <f t="shared" si="969"/>
        <v>1</v>
      </c>
      <c r="BT452" s="50">
        <f t="shared" si="970"/>
        <v>0</v>
      </c>
      <c r="BU452" s="50">
        <f t="shared" si="971"/>
        <v>0</v>
      </c>
      <c r="BV452" s="50">
        <f t="shared" si="972"/>
        <v>0</v>
      </c>
      <c r="BW452" s="50">
        <f t="shared" si="1072"/>
        <v>0</v>
      </c>
      <c r="BX452" s="50">
        <f t="shared" si="1072"/>
        <v>0</v>
      </c>
      <c r="BY452" s="50">
        <f t="shared" si="1072"/>
        <v>0</v>
      </c>
      <c r="BZ452" s="50">
        <f t="shared" si="1015"/>
        <v>0</v>
      </c>
      <c r="CA452" s="50">
        <f t="shared" si="1016"/>
        <v>0</v>
      </c>
      <c r="CB452" s="50">
        <f t="shared" si="1017"/>
        <v>1</v>
      </c>
      <c r="CC452" s="50">
        <f t="shared" si="1018"/>
        <v>0</v>
      </c>
      <c r="CD452" s="50">
        <f t="shared" si="1019"/>
        <v>0</v>
      </c>
      <c r="CE452" s="50">
        <f t="shared" si="1020"/>
        <v>1</v>
      </c>
      <c r="CF452" s="50">
        <f t="shared" si="1021"/>
        <v>1</v>
      </c>
      <c r="CG452" s="50">
        <f t="shared" si="1022"/>
        <v>1</v>
      </c>
      <c r="CH452" s="50">
        <f t="shared" si="1023"/>
        <v>1</v>
      </c>
      <c r="CI452" s="50">
        <f t="shared" si="1024"/>
        <v>1</v>
      </c>
      <c r="CJ452" s="50">
        <f t="shared" si="1025"/>
        <v>1</v>
      </c>
      <c r="CK452" s="50">
        <f t="shared" si="1025"/>
        <v>0</v>
      </c>
      <c r="CL452" s="50">
        <f t="shared" si="1025"/>
        <v>0</v>
      </c>
      <c r="CM452" s="51">
        <f t="shared" si="1026"/>
        <v>0</v>
      </c>
      <c r="CN452" s="33">
        <f>ROUND(IF(BS452=0,0,HLOOKUP(BS$14,Villagers!$B$1:$V$33,BS452+3,FALSE)),)</f>
        <v>5</v>
      </c>
      <c r="CO452" s="14">
        <f>ROUND(IF(BT452=0,0,HLOOKUP(BT$14,Villagers!$B$1:$V$33,BT452+3,FALSE)),)</f>
        <v>0</v>
      </c>
      <c r="CP452" s="14">
        <f>ROUND(IF(BU452=0,0,HLOOKUP(BU$14,Villagers!$B$1:$V$33,BU452+3,FALSE)),)</f>
        <v>0</v>
      </c>
      <c r="CQ452" s="14">
        <f>ROUND(IF(BV452=0,0,HLOOKUP(BV$14,Villagers!$B$1:$V$33,BV452+3,FALSE)),)</f>
        <v>0</v>
      </c>
      <c r="CR452" s="14">
        <f>ROUND(IF(BW452=0,0,HLOOKUP(BW$14,Villagers!$B$1:$V$33,BW452+3,FALSE)),)</f>
        <v>0</v>
      </c>
      <c r="CS452" s="14">
        <f>ROUND(IF(BX452=0,0,HLOOKUP(BX$14,Villagers!$B$1:$V$33,BX452+3,FALSE)),)</f>
        <v>0</v>
      </c>
      <c r="CT452" s="14">
        <f>ROUND(IF(BY452=0,0,HLOOKUP(BY$14,Villagers!$B$1:$V$33,BY452+3,FALSE)),)</f>
        <v>0</v>
      </c>
      <c r="CU452" s="14">
        <f>ROUND(IF(BZ452=0,0,HLOOKUP(BZ$14,Villagers!$B$1:$V$33,BZ452+3,FALSE)),)</f>
        <v>0</v>
      </c>
      <c r="CV452" s="14">
        <f>ROUND(IF(CA452=0,0,HLOOKUP(CA$14,Villagers!$B$1:$V$33,CA452+3,FALSE)),)</f>
        <v>0</v>
      </c>
      <c r="CW452" s="14">
        <f>ROUND(IF(CB452=0,0,HLOOKUP(CB$14,Villagers!$B$1:$V$33,CB452+3,FALSE)),)</f>
        <v>0</v>
      </c>
      <c r="CX452" s="14">
        <f>ROUND(IF(CC452=0,0,HLOOKUP(CC$14,Villagers!$B$1:$V$33,CC452+3,FALSE)),)</f>
        <v>0</v>
      </c>
      <c r="CY452" s="14">
        <f>ROUND(IF(CD452=0,0,HLOOKUP(CD$14,Villagers!$B$1:$V$33,CD452+3,FALSE)),)</f>
        <v>0</v>
      </c>
      <c r="CZ452" s="14">
        <f>ROUND(IF(CE452=0,0,HLOOKUP(CE$14,Villagers!$B$1:$V$33,CE452+3,FALSE)),)</f>
        <v>5</v>
      </c>
      <c r="DA452" s="14">
        <f>ROUND(IF(CF452=0,0,HLOOKUP(CF$14,Villagers!$B$1:$V$33,CF452+3,FALSE)),)</f>
        <v>10</v>
      </c>
      <c r="DB452" s="14">
        <f>ROUND(IF(CG452=0,0,HLOOKUP(CG$14,Villagers!$B$1:$V$33,CG452+3,FALSE)),)</f>
        <v>10</v>
      </c>
      <c r="DC452" s="14">
        <f>ROUND(IF(CH452=0,0,HLOOKUP(CH$14,Villagers!$B$1:$V$33,CH452+3,FALSE)),)</f>
        <v>0</v>
      </c>
      <c r="DD452" s="14">
        <f>ROUND(IF(CI452=0,0,HLOOKUP(CI$14,Villagers!$B$1:$V$33,CI452+3,FALSE)),)</f>
        <v>0</v>
      </c>
      <c r="DE452" s="14">
        <f>ROUND(IF(CJ452=0,0,HLOOKUP(CJ$14,Villagers!$B$1:$V$33,CJ452+3,FALSE)),)</f>
        <v>2</v>
      </c>
      <c r="DF452" s="370">
        <f>ROUND(IF(CK452=0,0,HLOOKUP(CK$14,Villagers!$B$1:$V$33,CK452+3,FALSE)),)</f>
        <v>0</v>
      </c>
      <c r="DG452" s="370">
        <f>ROUND(IF(CL452=0,0,HLOOKUP(CL$14,Villagers!$B$1:$V$33,CL452+3,FALSE)),)</f>
        <v>0</v>
      </c>
      <c r="DH452" s="34">
        <f>ROUND(IF(CM452=0,0,HLOOKUP(CM$14,Villagers!$B$1:$V$33,CM452+3,FALSE)),)</f>
        <v>0</v>
      </c>
      <c r="DI452" s="109">
        <f t="shared" si="989"/>
        <v>0</v>
      </c>
      <c r="DJ452" s="50">
        <f t="shared" si="990"/>
        <v>0</v>
      </c>
      <c r="DK452" s="50">
        <f t="shared" si="991"/>
        <v>0</v>
      </c>
      <c r="DL452" s="50">
        <f t="shared" si="992"/>
        <v>0</v>
      </c>
      <c r="DM452" s="50">
        <f t="shared" si="993"/>
        <v>0</v>
      </c>
      <c r="DN452" s="50">
        <f t="shared" si="994"/>
        <v>0</v>
      </c>
      <c r="DO452" s="50">
        <f t="shared" si="995"/>
        <v>0</v>
      </c>
      <c r="DP452" s="50">
        <f t="shared" si="996"/>
        <v>0</v>
      </c>
      <c r="DQ452" s="50">
        <f t="shared" si="973"/>
        <v>0</v>
      </c>
      <c r="DR452" s="50">
        <f t="shared" si="974"/>
        <v>0</v>
      </c>
      <c r="DS452" s="96">
        <f>Miscelaneous!$D$4*Miscelaneous!$D$2^($CI452-1)</f>
        <v>1000</v>
      </c>
      <c r="DT452" s="333">
        <f t="shared" si="955"/>
        <v>1</v>
      </c>
      <c r="DU452" s="81">
        <v>1</v>
      </c>
      <c r="DV452" s="79">
        <f t="shared" si="975"/>
        <v>0</v>
      </c>
      <c r="DW452" s="79">
        <f t="shared" si="976"/>
        <v>0</v>
      </c>
      <c r="DX452" s="79">
        <f t="shared" si="977"/>
        <v>0</v>
      </c>
      <c r="DY452" s="79">
        <v>1</v>
      </c>
      <c r="DZ452" s="79">
        <f t="shared" si="978"/>
        <v>0</v>
      </c>
      <c r="EA452" s="79">
        <f t="shared" si="979"/>
        <v>0</v>
      </c>
      <c r="EB452" s="79">
        <f t="shared" si="980"/>
        <v>0</v>
      </c>
      <c r="EC452" s="79">
        <f t="shared" si="981"/>
        <v>0</v>
      </c>
      <c r="ED452" s="79">
        <v>1</v>
      </c>
      <c r="EE452" s="79">
        <v>1</v>
      </c>
      <c r="EF452" s="79">
        <f t="shared" si="982"/>
        <v>0</v>
      </c>
      <c r="EG452" s="79">
        <v>1</v>
      </c>
      <c r="EH452" s="79">
        <v>1</v>
      </c>
      <c r="EI452" s="79">
        <v>1</v>
      </c>
      <c r="EJ452" s="79">
        <v>1</v>
      </c>
      <c r="EK452" s="79">
        <v>1</v>
      </c>
      <c r="EL452" s="79">
        <v>1</v>
      </c>
      <c r="EM452" s="143">
        <f t="shared" si="983"/>
        <v>0</v>
      </c>
      <c r="EN452" s="143">
        <f t="shared" si="984"/>
        <v>0</v>
      </c>
      <c r="EO452" s="82">
        <f t="shared" si="985"/>
        <v>0</v>
      </c>
    </row>
    <row r="453" spans="1:145" x14ac:dyDescent="0.25">
      <c r="A453">
        <v>439</v>
      </c>
      <c r="B453" s="172" t="e">
        <f t="shared" si="956"/>
        <v>#N/A</v>
      </c>
      <c r="C453" s="121" t="e">
        <f t="shared" ref="C453:E453" si="1078">AJ453-SUM(AB453:AB457)</f>
        <v>#N/A</v>
      </c>
      <c r="D453" s="122" t="e">
        <f t="shared" si="1078"/>
        <v>#N/A</v>
      </c>
      <c r="E453" s="122" t="e">
        <f t="shared" si="1078"/>
        <v>#N/A</v>
      </c>
      <c r="F453" s="176" t="e">
        <f t="shared" si="937"/>
        <v>#N/A</v>
      </c>
      <c r="G453" s="121">
        <f t="shared" si="958"/>
        <v>208</v>
      </c>
      <c r="H453" s="176" t="e">
        <f t="shared" si="959"/>
        <v>#N/A</v>
      </c>
      <c r="I453" s="48">
        <v>1</v>
      </c>
      <c r="J453" s="39"/>
      <c r="K453" s="350">
        <v>1</v>
      </c>
      <c r="L453" s="34" t="e">
        <f t="shared" si="938"/>
        <v>#N/A</v>
      </c>
      <c r="M453" s="38" t="e">
        <f>(HLOOKUP(J453,'Construction Times'!$B$3:$W$34,L453+2,FALSE)*HLOOKUP("hq modifier",'Construction Times'!$W$3:$W$34,BS453+2,FALSE))*(1-$H$9)</f>
        <v>#N/A</v>
      </c>
      <c r="N453" s="426" t="e">
        <f t="shared" si="960"/>
        <v>#N/A</v>
      </c>
      <c r="O453" s="427"/>
      <c r="P453" s="430" t="e">
        <f t="shared" si="961"/>
        <v>#N/A</v>
      </c>
      <c r="Q453" s="431"/>
      <c r="R453" s="103">
        <f t="shared" si="1052"/>
        <v>0</v>
      </c>
      <c r="S453" s="104">
        <f t="shared" si="1052"/>
        <v>0</v>
      </c>
      <c r="T453" s="104">
        <f t="shared" si="1053"/>
        <v>0</v>
      </c>
      <c r="U453" s="104">
        <f t="shared" si="1053"/>
        <v>0</v>
      </c>
      <c r="V453" s="104">
        <f t="shared" si="1053"/>
        <v>9.9999999999999995E-8</v>
      </c>
      <c r="W453" s="104">
        <f t="shared" si="1053"/>
        <v>0</v>
      </c>
      <c r="X453" s="104">
        <f t="shared" si="1045"/>
        <v>0</v>
      </c>
      <c r="Y453" s="104">
        <f t="shared" si="1045"/>
        <v>9.9999999999999995E-8</v>
      </c>
      <c r="Z453" s="104">
        <f t="shared" si="1045"/>
        <v>9.9999999999999995E-8</v>
      </c>
      <c r="AA453" s="105">
        <f t="shared" si="1045"/>
        <v>9.9999999999999995E-8</v>
      </c>
      <c r="AB453" s="101" t="e">
        <f>$DT453*HLOOKUP($J453,'Construction Costs (timber)'!$B$1:$V$32,'Construction Planner'!$L453+2,FALSE)</f>
        <v>#N/A</v>
      </c>
      <c r="AC453" s="14" t="e">
        <f>$DT453*HLOOKUP($J453,'Construction Costs (clay)'!$B$1:$V$32,'Construction Planner'!$L453+2,FALSE)</f>
        <v>#N/A</v>
      </c>
      <c r="AD453" s="14" t="e">
        <f>$DT453*HLOOKUP($J453,'Construction Costs (iron)'!$B$1:$V$32,'Construction Planner'!$L453+2,FALSE)</f>
        <v>#N/A</v>
      </c>
      <c r="AE453" s="34" t="e">
        <f t="shared" si="1000"/>
        <v>#N/A</v>
      </c>
      <c r="AF453" s="33" t="e">
        <f t="shared" si="939"/>
        <v>#N/A</v>
      </c>
      <c r="AG453" s="14" t="e">
        <f t="shared" si="940"/>
        <v>#N/A</v>
      </c>
      <c r="AH453" s="14" t="e">
        <f t="shared" si="941"/>
        <v>#N/A</v>
      </c>
      <c r="AI453" s="34" t="e">
        <f t="shared" si="1001"/>
        <v>#N/A</v>
      </c>
      <c r="AJ453" s="49" t="e">
        <f t="shared" si="962"/>
        <v>#N/A</v>
      </c>
      <c r="AK453" s="49" t="e">
        <f t="shared" si="963"/>
        <v>#N/A</v>
      </c>
      <c r="AL453" s="49" t="e">
        <f t="shared" si="964"/>
        <v>#N/A</v>
      </c>
      <c r="AM453" s="25">
        <f t="shared" si="942"/>
        <v>30</v>
      </c>
      <c r="AN453" s="25">
        <f t="shared" si="943"/>
        <v>30</v>
      </c>
      <c r="AO453" s="25">
        <f t="shared" si="944"/>
        <v>30</v>
      </c>
      <c r="AP453" s="52" t="e">
        <f t="shared" si="1049"/>
        <v>#N/A</v>
      </c>
      <c r="AQ453" s="53" t="e">
        <f t="shared" si="1049"/>
        <v>#N/A</v>
      </c>
      <c r="AR453" s="54" t="e">
        <f t="shared" si="1049"/>
        <v>#N/A</v>
      </c>
      <c r="AS453" s="316">
        <f t="shared" si="1077"/>
        <v>0</v>
      </c>
      <c r="AT453" s="106">
        <f>_xlfn.IFNA($M453/VLOOKUP($BT453,'Unit information'!$A$2:$K$29,2,FALSE)*R453,0)*(1+$E$9)</f>
        <v>0</v>
      </c>
      <c r="AU453" s="107">
        <f>_xlfn.IFNA($M453/VLOOKUP($BT453,'Unit information'!$A$2:$K$29,3,FALSE)*S453,0)*(1+$E$9)</f>
        <v>0</v>
      </c>
      <c r="AV453" s="107">
        <f>_xlfn.IFNA($M453/VLOOKUP($BT453,'Unit information'!$A$2:$K$29,4,FALSE)*T453,0)*(1+$E$9)</f>
        <v>0</v>
      </c>
      <c r="AW453" s="107">
        <f>_xlfn.IFNA($M453/VLOOKUP($BT453,'Unit information'!$A$2:$K$29,5,FALSE)*U453,0)*(1+$E$9)</f>
        <v>0</v>
      </c>
      <c r="AX453" s="107">
        <f>_xlfn.IFNA($M453/VLOOKUP($BU453,'Unit information'!$A$2:$K$29,6,FALSE)*V453,0)*(1+$E$9)</f>
        <v>0</v>
      </c>
      <c r="AY453" s="107">
        <f>_xlfn.IFNA($M453/VLOOKUP($BU453,'Unit information'!$A$2:$K$29,7,FALSE)*W453,0)*(1+$E$9)</f>
        <v>0</v>
      </c>
      <c r="AZ453" s="107">
        <f>_xlfn.IFNA($M453/VLOOKUP($BU453,'Unit information'!$A$2:$K$29,8,FALSE)*X453,0)*(1+$E$9)</f>
        <v>0</v>
      </c>
      <c r="BA453" s="107">
        <f>_xlfn.IFNA($M453/VLOOKUP($BU453,'Unit information'!$A$2:$K$29,9,FALSE)*Y453,0)*(1+$E$9)</f>
        <v>0</v>
      </c>
      <c r="BB453" s="107">
        <f>_xlfn.IFNA($M453/VLOOKUP($BV453,'Unit information'!$A$2:$K$29,10,FALSE)*Z453,0)*(1+$E$9)</f>
        <v>0</v>
      </c>
      <c r="BC453" s="108">
        <f>_xlfn.IFNA($M453/VLOOKUP($BV453,'Unit information'!$A$2:$K$29,11,FALSE)*AA453,0)*(1+$E$9)</f>
        <v>0</v>
      </c>
      <c r="BD453" s="106">
        <f t="shared" si="945"/>
        <v>0</v>
      </c>
      <c r="BE453" s="107">
        <f t="shared" si="946"/>
        <v>0</v>
      </c>
      <c r="BF453" s="108">
        <f t="shared" si="947"/>
        <v>0</v>
      </c>
      <c r="BG453" s="25" t="e">
        <f t="shared" si="948"/>
        <v>#N/A</v>
      </c>
      <c r="BH453" s="25" t="e">
        <f t="shared" si="949"/>
        <v>#N/A</v>
      </c>
      <c r="BI453" s="25" t="e">
        <f t="shared" si="950"/>
        <v>#N/A</v>
      </c>
      <c r="BJ453" s="27" t="e">
        <f t="shared" si="951"/>
        <v>#N/A</v>
      </c>
      <c r="BK453" s="18" t="e">
        <f t="shared" si="952"/>
        <v>#N/A</v>
      </c>
      <c r="BL453" s="18" t="e">
        <f t="shared" si="953"/>
        <v>#N/A</v>
      </c>
      <c r="BM453" s="28" t="e">
        <f t="shared" si="1003"/>
        <v>#N/A</v>
      </c>
      <c r="BN453" s="33">
        <f>HLOOKUP("maximum population",Miscelaneous!$C$1:$C$33,CH453+3,FALSE)</f>
        <v>240</v>
      </c>
      <c r="BO453" s="14">
        <f t="shared" si="966"/>
        <v>32</v>
      </c>
      <c r="BP453" s="14">
        <f t="shared" si="967"/>
        <v>0</v>
      </c>
      <c r="BQ453" s="14">
        <f t="shared" si="968"/>
        <v>208</v>
      </c>
      <c r="BR453" s="34" t="e">
        <f>HLOOKUP(J453,Villagers!$B$1:$V$33,L453+3,FALSE)-HLOOKUP(J453,Villagers!$B$1:$V$33,L453+2,FALSE)</f>
        <v>#N/A</v>
      </c>
      <c r="BS453" s="49">
        <f t="shared" si="969"/>
        <v>1</v>
      </c>
      <c r="BT453" s="50">
        <f t="shared" si="970"/>
        <v>0</v>
      </c>
      <c r="BU453" s="50">
        <f t="shared" si="971"/>
        <v>0</v>
      </c>
      <c r="BV453" s="50">
        <f t="shared" si="972"/>
        <v>0</v>
      </c>
      <c r="BW453" s="50">
        <f t="shared" si="1072"/>
        <v>0</v>
      </c>
      <c r="BX453" s="50">
        <f t="shared" si="1072"/>
        <v>0</v>
      </c>
      <c r="BY453" s="50">
        <f t="shared" si="1072"/>
        <v>0</v>
      </c>
      <c r="BZ453" s="50">
        <f t="shared" si="1015"/>
        <v>0</v>
      </c>
      <c r="CA453" s="50">
        <f t="shared" si="1016"/>
        <v>0</v>
      </c>
      <c r="CB453" s="50">
        <f t="shared" si="1017"/>
        <v>1</v>
      </c>
      <c r="CC453" s="50">
        <f t="shared" si="1018"/>
        <v>0</v>
      </c>
      <c r="CD453" s="50">
        <f t="shared" si="1019"/>
        <v>0</v>
      </c>
      <c r="CE453" s="50">
        <f t="shared" si="1020"/>
        <v>1</v>
      </c>
      <c r="CF453" s="50">
        <f t="shared" si="1021"/>
        <v>1</v>
      </c>
      <c r="CG453" s="50">
        <f t="shared" si="1022"/>
        <v>1</v>
      </c>
      <c r="CH453" s="50">
        <f t="shared" si="1023"/>
        <v>1</v>
      </c>
      <c r="CI453" s="50">
        <f t="shared" si="1024"/>
        <v>1</v>
      </c>
      <c r="CJ453" s="50">
        <f t="shared" si="1025"/>
        <v>1</v>
      </c>
      <c r="CK453" s="50">
        <f t="shared" si="1025"/>
        <v>0</v>
      </c>
      <c r="CL453" s="50">
        <f t="shared" si="1025"/>
        <v>0</v>
      </c>
      <c r="CM453" s="51">
        <f t="shared" si="1026"/>
        <v>0</v>
      </c>
      <c r="CN453" s="33">
        <f>ROUND(IF(BS453=0,0,HLOOKUP(BS$14,Villagers!$B$1:$V$33,BS453+3,FALSE)),)</f>
        <v>5</v>
      </c>
      <c r="CO453" s="14">
        <f>ROUND(IF(BT453=0,0,HLOOKUP(BT$14,Villagers!$B$1:$V$33,BT453+3,FALSE)),)</f>
        <v>0</v>
      </c>
      <c r="CP453" s="14">
        <f>ROUND(IF(BU453=0,0,HLOOKUP(BU$14,Villagers!$B$1:$V$33,BU453+3,FALSE)),)</f>
        <v>0</v>
      </c>
      <c r="CQ453" s="14">
        <f>ROUND(IF(BV453=0,0,HLOOKUP(BV$14,Villagers!$B$1:$V$33,BV453+3,FALSE)),)</f>
        <v>0</v>
      </c>
      <c r="CR453" s="14">
        <f>ROUND(IF(BW453=0,0,HLOOKUP(BW$14,Villagers!$B$1:$V$33,BW453+3,FALSE)),)</f>
        <v>0</v>
      </c>
      <c r="CS453" s="14">
        <f>ROUND(IF(BX453=0,0,HLOOKUP(BX$14,Villagers!$B$1:$V$33,BX453+3,FALSE)),)</f>
        <v>0</v>
      </c>
      <c r="CT453" s="14">
        <f>ROUND(IF(BY453=0,0,HLOOKUP(BY$14,Villagers!$B$1:$V$33,BY453+3,FALSE)),)</f>
        <v>0</v>
      </c>
      <c r="CU453" s="14">
        <f>ROUND(IF(BZ453=0,0,HLOOKUP(BZ$14,Villagers!$B$1:$V$33,BZ453+3,FALSE)),)</f>
        <v>0</v>
      </c>
      <c r="CV453" s="14">
        <f>ROUND(IF(CA453=0,0,HLOOKUP(CA$14,Villagers!$B$1:$V$33,CA453+3,FALSE)),)</f>
        <v>0</v>
      </c>
      <c r="CW453" s="14">
        <f>ROUND(IF(CB453=0,0,HLOOKUP(CB$14,Villagers!$B$1:$V$33,CB453+3,FALSE)),)</f>
        <v>0</v>
      </c>
      <c r="CX453" s="14">
        <f>ROUND(IF(CC453=0,0,HLOOKUP(CC$14,Villagers!$B$1:$V$33,CC453+3,FALSE)),)</f>
        <v>0</v>
      </c>
      <c r="CY453" s="14">
        <f>ROUND(IF(CD453=0,0,HLOOKUP(CD$14,Villagers!$B$1:$V$33,CD453+3,FALSE)),)</f>
        <v>0</v>
      </c>
      <c r="CZ453" s="14">
        <f>ROUND(IF(CE453=0,0,HLOOKUP(CE$14,Villagers!$B$1:$V$33,CE453+3,FALSE)),)</f>
        <v>5</v>
      </c>
      <c r="DA453" s="14">
        <f>ROUND(IF(CF453=0,0,HLOOKUP(CF$14,Villagers!$B$1:$V$33,CF453+3,FALSE)),)</f>
        <v>10</v>
      </c>
      <c r="DB453" s="14">
        <f>ROUND(IF(CG453=0,0,HLOOKUP(CG$14,Villagers!$B$1:$V$33,CG453+3,FALSE)),)</f>
        <v>10</v>
      </c>
      <c r="DC453" s="14">
        <f>ROUND(IF(CH453=0,0,HLOOKUP(CH$14,Villagers!$B$1:$V$33,CH453+3,FALSE)),)</f>
        <v>0</v>
      </c>
      <c r="DD453" s="14">
        <f>ROUND(IF(CI453=0,0,HLOOKUP(CI$14,Villagers!$B$1:$V$33,CI453+3,FALSE)),)</f>
        <v>0</v>
      </c>
      <c r="DE453" s="14">
        <f>ROUND(IF(CJ453=0,0,HLOOKUP(CJ$14,Villagers!$B$1:$V$33,CJ453+3,FALSE)),)</f>
        <v>2</v>
      </c>
      <c r="DF453" s="370">
        <f>ROUND(IF(CK453=0,0,HLOOKUP(CK$14,Villagers!$B$1:$V$33,CK453+3,FALSE)),)</f>
        <v>0</v>
      </c>
      <c r="DG453" s="370">
        <f>ROUND(IF(CL453=0,0,HLOOKUP(CL$14,Villagers!$B$1:$V$33,CL453+3,FALSE)),)</f>
        <v>0</v>
      </c>
      <c r="DH453" s="34">
        <f>ROUND(IF(CM453=0,0,HLOOKUP(CM$14,Villagers!$B$1:$V$33,CM453+3,FALSE)),)</f>
        <v>0</v>
      </c>
      <c r="DI453" s="109">
        <f t="shared" si="989"/>
        <v>0</v>
      </c>
      <c r="DJ453" s="50">
        <f t="shared" si="990"/>
        <v>0</v>
      </c>
      <c r="DK453" s="50">
        <f t="shared" si="991"/>
        <v>0</v>
      </c>
      <c r="DL453" s="50">
        <f t="shared" si="992"/>
        <v>0</v>
      </c>
      <c r="DM453" s="50">
        <f t="shared" si="993"/>
        <v>0</v>
      </c>
      <c r="DN453" s="50">
        <f t="shared" si="994"/>
        <v>0</v>
      </c>
      <c r="DO453" s="50">
        <f t="shared" si="995"/>
        <v>0</v>
      </c>
      <c r="DP453" s="50">
        <f t="shared" si="996"/>
        <v>0</v>
      </c>
      <c r="DQ453" s="50">
        <f t="shared" si="973"/>
        <v>0</v>
      </c>
      <c r="DR453" s="50">
        <f t="shared" si="974"/>
        <v>0</v>
      </c>
      <c r="DS453" s="96">
        <f>Miscelaneous!$D$4*Miscelaneous!$D$2^($CI453-1)</f>
        <v>1000</v>
      </c>
      <c r="DT453" s="333">
        <f t="shared" si="955"/>
        <v>1</v>
      </c>
      <c r="DU453" s="81">
        <v>1</v>
      </c>
      <c r="DV453" s="79">
        <f t="shared" si="975"/>
        <v>0</v>
      </c>
      <c r="DW453" s="79">
        <f t="shared" si="976"/>
        <v>0</v>
      </c>
      <c r="DX453" s="79">
        <f t="shared" si="977"/>
        <v>0</v>
      </c>
      <c r="DY453" s="79">
        <v>1</v>
      </c>
      <c r="DZ453" s="79">
        <f t="shared" si="978"/>
        <v>0</v>
      </c>
      <c r="EA453" s="79">
        <f t="shared" si="979"/>
        <v>0</v>
      </c>
      <c r="EB453" s="79">
        <f t="shared" si="980"/>
        <v>0</v>
      </c>
      <c r="EC453" s="79">
        <f t="shared" si="981"/>
        <v>0</v>
      </c>
      <c r="ED453" s="79">
        <v>1</v>
      </c>
      <c r="EE453" s="79">
        <v>1</v>
      </c>
      <c r="EF453" s="79">
        <f t="shared" si="982"/>
        <v>0</v>
      </c>
      <c r="EG453" s="79">
        <v>1</v>
      </c>
      <c r="EH453" s="79">
        <v>1</v>
      </c>
      <c r="EI453" s="79">
        <v>1</v>
      </c>
      <c r="EJ453" s="79">
        <v>1</v>
      </c>
      <c r="EK453" s="79">
        <v>1</v>
      </c>
      <c r="EL453" s="79">
        <v>1</v>
      </c>
      <c r="EM453" s="143">
        <f t="shared" si="983"/>
        <v>0</v>
      </c>
      <c r="EN453" s="143">
        <f t="shared" si="984"/>
        <v>0</v>
      </c>
      <c r="EO453" s="82">
        <f t="shared" si="985"/>
        <v>0</v>
      </c>
    </row>
    <row r="454" spans="1:145" x14ac:dyDescent="0.25">
      <c r="A454">
        <v>440</v>
      </c>
      <c r="B454" s="172" t="e">
        <f t="shared" si="956"/>
        <v>#N/A</v>
      </c>
      <c r="C454" s="121" t="e">
        <f t="shared" ref="C454:E454" si="1079">AJ454-SUM(AB454:AB458)</f>
        <v>#N/A</v>
      </c>
      <c r="D454" s="122" t="e">
        <f t="shared" si="1079"/>
        <v>#N/A</v>
      </c>
      <c r="E454" s="122" t="e">
        <f t="shared" si="1079"/>
        <v>#N/A</v>
      </c>
      <c r="F454" s="176" t="e">
        <f t="shared" si="937"/>
        <v>#N/A</v>
      </c>
      <c r="G454" s="121">
        <f t="shared" si="958"/>
        <v>208</v>
      </c>
      <c r="H454" s="176" t="e">
        <f t="shared" si="959"/>
        <v>#N/A</v>
      </c>
      <c r="I454" s="48">
        <v>1</v>
      </c>
      <c r="J454" s="39"/>
      <c r="K454" s="350">
        <v>1</v>
      </c>
      <c r="L454" s="34" t="e">
        <f t="shared" si="938"/>
        <v>#N/A</v>
      </c>
      <c r="M454" s="38" t="e">
        <f>(HLOOKUP(J454,'Construction Times'!$B$3:$W$34,L454+2,FALSE)*HLOOKUP("hq modifier",'Construction Times'!$W$3:$W$34,BS454+2,FALSE))*(1-$H$9)</f>
        <v>#N/A</v>
      </c>
      <c r="N454" s="426" t="e">
        <f t="shared" si="960"/>
        <v>#N/A</v>
      </c>
      <c r="O454" s="427"/>
      <c r="P454" s="430" t="e">
        <f t="shared" si="961"/>
        <v>#N/A</v>
      </c>
      <c r="Q454" s="431"/>
      <c r="R454" s="103">
        <f t="shared" si="1052"/>
        <v>0</v>
      </c>
      <c r="S454" s="104">
        <f t="shared" si="1052"/>
        <v>0</v>
      </c>
      <c r="T454" s="104">
        <f t="shared" si="1053"/>
        <v>0</v>
      </c>
      <c r="U454" s="104">
        <f t="shared" si="1053"/>
        <v>0</v>
      </c>
      <c r="V454" s="104">
        <f t="shared" si="1053"/>
        <v>9.9999999999999995E-8</v>
      </c>
      <c r="W454" s="104">
        <f t="shared" si="1053"/>
        <v>0</v>
      </c>
      <c r="X454" s="104">
        <f t="shared" si="1045"/>
        <v>0</v>
      </c>
      <c r="Y454" s="104">
        <f t="shared" si="1045"/>
        <v>9.9999999999999995E-8</v>
      </c>
      <c r="Z454" s="104">
        <f t="shared" si="1045"/>
        <v>9.9999999999999995E-8</v>
      </c>
      <c r="AA454" s="105">
        <f t="shared" si="1045"/>
        <v>9.9999999999999995E-8</v>
      </c>
      <c r="AB454" s="101" t="e">
        <f>$DT454*HLOOKUP($J454,'Construction Costs (timber)'!$B$1:$V$32,'Construction Planner'!$L454+2,FALSE)</f>
        <v>#N/A</v>
      </c>
      <c r="AC454" s="14" t="e">
        <f>$DT454*HLOOKUP($J454,'Construction Costs (clay)'!$B$1:$V$32,'Construction Planner'!$L454+2,FALSE)</f>
        <v>#N/A</v>
      </c>
      <c r="AD454" s="14" t="e">
        <f>$DT454*HLOOKUP($J454,'Construction Costs (iron)'!$B$1:$V$32,'Construction Planner'!$L454+2,FALSE)</f>
        <v>#N/A</v>
      </c>
      <c r="AE454" s="34" t="e">
        <f t="shared" si="1000"/>
        <v>#N/A</v>
      </c>
      <c r="AF454" s="33" t="e">
        <f t="shared" si="939"/>
        <v>#N/A</v>
      </c>
      <c r="AG454" s="14" t="e">
        <f t="shared" si="940"/>
        <v>#N/A</v>
      </c>
      <c r="AH454" s="14" t="e">
        <f t="shared" si="941"/>
        <v>#N/A</v>
      </c>
      <c r="AI454" s="34" t="e">
        <f t="shared" si="1001"/>
        <v>#N/A</v>
      </c>
      <c r="AJ454" s="49" t="e">
        <f t="shared" si="962"/>
        <v>#N/A</v>
      </c>
      <c r="AK454" s="49" t="e">
        <f t="shared" si="963"/>
        <v>#N/A</v>
      </c>
      <c r="AL454" s="49" t="e">
        <f t="shared" si="964"/>
        <v>#N/A</v>
      </c>
      <c r="AM454" s="25">
        <f t="shared" si="942"/>
        <v>30</v>
      </c>
      <c r="AN454" s="25">
        <f t="shared" si="943"/>
        <v>30</v>
      </c>
      <c r="AO454" s="25">
        <f t="shared" si="944"/>
        <v>30</v>
      </c>
      <c r="AP454" s="52" t="e">
        <f t="shared" si="1049"/>
        <v>#N/A</v>
      </c>
      <c r="AQ454" s="53" t="e">
        <f t="shared" si="1049"/>
        <v>#N/A</v>
      </c>
      <c r="AR454" s="54" t="e">
        <f t="shared" si="1049"/>
        <v>#N/A</v>
      </c>
      <c r="AS454" s="316">
        <f t="shared" si="1077"/>
        <v>0</v>
      </c>
      <c r="AT454" s="106">
        <f>_xlfn.IFNA($M454/VLOOKUP($BT454,'Unit information'!$A$2:$K$29,2,FALSE)*R454,0)*(1+$E$9)</f>
        <v>0</v>
      </c>
      <c r="AU454" s="107">
        <f>_xlfn.IFNA($M454/VLOOKUP($BT454,'Unit information'!$A$2:$K$29,3,FALSE)*S454,0)*(1+$E$9)</f>
        <v>0</v>
      </c>
      <c r="AV454" s="107">
        <f>_xlfn.IFNA($M454/VLOOKUP($BT454,'Unit information'!$A$2:$K$29,4,FALSE)*T454,0)*(1+$E$9)</f>
        <v>0</v>
      </c>
      <c r="AW454" s="107">
        <f>_xlfn.IFNA($M454/VLOOKUP($BT454,'Unit information'!$A$2:$K$29,5,FALSE)*U454,0)*(1+$E$9)</f>
        <v>0</v>
      </c>
      <c r="AX454" s="107">
        <f>_xlfn.IFNA($M454/VLOOKUP($BU454,'Unit information'!$A$2:$K$29,6,FALSE)*V454,0)*(1+$E$9)</f>
        <v>0</v>
      </c>
      <c r="AY454" s="107">
        <f>_xlfn.IFNA($M454/VLOOKUP($BU454,'Unit information'!$A$2:$K$29,7,FALSE)*W454,0)*(1+$E$9)</f>
        <v>0</v>
      </c>
      <c r="AZ454" s="107">
        <f>_xlfn.IFNA($M454/VLOOKUP($BU454,'Unit information'!$A$2:$K$29,8,FALSE)*X454,0)*(1+$E$9)</f>
        <v>0</v>
      </c>
      <c r="BA454" s="107">
        <f>_xlfn.IFNA($M454/VLOOKUP($BU454,'Unit information'!$A$2:$K$29,9,FALSE)*Y454,0)*(1+$E$9)</f>
        <v>0</v>
      </c>
      <c r="BB454" s="107">
        <f>_xlfn.IFNA($M454/VLOOKUP($BV454,'Unit information'!$A$2:$K$29,10,FALSE)*Z454,0)*(1+$E$9)</f>
        <v>0</v>
      </c>
      <c r="BC454" s="108">
        <f>_xlfn.IFNA($M454/VLOOKUP($BV454,'Unit information'!$A$2:$K$29,11,FALSE)*AA454,0)*(1+$E$9)</f>
        <v>0</v>
      </c>
      <c r="BD454" s="106">
        <f t="shared" si="945"/>
        <v>0</v>
      </c>
      <c r="BE454" s="107">
        <f t="shared" si="946"/>
        <v>0</v>
      </c>
      <c r="BF454" s="108">
        <f t="shared" si="947"/>
        <v>0</v>
      </c>
      <c r="BG454" s="25" t="e">
        <f t="shared" si="948"/>
        <v>#N/A</v>
      </c>
      <c r="BH454" s="25" t="e">
        <f t="shared" si="949"/>
        <v>#N/A</v>
      </c>
      <c r="BI454" s="25" t="e">
        <f t="shared" si="950"/>
        <v>#N/A</v>
      </c>
      <c r="BJ454" s="27" t="e">
        <f t="shared" si="951"/>
        <v>#N/A</v>
      </c>
      <c r="BK454" s="18" t="e">
        <f t="shared" si="952"/>
        <v>#N/A</v>
      </c>
      <c r="BL454" s="18" t="e">
        <f t="shared" si="953"/>
        <v>#N/A</v>
      </c>
      <c r="BM454" s="28" t="e">
        <f t="shared" si="1003"/>
        <v>#N/A</v>
      </c>
      <c r="BN454" s="33">
        <f>HLOOKUP("maximum population",Miscelaneous!$C$1:$C$33,CH454+3,FALSE)</f>
        <v>240</v>
      </c>
      <c r="BO454" s="14">
        <f t="shared" si="966"/>
        <v>32</v>
      </c>
      <c r="BP454" s="14">
        <f t="shared" si="967"/>
        <v>0</v>
      </c>
      <c r="BQ454" s="14">
        <f t="shared" si="968"/>
        <v>208</v>
      </c>
      <c r="BR454" s="34" t="e">
        <f>HLOOKUP(J454,Villagers!$B$1:$V$33,L454+3,FALSE)-HLOOKUP(J454,Villagers!$B$1:$V$33,L454+2,FALSE)</f>
        <v>#N/A</v>
      </c>
      <c r="BS454" s="49">
        <f t="shared" si="969"/>
        <v>1</v>
      </c>
      <c r="BT454" s="50">
        <f t="shared" si="970"/>
        <v>0</v>
      </c>
      <c r="BU454" s="50">
        <f t="shared" si="971"/>
        <v>0</v>
      </c>
      <c r="BV454" s="50">
        <f t="shared" si="972"/>
        <v>0</v>
      </c>
      <c r="BW454" s="50">
        <f t="shared" si="1072"/>
        <v>0</v>
      </c>
      <c r="BX454" s="50">
        <f t="shared" si="1072"/>
        <v>0</v>
      </c>
      <c r="BY454" s="50">
        <f t="shared" si="1072"/>
        <v>0</v>
      </c>
      <c r="BZ454" s="50">
        <f t="shared" si="1015"/>
        <v>0</v>
      </c>
      <c r="CA454" s="50">
        <f t="shared" si="1016"/>
        <v>0</v>
      </c>
      <c r="CB454" s="50">
        <f t="shared" si="1017"/>
        <v>1</v>
      </c>
      <c r="CC454" s="50">
        <f t="shared" si="1018"/>
        <v>0</v>
      </c>
      <c r="CD454" s="50">
        <f t="shared" si="1019"/>
        <v>0</v>
      </c>
      <c r="CE454" s="50">
        <f t="shared" si="1020"/>
        <v>1</v>
      </c>
      <c r="CF454" s="50">
        <f t="shared" si="1021"/>
        <v>1</v>
      </c>
      <c r="CG454" s="50">
        <f t="shared" si="1022"/>
        <v>1</v>
      </c>
      <c r="CH454" s="50">
        <f t="shared" si="1023"/>
        <v>1</v>
      </c>
      <c r="CI454" s="50">
        <f t="shared" si="1024"/>
        <v>1</v>
      </c>
      <c r="CJ454" s="50">
        <f t="shared" si="1025"/>
        <v>1</v>
      </c>
      <c r="CK454" s="50">
        <f t="shared" si="1025"/>
        <v>0</v>
      </c>
      <c r="CL454" s="50">
        <f t="shared" si="1025"/>
        <v>0</v>
      </c>
      <c r="CM454" s="51">
        <f t="shared" si="1026"/>
        <v>0</v>
      </c>
      <c r="CN454" s="33">
        <f>ROUND(IF(BS454=0,0,HLOOKUP(BS$14,Villagers!$B$1:$V$33,BS454+3,FALSE)),)</f>
        <v>5</v>
      </c>
      <c r="CO454" s="14">
        <f>ROUND(IF(BT454=0,0,HLOOKUP(BT$14,Villagers!$B$1:$V$33,BT454+3,FALSE)),)</f>
        <v>0</v>
      </c>
      <c r="CP454" s="14">
        <f>ROUND(IF(BU454=0,0,HLOOKUP(BU$14,Villagers!$B$1:$V$33,BU454+3,FALSE)),)</f>
        <v>0</v>
      </c>
      <c r="CQ454" s="14">
        <f>ROUND(IF(BV454=0,0,HLOOKUP(BV$14,Villagers!$B$1:$V$33,BV454+3,FALSE)),)</f>
        <v>0</v>
      </c>
      <c r="CR454" s="14">
        <f>ROUND(IF(BW454=0,0,HLOOKUP(BW$14,Villagers!$B$1:$V$33,BW454+3,FALSE)),)</f>
        <v>0</v>
      </c>
      <c r="CS454" s="14">
        <f>ROUND(IF(BX454=0,0,HLOOKUP(BX$14,Villagers!$B$1:$V$33,BX454+3,FALSE)),)</f>
        <v>0</v>
      </c>
      <c r="CT454" s="14">
        <f>ROUND(IF(BY454=0,0,HLOOKUP(BY$14,Villagers!$B$1:$V$33,BY454+3,FALSE)),)</f>
        <v>0</v>
      </c>
      <c r="CU454" s="14">
        <f>ROUND(IF(BZ454=0,0,HLOOKUP(BZ$14,Villagers!$B$1:$V$33,BZ454+3,FALSE)),)</f>
        <v>0</v>
      </c>
      <c r="CV454" s="14">
        <f>ROUND(IF(CA454=0,0,HLOOKUP(CA$14,Villagers!$B$1:$V$33,CA454+3,FALSE)),)</f>
        <v>0</v>
      </c>
      <c r="CW454" s="14">
        <f>ROUND(IF(CB454=0,0,HLOOKUP(CB$14,Villagers!$B$1:$V$33,CB454+3,FALSE)),)</f>
        <v>0</v>
      </c>
      <c r="CX454" s="14">
        <f>ROUND(IF(CC454=0,0,HLOOKUP(CC$14,Villagers!$B$1:$V$33,CC454+3,FALSE)),)</f>
        <v>0</v>
      </c>
      <c r="CY454" s="14">
        <f>ROUND(IF(CD454=0,0,HLOOKUP(CD$14,Villagers!$B$1:$V$33,CD454+3,FALSE)),)</f>
        <v>0</v>
      </c>
      <c r="CZ454" s="14">
        <f>ROUND(IF(CE454=0,0,HLOOKUP(CE$14,Villagers!$B$1:$V$33,CE454+3,FALSE)),)</f>
        <v>5</v>
      </c>
      <c r="DA454" s="14">
        <f>ROUND(IF(CF454=0,0,HLOOKUP(CF$14,Villagers!$B$1:$V$33,CF454+3,FALSE)),)</f>
        <v>10</v>
      </c>
      <c r="DB454" s="14">
        <f>ROUND(IF(CG454=0,0,HLOOKUP(CG$14,Villagers!$B$1:$V$33,CG454+3,FALSE)),)</f>
        <v>10</v>
      </c>
      <c r="DC454" s="14">
        <f>ROUND(IF(CH454=0,0,HLOOKUP(CH$14,Villagers!$B$1:$V$33,CH454+3,FALSE)),)</f>
        <v>0</v>
      </c>
      <c r="DD454" s="14">
        <f>ROUND(IF(CI454=0,0,HLOOKUP(CI$14,Villagers!$B$1:$V$33,CI454+3,FALSE)),)</f>
        <v>0</v>
      </c>
      <c r="DE454" s="14">
        <f>ROUND(IF(CJ454=0,0,HLOOKUP(CJ$14,Villagers!$B$1:$V$33,CJ454+3,FALSE)),)</f>
        <v>2</v>
      </c>
      <c r="DF454" s="370">
        <f>ROUND(IF(CK454=0,0,HLOOKUP(CK$14,Villagers!$B$1:$V$33,CK454+3,FALSE)),)</f>
        <v>0</v>
      </c>
      <c r="DG454" s="370">
        <f>ROUND(IF(CL454=0,0,HLOOKUP(CL$14,Villagers!$B$1:$V$33,CL454+3,FALSE)),)</f>
        <v>0</v>
      </c>
      <c r="DH454" s="34">
        <f>ROUND(IF(CM454=0,0,HLOOKUP(CM$14,Villagers!$B$1:$V$33,CM454+3,FALSE)),)</f>
        <v>0</v>
      </c>
      <c r="DI454" s="109">
        <f t="shared" si="989"/>
        <v>0</v>
      </c>
      <c r="DJ454" s="50">
        <f t="shared" si="990"/>
        <v>0</v>
      </c>
      <c r="DK454" s="50">
        <f t="shared" si="991"/>
        <v>0</v>
      </c>
      <c r="DL454" s="50">
        <f t="shared" si="992"/>
        <v>0</v>
      </c>
      <c r="DM454" s="50">
        <f t="shared" si="993"/>
        <v>0</v>
      </c>
      <c r="DN454" s="50">
        <f t="shared" si="994"/>
        <v>0</v>
      </c>
      <c r="DO454" s="50">
        <f t="shared" si="995"/>
        <v>0</v>
      </c>
      <c r="DP454" s="50">
        <f t="shared" si="996"/>
        <v>0</v>
      </c>
      <c r="DQ454" s="50">
        <f t="shared" si="973"/>
        <v>0</v>
      </c>
      <c r="DR454" s="50">
        <f t="shared" si="974"/>
        <v>0</v>
      </c>
      <c r="DS454" s="96">
        <f>Miscelaneous!$D$4*Miscelaneous!$D$2^($CI454-1)</f>
        <v>1000</v>
      </c>
      <c r="DT454" s="333">
        <f t="shared" si="955"/>
        <v>1</v>
      </c>
      <c r="DU454" s="81">
        <v>1</v>
      </c>
      <c r="DV454" s="79">
        <f t="shared" si="975"/>
        <v>0</v>
      </c>
      <c r="DW454" s="79">
        <f t="shared" si="976"/>
        <v>0</v>
      </c>
      <c r="DX454" s="79">
        <f t="shared" si="977"/>
        <v>0</v>
      </c>
      <c r="DY454" s="79">
        <v>1</v>
      </c>
      <c r="DZ454" s="79">
        <f t="shared" si="978"/>
        <v>0</v>
      </c>
      <c r="EA454" s="79">
        <f t="shared" si="979"/>
        <v>0</v>
      </c>
      <c r="EB454" s="79">
        <f t="shared" si="980"/>
        <v>0</v>
      </c>
      <c r="EC454" s="79">
        <f t="shared" si="981"/>
        <v>0</v>
      </c>
      <c r="ED454" s="79">
        <v>1</v>
      </c>
      <c r="EE454" s="79">
        <v>1</v>
      </c>
      <c r="EF454" s="79">
        <f t="shared" si="982"/>
        <v>0</v>
      </c>
      <c r="EG454" s="79">
        <v>1</v>
      </c>
      <c r="EH454" s="79">
        <v>1</v>
      </c>
      <c r="EI454" s="79">
        <v>1</v>
      </c>
      <c r="EJ454" s="79">
        <v>1</v>
      </c>
      <c r="EK454" s="79">
        <v>1</v>
      </c>
      <c r="EL454" s="79">
        <v>1</v>
      </c>
      <c r="EM454" s="143">
        <f t="shared" si="983"/>
        <v>0</v>
      </c>
      <c r="EN454" s="143">
        <f t="shared" si="984"/>
        <v>0</v>
      </c>
      <c r="EO454" s="82">
        <f t="shared" si="985"/>
        <v>0</v>
      </c>
    </row>
    <row r="455" spans="1:145" x14ac:dyDescent="0.25">
      <c r="A455">
        <v>441</v>
      </c>
      <c r="B455" s="172" t="e">
        <f t="shared" si="956"/>
        <v>#N/A</v>
      </c>
      <c r="C455" s="121" t="e">
        <f t="shared" ref="C455:E455" si="1080">AJ455-SUM(AB455:AB459)</f>
        <v>#N/A</v>
      </c>
      <c r="D455" s="122" t="e">
        <f t="shared" si="1080"/>
        <v>#N/A</v>
      </c>
      <c r="E455" s="122" t="e">
        <f t="shared" si="1080"/>
        <v>#N/A</v>
      </c>
      <c r="F455" s="176" t="e">
        <f t="shared" si="937"/>
        <v>#N/A</v>
      </c>
      <c r="G455" s="121">
        <f t="shared" si="958"/>
        <v>208</v>
      </c>
      <c r="H455" s="176" t="e">
        <f t="shared" si="959"/>
        <v>#N/A</v>
      </c>
      <c r="I455" s="48">
        <v>1</v>
      </c>
      <c r="J455" s="39"/>
      <c r="K455" s="350">
        <v>1</v>
      </c>
      <c r="L455" s="34" t="e">
        <f t="shared" si="938"/>
        <v>#N/A</v>
      </c>
      <c r="M455" s="38" t="e">
        <f>(HLOOKUP(J455,'Construction Times'!$B$3:$W$34,L455+2,FALSE)*HLOOKUP("hq modifier",'Construction Times'!$W$3:$W$34,BS455+2,FALSE))*(1-$H$9)</f>
        <v>#N/A</v>
      </c>
      <c r="N455" s="426" t="e">
        <f t="shared" si="960"/>
        <v>#N/A</v>
      </c>
      <c r="O455" s="427"/>
      <c r="P455" s="430" t="e">
        <f t="shared" si="961"/>
        <v>#N/A</v>
      </c>
      <c r="Q455" s="431"/>
      <c r="R455" s="103">
        <f t="shared" si="1052"/>
        <v>0</v>
      </c>
      <c r="S455" s="104">
        <f t="shared" si="1052"/>
        <v>0</v>
      </c>
      <c r="T455" s="104">
        <f t="shared" si="1053"/>
        <v>0</v>
      </c>
      <c r="U455" s="104">
        <f t="shared" si="1053"/>
        <v>0</v>
      </c>
      <c r="V455" s="104">
        <f t="shared" si="1053"/>
        <v>9.9999999999999995E-8</v>
      </c>
      <c r="W455" s="104">
        <f t="shared" si="1053"/>
        <v>0</v>
      </c>
      <c r="X455" s="104">
        <f t="shared" si="1045"/>
        <v>0</v>
      </c>
      <c r="Y455" s="104">
        <f t="shared" si="1045"/>
        <v>9.9999999999999995E-8</v>
      </c>
      <c r="Z455" s="104">
        <f t="shared" si="1045"/>
        <v>9.9999999999999995E-8</v>
      </c>
      <c r="AA455" s="105">
        <f t="shared" si="1045"/>
        <v>9.9999999999999995E-8</v>
      </c>
      <c r="AB455" s="101" t="e">
        <f>$DT455*HLOOKUP($J455,'Construction Costs (timber)'!$B$1:$V$32,'Construction Planner'!$L455+2,FALSE)</f>
        <v>#N/A</v>
      </c>
      <c r="AC455" s="14" t="e">
        <f>$DT455*HLOOKUP($J455,'Construction Costs (clay)'!$B$1:$V$32,'Construction Planner'!$L455+2,FALSE)</f>
        <v>#N/A</v>
      </c>
      <c r="AD455" s="14" t="e">
        <f>$DT455*HLOOKUP($J455,'Construction Costs (iron)'!$B$1:$V$32,'Construction Planner'!$L455+2,FALSE)</f>
        <v>#N/A</v>
      </c>
      <c r="AE455" s="34" t="e">
        <f t="shared" si="1000"/>
        <v>#N/A</v>
      </c>
      <c r="AF455" s="33" t="e">
        <f t="shared" si="939"/>
        <v>#N/A</v>
      </c>
      <c r="AG455" s="14" t="e">
        <f t="shared" si="940"/>
        <v>#N/A</v>
      </c>
      <c r="AH455" s="14" t="e">
        <f t="shared" si="941"/>
        <v>#N/A</v>
      </c>
      <c r="AI455" s="34" t="e">
        <f t="shared" si="1001"/>
        <v>#N/A</v>
      </c>
      <c r="AJ455" s="49" t="e">
        <f t="shared" si="962"/>
        <v>#N/A</v>
      </c>
      <c r="AK455" s="49" t="e">
        <f t="shared" si="963"/>
        <v>#N/A</v>
      </c>
      <c r="AL455" s="49" t="e">
        <f t="shared" si="964"/>
        <v>#N/A</v>
      </c>
      <c r="AM455" s="25">
        <f t="shared" si="942"/>
        <v>30</v>
      </c>
      <c r="AN455" s="25">
        <f t="shared" si="943"/>
        <v>30</v>
      </c>
      <c r="AO455" s="25">
        <f t="shared" si="944"/>
        <v>30</v>
      </c>
      <c r="AP455" s="52" t="e">
        <f t="shared" si="1049"/>
        <v>#N/A</v>
      </c>
      <c r="AQ455" s="53" t="e">
        <f t="shared" si="1049"/>
        <v>#N/A</v>
      </c>
      <c r="AR455" s="54" t="e">
        <f t="shared" si="1049"/>
        <v>#N/A</v>
      </c>
      <c r="AS455" s="316">
        <f t="shared" si="1077"/>
        <v>0</v>
      </c>
      <c r="AT455" s="106">
        <f>_xlfn.IFNA($M455/VLOOKUP($BT455,'Unit information'!$A$2:$K$29,2,FALSE)*R455,0)*(1+$E$9)</f>
        <v>0</v>
      </c>
      <c r="AU455" s="107">
        <f>_xlfn.IFNA($M455/VLOOKUP($BT455,'Unit information'!$A$2:$K$29,3,FALSE)*S455,0)*(1+$E$9)</f>
        <v>0</v>
      </c>
      <c r="AV455" s="107">
        <f>_xlfn.IFNA($M455/VLOOKUP($BT455,'Unit information'!$A$2:$K$29,4,FALSE)*T455,0)*(1+$E$9)</f>
        <v>0</v>
      </c>
      <c r="AW455" s="107">
        <f>_xlfn.IFNA($M455/VLOOKUP($BT455,'Unit information'!$A$2:$K$29,5,FALSE)*U455,0)*(1+$E$9)</f>
        <v>0</v>
      </c>
      <c r="AX455" s="107">
        <f>_xlfn.IFNA($M455/VLOOKUP($BU455,'Unit information'!$A$2:$K$29,6,FALSE)*V455,0)*(1+$E$9)</f>
        <v>0</v>
      </c>
      <c r="AY455" s="107">
        <f>_xlfn.IFNA($M455/VLOOKUP($BU455,'Unit information'!$A$2:$K$29,7,FALSE)*W455,0)*(1+$E$9)</f>
        <v>0</v>
      </c>
      <c r="AZ455" s="107">
        <f>_xlfn.IFNA($M455/VLOOKUP($BU455,'Unit information'!$A$2:$K$29,8,FALSE)*X455,0)*(1+$E$9)</f>
        <v>0</v>
      </c>
      <c r="BA455" s="107">
        <f>_xlfn.IFNA($M455/VLOOKUP($BU455,'Unit information'!$A$2:$K$29,9,FALSE)*Y455,0)*(1+$E$9)</f>
        <v>0</v>
      </c>
      <c r="BB455" s="107">
        <f>_xlfn.IFNA($M455/VLOOKUP($BV455,'Unit information'!$A$2:$K$29,10,FALSE)*Z455,0)*(1+$E$9)</f>
        <v>0</v>
      </c>
      <c r="BC455" s="108">
        <f>_xlfn.IFNA($M455/VLOOKUP($BV455,'Unit information'!$A$2:$K$29,11,FALSE)*AA455,0)*(1+$E$9)</f>
        <v>0</v>
      </c>
      <c r="BD455" s="106">
        <f t="shared" si="945"/>
        <v>0</v>
      </c>
      <c r="BE455" s="107">
        <f t="shared" si="946"/>
        <v>0</v>
      </c>
      <c r="BF455" s="108">
        <f t="shared" si="947"/>
        <v>0</v>
      </c>
      <c r="BG455" s="25" t="e">
        <f t="shared" si="948"/>
        <v>#N/A</v>
      </c>
      <c r="BH455" s="25" t="e">
        <f t="shared" si="949"/>
        <v>#N/A</v>
      </c>
      <c r="BI455" s="25" t="e">
        <f t="shared" si="950"/>
        <v>#N/A</v>
      </c>
      <c r="BJ455" s="27" t="e">
        <f t="shared" si="951"/>
        <v>#N/A</v>
      </c>
      <c r="BK455" s="18" t="e">
        <f t="shared" si="952"/>
        <v>#N/A</v>
      </c>
      <c r="BL455" s="18" t="e">
        <f t="shared" si="953"/>
        <v>#N/A</v>
      </c>
      <c r="BM455" s="28" t="e">
        <f t="shared" si="1003"/>
        <v>#N/A</v>
      </c>
      <c r="BN455" s="33">
        <f>HLOOKUP("maximum population",Miscelaneous!$C$1:$C$33,CH455+3,FALSE)</f>
        <v>240</v>
      </c>
      <c r="BO455" s="14">
        <f t="shared" si="966"/>
        <v>32</v>
      </c>
      <c r="BP455" s="14">
        <f t="shared" si="967"/>
        <v>0</v>
      </c>
      <c r="BQ455" s="14">
        <f t="shared" si="968"/>
        <v>208</v>
      </c>
      <c r="BR455" s="34" t="e">
        <f>HLOOKUP(J455,Villagers!$B$1:$V$33,L455+3,FALSE)-HLOOKUP(J455,Villagers!$B$1:$V$33,L455+2,FALSE)</f>
        <v>#N/A</v>
      </c>
      <c r="BS455" s="49">
        <f t="shared" si="969"/>
        <v>1</v>
      </c>
      <c r="BT455" s="50">
        <f t="shared" si="970"/>
        <v>0</v>
      </c>
      <c r="BU455" s="50">
        <f t="shared" si="971"/>
        <v>0</v>
      </c>
      <c r="BV455" s="50">
        <f t="shared" si="972"/>
        <v>0</v>
      </c>
      <c r="BW455" s="50">
        <f>IF($J454=BW$14,$L454,BW454)</f>
        <v>0</v>
      </c>
      <c r="BX455" s="50">
        <f t="shared" ref="BX455:BY463" si="1081">IF($J454=BX$14,$L454,BX454)</f>
        <v>0</v>
      </c>
      <c r="BY455" s="50">
        <f t="shared" si="1081"/>
        <v>0</v>
      </c>
      <c r="BZ455" s="50">
        <f t="shared" si="1015"/>
        <v>0</v>
      </c>
      <c r="CA455" s="50">
        <f t="shared" si="1016"/>
        <v>0</v>
      </c>
      <c r="CB455" s="50">
        <f t="shared" si="1017"/>
        <v>1</v>
      </c>
      <c r="CC455" s="50">
        <f t="shared" si="1018"/>
        <v>0</v>
      </c>
      <c r="CD455" s="50">
        <f t="shared" si="1019"/>
        <v>0</v>
      </c>
      <c r="CE455" s="50">
        <f t="shared" si="1020"/>
        <v>1</v>
      </c>
      <c r="CF455" s="50">
        <f t="shared" si="1021"/>
        <v>1</v>
      </c>
      <c r="CG455" s="50">
        <f t="shared" si="1022"/>
        <v>1</v>
      </c>
      <c r="CH455" s="50">
        <f t="shared" si="1023"/>
        <v>1</v>
      </c>
      <c r="CI455" s="50">
        <f t="shared" si="1024"/>
        <v>1</v>
      </c>
      <c r="CJ455" s="50">
        <f t="shared" si="1025"/>
        <v>1</v>
      </c>
      <c r="CK455" s="50">
        <f t="shared" si="1025"/>
        <v>0</v>
      </c>
      <c r="CL455" s="50">
        <f t="shared" si="1025"/>
        <v>0</v>
      </c>
      <c r="CM455" s="51">
        <f t="shared" si="1026"/>
        <v>0</v>
      </c>
      <c r="CN455" s="33">
        <f>ROUND(IF(BS455=0,0,HLOOKUP(BS$14,Villagers!$B$1:$V$33,BS455+3,FALSE)),)</f>
        <v>5</v>
      </c>
      <c r="CO455" s="14">
        <f>ROUND(IF(BT455=0,0,HLOOKUP(BT$14,Villagers!$B$1:$V$33,BT455+3,FALSE)),)</f>
        <v>0</v>
      </c>
      <c r="CP455" s="14">
        <f>ROUND(IF(BU455=0,0,HLOOKUP(BU$14,Villagers!$B$1:$V$33,BU455+3,FALSE)),)</f>
        <v>0</v>
      </c>
      <c r="CQ455" s="14">
        <f>ROUND(IF(BV455=0,0,HLOOKUP(BV$14,Villagers!$B$1:$V$33,BV455+3,FALSE)),)</f>
        <v>0</v>
      </c>
      <c r="CR455" s="14">
        <f>ROUND(IF(BW455=0,0,HLOOKUP(BW$14,Villagers!$B$1:$V$33,BW455+3,FALSE)),)</f>
        <v>0</v>
      </c>
      <c r="CS455" s="14">
        <f>ROUND(IF(BX455=0,0,HLOOKUP(BX$14,Villagers!$B$1:$V$33,BX455+3,FALSE)),)</f>
        <v>0</v>
      </c>
      <c r="CT455" s="14">
        <f>ROUND(IF(BY455=0,0,HLOOKUP(BY$14,Villagers!$B$1:$V$33,BY455+3,FALSE)),)</f>
        <v>0</v>
      </c>
      <c r="CU455" s="14">
        <f>ROUND(IF(BZ455=0,0,HLOOKUP(BZ$14,Villagers!$B$1:$V$33,BZ455+3,FALSE)),)</f>
        <v>0</v>
      </c>
      <c r="CV455" s="14">
        <f>ROUND(IF(CA455=0,0,HLOOKUP(CA$14,Villagers!$B$1:$V$33,CA455+3,FALSE)),)</f>
        <v>0</v>
      </c>
      <c r="CW455" s="14">
        <f>ROUND(IF(CB455=0,0,HLOOKUP(CB$14,Villagers!$B$1:$V$33,CB455+3,FALSE)),)</f>
        <v>0</v>
      </c>
      <c r="CX455" s="14">
        <f>ROUND(IF(CC455=0,0,HLOOKUP(CC$14,Villagers!$B$1:$V$33,CC455+3,FALSE)),)</f>
        <v>0</v>
      </c>
      <c r="CY455" s="14">
        <f>ROUND(IF(CD455=0,0,HLOOKUP(CD$14,Villagers!$B$1:$V$33,CD455+3,FALSE)),)</f>
        <v>0</v>
      </c>
      <c r="CZ455" s="14">
        <f>ROUND(IF(CE455=0,0,HLOOKUP(CE$14,Villagers!$B$1:$V$33,CE455+3,FALSE)),)</f>
        <v>5</v>
      </c>
      <c r="DA455" s="14">
        <f>ROUND(IF(CF455=0,0,HLOOKUP(CF$14,Villagers!$B$1:$V$33,CF455+3,FALSE)),)</f>
        <v>10</v>
      </c>
      <c r="DB455" s="14">
        <f>ROUND(IF(CG455=0,0,HLOOKUP(CG$14,Villagers!$B$1:$V$33,CG455+3,FALSE)),)</f>
        <v>10</v>
      </c>
      <c r="DC455" s="14">
        <f>ROUND(IF(CH455=0,0,HLOOKUP(CH$14,Villagers!$B$1:$V$33,CH455+3,FALSE)),)</f>
        <v>0</v>
      </c>
      <c r="DD455" s="14">
        <f>ROUND(IF(CI455=0,0,HLOOKUP(CI$14,Villagers!$B$1:$V$33,CI455+3,FALSE)),)</f>
        <v>0</v>
      </c>
      <c r="DE455" s="14">
        <f>ROUND(IF(CJ455=0,0,HLOOKUP(CJ$14,Villagers!$B$1:$V$33,CJ455+3,FALSE)),)</f>
        <v>2</v>
      </c>
      <c r="DF455" s="370">
        <f>ROUND(IF(CK455=0,0,HLOOKUP(CK$14,Villagers!$B$1:$V$33,CK455+3,FALSE)),)</f>
        <v>0</v>
      </c>
      <c r="DG455" s="370">
        <f>ROUND(IF(CL455=0,0,HLOOKUP(CL$14,Villagers!$B$1:$V$33,CL455+3,FALSE)),)</f>
        <v>0</v>
      </c>
      <c r="DH455" s="34">
        <f>ROUND(IF(CM455=0,0,HLOOKUP(CM$14,Villagers!$B$1:$V$33,CM455+3,FALSE)),)</f>
        <v>0</v>
      </c>
      <c r="DI455" s="109">
        <f t="shared" si="989"/>
        <v>0</v>
      </c>
      <c r="DJ455" s="50">
        <f t="shared" si="990"/>
        <v>0</v>
      </c>
      <c r="DK455" s="50">
        <f t="shared" si="991"/>
        <v>0</v>
      </c>
      <c r="DL455" s="50">
        <f t="shared" si="992"/>
        <v>0</v>
      </c>
      <c r="DM455" s="50">
        <f t="shared" si="993"/>
        <v>0</v>
      </c>
      <c r="DN455" s="50">
        <f t="shared" si="994"/>
        <v>0</v>
      </c>
      <c r="DO455" s="50">
        <f t="shared" si="995"/>
        <v>0</v>
      </c>
      <c r="DP455" s="50">
        <f t="shared" si="996"/>
        <v>0</v>
      </c>
      <c r="DQ455" s="50">
        <f t="shared" si="973"/>
        <v>0</v>
      </c>
      <c r="DR455" s="50">
        <f t="shared" si="974"/>
        <v>0</v>
      </c>
      <c r="DS455" s="96">
        <f>Miscelaneous!$D$4*Miscelaneous!$D$2^($CI455-1)</f>
        <v>1000</v>
      </c>
      <c r="DT455" s="333">
        <f t="shared" si="955"/>
        <v>1</v>
      </c>
      <c r="DU455" s="81">
        <v>1</v>
      </c>
      <c r="DV455" s="79">
        <f t="shared" si="975"/>
        <v>0</v>
      </c>
      <c r="DW455" s="79">
        <f t="shared" si="976"/>
        <v>0</v>
      </c>
      <c r="DX455" s="79">
        <f t="shared" si="977"/>
        <v>0</v>
      </c>
      <c r="DY455" s="79">
        <v>1</v>
      </c>
      <c r="DZ455" s="79">
        <f t="shared" si="978"/>
        <v>0</v>
      </c>
      <c r="EA455" s="79">
        <f t="shared" si="979"/>
        <v>0</v>
      </c>
      <c r="EB455" s="79">
        <f t="shared" si="980"/>
        <v>0</v>
      </c>
      <c r="EC455" s="79">
        <f t="shared" si="981"/>
        <v>0</v>
      </c>
      <c r="ED455" s="79">
        <v>1</v>
      </c>
      <c r="EE455" s="79">
        <v>1</v>
      </c>
      <c r="EF455" s="79">
        <f t="shared" si="982"/>
        <v>0</v>
      </c>
      <c r="EG455" s="79">
        <v>1</v>
      </c>
      <c r="EH455" s="79">
        <v>1</v>
      </c>
      <c r="EI455" s="79">
        <v>1</v>
      </c>
      <c r="EJ455" s="79">
        <v>1</v>
      </c>
      <c r="EK455" s="79">
        <v>1</v>
      </c>
      <c r="EL455" s="79">
        <v>1</v>
      </c>
      <c r="EM455" s="143">
        <f t="shared" si="983"/>
        <v>0</v>
      </c>
      <c r="EN455" s="143">
        <f t="shared" si="984"/>
        <v>0</v>
      </c>
      <c r="EO455" s="82">
        <f t="shared" si="985"/>
        <v>0</v>
      </c>
    </row>
    <row r="456" spans="1:145" x14ac:dyDescent="0.25">
      <c r="A456">
        <v>442</v>
      </c>
      <c r="B456" s="172" t="e">
        <f t="shared" si="956"/>
        <v>#N/A</v>
      </c>
      <c r="C456" s="121" t="e">
        <f t="shared" ref="C456:E456" si="1082">AJ456-SUM(AB456:AB460)</f>
        <v>#N/A</v>
      </c>
      <c r="D456" s="122" t="e">
        <f t="shared" si="1082"/>
        <v>#N/A</v>
      </c>
      <c r="E456" s="122" t="e">
        <f t="shared" si="1082"/>
        <v>#N/A</v>
      </c>
      <c r="F456" s="176" t="e">
        <f t="shared" si="937"/>
        <v>#N/A</v>
      </c>
      <c r="G456" s="121">
        <f t="shared" si="958"/>
        <v>208</v>
      </c>
      <c r="H456" s="176" t="e">
        <f t="shared" si="959"/>
        <v>#N/A</v>
      </c>
      <c r="I456" s="48">
        <v>1</v>
      </c>
      <c r="J456" s="39"/>
      <c r="K456" s="350">
        <v>1</v>
      </c>
      <c r="L456" s="34" t="e">
        <f t="shared" si="938"/>
        <v>#N/A</v>
      </c>
      <c r="M456" s="38" t="e">
        <f>(HLOOKUP(J456,'Construction Times'!$B$3:$W$34,L456+2,FALSE)*HLOOKUP("hq modifier",'Construction Times'!$W$3:$W$34,BS456+2,FALSE))*(1-$H$9)</f>
        <v>#N/A</v>
      </c>
      <c r="N456" s="426" t="e">
        <f t="shared" si="960"/>
        <v>#N/A</v>
      </c>
      <c r="O456" s="427"/>
      <c r="P456" s="430" t="e">
        <f t="shared" si="961"/>
        <v>#N/A</v>
      </c>
      <c r="Q456" s="431"/>
      <c r="R456" s="103">
        <f t="shared" si="1052"/>
        <v>0</v>
      </c>
      <c r="S456" s="104">
        <f t="shared" si="1052"/>
        <v>0</v>
      </c>
      <c r="T456" s="104">
        <f t="shared" si="1053"/>
        <v>0</v>
      </c>
      <c r="U456" s="104">
        <f t="shared" si="1053"/>
        <v>0</v>
      </c>
      <c r="V456" s="104">
        <f t="shared" si="1053"/>
        <v>9.9999999999999995E-8</v>
      </c>
      <c r="W456" s="104">
        <f t="shared" si="1053"/>
        <v>0</v>
      </c>
      <c r="X456" s="104">
        <f t="shared" si="1045"/>
        <v>0</v>
      </c>
      <c r="Y456" s="104">
        <f t="shared" si="1045"/>
        <v>9.9999999999999995E-8</v>
      </c>
      <c r="Z456" s="104">
        <f t="shared" si="1045"/>
        <v>9.9999999999999995E-8</v>
      </c>
      <c r="AA456" s="105">
        <f t="shared" si="1045"/>
        <v>9.9999999999999995E-8</v>
      </c>
      <c r="AB456" s="101" t="e">
        <f>$DT456*HLOOKUP($J456,'Construction Costs (timber)'!$B$1:$V$32,'Construction Planner'!$L456+2,FALSE)</f>
        <v>#N/A</v>
      </c>
      <c r="AC456" s="14" t="e">
        <f>$DT456*HLOOKUP($J456,'Construction Costs (clay)'!$B$1:$V$32,'Construction Planner'!$L456+2,FALSE)</f>
        <v>#N/A</v>
      </c>
      <c r="AD456" s="14" t="e">
        <f>$DT456*HLOOKUP($J456,'Construction Costs (iron)'!$B$1:$V$32,'Construction Planner'!$L456+2,FALSE)</f>
        <v>#N/A</v>
      </c>
      <c r="AE456" s="34" t="e">
        <f t="shared" si="1000"/>
        <v>#N/A</v>
      </c>
      <c r="AF456" s="33" t="e">
        <f t="shared" si="939"/>
        <v>#N/A</v>
      </c>
      <c r="AG456" s="14" t="e">
        <f t="shared" si="940"/>
        <v>#N/A</v>
      </c>
      <c r="AH456" s="14" t="e">
        <f t="shared" si="941"/>
        <v>#N/A</v>
      </c>
      <c r="AI456" s="34" t="e">
        <f t="shared" si="1001"/>
        <v>#N/A</v>
      </c>
      <c r="AJ456" s="49" t="e">
        <f t="shared" si="962"/>
        <v>#N/A</v>
      </c>
      <c r="AK456" s="49" t="e">
        <f t="shared" si="963"/>
        <v>#N/A</v>
      </c>
      <c r="AL456" s="49" t="e">
        <f t="shared" si="964"/>
        <v>#N/A</v>
      </c>
      <c r="AM456" s="25">
        <f t="shared" si="942"/>
        <v>30</v>
      </c>
      <c r="AN456" s="25">
        <f t="shared" si="943"/>
        <v>30</v>
      </c>
      <c r="AO456" s="25">
        <f t="shared" si="944"/>
        <v>30</v>
      </c>
      <c r="AP456" s="52" t="e">
        <f t="shared" si="1049"/>
        <v>#N/A</v>
      </c>
      <c r="AQ456" s="53" t="e">
        <f t="shared" si="1049"/>
        <v>#N/A</v>
      </c>
      <c r="AR456" s="54" t="e">
        <f t="shared" si="1049"/>
        <v>#N/A</v>
      </c>
      <c r="AS456" s="316">
        <f t="shared" si="1077"/>
        <v>0</v>
      </c>
      <c r="AT456" s="106">
        <f>_xlfn.IFNA($M456/VLOOKUP($BT456,'Unit information'!$A$2:$K$29,2,FALSE)*R456,0)*(1+$E$9)</f>
        <v>0</v>
      </c>
      <c r="AU456" s="107">
        <f>_xlfn.IFNA($M456/VLOOKUP($BT456,'Unit information'!$A$2:$K$29,3,FALSE)*S456,0)*(1+$E$9)</f>
        <v>0</v>
      </c>
      <c r="AV456" s="107">
        <f>_xlfn.IFNA($M456/VLOOKUP($BT456,'Unit information'!$A$2:$K$29,4,FALSE)*T456,0)*(1+$E$9)</f>
        <v>0</v>
      </c>
      <c r="AW456" s="107">
        <f>_xlfn.IFNA($M456/VLOOKUP($BT456,'Unit information'!$A$2:$K$29,5,FALSE)*U456,0)*(1+$E$9)</f>
        <v>0</v>
      </c>
      <c r="AX456" s="107">
        <f>_xlfn.IFNA($M456/VLOOKUP($BU456,'Unit information'!$A$2:$K$29,6,FALSE)*V456,0)*(1+$E$9)</f>
        <v>0</v>
      </c>
      <c r="AY456" s="107">
        <f>_xlfn.IFNA($M456/VLOOKUP($BU456,'Unit information'!$A$2:$K$29,7,FALSE)*W456,0)*(1+$E$9)</f>
        <v>0</v>
      </c>
      <c r="AZ456" s="107">
        <f>_xlfn.IFNA($M456/VLOOKUP($BU456,'Unit information'!$A$2:$K$29,8,FALSE)*X456,0)*(1+$E$9)</f>
        <v>0</v>
      </c>
      <c r="BA456" s="107">
        <f>_xlfn.IFNA($M456/VLOOKUP($BU456,'Unit information'!$A$2:$K$29,9,FALSE)*Y456,0)*(1+$E$9)</f>
        <v>0</v>
      </c>
      <c r="BB456" s="107">
        <f>_xlfn.IFNA($M456/VLOOKUP($BV456,'Unit information'!$A$2:$K$29,10,FALSE)*Z456,0)*(1+$E$9)</f>
        <v>0</v>
      </c>
      <c r="BC456" s="108">
        <f>_xlfn.IFNA($M456/VLOOKUP($BV456,'Unit information'!$A$2:$K$29,11,FALSE)*AA456,0)*(1+$E$9)</f>
        <v>0</v>
      </c>
      <c r="BD456" s="106">
        <f t="shared" si="945"/>
        <v>0</v>
      </c>
      <c r="BE456" s="107">
        <f t="shared" si="946"/>
        <v>0</v>
      </c>
      <c r="BF456" s="108">
        <f t="shared" si="947"/>
        <v>0</v>
      </c>
      <c r="BG456" s="25" t="e">
        <f t="shared" si="948"/>
        <v>#N/A</v>
      </c>
      <c r="BH456" s="25" t="e">
        <f t="shared" si="949"/>
        <v>#N/A</v>
      </c>
      <c r="BI456" s="25" t="e">
        <f t="shared" si="950"/>
        <v>#N/A</v>
      </c>
      <c r="BJ456" s="27" t="e">
        <f t="shared" si="951"/>
        <v>#N/A</v>
      </c>
      <c r="BK456" s="18" t="e">
        <f t="shared" si="952"/>
        <v>#N/A</v>
      </c>
      <c r="BL456" s="18" t="e">
        <f t="shared" si="953"/>
        <v>#N/A</v>
      </c>
      <c r="BM456" s="28" t="e">
        <f t="shared" si="1003"/>
        <v>#N/A</v>
      </c>
      <c r="BN456" s="33">
        <f>HLOOKUP("maximum population",Miscelaneous!$C$1:$C$33,CH456+3,FALSE)</f>
        <v>240</v>
      </c>
      <c r="BO456" s="14">
        <f t="shared" si="966"/>
        <v>32</v>
      </c>
      <c r="BP456" s="14">
        <f t="shared" si="967"/>
        <v>0</v>
      </c>
      <c r="BQ456" s="14">
        <f t="shared" si="968"/>
        <v>208</v>
      </c>
      <c r="BR456" s="34" t="e">
        <f>HLOOKUP(J456,Villagers!$B$1:$V$33,L456+3,FALSE)-HLOOKUP(J456,Villagers!$B$1:$V$33,L456+2,FALSE)</f>
        <v>#N/A</v>
      </c>
      <c r="BS456" s="49">
        <f t="shared" si="969"/>
        <v>1</v>
      </c>
      <c r="BT456" s="50">
        <f t="shared" si="970"/>
        <v>0</v>
      </c>
      <c r="BU456" s="50">
        <f t="shared" si="971"/>
        <v>0</v>
      </c>
      <c r="BV456" s="50">
        <f t="shared" si="972"/>
        <v>0</v>
      </c>
      <c r="BW456" s="50">
        <f t="shared" ref="BW456:BW463" si="1083">IF($J455=BW$14,$L455,BW455)</f>
        <v>0</v>
      </c>
      <c r="BX456" s="50">
        <f t="shared" si="1081"/>
        <v>0</v>
      </c>
      <c r="BY456" s="50">
        <f t="shared" si="1081"/>
        <v>0</v>
      </c>
      <c r="BZ456" s="50">
        <f t="shared" si="1015"/>
        <v>0</v>
      </c>
      <c r="CA456" s="50">
        <f t="shared" si="1016"/>
        <v>0</v>
      </c>
      <c r="CB456" s="50">
        <f t="shared" si="1017"/>
        <v>1</v>
      </c>
      <c r="CC456" s="50">
        <f t="shared" si="1018"/>
        <v>0</v>
      </c>
      <c r="CD456" s="50">
        <f t="shared" si="1019"/>
        <v>0</v>
      </c>
      <c r="CE456" s="50">
        <f t="shared" si="1020"/>
        <v>1</v>
      </c>
      <c r="CF456" s="50">
        <f t="shared" si="1021"/>
        <v>1</v>
      </c>
      <c r="CG456" s="50">
        <f t="shared" si="1022"/>
        <v>1</v>
      </c>
      <c r="CH456" s="50">
        <f t="shared" si="1023"/>
        <v>1</v>
      </c>
      <c r="CI456" s="50">
        <f t="shared" si="1024"/>
        <v>1</v>
      </c>
      <c r="CJ456" s="50">
        <f t="shared" si="1025"/>
        <v>1</v>
      </c>
      <c r="CK456" s="50">
        <f t="shared" si="1025"/>
        <v>0</v>
      </c>
      <c r="CL456" s="50">
        <f t="shared" si="1025"/>
        <v>0</v>
      </c>
      <c r="CM456" s="51">
        <f t="shared" si="1026"/>
        <v>0</v>
      </c>
      <c r="CN456" s="33">
        <f>ROUND(IF(BS456=0,0,HLOOKUP(BS$14,Villagers!$B$1:$V$33,BS456+3,FALSE)),)</f>
        <v>5</v>
      </c>
      <c r="CO456" s="14">
        <f>ROUND(IF(BT456=0,0,HLOOKUP(BT$14,Villagers!$B$1:$V$33,BT456+3,FALSE)),)</f>
        <v>0</v>
      </c>
      <c r="CP456" s="14">
        <f>ROUND(IF(BU456=0,0,HLOOKUP(BU$14,Villagers!$B$1:$V$33,BU456+3,FALSE)),)</f>
        <v>0</v>
      </c>
      <c r="CQ456" s="14">
        <f>ROUND(IF(BV456=0,0,HLOOKUP(BV$14,Villagers!$B$1:$V$33,BV456+3,FALSE)),)</f>
        <v>0</v>
      </c>
      <c r="CR456" s="14">
        <f>ROUND(IF(BW456=0,0,HLOOKUP(BW$14,Villagers!$B$1:$V$33,BW456+3,FALSE)),)</f>
        <v>0</v>
      </c>
      <c r="CS456" s="14">
        <f>ROUND(IF(BX456=0,0,HLOOKUP(BX$14,Villagers!$B$1:$V$33,BX456+3,FALSE)),)</f>
        <v>0</v>
      </c>
      <c r="CT456" s="14">
        <f>ROUND(IF(BY456=0,0,HLOOKUP(BY$14,Villagers!$B$1:$V$33,BY456+3,FALSE)),)</f>
        <v>0</v>
      </c>
      <c r="CU456" s="14">
        <f>ROUND(IF(BZ456=0,0,HLOOKUP(BZ$14,Villagers!$B$1:$V$33,BZ456+3,FALSE)),)</f>
        <v>0</v>
      </c>
      <c r="CV456" s="14">
        <f>ROUND(IF(CA456=0,0,HLOOKUP(CA$14,Villagers!$B$1:$V$33,CA456+3,FALSE)),)</f>
        <v>0</v>
      </c>
      <c r="CW456" s="14">
        <f>ROUND(IF(CB456=0,0,HLOOKUP(CB$14,Villagers!$B$1:$V$33,CB456+3,FALSE)),)</f>
        <v>0</v>
      </c>
      <c r="CX456" s="14">
        <f>ROUND(IF(CC456=0,0,HLOOKUP(CC$14,Villagers!$B$1:$V$33,CC456+3,FALSE)),)</f>
        <v>0</v>
      </c>
      <c r="CY456" s="14">
        <f>ROUND(IF(CD456=0,0,HLOOKUP(CD$14,Villagers!$B$1:$V$33,CD456+3,FALSE)),)</f>
        <v>0</v>
      </c>
      <c r="CZ456" s="14">
        <f>ROUND(IF(CE456=0,0,HLOOKUP(CE$14,Villagers!$B$1:$V$33,CE456+3,FALSE)),)</f>
        <v>5</v>
      </c>
      <c r="DA456" s="14">
        <f>ROUND(IF(CF456=0,0,HLOOKUP(CF$14,Villagers!$B$1:$V$33,CF456+3,FALSE)),)</f>
        <v>10</v>
      </c>
      <c r="DB456" s="14">
        <f>ROUND(IF(CG456=0,0,HLOOKUP(CG$14,Villagers!$B$1:$V$33,CG456+3,FALSE)),)</f>
        <v>10</v>
      </c>
      <c r="DC456" s="14">
        <f>ROUND(IF(CH456=0,0,HLOOKUP(CH$14,Villagers!$B$1:$V$33,CH456+3,FALSE)),)</f>
        <v>0</v>
      </c>
      <c r="DD456" s="14">
        <f>ROUND(IF(CI456=0,0,HLOOKUP(CI$14,Villagers!$B$1:$V$33,CI456+3,FALSE)),)</f>
        <v>0</v>
      </c>
      <c r="DE456" s="14">
        <f>ROUND(IF(CJ456=0,0,HLOOKUP(CJ$14,Villagers!$B$1:$V$33,CJ456+3,FALSE)),)</f>
        <v>2</v>
      </c>
      <c r="DF456" s="370">
        <f>ROUND(IF(CK456=0,0,HLOOKUP(CK$14,Villagers!$B$1:$V$33,CK456+3,FALSE)),)</f>
        <v>0</v>
      </c>
      <c r="DG456" s="370">
        <f>ROUND(IF(CL456=0,0,HLOOKUP(CL$14,Villagers!$B$1:$V$33,CL456+3,FALSE)),)</f>
        <v>0</v>
      </c>
      <c r="DH456" s="34">
        <f>ROUND(IF(CM456=0,0,HLOOKUP(CM$14,Villagers!$B$1:$V$33,CM456+3,FALSE)),)</f>
        <v>0</v>
      </c>
      <c r="DI456" s="109">
        <f t="shared" si="989"/>
        <v>0</v>
      </c>
      <c r="DJ456" s="50">
        <f t="shared" si="990"/>
        <v>0</v>
      </c>
      <c r="DK456" s="50">
        <f t="shared" si="991"/>
        <v>0</v>
      </c>
      <c r="DL456" s="50">
        <f t="shared" si="992"/>
        <v>0</v>
      </c>
      <c r="DM456" s="50">
        <f t="shared" si="993"/>
        <v>0</v>
      </c>
      <c r="DN456" s="50">
        <f t="shared" si="994"/>
        <v>0</v>
      </c>
      <c r="DO456" s="50">
        <f t="shared" si="995"/>
        <v>0</v>
      </c>
      <c r="DP456" s="50">
        <f t="shared" si="996"/>
        <v>0</v>
      </c>
      <c r="DQ456" s="50">
        <f t="shared" si="973"/>
        <v>0</v>
      </c>
      <c r="DR456" s="50">
        <f t="shared" si="974"/>
        <v>0</v>
      </c>
      <c r="DS456" s="96">
        <f>Miscelaneous!$D$4*Miscelaneous!$D$2^($CI456-1)</f>
        <v>1000</v>
      </c>
      <c r="DT456" s="333">
        <f t="shared" si="955"/>
        <v>1</v>
      </c>
      <c r="DU456" s="81">
        <v>1</v>
      </c>
      <c r="DV456" s="79">
        <f t="shared" si="975"/>
        <v>0</v>
      </c>
      <c r="DW456" s="79">
        <f t="shared" si="976"/>
        <v>0</v>
      </c>
      <c r="DX456" s="79">
        <f t="shared" si="977"/>
        <v>0</v>
      </c>
      <c r="DY456" s="79">
        <v>1</v>
      </c>
      <c r="DZ456" s="79">
        <f t="shared" si="978"/>
        <v>0</v>
      </c>
      <c r="EA456" s="79">
        <f t="shared" si="979"/>
        <v>0</v>
      </c>
      <c r="EB456" s="79">
        <f t="shared" si="980"/>
        <v>0</v>
      </c>
      <c r="EC456" s="79">
        <f t="shared" si="981"/>
        <v>0</v>
      </c>
      <c r="ED456" s="79">
        <v>1</v>
      </c>
      <c r="EE456" s="79">
        <v>1</v>
      </c>
      <c r="EF456" s="79">
        <f t="shared" si="982"/>
        <v>0</v>
      </c>
      <c r="EG456" s="79">
        <v>1</v>
      </c>
      <c r="EH456" s="79">
        <v>1</v>
      </c>
      <c r="EI456" s="79">
        <v>1</v>
      </c>
      <c r="EJ456" s="79">
        <v>1</v>
      </c>
      <c r="EK456" s="79">
        <v>1</v>
      </c>
      <c r="EL456" s="79">
        <v>1</v>
      </c>
      <c r="EM456" s="143">
        <f t="shared" si="983"/>
        <v>0</v>
      </c>
      <c r="EN456" s="143">
        <f t="shared" si="984"/>
        <v>0</v>
      </c>
      <c r="EO456" s="82">
        <f t="shared" si="985"/>
        <v>0</v>
      </c>
    </row>
    <row r="457" spans="1:145" x14ac:dyDescent="0.25">
      <c r="A457">
        <v>443</v>
      </c>
      <c r="B457" s="172" t="e">
        <f t="shared" si="956"/>
        <v>#N/A</v>
      </c>
      <c r="C457" s="121" t="e">
        <f t="shared" ref="C457:E457" si="1084">AJ457-SUM(AB457:AB461)</f>
        <v>#N/A</v>
      </c>
      <c r="D457" s="122" t="e">
        <f t="shared" si="1084"/>
        <v>#N/A</v>
      </c>
      <c r="E457" s="122" t="e">
        <f t="shared" si="1084"/>
        <v>#N/A</v>
      </c>
      <c r="F457" s="176" t="e">
        <f t="shared" si="937"/>
        <v>#N/A</v>
      </c>
      <c r="G457" s="121">
        <f t="shared" si="958"/>
        <v>208</v>
      </c>
      <c r="H457" s="176" t="e">
        <f t="shared" si="959"/>
        <v>#N/A</v>
      </c>
      <c r="I457" s="48">
        <v>1</v>
      </c>
      <c r="J457" s="39"/>
      <c r="K457" s="350">
        <v>1</v>
      </c>
      <c r="L457" s="34" t="e">
        <f t="shared" si="938"/>
        <v>#N/A</v>
      </c>
      <c r="M457" s="38" t="e">
        <f>(HLOOKUP(J457,'Construction Times'!$B$3:$W$34,L457+2,FALSE)*HLOOKUP("hq modifier",'Construction Times'!$W$3:$W$34,BS457+2,FALSE))*(1-$H$9)</f>
        <v>#N/A</v>
      </c>
      <c r="N457" s="426" t="e">
        <f t="shared" si="960"/>
        <v>#N/A</v>
      </c>
      <c r="O457" s="427"/>
      <c r="P457" s="430" t="e">
        <f t="shared" si="961"/>
        <v>#N/A</v>
      </c>
      <c r="Q457" s="431"/>
      <c r="R457" s="103">
        <f t="shared" si="1052"/>
        <v>0</v>
      </c>
      <c r="S457" s="104">
        <f t="shared" si="1052"/>
        <v>0</v>
      </c>
      <c r="T457" s="104">
        <f t="shared" si="1053"/>
        <v>0</v>
      </c>
      <c r="U457" s="104">
        <f t="shared" si="1053"/>
        <v>0</v>
      </c>
      <c r="V457" s="104">
        <f t="shared" si="1053"/>
        <v>9.9999999999999995E-8</v>
      </c>
      <c r="W457" s="104">
        <f t="shared" si="1053"/>
        <v>0</v>
      </c>
      <c r="X457" s="104">
        <f t="shared" si="1045"/>
        <v>0</v>
      </c>
      <c r="Y457" s="104">
        <f t="shared" si="1045"/>
        <v>9.9999999999999995E-8</v>
      </c>
      <c r="Z457" s="104">
        <f t="shared" si="1045"/>
        <v>9.9999999999999995E-8</v>
      </c>
      <c r="AA457" s="105">
        <f t="shared" si="1045"/>
        <v>9.9999999999999995E-8</v>
      </c>
      <c r="AB457" s="101" t="e">
        <f>$DT457*HLOOKUP($J457,'Construction Costs (timber)'!$B$1:$V$32,'Construction Planner'!$L457+2,FALSE)</f>
        <v>#N/A</v>
      </c>
      <c r="AC457" s="14" t="e">
        <f>$DT457*HLOOKUP($J457,'Construction Costs (clay)'!$B$1:$V$32,'Construction Planner'!$L457+2,FALSE)</f>
        <v>#N/A</v>
      </c>
      <c r="AD457" s="14" t="e">
        <f>$DT457*HLOOKUP($J457,'Construction Costs (iron)'!$B$1:$V$32,'Construction Planner'!$L457+2,FALSE)</f>
        <v>#N/A</v>
      </c>
      <c r="AE457" s="34" t="e">
        <f t="shared" si="1000"/>
        <v>#N/A</v>
      </c>
      <c r="AF457" s="33" t="e">
        <f t="shared" si="939"/>
        <v>#N/A</v>
      </c>
      <c r="AG457" s="14" t="e">
        <f t="shared" si="940"/>
        <v>#N/A</v>
      </c>
      <c r="AH457" s="14" t="e">
        <f t="shared" si="941"/>
        <v>#N/A</v>
      </c>
      <c r="AI457" s="34" t="e">
        <f t="shared" si="1001"/>
        <v>#N/A</v>
      </c>
      <c r="AJ457" s="49" t="e">
        <f t="shared" si="962"/>
        <v>#N/A</v>
      </c>
      <c r="AK457" s="49" t="e">
        <f t="shared" si="963"/>
        <v>#N/A</v>
      </c>
      <c r="AL457" s="49" t="e">
        <f t="shared" si="964"/>
        <v>#N/A</v>
      </c>
      <c r="AM457" s="25">
        <f t="shared" si="942"/>
        <v>30</v>
      </c>
      <c r="AN457" s="25">
        <f t="shared" si="943"/>
        <v>30</v>
      </c>
      <c r="AO457" s="25">
        <f t="shared" si="944"/>
        <v>30</v>
      </c>
      <c r="AP457" s="52" t="e">
        <f t="shared" si="1049"/>
        <v>#N/A</v>
      </c>
      <c r="AQ457" s="53" t="e">
        <f t="shared" si="1049"/>
        <v>#N/A</v>
      </c>
      <c r="AR457" s="54" t="e">
        <f t="shared" si="1049"/>
        <v>#N/A</v>
      </c>
      <c r="AS457" s="316">
        <f t="shared" si="1077"/>
        <v>0</v>
      </c>
      <c r="AT457" s="106">
        <f>_xlfn.IFNA($M457/VLOOKUP($BT457,'Unit information'!$A$2:$K$29,2,FALSE)*R457,0)*(1+$E$9)</f>
        <v>0</v>
      </c>
      <c r="AU457" s="107">
        <f>_xlfn.IFNA($M457/VLOOKUP($BT457,'Unit information'!$A$2:$K$29,3,FALSE)*S457,0)*(1+$E$9)</f>
        <v>0</v>
      </c>
      <c r="AV457" s="107">
        <f>_xlfn.IFNA($M457/VLOOKUP($BT457,'Unit information'!$A$2:$K$29,4,FALSE)*T457,0)*(1+$E$9)</f>
        <v>0</v>
      </c>
      <c r="AW457" s="107">
        <f>_xlfn.IFNA($M457/VLOOKUP($BT457,'Unit information'!$A$2:$K$29,5,FALSE)*U457,0)*(1+$E$9)</f>
        <v>0</v>
      </c>
      <c r="AX457" s="107">
        <f>_xlfn.IFNA($M457/VLOOKUP($BU457,'Unit information'!$A$2:$K$29,6,FALSE)*V457,0)*(1+$E$9)</f>
        <v>0</v>
      </c>
      <c r="AY457" s="107">
        <f>_xlfn.IFNA($M457/VLOOKUP($BU457,'Unit information'!$A$2:$K$29,7,FALSE)*W457,0)*(1+$E$9)</f>
        <v>0</v>
      </c>
      <c r="AZ457" s="107">
        <f>_xlfn.IFNA($M457/VLOOKUP($BU457,'Unit information'!$A$2:$K$29,8,FALSE)*X457,0)*(1+$E$9)</f>
        <v>0</v>
      </c>
      <c r="BA457" s="107">
        <f>_xlfn.IFNA($M457/VLOOKUP($BU457,'Unit information'!$A$2:$K$29,9,FALSE)*Y457,0)*(1+$E$9)</f>
        <v>0</v>
      </c>
      <c r="BB457" s="107">
        <f>_xlfn.IFNA($M457/VLOOKUP($BV457,'Unit information'!$A$2:$K$29,10,FALSE)*Z457,0)*(1+$E$9)</f>
        <v>0</v>
      </c>
      <c r="BC457" s="108">
        <f>_xlfn.IFNA($M457/VLOOKUP($BV457,'Unit information'!$A$2:$K$29,11,FALSE)*AA457,0)*(1+$E$9)</f>
        <v>0</v>
      </c>
      <c r="BD457" s="106">
        <f t="shared" si="945"/>
        <v>0</v>
      </c>
      <c r="BE457" s="107">
        <f t="shared" si="946"/>
        <v>0</v>
      </c>
      <c r="BF457" s="108">
        <f t="shared" si="947"/>
        <v>0</v>
      </c>
      <c r="BG457" s="25" t="e">
        <f t="shared" si="948"/>
        <v>#N/A</v>
      </c>
      <c r="BH457" s="25" t="e">
        <f t="shared" si="949"/>
        <v>#N/A</v>
      </c>
      <c r="BI457" s="25" t="e">
        <f t="shared" si="950"/>
        <v>#N/A</v>
      </c>
      <c r="BJ457" s="27" t="e">
        <f t="shared" si="951"/>
        <v>#N/A</v>
      </c>
      <c r="BK457" s="18" t="e">
        <f t="shared" si="952"/>
        <v>#N/A</v>
      </c>
      <c r="BL457" s="18" t="e">
        <f t="shared" si="953"/>
        <v>#N/A</v>
      </c>
      <c r="BM457" s="28" t="e">
        <f t="shared" si="1003"/>
        <v>#N/A</v>
      </c>
      <c r="BN457" s="33">
        <f>HLOOKUP("maximum population",Miscelaneous!$C$1:$C$33,CH457+3,FALSE)</f>
        <v>240</v>
      </c>
      <c r="BO457" s="14">
        <f t="shared" si="966"/>
        <v>32</v>
      </c>
      <c r="BP457" s="14">
        <f t="shared" si="967"/>
        <v>0</v>
      </c>
      <c r="BQ457" s="14">
        <f t="shared" si="968"/>
        <v>208</v>
      </c>
      <c r="BR457" s="34" t="e">
        <f>HLOOKUP(J457,Villagers!$B$1:$V$33,L457+3,FALSE)-HLOOKUP(J457,Villagers!$B$1:$V$33,L457+2,FALSE)</f>
        <v>#N/A</v>
      </c>
      <c r="BS457" s="49">
        <f t="shared" si="969"/>
        <v>1</v>
      </c>
      <c r="BT457" s="50">
        <f t="shared" si="970"/>
        <v>0</v>
      </c>
      <c r="BU457" s="50">
        <f t="shared" si="971"/>
        <v>0</v>
      </c>
      <c r="BV457" s="50">
        <f t="shared" si="972"/>
        <v>0</v>
      </c>
      <c r="BW457" s="50">
        <f t="shared" si="1083"/>
        <v>0</v>
      </c>
      <c r="BX457" s="50">
        <f t="shared" si="1081"/>
        <v>0</v>
      </c>
      <c r="BY457" s="50">
        <f t="shared" si="1081"/>
        <v>0</v>
      </c>
      <c r="BZ457" s="50">
        <f t="shared" si="1015"/>
        <v>0</v>
      </c>
      <c r="CA457" s="50">
        <f t="shared" si="1016"/>
        <v>0</v>
      </c>
      <c r="CB457" s="50">
        <f t="shared" si="1017"/>
        <v>1</v>
      </c>
      <c r="CC457" s="50">
        <f t="shared" si="1018"/>
        <v>0</v>
      </c>
      <c r="CD457" s="50">
        <f t="shared" si="1019"/>
        <v>0</v>
      </c>
      <c r="CE457" s="50">
        <f t="shared" si="1020"/>
        <v>1</v>
      </c>
      <c r="CF457" s="50">
        <f t="shared" si="1021"/>
        <v>1</v>
      </c>
      <c r="CG457" s="50">
        <f t="shared" si="1022"/>
        <v>1</v>
      </c>
      <c r="CH457" s="50">
        <f t="shared" si="1023"/>
        <v>1</v>
      </c>
      <c r="CI457" s="50">
        <f t="shared" si="1024"/>
        <v>1</v>
      </c>
      <c r="CJ457" s="50">
        <f t="shared" si="1025"/>
        <v>1</v>
      </c>
      <c r="CK457" s="50">
        <f t="shared" si="1025"/>
        <v>0</v>
      </c>
      <c r="CL457" s="50">
        <f t="shared" si="1025"/>
        <v>0</v>
      </c>
      <c r="CM457" s="51">
        <f t="shared" si="1026"/>
        <v>0</v>
      </c>
      <c r="CN457" s="33">
        <f>ROUND(IF(BS457=0,0,HLOOKUP(BS$14,Villagers!$B$1:$V$33,BS457+3,FALSE)),)</f>
        <v>5</v>
      </c>
      <c r="CO457" s="14">
        <f>ROUND(IF(BT457=0,0,HLOOKUP(BT$14,Villagers!$B$1:$V$33,BT457+3,FALSE)),)</f>
        <v>0</v>
      </c>
      <c r="CP457" s="14">
        <f>ROUND(IF(BU457=0,0,HLOOKUP(BU$14,Villagers!$B$1:$V$33,BU457+3,FALSE)),)</f>
        <v>0</v>
      </c>
      <c r="CQ457" s="14">
        <f>ROUND(IF(BV457=0,0,HLOOKUP(BV$14,Villagers!$B$1:$V$33,BV457+3,FALSE)),)</f>
        <v>0</v>
      </c>
      <c r="CR457" s="14">
        <f>ROUND(IF(BW457=0,0,HLOOKUP(BW$14,Villagers!$B$1:$V$33,BW457+3,FALSE)),)</f>
        <v>0</v>
      </c>
      <c r="CS457" s="14">
        <f>ROUND(IF(BX457=0,0,HLOOKUP(BX$14,Villagers!$B$1:$V$33,BX457+3,FALSE)),)</f>
        <v>0</v>
      </c>
      <c r="CT457" s="14">
        <f>ROUND(IF(BY457=0,0,HLOOKUP(BY$14,Villagers!$B$1:$V$33,BY457+3,FALSE)),)</f>
        <v>0</v>
      </c>
      <c r="CU457" s="14">
        <f>ROUND(IF(BZ457=0,0,HLOOKUP(BZ$14,Villagers!$B$1:$V$33,BZ457+3,FALSE)),)</f>
        <v>0</v>
      </c>
      <c r="CV457" s="14">
        <f>ROUND(IF(CA457=0,0,HLOOKUP(CA$14,Villagers!$B$1:$V$33,CA457+3,FALSE)),)</f>
        <v>0</v>
      </c>
      <c r="CW457" s="14">
        <f>ROUND(IF(CB457=0,0,HLOOKUP(CB$14,Villagers!$B$1:$V$33,CB457+3,FALSE)),)</f>
        <v>0</v>
      </c>
      <c r="CX457" s="14">
        <f>ROUND(IF(CC457=0,0,HLOOKUP(CC$14,Villagers!$B$1:$V$33,CC457+3,FALSE)),)</f>
        <v>0</v>
      </c>
      <c r="CY457" s="14">
        <f>ROUND(IF(CD457=0,0,HLOOKUP(CD$14,Villagers!$B$1:$V$33,CD457+3,FALSE)),)</f>
        <v>0</v>
      </c>
      <c r="CZ457" s="14">
        <f>ROUND(IF(CE457=0,0,HLOOKUP(CE$14,Villagers!$B$1:$V$33,CE457+3,FALSE)),)</f>
        <v>5</v>
      </c>
      <c r="DA457" s="14">
        <f>ROUND(IF(CF457=0,0,HLOOKUP(CF$14,Villagers!$B$1:$V$33,CF457+3,FALSE)),)</f>
        <v>10</v>
      </c>
      <c r="DB457" s="14">
        <f>ROUND(IF(CG457=0,0,HLOOKUP(CG$14,Villagers!$B$1:$V$33,CG457+3,FALSE)),)</f>
        <v>10</v>
      </c>
      <c r="DC457" s="14">
        <f>ROUND(IF(CH457=0,0,HLOOKUP(CH$14,Villagers!$B$1:$V$33,CH457+3,FALSE)),)</f>
        <v>0</v>
      </c>
      <c r="DD457" s="14">
        <f>ROUND(IF(CI457=0,0,HLOOKUP(CI$14,Villagers!$B$1:$V$33,CI457+3,FALSE)),)</f>
        <v>0</v>
      </c>
      <c r="DE457" s="14">
        <f>ROUND(IF(CJ457=0,0,HLOOKUP(CJ$14,Villagers!$B$1:$V$33,CJ457+3,FALSE)),)</f>
        <v>2</v>
      </c>
      <c r="DF457" s="370">
        <f>ROUND(IF(CK457=0,0,HLOOKUP(CK$14,Villagers!$B$1:$V$33,CK457+3,FALSE)),)</f>
        <v>0</v>
      </c>
      <c r="DG457" s="370">
        <f>ROUND(IF(CL457=0,0,HLOOKUP(CL$14,Villagers!$B$1:$V$33,CL457+3,FALSE)),)</f>
        <v>0</v>
      </c>
      <c r="DH457" s="34">
        <f>ROUND(IF(CM457=0,0,HLOOKUP(CM$14,Villagers!$B$1:$V$33,CM457+3,FALSE)),)</f>
        <v>0</v>
      </c>
      <c r="DI457" s="109">
        <f t="shared" si="989"/>
        <v>0</v>
      </c>
      <c r="DJ457" s="50">
        <f t="shared" si="990"/>
        <v>0</v>
      </c>
      <c r="DK457" s="50">
        <f t="shared" si="991"/>
        <v>0</v>
      </c>
      <c r="DL457" s="50">
        <f t="shared" si="992"/>
        <v>0</v>
      </c>
      <c r="DM457" s="50">
        <f t="shared" si="993"/>
        <v>0</v>
      </c>
      <c r="DN457" s="50">
        <f t="shared" si="994"/>
        <v>0</v>
      </c>
      <c r="DO457" s="50">
        <f t="shared" si="995"/>
        <v>0</v>
      </c>
      <c r="DP457" s="50">
        <f t="shared" si="996"/>
        <v>0</v>
      </c>
      <c r="DQ457" s="50">
        <f t="shared" si="973"/>
        <v>0</v>
      </c>
      <c r="DR457" s="50">
        <f t="shared" si="974"/>
        <v>0</v>
      </c>
      <c r="DS457" s="96">
        <f>Miscelaneous!$D$4*Miscelaneous!$D$2^($CI457-1)</f>
        <v>1000</v>
      </c>
      <c r="DT457" s="333">
        <f t="shared" si="955"/>
        <v>1</v>
      </c>
      <c r="DU457" s="81">
        <v>1</v>
      </c>
      <c r="DV457" s="79">
        <f t="shared" si="975"/>
        <v>0</v>
      </c>
      <c r="DW457" s="79">
        <f t="shared" si="976"/>
        <v>0</v>
      </c>
      <c r="DX457" s="79">
        <f t="shared" si="977"/>
        <v>0</v>
      </c>
      <c r="DY457" s="79">
        <v>1</v>
      </c>
      <c r="DZ457" s="79">
        <f t="shared" si="978"/>
        <v>0</v>
      </c>
      <c r="EA457" s="79">
        <f t="shared" si="979"/>
        <v>0</v>
      </c>
      <c r="EB457" s="79">
        <f t="shared" si="980"/>
        <v>0</v>
      </c>
      <c r="EC457" s="79">
        <f t="shared" si="981"/>
        <v>0</v>
      </c>
      <c r="ED457" s="79">
        <v>1</v>
      </c>
      <c r="EE457" s="79">
        <v>1</v>
      </c>
      <c r="EF457" s="79">
        <f t="shared" si="982"/>
        <v>0</v>
      </c>
      <c r="EG457" s="79">
        <v>1</v>
      </c>
      <c r="EH457" s="79">
        <v>1</v>
      </c>
      <c r="EI457" s="79">
        <v>1</v>
      </c>
      <c r="EJ457" s="79">
        <v>1</v>
      </c>
      <c r="EK457" s="79">
        <v>1</v>
      </c>
      <c r="EL457" s="79">
        <v>1</v>
      </c>
      <c r="EM457" s="143">
        <f t="shared" si="983"/>
        <v>0</v>
      </c>
      <c r="EN457" s="143">
        <f t="shared" si="984"/>
        <v>0</v>
      </c>
      <c r="EO457" s="82">
        <f t="shared" si="985"/>
        <v>0</v>
      </c>
    </row>
    <row r="458" spans="1:145" x14ac:dyDescent="0.25">
      <c r="A458">
        <v>444</v>
      </c>
      <c r="B458" s="172" t="e">
        <f t="shared" si="956"/>
        <v>#N/A</v>
      </c>
      <c r="C458" s="121" t="e">
        <f t="shared" ref="C458:E458" si="1085">AJ458-SUM(AB458:AB462)</f>
        <v>#N/A</v>
      </c>
      <c r="D458" s="122" t="e">
        <f t="shared" si="1085"/>
        <v>#N/A</v>
      </c>
      <c r="E458" s="122" t="e">
        <f t="shared" si="1085"/>
        <v>#N/A</v>
      </c>
      <c r="F458" s="176" t="e">
        <f t="shared" si="937"/>
        <v>#N/A</v>
      </c>
      <c r="G458" s="121">
        <f t="shared" si="958"/>
        <v>208</v>
      </c>
      <c r="H458" s="176" t="e">
        <f t="shared" si="959"/>
        <v>#N/A</v>
      </c>
      <c r="I458" s="48">
        <v>1</v>
      </c>
      <c r="J458" s="39"/>
      <c r="K458" s="350">
        <v>1</v>
      </c>
      <c r="L458" s="34" t="e">
        <f t="shared" si="938"/>
        <v>#N/A</v>
      </c>
      <c r="M458" s="38" t="e">
        <f>(HLOOKUP(J458,'Construction Times'!$B$3:$W$34,L458+2,FALSE)*HLOOKUP("hq modifier",'Construction Times'!$W$3:$W$34,BS458+2,FALSE))*(1-$H$9)</f>
        <v>#N/A</v>
      </c>
      <c r="N458" s="426" t="e">
        <f t="shared" si="960"/>
        <v>#N/A</v>
      </c>
      <c r="O458" s="427"/>
      <c r="P458" s="430" t="e">
        <f t="shared" si="961"/>
        <v>#N/A</v>
      </c>
      <c r="Q458" s="431"/>
      <c r="R458" s="103">
        <f t="shared" si="1052"/>
        <v>0</v>
      </c>
      <c r="S458" s="104">
        <f t="shared" si="1052"/>
        <v>0</v>
      </c>
      <c r="T458" s="104">
        <f t="shared" si="1053"/>
        <v>0</v>
      </c>
      <c r="U458" s="104">
        <f t="shared" si="1053"/>
        <v>0</v>
      </c>
      <c r="V458" s="104">
        <f t="shared" si="1053"/>
        <v>9.9999999999999995E-8</v>
      </c>
      <c r="W458" s="104">
        <f t="shared" si="1053"/>
        <v>0</v>
      </c>
      <c r="X458" s="104">
        <f t="shared" si="1045"/>
        <v>0</v>
      </c>
      <c r="Y458" s="104">
        <f t="shared" si="1045"/>
        <v>9.9999999999999995E-8</v>
      </c>
      <c r="Z458" s="104">
        <f t="shared" si="1045"/>
        <v>9.9999999999999995E-8</v>
      </c>
      <c r="AA458" s="105">
        <f t="shared" si="1045"/>
        <v>9.9999999999999995E-8</v>
      </c>
      <c r="AB458" s="101" t="e">
        <f>$DT458*HLOOKUP($J458,'Construction Costs (timber)'!$B$1:$V$32,'Construction Planner'!$L458+2,FALSE)</f>
        <v>#N/A</v>
      </c>
      <c r="AC458" s="14" t="e">
        <f>$DT458*HLOOKUP($J458,'Construction Costs (clay)'!$B$1:$V$32,'Construction Planner'!$L458+2,FALSE)</f>
        <v>#N/A</v>
      </c>
      <c r="AD458" s="14" t="e">
        <f>$DT458*HLOOKUP($J458,'Construction Costs (iron)'!$B$1:$V$32,'Construction Planner'!$L458+2,FALSE)</f>
        <v>#N/A</v>
      </c>
      <c r="AE458" s="34" t="e">
        <f t="shared" si="1000"/>
        <v>#N/A</v>
      </c>
      <c r="AF458" s="33" t="e">
        <f t="shared" si="939"/>
        <v>#N/A</v>
      </c>
      <c r="AG458" s="14" t="e">
        <f t="shared" si="940"/>
        <v>#N/A</v>
      </c>
      <c r="AH458" s="14" t="e">
        <f t="shared" si="941"/>
        <v>#N/A</v>
      </c>
      <c r="AI458" s="34" t="e">
        <f t="shared" si="1001"/>
        <v>#N/A</v>
      </c>
      <c r="AJ458" s="49" t="e">
        <f t="shared" si="962"/>
        <v>#N/A</v>
      </c>
      <c r="AK458" s="49" t="e">
        <f t="shared" si="963"/>
        <v>#N/A</v>
      </c>
      <c r="AL458" s="49" t="e">
        <f t="shared" si="964"/>
        <v>#N/A</v>
      </c>
      <c r="AM458" s="25">
        <f t="shared" si="942"/>
        <v>30</v>
      </c>
      <c r="AN458" s="25">
        <f t="shared" si="943"/>
        <v>30</v>
      </c>
      <c r="AO458" s="25">
        <f t="shared" si="944"/>
        <v>30</v>
      </c>
      <c r="AP458" s="52" t="e">
        <f t="shared" si="1049"/>
        <v>#N/A</v>
      </c>
      <c r="AQ458" s="53" t="e">
        <f t="shared" si="1049"/>
        <v>#N/A</v>
      </c>
      <c r="AR458" s="54" t="e">
        <f t="shared" si="1049"/>
        <v>#N/A</v>
      </c>
      <c r="AS458" s="316">
        <f t="shared" si="1077"/>
        <v>0</v>
      </c>
      <c r="AT458" s="106">
        <f>_xlfn.IFNA($M458/VLOOKUP($BT458,'Unit information'!$A$2:$K$29,2,FALSE)*R458,0)*(1+$E$9)</f>
        <v>0</v>
      </c>
      <c r="AU458" s="107">
        <f>_xlfn.IFNA($M458/VLOOKUP($BT458,'Unit information'!$A$2:$K$29,3,FALSE)*S458,0)*(1+$E$9)</f>
        <v>0</v>
      </c>
      <c r="AV458" s="107">
        <f>_xlfn.IFNA($M458/VLOOKUP($BT458,'Unit information'!$A$2:$K$29,4,FALSE)*T458,0)*(1+$E$9)</f>
        <v>0</v>
      </c>
      <c r="AW458" s="107">
        <f>_xlfn.IFNA($M458/VLOOKUP($BT458,'Unit information'!$A$2:$K$29,5,FALSE)*U458,0)*(1+$E$9)</f>
        <v>0</v>
      </c>
      <c r="AX458" s="107">
        <f>_xlfn.IFNA($M458/VLOOKUP($BU458,'Unit information'!$A$2:$K$29,6,FALSE)*V458,0)*(1+$E$9)</f>
        <v>0</v>
      </c>
      <c r="AY458" s="107">
        <f>_xlfn.IFNA($M458/VLOOKUP($BU458,'Unit information'!$A$2:$K$29,7,FALSE)*W458,0)*(1+$E$9)</f>
        <v>0</v>
      </c>
      <c r="AZ458" s="107">
        <f>_xlfn.IFNA($M458/VLOOKUP($BU458,'Unit information'!$A$2:$K$29,8,FALSE)*X458,0)*(1+$E$9)</f>
        <v>0</v>
      </c>
      <c r="BA458" s="107">
        <f>_xlfn.IFNA($M458/VLOOKUP($BU458,'Unit information'!$A$2:$K$29,9,FALSE)*Y458,0)*(1+$E$9)</f>
        <v>0</v>
      </c>
      <c r="BB458" s="107">
        <f>_xlfn.IFNA($M458/VLOOKUP($BV458,'Unit information'!$A$2:$K$29,10,FALSE)*Z458,0)*(1+$E$9)</f>
        <v>0</v>
      </c>
      <c r="BC458" s="108">
        <f>_xlfn.IFNA($M458/VLOOKUP($BV458,'Unit information'!$A$2:$K$29,11,FALSE)*AA458,0)*(1+$E$9)</f>
        <v>0</v>
      </c>
      <c r="BD458" s="106">
        <f t="shared" si="945"/>
        <v>0</v>
      </c>
      <c r="BE458" s="107">
        <f t="shared" si="946"/>
        <v>0</v>
      </c>
      <c r="BF458" s="108">
        <f t="shared" si="947"/>
        <v>0</v>
      </c>
      <c r="BG458" s="25" t="e">
        <f t="shared" si="948"/>
        <v>#N/A</v>
      </c>
      <c r="BH458" s="25" t="e">
        <f t="shared" si="949"/>
        <v>#N/A</v>
      </c>
      <c r="BI458" s="25" t="e">
        <f t="shared" si="950"/>
        <v>#N/A</v>
      </c>
      <c r="BJ458" s="27" t="e">
        <f t="shared" si="951"/>
        <v>#N/A</v>
      </c>
      <c r="BK458" s="18" t="e">
        <f t="shared" si="952"/>
        <v>#N/A</v>
      </c>
      <c r="BL458" s="18" t="e">
        <f t="shared" si="953"/>
        <v>#N/A</v>
      </c>
      <c r="BM458" s="28" t="e">
        <f t="shared" si="1003"/>
        <v>#N/A</v>
      </c>
      <c r="BN458" s="33">
        <f>HLOOKUP("maximum population",Miscelaneous!$C$1:$C$33,CH458+3,FALSE)</f>
        <v>240</v>
      </c>
      <c r="BO458" s="14">
        <f t="shared" si="966"/>
        <v>32</v>
      </c>
      <c r="BP458" s="14">
        <f t="shared" si="967"/>
        <v>0</v>
      </c>
      <c r="BQ458" s="14">
        <f t="shared" si="968"/>
        <v>208</v>
      </c>
      <c r="BR458" s="34" t="e">
        <f>HLOOKUP(J458,Villagers!$B$1:$V$33,L458+3,FALSE)-HLOOKUP(J458,Villagers!$B$1:$V$33,L458+2,FALSE)</f>
        <v>#N/A</v>
      </c>
      <c r="BS458" s="49">
        <f t="shared" si="969"/>
        <v>1</v>
      </c>
      <c r="BT458" s="50">
        <f t="shared" si="970"/>
        <v>0</v>
      </c>
      <c r="BU458" s="50">
        <f t="shared" si="971"/>
        <v>0</v>
      </c>
      <c r="BV458" s="50">
        <f t="shared" si="972"/>
        <v>0</v>
      </c>
      <c r="BW458" s="50">
        <f t="shared" si="1083"/>
        <v>0</v>
      </c>
      <c r="BX458" s="50">
        <f t="shared" si="1081"/>
        <v>0</v>
      </c>
      <c r="BY458" s="50">
        <f t="shared" si="1081"/>
        <v>0</v>
      </c>
      <c r="BZ458" s="50">
        <f t="shared" si="1015"/>
        <v>0</v>
      </c>
      <c r="CA458" s="50">
        <f t="shared" si="1016"/>
        <v>0</v>
      </c>
      <c r="CB458" s="50">
        <f t="shared" si="1017"/>
        <v>1</v>
      </c>
      <c r="CC458" s="50">
        <f t="shared" si="1018"/>
        <v>0</v>
      </c>
      <c r="CD458" s="50">
        <f t="shared" si="1019"/>
        <v>0</v>
      </c>
      <c r="CE458" s="50">
        <f t="shared" si="1020"/>
        <v>1</v>
      </c>
      <c r="CF458" s="50">
        <f t="shared" si="1021"/>
        <v>1</v>
      </c>
      <c r="CG458" s="50">
        <f t="shared" si="1022"/>
        <v>1</v>
      </c>
      <c r="CH458" s="50">
        <f t="shared" si="1023"/>
        <v>1</v>
      </c>
      <c r="CI458" s="50">
        <f t="shared" si="1024"/>
        <v>1</v>
      </c>
      <c r="CJ458" s="50">
        <f t="shared" si="1025"/>
        <v>1</v>
      </c>
      <c r="CK458" s="50">
        <f t="shared" si="1025"/>
        <v>0</v>
      </c>
      <c r="CL458" s="50">
        <f t="shared" si="1025"/>
        <v>0</v>
      </c>
      <c r="CM458" s="51">
        <f t="shared" si="1026"/>
        <v>0</v>
      </c>
      <c r="CN458" s="33">
        <f>ROUND(IF(BS458=0,0,HLOOKUP(BS$14,Villagers!$B$1:$V$33,BS458+3,FALSE)),)</f>
        <v>5</v>
      </c>
      <c r="CO458" s="14">
        <f>ROUND(IF(BT458=0,0,HLOOKUP(BT$14,Villagers!$B$1:$V$33,BT458+3,FALSE)),)</f>
        <v>0</v>
      </c>
      <c r="CP458" s="14">
        <f>ROUND(IF(BU458=0,0,HLOOKUP(BU$14,Villagers!$B$1:$V$33,BU458+3,FALSE)),)</f>
        <v>0</v>
      </c>
      <c r="CQ458" s="14">
        <f>ROUND(IF(BV458=0,0,HLOOKUP(BV$14,Villagers!$B$1:$V$33,BV458+3,FALSE)),)</f>
        <v>0</v>
      </c>
      <c r="CR458" s="14">
        <f>ROUND(IF(BW458=0,0,HLOOKUP(BW$14,Villagers!$B$1:$V$33,BW458+3,FALSE)),)</f>
        <v>0</v>
      </c>
      <c r="CS458" s="14">
        <f>ROUND(IF(BX458=0,0,HLOOKUP(BX$14,Villagers!$B$1:$V$33,BX458+3,FALSE)),)</f>
        <v>0</v>
      </c>
      <c r="CT458" s="14">
        <f>ROUND(IF(BY458=0,0,HLOOKUP(BY$14,Villagers!$B$1:$V$33,BY458+3,FALSE)),)</f>
        <v>0</v>
      </c>
      <c r="CU458" s="14">
        <f>ROUND(IF(BZ458=0,0,HLOOKUP(BZ$14,Villagers!$B$1:$V$33,BZ458+3,FALSE)),)</f>
        <v>0</v>
      </c>
      <c r="CV458" s="14">
        <f>ROUND(IF(CA458=0,0,HLOOKUP(CA$14,Villagers!$B$1:$V$33,CA458+3,FALSE)),)</f>
        <v>0</v>
      </c>
      <c r="CW458" s="14">
        <f>ROUND(IF(CB458=0,0,HLOOKUP(CB$14,Villagers!$B$1:$V$33,CB458+3,FALSE)),)</f>
        <v>0</v>
      </c>
      <c r="CX458" s="14">
        <f>ROUND(IF(CC458=0,0,HLOOKUP(CC$14,Villagers!$B$1:$V$33,CC458+3,FALSE)),)</f>
        <v>0</v>
      </c>
      <c r="CY458" s="14">
        <f>ROUND(IF(CD458=0,0,HLOOKUP(CD$14,Villagers!$B$1:$V$33,CD458+3,FALSE)),)</f>
        <v>0</v>
      </c>
      <c r="CZ458" s="14">
        <f>ROUND(IF(CE458=0,0,HLOOKUP(CE$14,Villagers!$B$1:$V$33,CE458+3,FALSE)),)</f>
        <v>5</v>
      </c>
      <c r="DA458" s="14">
        <f>ROUND(IF(CF458=0,0,HLOOKUP(CF$14,Villagers!$B$1:$V$33,CF458+3,FALSE)),)</f>
        <v>10</v>
      </c>
      <c r="DB458" s="14">
        <f>ROUND(IF(CG458=0,0,HLOOKUP(CG$14,Villagers!$B$1:$V$33,CG458+3,FALSE)),)</f>
        <v>10</v>
      </c>
      <c r="DC458" s="14">
        <f>ROUND(IF(CH458=0,0,HLOOKUP(CH$14,Villagers!$B$1:$V$33,CH458+3,FALSE)),)</f>
        <v>0</v>
      </c>
      <c r="DD458" s="14">
        <f>ROUND(IF(CI458=0,0,HLOOKUP(CI$14,Villagers!$B$1:$V$33,CI458+3,FALSE)),)</f>
        <v>0</v>
      </c>
      <c r="DE458" s="14">
        <f>ROUND(IF(CJ458=0,0,HLOOKUP(CJ$14,Villagers!$B$1:$V$33,CJ458+3,FALSE)),)</f>
        <v>2</v>
      </c>
      <c r="DF458" s="370">
        <f>ROUND(IF(CK458=0,0,HLOOKUP(CK$14,Villagers!$B$1:$V$33,CK458+3,FALSE)),)</f>
        <v>0</v>
      </c>
      <c r="DG458" s="370">
        <f>ROUND(IF(CL458=0,0,HLOOKUP(CL$14,Villagers!$B$1:$V$33,CL458+3,FALSE)),)</f>
        <v>0</v>
      </c>
      <c r="DH458" s="34">
        <f>ROUND(IF(CM458=0,0,HLOOKUP(CM$14,Villagers!$B$1:$V$33,CM458+3,FALSE)),)</f>
        <v>0</v>
      </c>
      <c r="DI458" s="109">
        <f t="shared" si="989"/>
        <v>0</v>
      </c>
      <c r="DJ458" s="50">
        <f t="shared" si="990"/>
        <v>0</v>
      </c>
      <c r="DK458" s="50">
        <f t="shared" si="991"/>
        <v>0</v>
      </c>
      <c r="DL458" s="50">
        <f t="shared" si="992"/>
        <v>0</v>
      </c>
      <c r="DM458" s="50">
        <f t="shared" si="993"/>
        <v>0</v>
      </c>
      <c r="DN458" s="50">
        <f t="shared" si="994"/>
        <v>0</v>
      </c>
      <c r="DO458" s="50">
        <f t="shared" si="995"/>
        <v>0</v>
      </c>
      <c r="DP458" s="50">
        <f t="shared" si="996"/>
        <v>0</v>
      </c>
      <c r="DQ458" s="50">
        <f t="shared" si="973"/>
        <v>0</v>
      </c>
      <c r="DR458" s="50">
        <f t="shared" si="974"/>
        <v>0</v>
      </c>
      <c r="DS458" s="96">
        <f>Miscelaneous!$D$4*Miscelaneous!$D$2^($CI458-1)</f>
        <v>1000</v>
      </c>
      <c r="DT458" s="333">
        <f t="shared" si="955"/>
        <v>1</v>
      </c>
      <c r="DU458" s="81">
        <v>1</v>
      </c>
      <c r="DV458" s="79">
        <f t="shared" si="975"/>
        <v>0</v>
      </c>
      <c r="DW458" s="79">
        <f t="shared" si="976"/>
        <v>0</v>
      </c>
      <c r="DX458" s="79">
        <f t="shared" si="977"/>
        <v>0</v>
      </c>
      <c r="DY458" s="79">
        <v>1</v>
      </c>
      <c r="DZ458" s="79">
        <f t="shared" si="978"/>
        <v>0</v>
      </c>
      <c r="EA458" s="79">
        <f t="shared" si="979"/>
        <v>0</v>
      </c>
      <c r="EB458" s="79">
        <f t="shared" si="980"/>
        <v>0</v>
      </c>
      <c r="EC458" s="79">
        <f t="shared" si="981"/>
        <v>0</v>
      </c>
      <c r="ED458" s="79">
        <v>1</v>
      </c>
      <c r="EE458" s="79">
        <v>1</v>
      </c>
      <c r="EF458" s="79">
        <f t="shared" si="982"/>
        <v>0</v>
      </c>
      <c r="EG458" s="79">
        <v>1</v>
      </c>
      <c r="EH458" s="79">
        <v>1</v>
      </c>
      <c r="EI458" s="79">
        <v>1</v>
      </c>
      <c r="EJ458" s="79">
        <v>1</v>
      </c>
      <c r="EK458" s="79">
        <v>1</v>
      </c>
      <c r="EL458" s="79">
        <v>1</v>
      </c>
      <c r="EM458" s="143">
        <f t="shared" si="983"/>
        <v>0</v>
      </c>
      <c r="EN458" s="143">
        <f t="shared" si="984"/>
        <v>0</v>
      </c>
      <c r="EO458" s="82">
        <f t="shared" si="985"/>
        <v>0</v>
      </c>
    </row>
    <row r="459" spans="1:145" x14ac:dyDescent="0.25">
      <c r="A459">
        <v>445</v>
      </c>
      <c r="B459" s="172" t="e">
        <f t="shared" si="956"/>
        <v>#N/A</v>
      </c>
      <c r="C459" s="121" t="e">
        <f t="shared" ref="C459:E459" si="1086">AJ459-SUM(AB459:AB463)</f>
        <v>#N/A</v>
      </c>
      <c r="D459" s="122" t="e">
        <f t="shared" si="1086"/>
        <v>#N/A</v>
      </c>
      <c r="E459" s="122" t="e">
        <f t="shared" si="1086"/>
        <v>#N/A</v>
      </c>
      <c r="F459" s="176" t="e">
        <f t="shared" si="937"/>
        <v>#N/A</v>
      </c>
      <c r="G459" s="121">
        <f t="shared" si="958"/>
        <v>208</v>
      </c>
      <c r="H459" s="176" t="e">
        <f t="shared" si="959"/>
        <v>#N/A</v>
      </c>
      <c r="I459" s="48">
        <v>1</v>
      </c>
      <c r="J459" s="39"/>
      <c r="K459" s="350">
        <v>1</v>
      </c>
      <c r="L459" s="34" t="e">
        <f t="shared" si="938"/>
        <v>#N/A</v>
      </c>
      <c r="M459" s="38" t="e">
        <f>(HLOOKUP(J459,'Construction Times'!$B$3:$W$34,L459+2,FALSE)*HLOOKUP("hq modifier",'Construction Times'!$W$3:$W$34,BS459+2,FALSE))*(1-$H$9)</f>
        <v>#N/A</v>
      </c>
      <c r="N459" s="426" t="e">
        <f t="shared" si="960"/>
        <v>#N/A</v>
      </c>
      <c r="O459" s="427"/>
      <c r="P459" s="430" t="e">
        <f t="shared" si="961"/>
        <v>#N/A</v>
      </c>
      <c r="Q459" s="431"/>
      <c r="R459" s="103">
        <f t="shared" si="1052"/>
        <v>0</v>
      </c>
      <c r="S459" s="104">
        <f t="shared" si="1052"/>
        <v>0</v>
      </c>
      <c r="T459" s="104">
        <f t="shared" si="1053"/>
        <v>0</v>
      </c>
      <c r="U459" s="104">
        <f t="shared" si="1053"/>
        <v>0</v>
      </c>
      <c r="V459" s="104">
        <f t="shared" si="1053"/>
        <v>9.9999999999999995E-8</v>
      </c>
      <c r="W459" s="104">
        <f t="shared" si="1053"/>
        <v>0</v>
      </c>
      <c r="X459" s="104">
        <f t="shared" si="1045"/>
        <v>0</v>
      </c>
      <c r="Y459" s="104">
        <f t="shared" si="1045"/>
        <v>9.9999999999999995E-8</v>
      </c>
      <c r="Z459" s="104">
        <f t="shared" si="1045"/>
        <v>9.9999999999999995E-8</v>
      </c>
      <c r="AA459" s="105">
        <f t="shared" si="1045"/>
        <v>9.9999999999999995E-8</v>
      </c>
      <c r="AB459" s="101" t="e">
        <f>$DT459*HLOOKUP($J459,'Construction Costs (timber)'!$B$1:$V$32,'Construction Planner'!$L459+2,FALSE)</f>
        <v>#N/A</v>
      </c>
      <c r="AC459" s="14" t="e">
        <f>$DT459*HLOOKUP($J459,'Construction Costs (clay)'!$B$1:$V$32,'Construction Planner'!$L459+2,FALSE)</f>
        <v>#N/A</v>
      </c>
      <c r="AD459" s="14" t="e">
        <f>$DT459*HLOOKUP($J459,'Construction Costs (iron)'!$B$1:$V$32,'Construction Planner'!$L459+2,FALSE)</f>
        <v>#N/A</v>
      </c>
      <c r="AE459" s="34" t="e">
        <f t="shared" si="1000"/>
        <v>#N/A</v>
      </c>
      <c r="AF459" s="33" t="e">
        <f t="shared" si="939"/>
        <v>#N/A</v>
      </c>
      <c r="AG459" s="14" t="e">
        <f t="shared" si="940"/>
        <v>#N/A</v>
      </c>
      <c r="AH459" s="14" t="e">
        <f t="shared" si="941"/>
        <v>#N/A</v>
      </c>
      <c r="AI459" s="34" t="e">
        <f t="shared" si="1001"/>
        <v>#N/A</v>
      </c>
      <c r="AJ459" s="49" t="e">
        <f t="shared" si="962"/>
        <v>#N/A</v>
      </c>
      <c r="AK459" s="49" t="e">
        <f t="shared" si="963"/>
        <v>#N/A</v>
      </c>
      <c r="AL459" s="49" t="e">
        <f t="shared" si="964"/>
        <v>#N/A</v>
      </c>
      <c r="AM459" s="25">
        <f t="shared" si="942"/>
        <v>30</v>
      </c>
      <c r="AN459" s="25">
        <f t="shared" si="943"/>
        <v>30</v>
      </c>
      <c r="AO459" s="25">
        <f t="shared" si="944"/>
        <v>30</v>
      </c>
      <c r="AP459" s="52" t="e">
        <f t="shared" si="1049"/>
        <v>#N/A</v>
      </c>
      <c r="AQ459" s="53" t="e">
        <f t="shared" si="1049"/>
        <v>#N/A</v>
      </c>
      <c r="AR459" s="54" t="e">
        <f t="shared" si="1049"/>
        <v>#N/A</v>
      </c>
      <c r="AS459" s="316">
        <f t="shared" si="1077"/>
        <v>0</v>
      </c>
      <c r="AT459" s="106">
        <f>_xlfn.IFNA($M459/VLOOKUP($BT459,'Unit information'!$A$2:$K$29,2,FALSE)*R459,0)*(1+$E$9)</f>
        <v>0</v>
      </c>
      <c r="AU459" s="107">
        <f>_xlfn.IFNA($M459/VLOOKUP($BT459,'Unit information'!$A$2:$K$29,3,FALSE)*S459,0)*(1+$E$9)</f>
        <v>0</v>
      </c>
      <c r="AV459" s="107">
        <f>_xlfn.IFNA($M459/VLOOKUP($BT459,'Unit information'!$A$2:$K$29,4,FALSE)*T459,0)*(1+$E$9)</f>
        <v>0</v>
      </c>
      <c r="AW459" s="107">
        <f>_xlfn.IFNA($M459/VLOOKUP($BT459,'Unit information'!$A$2:$K$29,5,FALSE)*U459,0)*(1+$E$9)</f>
        <v>0</v>
      </c>
      <c r="AX459" s="107">
        <f>_xlfn.IFNA($M459/VLOOKUP($BU459,'Unit information'!$A$2:$K$29,6,FALSE)*V459,0)*(1+$E$9)</f>
        <v>0</v>
      </c>
      <c r="AY459" s="107">
        <f>_xlfn.IFNA($M459/VLOOKUP($BU459,'Unit information'!$A$2:$K$29,7,FALSE)*W459,0)*(1+$E$9)</f>
        <v>0</v>
      </c>
      <c r="AZ459" s="107">
        <f>_xlfn.IFNA($M459/VLOOKUP($BU459,'Unit information'!$A$2:$K$29,8,FALSE)*X459,0)*(1+$E$9)</f>
        <v>0</v>
      </c>
      <c r="BA459" s="107">
        <f>_xlfn.IFNA($M459/VLOOKUP($BU459,'Unit information'!$A$2:$K$29,9,FALSE)*Y459,0)*(1+$E$9)</f>
        <v>0</v>
      </c>
      <c r="BB459" s="107">
        <f>_xlfn.IFNA($M459/VLOOKUP($BV459,'Unit information'!$A$2:$K$29,10,FALSE)*Z459,0)*(1+$E$9)</f>
        <v>0</v>
      </c>
      <c r="BC459" s="108">
        <f>_xlfn.IFNA($M459/VLOOKUP($BV459,'Unit information'!$A$2:$K$29,11,FALSE)*AA459,0)*(1+$E$9)</f>
        <v>0</v>
      </c>
      <c r="BD459" s="106">
        <f t="shared" si="945"/>
        <v>0</v>
      </c>
      <c r="BE459" s="107">
        <f t="shared" si="946"/>
        <v>0</v>
      </c>
      <c r="BF459" s="108">
        <f t="shared" si="947"/>
        <v>0</v>
      </c>
      <c r="BG459" s="25" t="e">
        <f t="shared" si="948"/>
        <v>#N/A</v>
      </c>
      <c r="BH459" s="25" t="e">
        <f t="shared" si="949"/>
        <v>#N/A</v>
      </c>
      <c r="BI459" s="25" t="e">
        <f t="shared" si="950"/>
        <v>#N/A</v>
      </c>
      <c r="BJ459" s="27" t="e">
        <f t="shared" si="951"/>
        <v>#N/A</v>
      </c>
      <c r="BK459" s="18" t="e">
        <f t="shared" si="952"/>
        <v>#N/A</v>
      </c>
      <c r="BL459" s="18" t="e">
        <f t="shared" si="953"/>
        <v>#N/A</v>
      </c>
      <c r="BM459" s="28" t="e">
        <f t="shared" si="1003"/>
        <v>#N/A</v>
      </c>
      <c r="BN459" s="33">
        <f>HLOOKUP("maximum population",Miscelaneous!$C$1:$C$33,CH459+3,FALSE)</f>
        <v>240</v>
      </c>
      <c r="BO459" s="14">
        <f t="shared" si="966"/>
        <v>32</v>
      </c>
      <c r="BP459" s="14">
        <f t="shared" si="967"/>
        <v>0</v>
      </c>
      <c r="BQ459" s="14">
        <f t="shared" si="968"/>
        <v>208</v>
      </c>
      <c r="BR459" s="34" t="e">
        <f>HLOOKUP(J459,Villagers!$B$1:$V$33,L459+3,FALSE)-HLOOKUP(J459,Villagers!$B$1:$V$33,L459+2,FALSE)</f>
        <v>#N/A</v>
      </c>
      <c r="BS459" s="49">
        <f t="shared" si="969"/>
        <v>1</v>
      </c>
      <c r="BT459" s="50">
        <f t="shared" si="970"/>
        <v>0</v>
      </c>
      <c r="BU459" s="50">
        <f t="shared" si="971"/>
        <v>0</v>
      </c>
      <c r="BV459" s="50">
        <f t="shared" si="972"/>
        <v>0</v>
      </c>
      <c r="BW459" s="50">
        <f t="shared" si="1083"/>
        <v>0</v>
      </c>
      <c r="BX459" s="50">
        <f t="shared" si="1081"/>
        <v>0</v>
      </c>
      <c r="BY459" s="50">
        <f t="shared" si="1081"/>
        <v>0</v>
      </c>
      <c r="BZ459" s="50">
        <f t="shared" si="1015"/>
        <v>0</v>
      </c>
      <c r="CA459" s="50">
        <f t="shared" si="1016"/>
        <v>0</v>
      </c>
      <c r="CB459" s="50">
        <f t="shared" si="1017"/>
        <v>1</v>
      </c>
      <c r="CC459" s="50">
        <f t="shared" si="1018"/>
        <v>0</v>
      </c>
      <c r="CD459" s="50">
        <f t="shared" si="1019"/>
        <v>0</v>
      </c>
      <c r="CE459" s="50">
        <f t="shared" si="1020"/>
        <v>1</v>
      </c>
      <c r="CF459" s="50">
        <f t="shared" si="1021"/>
        <v>1</v>
      </c>
      <c r="CG459" s="50">
        <f t="shared" si="1022"/>
        <v>1</v>
      </c>
      <c r="CH459" s="50">
        <f t="shared" si="1023"/>
        <v>1</v>
      </c>
      <c r="CI459" s="50">
        <f t="shared" si="1024"/>
        <v>1</v>
      </c>
      <c r="CJ459" s="50">
        <f t="shared" si="1025"/>
        <v>1</v>
      </c>
      <c r="CK459" s="50">
        <f t="shared" si="1025"/>
        <v>0</v>
      </c>
      <c r="CL459" s="50">
        <f t="shared" si="1025"/>
        <v>0</v>
      </c>
      <c r="CM459" s="51">
        <f t="shared" si="1026"/>
        <v>0</v>
      </c>
      <c r="CN459" s="33">
        <f>ROUND(IF(BS459=0,0,HLOOKUP(BS$14,Villagers!$B$1:$V$33,BS459+3,FALSE)),)</f>
        <v>5</v>
      </c>
      <c r="CO459" s="14">
        <f>ROUND(IF(BT459=0,0,HLOOKUP(BT$14,Villagers!$B$1:$V$33,BT459+3,FALSE)),)</f>
        <v>0</v>
      </c>
      <c r="CP459" s="14">
        <f>ROUND(IF(BU459=0,0,HLOOKUP(BU$14,Villagers!$B$1:$V$33,BU459+3,FALSE)),)</f>
        <v>0</v>
      </c>
      <c r="CQ459" s="14">
        <f>ROUND(IF(BV459=0,0,HLOOKUP(BV$14,Villagers!$B$1:$V$33,BV459+3,FALSE)),)</f>
        <v>0</v>
      </c>
      <c r="CR459" s="14">
        <f>ROUND(IF(BW459=0,0,HLOOKUP(BW$14,Villagers!$B$1:$V$33,BW459+3,FALSE)),)</f>
        <v>0</v>
      </c>
      <c r="CS459" s="14">
        <f>ROUND(IF(BX459=0,0,HLOOKUP(BX$14,Villagers!$B$1:$V$33,BX459+3,FALSE)),)</f>
        <v>0</v>
      </c>
      <c r="CT459" s="14">
        <f>ROUND(IF(BY459=0,0,HLOOKUP(BY$14,Villagers!$B$1:$V$33,BY459+3,FALSE)),)</f>
        <v>0</v>
      </c>
      <c r="CU459" s="14">
        <f>ROUND(IF(BZ459=0,0,HLOOKUP(BZ$14,Villagers!$B$1:$V$33,BZ459+3,FALSE)),)</f>
        <v>0</v>
      </c>
      <c r="CV459" s="14">
        <f>ROUND(IF(CA459=0,0,HLOOKUP(CA$14,Villagers!$B$1:$V$33,CA459+3,FALSE)),)</f>
        <v>0</v>
      </c>
      <c r="CW459" s="14">
        <f>ROUND(IF(CB459=0,0,HLOOKUP(CB$14,Villagers!$B$1:$V$33,CB459+3,FALSE)),)</f>
        <v>0</v>
      </c>
      <c r="CX459" s="14">
        <f>ROUND(IF(CC459=0,0,HLOOKUP(CC$14,Villagers!$B$1:$V$33,CC459+3,FALSE)),)</f>
        <v>0</v>
      </c>
      <c r="CY459" s="14">
        <f>ROUND(IF(CD459=0,0,HLOOKUP(CD$14,Villagers!$B$1:$V$33,CD459+3,FALSE)),)</f>
        <v>0</v>
      </c>
      <c r="CZ459" s="14">
        <f>ROUND(IF(CE459=0,0,HLOOKUP(CE$14,Villagers!$B$1:$V$33,CE459+3,FALSE)),)</f>
        <v>5</v>
      </c>
      <c r="DA459" s="14">
        <f>ROUND(IF(CF459=0,0,HLOOKUP(CF$14,Villagers!$B$1:$V$33,CF459+3,FALSE)),)</f>
        <v>10</v>
      </c>
      <c r="DB459" s="14">
        <f>ROUND(IF(CG459=0,0,HLOOKUP(CG$14,Villagers!$B$1:$V$33,CG459+3,FALSE)),)</f>
        <v>10</v>
      </c>
      <c r="DC459" s="14">
        <f>ROUND(IF(CH459=0,0,HLOOKUP(CH$14,Villagers!$B$1:$V$33,CH459+3,FALSE)),)</f>
        <v>0</v>
      </c>
      <c r="DD459" s="14">
        <f>ROUND(IF(CI459=0,0,HLOOKUP(CI$14,Villagers!$B$1:$V$33,CI459+3,FALSE)),)</f>
        <v>0</v>
      </c>
      <c r="DE459" s="14">
        <f>ROUND(IF(CJ459=0,0,HLOOKUP(CJ$14,Villagers!$B$1:$V$33,CJ459+3,FALSE)),)</f>
        <v>2</v>
      </c>
      <c r="DF459" s="370">
        <f>ROUND(IF(CK459=0,0,HLOOKUP(CK$14,Villagers!$B$1:$V$33,CK459+3,FALSE)),)</f>
        <v>0</v>
      </c>
      <c r="DG459" s="370">
        <f>ROUND(IF(CL459=0,0,HLOOKUP(CL$14,Villagers!$B$1:$V$33,CL459+3,FALSE)),)</f>
        <v>0</v>
      </c>
      <c r="DH459" s="34">
        <f>ROUND(IF(CM459=0,0,HLOOKUP(CM$14,Villagers!$B$1:$V$33,CM459+3,FALSE)),)</f>
        <v>0</v>
      </c>
      <c r="DI459" s="109">
        <f t="shared" si="989"/>
        <v>0</v>
      </c>
      <c r="DJ459" s="50">
        <f t="shared" si="990"/>
        <v>0</v>
      </c>
      <c r="DK459" s="50">
        <f t="shared" si="991"/>
        <v>0</v>
      </c>
      <c r="DL459" s="50">
        <f t="shared" si="992"/>
        <v>0</v>
      </c>
      <c r="DM459" s="50">
        <f t="shared" si="993"/>
        <v>0</v>
      </c>
      <c r="DN459" s="50">
        <f t="shared" si="994"/>
        <v>0</v>
      </c>
      <c r="DO459" s="50">
        <f t="shared" si="995"/>
        <v>0</v>
      </c>
      <c r="DP459" s="50">
        <f t="shared" si="996"/>
        <v>0</v>
      </c>
      <c r="DQ459" s="50">
        <f t="shared" si="973"/>
        <v>0</v>
      </c>
      <c r="DR459" s="50">
        <f t="shared" si="974"/>
        <v>0</v>
      </c>
      <c r="DS459" s="96">
        <f>Miscelaneous!$D$4*Miscelaneous!$D$2^($CI459-1)</f>
        <v>1000</v>
      </c>
      <c r="DT459" s="333">
        <f t="shared" si="955"/>
        <v>1</v>
      </c>
      <c r="DU459" s="81">
        <v>1</v>
      </c>
      <c r="DV459" s="79">
        <f t="shared" si="975"/>
        <v>0</v>
      </c>
      <c r="DW459" s="79">
        <f t="shared" si="976"/>
        <v>0</v>
      </c>
      <c r="DX459" s="79">
        <f t="shared" si="977"/>
        <v>0</v>
      </c>
      <c r="DY459" s="79">
        <v>1</v>
      </c>
      <c r="DZ459" s="79">
        <f t="shared" si="978"/>
        <v>0</v>
      </c>
      <c r="EA459" s="79">
        <f t="shared" si="979"/>
        <v>0</v>
      </c>
      <c r="EB459" s="79">
        <f t="shared" si="980"/>
        <v>0</v>
      </c>
      <c r="EC459" s="79">
        <f t="shared" si="981"/>
        <v>0</v>
      </c>
      <c r="ED459" s="79">
        <v>1</v>
      </c>
      <c r="EE459" s="79">
        <v>1</v>
      </c>
      <c r="EF459" s="79">
        <f t="shared" si="982"/>
        <v>0</v>
      </c>
      <c r="EG459" s="79">
        <v>1</v>
      </c>
      <c r="EH459" s="79">
        <v>1</v>
      </c>
      <c r="EI459" s="79">
        <v>1</v>
      </c>
      <c r="EJ459" s="79">
        <v>1</v>
      </c>
      <c r="EK459" s="79">
        <v>1</v>
      </c>
      <c r="EL459" s="79">
        <v>1</v>
      </c>
      <c r="EM459" s="143">
        <f t="shared" si="983"/>
        <v>0</v>
      </c>
      <c r="EN459" s="143">
        <f t="shared" si="984"/>
        <v>0</v>
      </c>
      <c r="EO459" s="82">
        <f t="shared" si="985"/>
        <v>0</v>
      </c>
    </row>
    <row r="460" spans="1:145" x14ac:dyDescent="0.25">
      <c r="A460">
        <v>446</v>
      </c>
      <c r="B460" s="172" t="e">
        <f t="shared" si="956"/>
        <v>#N/A</v>
      </c>
      <c r="C460" s="121" t="e">
        <f t="shared" ref="C460:E460" si="1087">AJ460-SUM(AB460:AB464)</f>
        <v>#N/A</v>
      </c>
      <c r="D460" s="122" t="e">
        <f t="shared" si="1087"/>
        <v>#N/A</v>
      </c>
      <c r="E460" s="122" t="e">
        <f t="shared" si="1087"/>
        <v>#N/A</v>
      </c>
      <c r="F460" s="176" t="e">
        <f t="shared" si="937"/>
        <v>#N/A</v>
      </c>
      <c r="G460" s="121">
        <f t="shared" si="958"/>
        <v>208</v>
      </c>
      <c r="H460" s="176" t="e">
        <f t="shared" si="959"/>
        <v>#N/A</v>
      </c>
      <c r="I460" s="48">
        <v>1</v>
      </c>
      <c r="J460" s="39"/>
      <c r="K460" s="350">
        <v>1</v>
      </c>
      <c r="L460" s="34" t="e">
        <f t="shared" si="938"/>
        <v>#N/A</v>
      </c>
      <c r="M460" s="38" t="e">
        <f>(HLOOKUP(J460,'Construction Times'!$B$3:$W$34,L460+2,FALSE)*HLOOKUP("hq modifier",'Construction Times'!$W$3:$W$34,BS460+2,FALSE))*(1-$H$9)</f>
        <v>#N/A</v>
      </c>
      <c r="N460" s="426" t="e">
        <f t="shared" si="960"/>
        <v>#N/A</v>
      </c>
      <c r="O460" s="427"/>
      <c r="P460" s="430" t="e">
        <f t="shared" si="961"/>
        <v>#N/A</v>
      </c>
      <c r="Q460" s="431"/>
      <c r="R460" s="103">
        <f t="shared" si="1052"/>
        <v>0</v>
      </c>
      <c r="S460" s="104">
        <f t="shared" si="1052"/>
        <v>0</v>
      </c>
      <c r="T460" s="104">
        <f t="shared" si="1053"/>
        <v>0</v>
      </c>
      <c r="U460" s="104">
        <f t="shared" si="1053"/>
        <v>0</v>
      </c>
      <c r="V460" s="104">
        <f t="shared" si="1053"/>
        <v>9.9999999999999995E-8</v>
      </c>
      <c r="W460" s="104">
        <f t="shared" si="1053"/>
        <v>0</v>
      </c>
      <c r="X460" s="104">
        <f t="shared" si="1045"/>
        <v>0</v>
      </c>
      <c r="Y460" s="104">
        <f t="shared" si="1045"/>
        <v>9.9999999999999995E-8</v>
      </c>
      <c r="Z460" s="104">
        <f t="shared" si="1045"/>
        <v>9.9999999999999995E-8</v>
      </c>
      <c r="AA460" s="105">
        <f t="shared" si="1045"/>
        <v>9.9999999999999995E-8</v>
      </c>
      <c r="AB460" s="101" t="e">
        <f>$DT460*HLOOKUP($J460,'Construction Costs (timber)'!$B$1:$V$32,'Construction Planner'!$L460+2,FALSE)</f>
        <v>#N/A</v>
      </c>
      <c r="AC460" s="14" t="e">
        <f>$DT460*HLOOKUP($J460,'Construction Costs (clay)'!$B$1:$V$32,'Construction Planner'!$L460+2,FALSE)</f>
        <v>#N/A</v>
      </c>
      <c r="AD460" s="14" t="e">
        <f>$DT460*HLOOKUP($J460,'Construction Costs (iron)'!$B$1:$V$32,'Construction Planner'!$L460+2,FALSE)</f>
        <v>#N/A</v>
      </c>
      <c r="AE460" s="34" t="e">
        <f t="shared" si="1000"/>
        <v>#N/A</v>
      </c>
      <c r="AF460" s="33" t="e">
        <f t="shared" si="939"/>
        <v>#N/A</v>
      </c>
      <c r="AG460" s="14" t="e">
        <f t="shared" si="940"/>
        <v>#N/A</v>
      </c>
      <c r="AH460" s="14" t="e">
        <f t="shared" si="941"/>
        <v>#N/A</v>
      </c>
      <c r="AI460" s="34" t="e">
        <f t="shared" si="1001"/>
        <v>#N/A</v>
      </c>
      <c r="AJ460" s="49" t="e">
        <f t="shared" si="962"/>
        <v>#N/A</v>
      </c>
      <c r="AK460" s="49" t="e">
        <f t="shared" si="963"/>
        <v>#N/A</v>
      </c>
      <c r="AL460" s="49" t="e">
        <f t="shared" si="964"/>
        <v>#N/A</v>
      </c>
      <c r="AM460" s="25">
        <f t="shared" si="942"/>
        <v>30</v>
      </c>
      <c r="AN460" s="25">
        <f t="shared" si="943"/>
        <v>30</v>
      </c>
      <c r="AO460" s="25">
        <f t="shared" si="944"/>
        <v>30</v>
      </c>
      <c r="AP460" s="52" t="e">
        <f t="shared" si="1049"/>
        <v>#N/A</v>
      </c>
      <c r="AQ460" s="53" t="e">
        <f t="shared" si="1049"/>
        <v>#N/A</v>
      </c>
      <c r="AR460" s="54" t="e">
        <f t="shared" si="1049"/>
        <v>#N/A</v>
      </c>
      <c r="AS460" s="316">
        <f t="shared" si="1077"/>
        <v>0</v>
      </c>
      <c r="AT460" s="106">
        <f>_xlfn.IFNA($M460/VLOOKUP($BT460,'Unit information'!$A$2:$K$29,2,FALSE)*R460,0)*(1+$E$9)</f>
        <v>0</v>
      </c>
      <c r="AU460" s="107">
        <f>_xlfn.IFNA($M460/VLOOKUP($BT460,'Unit information'!$A$2:$K$29,3,FALSE)*S460,0)*(1+$E$9)</f>
        <v>0</v>
      </c>
      <c r="AV460" s="107">
        <f>_xlfn.IFNA($M460/VLOOKUP($BT460,'Unit information'!$A$2:$K$29,4,FALSE)*T460,0)*(1+$E$9)</f>
        <v>0</v>
      </c>
      <c r="AW460" s="107">
        <f>_xlfn.IFNA($M460/VLOOKUP($BT460,'Unit information'!$A$2:$K$29,5,FALSE)*U460,0)*(1+$E$9)</f>
        <v>0</v>
      </c>
      <c r="AX460" s="107">
        <f>_xlfn.IFNA($M460/VLOOKUP($BU460,'Unit information'!$A$2:$K$29,6,FALSE)*V460,0)*(1+$E$9)</f>
        <v>0</v>
      </c>
      <c r="AY460" s="107">
        <f>_xlfn.IFNA($M460/VLOOKUP($BU460,'Unit information'!$A$2:$K$29,7,FALSE)*W460,0)*(1+$E$9)</f>
        <v>0</v>
      </c>
      <c r="AZ460" s="107">
        <f>_xlfn.IFNA($M460/VLOOKUP($BU460,'Unit information'!$A$2:$K$29,8,FALSE)*X460,0)*(1+$E$9)</f>
        <v>0</v>
      </c>
      <c r="BA460" s="107">
        <f>_xlfn.IFNA($M460/VLOOKUP($BU460,'Unit information'!$A$2:$K$29,9,FALSE)*Y460,0)*(1+$E$9)</f>
        <v>0</v>
      </c>
      <c r="BB460" s="107">
        <f>_xlfn.IFNA($M460/VLOOKUP($BV460,'Unit information'!$A$2:$K$29,10,FALSE)*Z460,0)*(1+$E$9)</f>
        <v>0</v>
      </c>
      <c r="BC460" s="108">
        <f>_xlfn.IFNA($M460/VLOOKUP($BV460,'Unit information'!$A$2:$K$29,11,FALSE)*AA460,0)*(1+$E$9)</f>
        <v>0</v>
      </c>
      <c r="BD460" s="106">
        <f t="shared" si="945"/>
        <v>0</v>
      </c>
      <c r="BE460" s="107">
        <f t="shared" si="946"/>
        <v>0</v>
      </c>
      <c r="BF460" s="108">
        <f t="shared" si="947"/>
        <v>0</v>
      </c>
      <c r="BG460" s="25" t="e">
        <f t="shared" si="948"/>
        <v>#N/A</v>
      </c>
      <c r="BH460" s="25" t="e">
        <f t="shared" si="949"/>
        <v>#N/A</v>
      </c>
      <c r="BI460" s="25" t="e">
        <f t="shared" si="950"/>
        <v>#N/A</v>
      </c>
      <c r="BJ460" s="27" t="e">
        <f t="shared" si="951"/>
        <v>#N/A</v>
      </c>
      <c r="BK460" s="18" t="e">
        <f t="shared" si="952"/>
        <v>#N/A</v>
      </c>
      <c r="BL460" s="18" t="e">
        <f t="shared" si="953"/>
        <v>#N/A</v>
      </c>
      <c r="BM460" s="28" t="e">
        <f t="shared" si="1003"/>
        <v>#N/A</v>
      </c>
      <c r="BN460" s="33">
        <f>HLOOKUP("maximum population",Miscelaneous!$C$1:$C$33,CH460+3,FALSE)</f>
        <v>240</v>
      </c>
      <c r="BO460" s="14">
        <f t="shared" si="966"/>
        <v>32</v>
      </c>
      <c r="BP460" s="14">
        <f t="shared" si="967"/>
        <v>0</v>
      </c>
      <c r="BQ460" s="14">
        <f t="shared" si="968"/>
        <v>208</v>
      </c>
      <c r="BR460" s="34" t="e">
        <f>HLOOKUP(J460,Villagers!$B$1:$V$33,L460+3,FALSE)-HLOOKUP(J460,Villagers!$B$1:$V$33,L460+2,FALSE)</f>
        <v>#N/A</v>
      </c>
      <c r="BS460" s="49">
        <f t="shared" si="969"/>
        <v>1</v>
      </c>
      <c r="BT460" s="50">
        <f t="shared" si="970"/>
        <v>0</v>
      </c>
      <c r="BU460" s="50">
        <f t="shared" si="971"/>
        <v>0</v>
      </c>
      <c r="BV460" s="50">
        <f t="shared" si="972"/>
        <v>0</v>
      </c>
      <c r="BW460" s="50">
        <f t="shared" si="1083"/>
        <v>0</v>
      </c>
      <c r="BX460" s="50">
        <f t="shared" si="1081"/>
        <v>0</v>
      </c>
      <c r="BY460" s="50">
        <f t="shared" si="1081"/>
        <v>0</v>
      </c>
      <c r="BZ460" s="50">
        <f t="shared" si="1015"/>
        <v>0</v>
      </c>
      <c r="CA460" s="50">
        <f t="shared" si="1016"/>
        <v>0</v>
      </c>
      <c r="CB460" s="50">
        <f t="shared" si="1017"/>
        <v>1</v>
      </c>
      <c r="CC460" s="50">
        <f t="shared" si="1018"/>
        <v>0</v>
      </c>
      <c r="CD460" s="50">
        <f t="shared" si="1019"/>
        <v>0</v>
      </c>
      <c r="CE460" s="50">
        <f t="shared" si="1020"/>
        <v>1</v>
      </c>
      <c r="CF460" s="50">
        <f t="shared" si="1021"/>
        <v>1</v>
      </c>
      <c r="CG460" s="50">
        <f t="shared" si="1022"/>
        <v>1</v>
      </c>
      <c r="CH460" s="50">
        <f t="shared" si="1023"/>
        <v>1</v>
      </c>
      <c r="CI460" s="50">
        <f t="shared" si="1024"/>
        <v>1</v>
      </c>
      <c r="CJ460" s="50">
        <f t="shared" si="1025"/>
        <v>1</v>
      </c>
      <c r="CK460" s="50">
        <f t="shared" si="1025"/>
        <v>0</v>
      </c>
      <c r="CL460" s="50">
        <f t="shared" si="1025"/>
        <v>0</v>
      </c>
      <c r="CM460" s="51">
        <f t="shared" si="1026"/>
        <v>0</v>
      </c>
      <c r="CN460" s="33">
        <f>ROUND(IF(BS460=0,0,HLOOKUP(BS$14,Villagers!$B$1:$V$33,BS460+3,FALSE)),)</f>
        <v>5</v>
      </c>
      <c r="CO460" s="14">
        <f>ROUND(IF(BT460=0,0,HLOOKUP(BT$14,Villagers!$B$1:$V$33,BT460+3,FALSE)),)</f>
        <v>0</v>
      </c>
      <c r="CP460" s="14">
        <f>ROUND(IF(BU460=0,0,HLOOKUP(BU$14,Villagers!$B$1:$V$33,BU460+3,FALSE)),)</f>
        <v>0</v>
      </c>
      <c r="CQ460" s="14">
        <f>ROUND(IF(BV460=0,0,HLOOKUP(BV$14,Villagers!$B$1:$V$33,BV460+3,FALSE)),)</f>
        <v>0</v>
      </c>
      <c r="CR460" s="14">
        <f>ROUND(IF(BW460=0,0,HLOOKUP(BW$14,Villagers!$B$1:$V$33,BW460+3,FALSE)),)</f>
        <v>0</v>
      </c>
      <c r="CS460" s="14">
        <f>ROUND(IF(BX460=0,0,HLOOKUP(BX$14,Villagers!$B$1:$V$33,BX460+3,FALSE)),)</f>
        <v>0</v>
      </c>
      <c r="CT460" s="14">
        <f>ROUND(IF(BY460=0,0,HLOOKUP(BY$14,Villagers!$B$1:$V$33,BY460+3,FALSE)),)</f>
        <v>0</v>
      </c>
      <c r="CU460" s="14">
        <f>ROUND(IF(BZ460=0,0,HLOOKUP(BZ$14,Villagers!$B$1:$V$33,BZ460+3,FALSE)),)</f>
        <v>0</v>
      </c>
      <c r="CV460" s="14">
        <f>ROUND(IF(CA460=0,0,HLOOKUP(CA$14,Villagers!$B$1:$V$33,CA460+3,FALSE)),)</f>
        <v>0</v>
      </c>
      <c r="CW460" s="14">
        <f>ROUND(IF(CB460=0,0,HLOOKUP(CB$14,Villagers!$B$1:$V$33,CB460+3,FALSE)),)</f>
        <v>0</v>
      </c>
      <c r="CX460" s="14">
        <f>ROUND(IF(CC460=0,0,HLOOKUP(CC$14,Villagers!$B$1:$V$33,CC460+3,FALSE)),)</f>
        <v>0</v>
      </c>
      <c r="CY460" s="14">
        <f>ROUND(IF(CD460=0,0,HLOOKUP(CD$14,Villagers!$B$1:$V$33,CD460+3,FALSE)),)</f>
        <v>0</v>
      </c>
      <c r="CZ460" s="14">
        <f>ROUND(IF(CE460=0,0,HLOOKUP(CE$14,Villagers!$B$1:$V$33,CE460+3,FALSE)),)</f>
        <v>5</v>
      </c>
      <c r="DA460" s="14">
        <f>ROUND(IF(CF460=0,0,HLOOKUP(CF$14,Villagers!$B$1:$V$33,CF460+3,FALSE)),)</f>
        <v>10</v>
      </c>
      <c r="DB460" s="14">
        <f>ROUND(IF(CG460=0,0,HLOOKUP(CG$14,Villagers!$B$1:$V$33,CG460+3,FALSE)),)</f>
        <v>10</v>
      </c>
      <c r="DC460" s="14">
        <f>ROUND(IF(CH460=0,0,HLOOKUP(CH$14,Villagers!$B$1:$V$33,CH460+3,FALSE)),)</f>
        <v>0</v>
      </c>
      <c r="DD460" s="14">
        <f>ROUND(IF(CI460=0,0,HLOOKUP(CI$14,Villagers!$B$1:$V$33,CI460+3,FALSE)),)</f>
        <v>0</v>
      </c>
      <c r="DE460" s="14">
        <f>ROUND(IF(CJ460=0,0,HLOOKUP(CJ$14,Villagers!$B$1:$V$33,CJ460+3,FALSE)),)</f>
        <v>2</v>
      </c>
      <c r="DF460" s="370">
        <f>ROUND(IF(CK460=0,0,HLOOKUP(CK$14,Villagers!$B$1:$V$33,CK460+3,FALSE)),)</f>
        <v>0</v>
      </c>
      <c r="DG460" s="370">
        <f>ROUND(IF(CL460=0,0,HLOOKUP(CL$14,Villagers!$B$1:$V$33,CL460+3,FALSE)),)</f>
        <v>0</v>
      </c>
      <c r="DH460" s="34">
        <f>ROUND(IF(CM460=0,0,HLOOKUP(CM$14,Villagers!$B$1:$V$33,CM460+3,FALSE)),)</f>
        <v>0</v>
      </c>
      <c r="DI460" s="109">
        <f t="shared" si="989"/>
        <v>0</v>
      </c>
      <c r="DJ460" s="50">
        <f t="shared" si="990"/>
        <v>0</v>
      </c>
      <c r="DK460" s="50">
        <f t="shared" si="991"/>
        <v>0</v>
      </c>
      <c r="DL460" s="50">
        <f t="shared" si="992"/>
        <v>0</v>
      </c>
      <c r="DM460" s="50">
        <f t="shared" si="993"/>
        <v>0</v>
      </c>
      <c r="DN460" s="50">
        <f t="shared" si="994"/>
        <v>0</v>
      </c>
      <c r="DO460" s="50">
        <f t="shared" si="995"/>
        <v>0</v>
      </c>
      <c r="DP460" s="50">
        <f t="shared" si="996"/>
        <v>0</v>
      </c>
      <c r="DQ460" s="50">
        <f t="shared" si="973"/>
        <v>0</v>
      </c>
      <c r="DR460" s="50">
        <f t="shared" si="974"/>
        <v>0</v>
      </c>
      <c r="DS460" s="96">
        <f>Miscelaneous!$D$4*Miscelaneous!$D$2^($CI460-1)</f>
        <v>1000</v>
      </c>
      <c r="DT460" s="333">
        <f t="shared" si="955"/>
        <v>1</v>
      </c>
      <c r="DU460" s="81">
        <v>1</v>
      </c>
      <c r="DV460" s="79">
        <f t="shared" si="975"/>
        <v>0</v>
      </c>
      <c r="DW460" s="79">
        <f t="shared" si="976"/>
        <v>0</v>
      </c>
      <c r="DX460" s="79">
        <f t="shared" si="977"/>
        <v>0</v>
      </c>
      <c r="DY460" s="79">
        <v>1</v>
      </c>
      <c r="DZ460" s="79">
        <f t="shared" si="978"/>
        <v>0</v>
      </c>
      <c r="EA460" s="79">
        <f t="shared" si="979"/>
        <v>0</v>
      </c>
      <c r="EB460" s="79">
        <f t="shared" si="980"/>
        <v>0</v>
      </c>
      <c r="EC460" s="79">
        <f t="shared" si="981"/>
        <v>0</v>
      </c>
      <c r="ED460" s="79">
        <v>1</v>
      </c>
      <c r="EE460" s="79">
        <v>1</v>
      </c>
      <c r="EF460" s="79">
        <f t="shared" si="982"/>
        <v>0</v>
      </c>
      <c r="EG460" s="79">
        <v>1</v>
      </c>
      <c r="EH460" s="79">
        <v>1</v>
      </c>
      <c r="EI460" s="79">
        <v>1</v>
      </c>
      <c r="EJ460" s="79">
        <v>1</v>
      </c>
      <c r="EK460" s="79">
        <v>1</v>
      </c>
      <c r="EL460" s="79">
        <v>1</v>
      </c>
      <c r="EM460" s="143">
        <f t="shared" si="983"/>
        <v>0</v>
      </c>
      <c r="EN460" s="143">
        <f t="shared" si="984"/>
        <v>0</v>
      </c>
      <c r="EO460" s="82">
        <f t="shared" si="985"/>
        <v>0</v>
      </c>
    </row>
    <row r="461" spans="1:145" x14ac:dyDescent="0.25">
      <c r="A461">
        <v>447</v>
      </c>
      <c r="B461" s="172" t="e">
        <f t="shared" si="956"/>
        <v>#N/A</v>
      </c>
      <c r="C461" s="121" t="e">
        <f t="shared" ref="C461:E461" si="1088">AJ461-SUM(AB461:AB465)</f>
        <v>#N/A</v>
      </c>
      <c r="D461" s="122" t="e">
        <f t="shared" si="1088"/>
        <v>#N/A</v>
      </c>
      <c r="E461" s="122" t="e">
        <f t="shared" si="1088"/>
        <v>#N/A</v>
      </c>
      <c r="F461" s="176" t="e">
        <f t="shared" si="937"/>
        <v>#N/A</v>
      </c>
      <c r="G461" s="121">
        <f t="shared" si="958"/>
        <v>208</v>
      </c>
      <c r="H461" s="176" t="e">
        <f t="shared" si="959"/>
        <v>#N/A</v>
      </c>
      <c r="I461" s="48">
        <v>1</v>
      </c>
      <c r="J461" s="39"/>
      <c r="K461" s="350">
        <v>1</v>
      </c>
      <c r="L461" s="34" t="e">
        <f t="shared" si="938"/>
        <v>#N/A</v>
      </c>
      <c r="M461" s="38" t="e">
        <f>(HLOOKUP(J461,'Construction Times'!$B$3:$W$34,L461+2,FALSE)*HLOOKUP("hq modifier",'Construction Times'!$W$3:$W$34,BS461+2,FALSE))*(1-$H$9)</f>
        <v>#N/A</v>
      </c>
      <c r="N461" s="426" t="e">
        <f t="shared" si="960"/>
        <v>#N/A</v>
      </c>
      <c r="O461" s="427"/>
      <c r="P461" s="430" t="e">
        <f t="shared" si="961"/>
        <v>#N/A</v>
      </c>
      <c r="Q461" s="431"/>
      <c r="R461" s="103">
        <f t="shared" si="1052"/>
        <v>0</v>
      </c>
      <c r="S461" s="104">
        <f t="shared" si="1052"/>
        <v>0</v>
      </c>
      <c r="T461" s="104">
        <f t="shared" si="1053"/>
        <v>0</v>
      </c>
      <c r="U461" s="104">
        <f t="shared" si="1053"/>
        <v>0</v>
      </c>
      <c r="V461" s="104">
        <f t="shared" si="1053"/>
        <v>9.9999999999999995E-8</v>
      </c>
      <c r="W461" s="104">
        <f t="shared" si="1053"/>
        <v>0</v>
      </c>
      <c r="X461" s="104">
        <f t="shared" ref="X461:AA492" si="1089">X460</f>
        <v>0</v>
      </c>
      <c r="Y461" s="104">
        <f t="shared" si="1089"/>
        <v>9.9999999999999995E-8</v>
      </c>
      <c r="Z461" s="104">
        <f t="shared" si="1089"/>
        <v>9.9999999999999995E-8</v>
      </c>
      <c r="AA461" s="105">
        <f t="shared" si="1089"/>
        <v>9.9999999999999995E-8</v>
      </c>
      <c r="AB461" s="101" t="e">
        <f>$DT461*HLOOKUP($J461,'Construction Costs (timber)'!$B$1:$V$32,'Construction Planner'!$L461+2,FALSE)</f>
        <v>#N/A</v>
      </c>
      <c r="AC461" s="14" t="e">
        <f>$DT461*HLOOKUP($J461,'Construction Costs (clay)'!$B$1:$V$32,'Construction Planner'!$L461+2,FALSE)</f>
        <v>#N/A</v>
      </c>
      <c r="AD461" s="14" t="e">
        <f>$DT461*HLOOKUP($J461,'Construction Costs (iron)'!$B$1:$V$32,'Construction Planner'!$L461+2,FALSE)</f>
        <v>#N/A</v>
      </c>
      <c r="AE461" s="34" t="e">
        <f t="shared" si="1000"/>
        <v>#N/A</v>
      </c>
      <c r="AF461" s="33" t="e">
        <f t="shared" si="939"/>
        <v>#N/A</v>
      </c>
      <c r="AG461" s="14" t="e">
        <f t="shared" si="940"/>
        <v>#N/A</v>
      </c>
      <c r="AH461" s="14" t="e">
        <f t="shared" si="941"/>
        <v>#N/A</v>
      </c>
      <c r="AI461" s="34" t="e">
        <f t="shared" si="1001"/>
        <v>#N/A</v>
      </c>
      <c r="AJ461" s="49" t="e">
        <f t="shared" si="962"/>
        <v>#N/A</v>
      </c>
      <c r="AK461" s="49" t="e">
        <f t="shared" si="963"/>
        <v>#N/A</v>
      </c>
      <c r="AL461" s="49" t="e">
        <f t="shared" si="964"/>
        <v>#N/A</v>
      </c>
      <c r="AM461" s="25">
        <f t="shared" si="942"/>
        <v>30</v>
      </c>
      <c r="AN461" s="25">
        <f t="shared" si="943"/>
        <v>30</v>
      </c>
      <c r="AO461" s="25">
        <f t="shared" si="944"/>
        <v>30</v>
      </c>
      <c r="AP461" s="52" t="e">
        <f t="shared" si="1049"/>
        <v>#N/A</v>
      </c>
      <c r="AQ461" s="53" t="e">
        <f t="shared" si="1049"/>
        <v>#N/A</v>
      </c>
      <c r="AR461" s="54" t="e">
        <f t="shared" si="1049"/>
        <v>#N/A</v>
      </c>
      <c r="AS461" s="316">
        <f t="shared" si="1077"/>
        <v>0</v>
      </c>
      <c r="AT461" s="106">
        <f>_xlfn.IFNA($M461/VLOOKUP($BT461,'Unit information'!$A$2:$K$29,2,FALSE)*R461,0)*(1+$E$9)</f>
        <v>0</v>
      </c>
      <c r="AU461" s="107">
        <f>_xlfn.IFNA($M461/VLOOKUP($BT461,'Unit information'!$A$2:$K$29,3,FALSE)*S461,0)*(1+$E$9)</f>
        <v>0</v>
      </c>
      <c r="AV461" s="107">
        <f>_xlfn.IFNA($M461/VLOOKUP($BT461,'Unit information'!$A$2:$K$29,4,FALSE)*T461,0)*(1+$E$9)</f>
        <v>0</v>
      </c>
      <c r="AW461" s="107">
        <f>_xlfn.IFNA($M461/VLOOKUP($BT461,'Unit information'!$A$2:$K$29,5,FALSE)*U461,0)*(1+$E$9)</f>
        <v>0</v>
      </c>
      <c r="AX461" s="107">
        <f>_xlfn.IFNA($M461/VLOOKUP($BU461,'Unit information'!$A$2:$K$29,6,FALSE)*V461,0)*(1+$E$9)</f>
        <v>0</v>
      </c>
      <c r="AY461" s="107">
        <f>_xlfn.IFNA($M461/VLOOKUP($BU461,'Unit information'!$A$2:$K$29,7,FALSE)*W461,0)*(1+$E$9)</f>
        <v>0</v>
      </c>
      <c r="AZ461" s="107">
        <f>_xlfn.IFNA($M461/VLOOKUP($BU461,'Unit information'!$A$2:$K$29,8,FALSE)*X461,0)*(1+$E$9)</f>
        <v>0</v>
      </c>
      <c r="BA461" s="107">
        <f>_xlfn.IFNA($M461/VLOOKUP($BU461,'Unit information'!$A$2:$K$29,9,FALSE)*Y461,0)*(1+$E$9)</f>
        <v>0</v>
      </c>
      <c r="BB461" s="107">
        <f>_xlfn.IFNA($M461/VLOOKUP($BV461,'Unit information'!$A$2:$K$29,10,FALSE)*Z461,0)*(1+$E$9)</f>
        <v>0</v>
      </c>
      <c r="BC461" s="108">
        <f>_xlfn.IFNA($M461/VLOOKUP($BV461,'Unit information'!$A$2:$K$29,11,FALSE)*AA461,0)*(1+$E$9)</f>
        <v>0</v>
      </c>
      <c r="BD461" s="106">
        <f t="shared" si="945"/>
        <v>0</v>
      </c>
      <c r="BE461" s="107">
        <f t="shared" si="946"/>
        <v>0</v>
      </c>
      <c r="BF461" s="108">
        <f t="shared" si="947"/>
        <v>0</v>
      </c>
      <c r="BG461" s="25" t="e">
        <f t="shared" si="948"/>
        <v>#N/A</v>
      </c>
      <c r="BH461" s="25" t="e">
        <f t="shared" si="949"/>
        <v>#N/A</v>
      </c>
      <c r="BI461" s="25" t="e">
        <f t="shared" si="950"/>
        <v>#N/A</v>
      </c>
      <c r="BJ461" s="27" t="e">
        <f t="shared" si="951"/>
        <v>#N/A</v>
      </c>
      <c r="BK461" s="18" t="e">
        <f t="shared" si="952"/>
        <v>#N/A</v>
      </c>
      <c r="BL461" s="18" t="e">
        <f t="shared" si="953"/>
        <v>#N/A</v>
      </c>
      <c r="BM461" s="28" t="e">
        <f t="shared" si="1003"/>
        <v>#N/A</v>
      </c>
      <c r="BN461" s="33">
        <f>HLOOKUP("maximum population",Miscelaneous!$C$1:$C$33,CH461+3,FALSE)</f>
        <v>240</v>
      </c>
      <c r="BO461" s="14">
        <f t="shared" si="966"/>
        <v>32</v>
      </c>
      <c r="BP461" s="14">
        <f t="shared" si="967"/>
        <v>0</v>
      </c>
      <c r="BQ461" s="14">
        <f t="shared" si="968"/>
        <v>208</v>
      </c>
      <c r="BR461" s="34" t="e">
        <f>HLOOKUP(J461,Villagers!$B$1:$V$33,L461+3,FALSE)-HLOOKUP(J461,Villagers!$B$1:$V$33,L461+2,FALSE)</f>
        <v>#N/A</v>
      </c>
      <c r="BS461" s="49">
        <f t="shared" si="969"/>
        <v>1</v>
      </c>
      <c r="BT461" s="50">
        <f t="shared" si="970"/>
        <v>0</v>
      </c>
      <c r="BU461" s="50">
        <f t="shared" si="971"/>
        <v>0</v>
      </c>
      <c r="BV461" s="50">
        <f t="shared" si="972"/>
        <v>0</v>
      </c>
      <c r="BW461" s="50">
        <f t="shared" si="1083"/>
        <v>0</v>
      </c>
      <c r="BX461" s="50">
        <f t="shared" si="1081"/>
        <v>0</v>
      </c>
      <c r="BY461" s="50">
        <f t="shared" si="1081"/>
        <v>0</v>
      </c>
      <c r="BZ461" s="50">
        <f t="shared" si="1015"/>
        <v>0</v>
      </c>
      <c r="CA461" s="50">
        <f t="shared" si="1016"/>
        <v>0</v>
      </c>
      <c r="CB461" s="50">
        <f t="shared" si="1017"/>
        <v>1</v>
      </c>
      <c r="CC461" s="50">
        <f t="shared" si="1018"/>
        <v>0</v>
      </c>
      <c r="CD461" s="50">
        <f t="shared" si="1019"/>
        <v>0</v>
      </c>
      <c r="CE461" s="50">
        <f t="shared" si="1020"/>
        <v>1</v>
      </c>
      <c r="CF461" s="50">
        <f t="shared" si="1021"/>
        <v>1</v>
      </c>
      <c r="CG461" s="50">
        <f t="shared" si="1022"/>
        <v>1</v>
      </c>
      <c r="CH461" s="50">
        <f t="shared" si="1023"/>
        <v>1</v>
      </c>
      <c r="CI461" s="50">
        <f t="shared" si="1024"/>
        <v>1</v>
      </c>
      <c r="CJ461" s="50">
        <f t="shared" si="1025"/>
        <v>1</v>
      </c>
      <c r="CK461" s="50">
        <f t="shared" si="1025"/>
        <v>0</v>
      </c>
      <c r="CL461" s="50">
        <f t="shared" si="1025"/>
        <v>0</v>
      </c>
      <c r="CM461" s="51">
        <f t="shared" si="1026"/>
        <v>0</v>
      </c>
      <c r="CN461" s="33">
        <f>ROUND(IF(BS461=0,0,HLOOKUP(BS$14,Villagers!$B$1:$V$33,BS461+3,FALSE)),)</f>
        <v>5</v>
      </c>
      <c r="CO461" s="14">
        <f>ROUND(IF(BT461=0,0,HLOOKUP(BT$14,Villagers!$B$1:$V$33,BT461+3,FALSE)),)</f>
        <v>0</v>
      </c>
      <c r="CP461" s="14">
        <f>ROUND(IF(BU461=0,0,HLOOKUP(BU$14,Villagers!$B$1:$V$33,BU461+3,FALSE)),)</f>
        <v>0</v>
      </c>
      <c r="CQ461" s="14">
        <f>ROUND(IF(BV461=0,0,HLOOKUP(BV$14,Villagers!$B$1:$V$33,BV461+3,FALSE)),)</f>
        <v>0</v>
      </c>
      <c r="CR461" s="14">
        <f>ROUND(IF(BW461=0,0,HLOOKUP(BW$14,Villagers!$B$1:$V$33,BW461+3,FALSE)),)</f>
        <v>0</v>
      </c>
      <c r="CS461" s="14">
        <f>ROUND(IF(BX461=0,0,HLOOKUP(BX$14,Villagers!$B$1:$V$33,BX461+3,FALSE)),)</f>
        <v>0</v>
      </c>
      <c r="CT461" s="14">
        <f>ROUND(IF(BY461=0,0,HLOOKUP(BY$14,Villagers!$B$1:$V$33,BY461+3,FALSE)),)</f>
        <v>0</v>
      </c>
      <c r="CU461" s="14">
        <f>ROUND(IF(BZ461=0,0,HLOOKUP(BZ$14,Villagers!$B$1:$V$33,BZ461+3,FALSE)),)</f>
        <v>0</v>
      </c>
      <c r="CV461" s="14">
        <f>ROUND(IF(CA461=0,0,HLOOKUP(CA$14,Villagers!$B$1:$V$33,CA461+3,FALSE)),)</f>
        <v>0</v>
      </c>
      <c r="CW461" s="14">
        <f>ROUND(IF(CB461=0,0,HLOOKUP(CB$14,Villagers!$B$1:$V$33,CB461+3,FALSE)),)</f>
        <v>0</v>
      </c>
      <c r="CX461" s="14">
        <f>ROUND(IF(CC461=0,0,HLOOKUP(CC$14,Villagers!$B$1:$V$33,CC461+3,FALSE)),)</f>
        <v>0</v>
      </c>
      <c r="CY461" s="14">
        <f>ROUND(IF(CD461=0,0,HLOOKUP(CD$14,Villagers!$B$1:$V$33,CD461+3,FALSE)),)</f>
        <v>0</v>
      </c>
      <c r="CZ461" s="14">
        <f>ROUND(IF(CE461=0,0,HLOOKUP(CE$14,Villagers!$B$1:$V$33,CE461+3,FALSE)),)</f>
        <v>5</v>
      </c>
      <c r="DA461" s="14">
        <f>ROUND(IF(CF461=0,0,HLOOKUP(CF$14,Villagers!$B$1:$V$33,CF461+3,FALSE)),)</f>
        <v>10</v>
      </c>
      <c r="DB461" s="14">
        <f>ROUND(IF(CG461=0,0,HLOOKUP(CG$14,Villagers!$B$1:$V$33,CG461+3,FALSE)),)</f>
        <v>10</v>
      </c>
      <c r="DC461" s="14">
        <f>ROUND(IF(CH461=0,0,HLOOKUP(CH$14,Villagers!$B$1:$V$33,CH461+3,FALSE)),)</f>
        <v>0</v>
      </c>
      <c r="DD461" s="14">
        <f>ROUND(IF(CI461=0,0,HLOOKUP(CI$14,Villagers!$B$1:$V$33,CI461+3,FALSE)),)</f>
        <v>0</v>
      </c>
      <c r="DE461" s="14">
        <f>ROUND(IF(CJ461=0,0,HLOOKUP(CJ$14,Villagers!$B$1:$V$33,CJ461+3,FALSE)),)</f>
        <v>2</v>
      </c>
      <c r="DF461" s="370">
        <f>ROUND(IF(CK461=0,0,HLOOKUP(CK$14,Villagers!$B$1:$V$33,CK461+3,FALSE)),)</f>
        <v>0</v>
      </c>
      <c r="DG461" s="370">
        <f>ROUND(IF(CL461=0,0,HLOOKUP(CL$14,Villagers!$B$1:$V$33,CL461+3,FALSE)),)</f>
        <v>0</v>
      </c>
      <c r="DH461" s="34">
        <f>ROUND(IF(CM461=0,0,HLOOKUP(CM$14,Villagers!$B$1:$V$33,CM461+3,FALSE)),)</f>
        <v>0</v>
      </c>
      <c r="DI461" s="109">
        <f t="shared" si="989"/>
        <v>0</v>
      </c>
      <c r="DJ461" s="50">
        <f t="shared" si="990"/>
        <v>0</v>
      </c>
      <c r="DK461" s="50">
        <f t="shared" si="991"/>
        <v>0</v>
      </c>
      <c r="DL461" s="50">
        <f t="shared" si="992"/>
        <v>0</v>
      </c>
      <c r="DM461" s="50">
        <f t="shared" si="993"/>
        <v>0</v>
      </c>
      <c r="DN461" s="50">
        <f t="shared" si="994"/>
        <v>0</v>
      </c>
      <c r="DO461" s="50">
        <f t="shared" si="995"/>
        <v>0</v>
      </c>
      <c r="DP461" s="50">
        <f t="shared" si="996"/>
        <v>0</v>
      </c>
      <c r="DQ461" s="50">
        <f t="shared" si="973"/>
        <v>0</v>
      </c>
      <c r="DR461" s="50">
        <f t="shared" si="974"/>
        <v>0</v>
      </c>
      <c r="DS461" s="96">
        <f>Miscelaneous!$D$4*Miscelaneous!$D$2^($CI461-1)</f>
        <v>1000</v>
      </c>
      <c r="DT461" s="333">
        <f t="shared" si="955"/>
        <v>1</v>
      </c>
      <c r="DU461" s="81">
        <v>1</v>
      </c>
      <c r="DV461" s="79">
        <f t="shared" si="975"/>
        <v>0</v>
      </c>
      <c r="DW461" s="79">
        <f t="shared" si="976"/>
        <v>0</v>
      </c>
      <c r="DX461" s="79">
        <f t="shared" si="977"/>
        <v>0</v>
      </c>
      <c r="DY461" s="79">
        <v>1</v>
      </c>
      <c r="DZ461" s="79">
        <f t="shared" si="978"/>
        <v>0</v>
      </c>
      <c r="EA461" s="79">
        <f t="shared" si="979"/>
        <v>0</v>
      </c>
      <c r="EB461" s="79">
        <f t="shared" si="980"/>
        <v>0</v>
      </c>
      <c r="EC461" s="79">
        <f t="shared" si="981"/>
        <v>0</v>
      </c>
      <c r="ED461" s="79">
        <v>1</v>
      </c>
      <c r="EE461" s="79">
        <v>1</v>
      </c>
      <c r="EF461" s="79">
        <f t="shared" si="982"/>
        <v>0</v>
      </c>
      <c r="EG461" s="79">
        <v>1</v>
      </c>
      <c r="EH461" s="79">
        <v>1</v>
      </c>
      <c r="EI461" s="79">
        <v>1</v>
      </c>
      <c r="EJ461" s="79">
        <v>1</v>
      </c>
      <c r="EK461" s="79">
        <v>1</v>
      </c>
      <c r="EL461" s="79">
        <v>1</v>
      </c>
      <c r="EM461" s="143">
        <f t="shared" si="983"/>
        <v>0</v>
      </c>
      <c r="EN461" s="143">
        <f t="shared" si="984"/>
        <v>0</v>
      </c>
      <c r="EO461" s="82">
        <f t="shared" si="985"/>
        <v>0</v>
      </c>
    </row>
    <row r="462" spans="1:145" x14ac:dyDescent="0.25">
      <c r="A462">
        <v>448</v>
      </c>
      <c r="B462" s="172" t="e">
        <f t="shared" si="956"/>
        <v>#N/A</v>
      </c>
      <c r="C462" s="121" t="e">
        <f t="shared" ref="C462:E462" si="1090">AJ462-SUM(AB462:AB466)</f>
        <v>#N/A</v>
      </c>
      <c r="D462" s="122" t="e">
        <f t="shared" si="1090"/>
        <v>#N/A</v>
      </c>
      <c r="E462" s="122" t="e">
        <f t="shared" si="1090"/>
        <v>#N/A</v>
      </c>
      <c r="F462" s="176" t="e">
        <f t="shared" si="937"/>
        <v>#N/A</v>
      </c>
      <c r="G462" s="121">
        <f t="shared" si="958"/>
        <v>208</v>
      </c>
      <c r="H462" s="176" t="e">
        <f t="shared" si="959"/>
        <v>#N/A</v>
      </c>
      <c r="I462" s="48">
        <v>1</v>
      </c>
      <c r="J462" s="39"/>
      <c r="K462" s="350">
        <v>1</v>
      </c>
      <c r="L462" s="34" t="e">
        <f t="shared" si="938"/>
        <v>#N/A</v>
      </c>
      <c r="M462" s="38" t="e">
        <f>(HLOOKUP(J462,'Construction Times'!$B$3:$W$34,L462+2,FALSE)*HLOOKUP("hq modifier",'Construction Times'!$W$3:$W$34,BS462+2,FALSE))*(1-$H$9)</f>
        <v>#N/A</v>
      </c>
      <c r="N462" s="426" t="e">
        <f t="shared" si="960"/>
        <v>#N/A</v>
      </c>
      <c r="O462" s="427"/>
      <c r="P462" s="430" t="e">
        <f t="shared" si="961"/>
        <v>#N/A</v>
      </c>
      <c r="Q462" s="431"/>
      <c r="R462" s="103">
        <f t="shared" si="1052"/>
        <v>0</v>
      </c>
      <c r="S462" s="104">
        <f t="shared" si="1052"/>
        <v>0</v>
      </c>
      <c r="T462" s="104">
        <f t="shared" si="1053"/>
        <v>0</v>
      </c>
      <c r="U462" s="104">
        <f t="shared" si="1053"/>
        <v>0</v>
      </c>
      <c r="V462" s="104">
        <f t="shared" si="1053"/>
        <v>9.9999999999999995E-8</v>
      </c>
      <c r="W462" s="104">
        <f t="shared" si="1053"/>
        <v>0</v>
      </c>
      <c r="X462" s="104">
        <f t="shared" si="1089"/>
        <v>0</v>
      </c>
      <c r="Y462" s="104">
        <f t="shared" si="1089"/>
        <v>9.9999999999999995E-8</v>
      </c>
      <c r="Z462" s="104">
        <f t="shared" si="1089"/>
        <v>9.9999999999999995E-8</v>
      </c>
      <c r="AA462" s="105">
        <f t="shared" si="1089"/>
        <v>9.9999999999999995E-8</v>
      </c>
      <c r="AB462" s="101" t="e">
        <f>$DT462*HLOOKUP($J462,'Construction Costs (timber)'!$B$1:$V$32,'Construction Planner'!$L462+2,FALSE)</f>
        <v>#N/A</v>
      </c>
      <c r="AC462" s="14" t="e">
        <f>$DT462*HLOOKUP($J462,'Construction Costs (clay)'!$B$1:$V$32,'Construction Planner'!$L462+2,FALSE)</f>
        <v>#N/A</v>
      </c>
      <c r="AD462" s="14" t="e">
        <f>$DT462*HLOOKUP($J462,'Construction Costs (iron)'!$B$1:$V$32,'Construction Planner'!$L462+2,FALSE)</f>
        <v>#N/A</v>
      </c>
      <c r="AE462" s="34" t="e">
        <f t="shared" si="1000"/>
        <v>#N/A</v>
      </c>
      <c r="AF462" s="33" t="e">
        <f t="shared" si="939"/>
        <v>#N/A</v>
      </c>
      <c r="AG462" s="14" t="e">
        <f t="shared" si="940"/>
        <v>#N/A</v>
      </c>
      <c r="AH462" s="14" t="e">
        <f t="shared" si="941"/>
        <v>#N/A</v>
      </c>
      <c r="AI462" s="34" t="e">
        <f t="shared" si="1001"/>
        <v>#N/A</v>
      </c>
      <c r="AJ462" s="49" t="e">
        <f t="shared" si="962"/>
        <v>#N/A</v>
      </c>
      <c r="AK462" s="49" t="e">
        <f t="shared" si="963"/>
        <v>#N/A</v>
      </c>
      <c r="AL462" s="49" t="e">
        <f t="shared" si="964"/>
        <v>#N/A</v>
      </c>
      <c r="AM462" s="25">
        <f t="shared" si="942"/>
        <v>30</v>
      </c>
      <c r="AN462" s="25">
        <f t="shared" si="943"/>
        <v>30</v>
      </c>
      <c r="AO462" s="25">
        <f t="shared" si="944"/>
        <v>30</v>
      </c>
      <c r="AP462" s="52" t="e">
        <f t="shared" si="1049"/>
        <v>#N/A</v>
      </c>
      <c r="AQ462" s="53" t="e">
        <f t="shared" si="1049"/>
        <v>#N/A</v>
      </c>
      <c r="AR462" s="54" t="e">
        <f t="shared" si="1049"/>
        <v>#N/A</v>
      </c>
      <c r="AS462" s="316">
        <f t="shared" si="1077"/>
        <v>0</v>
      </c>
      <c r="AT462" s="106">
        <f>_xlfn.IFNA($M462/VLOOKUP($BT462,'Unit information'!$A$2:$K$29,2,FALSE)*R462,0)*(1+$E$9)</f>
        <v>0</v>
      </c>
      <c r="AU462" s="107">
        <f>_xlfn.IFNA($M462/VLOOKUP($BT462,'Unit information'!$A$2:$K$29,3,FALSE)*S462,0)*(1+$E$9)</f>
        <v>0</v>
      </c>
      <c r="AV462" s="107">
        <f>_xlfn.IFNA($M462/VLOOKUP($BT462,'Unit information'!$A$2:$K$29,4,FALSE)*T462,0)*(1+$E$9)</f>
        <v>0</v>
      </c>
      <c r="AW462" s="107">
        <f>_xlfn.IFNA($M462/VLOOKUP($BT462,'Unit information'!$A$2:$K$29,5,FALSE)*U462,0)*(1+$E$9)</f>
        <v>0</v>
      </c>
      <c r="AX462" s="107">
        <f>_xlfn.IFNA($M462/VLOOKUP($BU462,'Unit information'!$A$2:$K$29,6,FALSE)*V462,0)*(1+$E$9)</f>
        <v>0</v>
      </c>
      <c r="AY462" s="107">
        <f>_xlfn.IFNA($M462/VLOOKUP($BU462,'Unit information'!$A$2:$K$29,7,FALSE)*W462,0)*(1+$E$9)</f>
        <v>0</v>
      </c>
      <c r="AZ462" s="107">
        <f>_xlfn.IFNA($M462/VLOOKUP($BU462,'Unit information'!$A$2:$K$29,8,FALSE)*X462,0)*(1+$E$9)</f>
        <v>0</v>
      </c>
      <c r="BA462" s="107">
        <f>_xlfn.IFNA($M462/VLOOKUP($BU462,'Unit information'!$A$2:$K$29,9,FALSE)*Y462,0)*(1+$E$9)</f>
        <v>0</v>
      </c>
      <c r="BB462" s="107">
        <f>_xlfn.IFNA($M462/VLOOKUP($BV462,'Unit information'!$A$2:$K$29,10,FALSE)*Z462,0)*(1+$E$9)</f>
        <v>0</v>
      </c>
      <c r="BC462" s="108">
        <f>_xlfn.IFNA($M462/VLOOKUP($BV462,'Unit information'!$A$2:$K$29,11,FALSE)*AA462,0)*(1+$E$9)</f>
        <v>0</v>
      </c>
      <c r="BD462" s="106">
        <f t="shared" si="945"/>
        <v>0</v>
      </c>
      <c r="BE462" s="107">
        <f t="shared" si="946"/>
        <v>0</v>
      </c>
      <c r="BF462" s="108">
        <f t="shared" si="947"/>
        <v>0</v>
      </c>
      <c r="BG462" s="25" t="e">
        <f t="shared" si="948"/>
        <v>#N/A</v>
      </c>
      <c r="BH462" s="25" t="e">
        <f t="shared" si="949"/>
        <v>#N/A</v>
      </c>
      <c r="BI462" s="25" t="e">
        <f t="shared" si="950"/>
        <v>#N/A</v>
      </c>
      <c r="BJ462" s="27" t="e">
        <f t="shared" si="951"/>
        <v>#N/A</v>
      </c>
      <c r="BK462" s="18" t="e">
        <f t="shared" si="952"/>
        <v>#N/A</v>
      </c>
      <c r="BL462" s="18" t="e">
        <f t="shared" si="953"/>
        <v>#N/A</v>
      </c>
      <c r="BM462" s="28" t="e">
        <f t="shared" si="1003"/>
        <v>#N/A</v>
      </c>
      <c r="BN462" s="33">
        <f>HLOOKUP("maximum population",Miscelaneous!$C$1:$C$33,CH462+3,FALSE)</f>
        <v>240</v>
      </c>
      <c r="BO462" s="14">
        <f t="shared" si="966"/>
        <v>32</v>
      </c>
      <c r="BP462" s="14">
        <f t="shared" si="967"/>
        <v>0</v>
      </c>
      <c r="BQ462" s="14">
        <f t="shared" si="968"/>
        <v>208</v>
      </c>
      <c r="BR462" s="34" t="e">
        <f>HLOOKUP(J462,Villagers!$B$1:$V$33,L462+3,FALSE)-HLOOKUP(J462,Villagers!$B$1:$V$33,L462+2,FALSE)</f>
        <v>#N/A</v>
      </c>
      <c r="BS462" s="49">
        <f t="shared" si="969"/>
        <v>1</v>
      </c>
      <c r="BT462" s="50">
        <f t="shared" si="970"/>
        <v>0</v>
      </c>
      <c r="BU462" s="50">
        <f t="shared" si="971"/>
        <v>0</v>
      </c>
      <c r="BV462" s="50">
        <f t="shared" si="972"/>
        <v>0</v>
      </c>
      <c r="BW462" s="50">
        <f t="shared" si="1083"/>
        <v>0</v>
      </c>
      <c r="BX462" s="50">
        <f t="shared" si="1081"/>
        <v>0</v>
      </c>
      <c r="BY462" s="50">
        <f t="shared" si="1081"/>
        <v>0</v>
      </c>
      <c r="BZ462" s="50">
        <f t="shared" si="1015"/>
        <v>0</v>
      </c>
      <c r="CA462" s="50">
        <f t="shared" si="1016"/>
        <v>0</v>
      </c>
      <c r="CB462" s="50">
        <f t="shared" si="1017"/>
        <v>1</v>
      </c>
      <c r="CC462" s="50">
        <f t="shared" si="1018"/>
        <v>0</v>
      </c>
      <c r="CD462" s="50">
        <f t="shared" si="1019"/>
        <v>0</v>
      </c>
      <c r="CE462" s="50">
        <f t="shared" si="1020"/>
        <v>1</v>
      </c>
      <c r="CF462" s="50">
        <f t="shared" si="1021"/>
        <v>1</v>
      </c>
      <c r="CG462" s="50">
        <f t="shared" si="1022"/>
        <v>1</v>
      </c>
      <c r="CH462" s="50">
        <f t="shared" si="1023"/>
        <v>1</v>
      </c>
      <c r="CI462" s="50">
        <f t="shared" si="1024"/>
        <v>1</v>
      </c>
      <c r="CJ462" s="50">
        <f t="shared" si="1025"/>
        <v>1</v>
      </c>
      <c r="CK462" s="50">
        <f t="shared" si="1025"/>
        <v>0</v>
      </c>
      <c r="CL462" s="50">
        <f t="shared" si="1025"/>
        <v>0</v>
      </c>
      <c r="CM462" s="51">
        <f t="shared" si="1026"/>
        <v>0</v>
      </c>
      <c r="CN462" s="33">
        <f>ROUND(IF(BS462=0,0,HLOOKUP(BS$14,Villagers!$B$1:$V$33,BS462+3,FALSE)),)</f>
        <v>5</v>
      </c>
      <c r="CO462" s="14">
        <f>ROUND(IF(BT462=0,0,HLOOKUP(BT$14,Villagers!$B$1:$V$33,BT462+3,FALSE)),)</f>
        <v>0</v>
      </c>
      <c r="CP462" s="14">
        <f>ROUND(IF(BU462=0,0,HLOOKUP(BU$14,Villagers!$B$1:$V$33,BU462+3,FALSE)),)</f>
        <v>0</v>
      </c>
      <c r="CQ462" s="14">
        <f>ROUND(IF(BV462=0,0,HLOOKUP(BV$14,Villagers!$B$1:$V$33,BV462+3,FALSE)),)</f>
        <v>0</v>
      </c>
      <c r="CR462" s="14">
        <f>ROUND(IF(BW462=0,0,HLOOKUP(BW$14,Villagers!$B$1:$V$33,BW462+3,FALSE)),)</f>
        <v>0</v>
      </c>
      <c r="CS462" s="14">
        <f>ROUND(IF(BX462=0,0,HLOOKUP(BX$14,Villagers!$B$1:$V$33,BX462+3,FALSE)),)</f>
        <v>0</v>
      </c>
      <c r="CT462" s="14">
        <f>ROUND(IF(BY462=0,0,HLOOKUP(BY$14,Villagers!$B$1:$V$33,BY462+3,FALSE)),)</f>
        <v>0</v>
      </c>
      <c r="CU462" s="14">
        <f>ROUND(IF(BZ462=0,0,HLOOKUP(BZ$14,Villagers!$B$1:$V$33,BZ462+3,FALSE)),)</f>
        <v>0</v>
      </c>
      <c r="CV462" s="14">
        <f>ROUND(IF(CA462=0,0,HLOOKUP(CA$14,Villagers!$B$1:$V$33,CA462+3,FALSE)),)</f>
        <v>0</v>
      </c>
      <c r="CW462" s="14">
        <f>ROUND(IF(CB462=0,0,HLOOKUP(CB$14,Villagers!$B$1:$V$33,CB462+3,FALSE)),)</f>
        <v>0</v>
      </c>
      <c r="CX462" s="14">
        <f>ROUND(IF(CC462=0,0,HLOOKUP(CC$14,Villagers!$B$1:$V$33,CC462+3,FALSE)),)</f>
        <v>0</v>
      </c>
      <c r="CY462" s="14">
        <f>ROUND(IF(CD462=0,0,HLOOKUP(CD$14,Villagers!$B$1:$V$33,CD462+3,FALSE)),)</f>
        <v>0</v>
      </c>
      <c r="CZ462" s="14">
        <f>ROUND(IF(CE462=0,0,HLOOKUP(CE$14,Villagers!$B$1:$V$33,CE462+3,FALSE)),)</f>
        <v>5</v>
      </c>
      <c r="DA462" s="14">
        <f>ROUND(IF(CF462=0,0,HLOOKUP(CF$14,Villagers!$B$1:$V$33,CF462+3,FALSE)),)</f>
        <v>10</v>
      </c>
      <c r="DB462" s="14">
        <f>ROUND(IF(CG462=0,0,HLOOKUP(CG$14,Villagers!$B$1:$V$33,CG462+3,FALSE)),)</f>
        <v>10</v>
      </c>
      <c r="DC462" s="14">
        <f>ROUND(IF(CH462=0,0,HLOOKUP(CH$14,Villagers!$B$1:$V$33,CH462+3,FALSE)),)</f>
        <v>0</v>
      </c>
      <c r="DD462" s="14">
        <f>ROUND(IF(CI462=0,0,HLOOKUP(CI$14,Villagers!$B$1:$V$33,CI462+3,FALSE)),)</f>
        <v>0</v>
      </c>
      <c r="DE462" s="14">
        <f>ROUND(IF(CJ462=0,0,HLOOKUP(CJ$14,Villagers!$B$1:$V$33,CJ462+3,FALSE)),)</f>
        <v>2</v>
      </c>
      <c r="DF462" s="370">
        <f>ROUND(IF(CK462=0,0,HLOOKUP(CK$14,Villagers!$B$1:$V$33,CK462+3,FALSE)),)</f>
        <v>0</v>
      </c>
      <c r="DG462" s="370">
        <f>ROUND(IF(CL462=0,0,HLOOKUP(CL$14,Villagers!$B$1:$V$33,CL462+3,FALSE)),)</f>
        <v>0</v>
      </c>
      <c r="DH462" s="34">
        <f>ROUND(IF(CM462=0,0,HLOOKUP(CM$14,Villagers!$B$1:$V$33,CM462+3,FALSE)),)</f>
        <v>0</v>
      </c>
      <c r="DI462" s="109">
        <f t="shared" si="989"/>
        <v>0</v>
      </c>
      <c r="DJ462" s="50">
        <f t="shared" si="990"/>
        <v>0</v>
      </c>
      <c r="DK462" s="50">
        <f t="shared" si="991"/>
        <v>0</v>
      </c>
      <c r="DL462" s="50">
        <f t="shared" si="992"/>
        <v>0</v>
      </c>
      <c r="DM462" s="50">
        <f t="shared" si="993"/>
        <v>0</v>
      </c>
      <c r="DN462" s="50">
        <f t="shared" si="994"/>
        <v>0</v>
      </c>
      <c r="DO462" s="50">
        <f t="shared" si="995"/>
        <v>0</v>
      </c>
      <c r="DP462" s="50">
        <f t="shared" si="996"/>
        <v>0</v>
      </c>
      <c r="DQ462" s="50">
        <f t="shared" si="973"/>
        <v>0</v>
      </c>
      <c r="DR462" s="50">
        <f t="shared" si="974"/>
        <v>0</v>
      </c>
      <c r="DS462" s="96">
        <f>Miscelaneous!$D$4*Miscelaneous!$D$2^($CI462-1)</f>
        <v>1000</v>
      </c>
      <c r="DT462" s="333">
        <f t="shared" si="955"/>
        <v>1</v>
      </c>
      <c r="DU462" s="81">
        <v>1</v>
      </c>
      <c r="DV462" s="79">
        <f t="shared" si="975"/>
        <v>0</v>
      </c>
      <c r="DW462" s="79">
        <f t="shared" si="976"/>
        <v>0</v>
      </c>
      <c r="DX462" s="79">
        <f t="shared" si="977"/>
        <v>0</v>
      </c>
      <c r="DY462" s="79">
        <v>1</v>
      </c>
      <c r="DZ462" s="79">
        <f t="shared" si="978"/>
        <v>0</v>
      </c>
      <c r="EA462" s="79">
        <f t="shared" si="979"/>
        <v>0</v>
      </c>
      <c r="EB462" s="79">
        <f t="shared" si="980"/>
        <v>0</v>
      </c>
      <c r="EC462" s="79">
        <f t="shared" si="981"/>
        <v>0</v>
      </c>
      <c r="ED462" s="79">
        <v>1</v>
      </c>
      <c r="EE462" s="79">
        <v>1</v>
      </c>
      <c r="EF462" s="79">
        <f t="shared" si="982"/>
        <v>0</v>
      </c>
      <c r="EG462" s="79">
        <v>1</v>
      </c>
      <c r="EH462" s="79">
        <v>1</v>
      </c>
      <c r="EI462" s="79">
        <v>1</v>
      </c>
      <c r="EJ462" s="79">
        <v>1</v>
      </c>
      <c r="EK462" s="79">
        <v>1</v>
      </c>
      <c r="EL462" s="79">
        <v>1</v>
      </c>
      <c r="EM462" s="143">
        <f t="shared" si="983"/>
        <v>0</v>
      </c>
      <c r="EN462" s="143">
        <f t="shared" si="984"/>
        <v>0</v>
      </c>
      <c r="EO462" s="82">
        <f t="shared" si="985"/>
        <v>0</v>
      </c>
    </row>
    <row r="463" spans="1:145" x14ac:dyDescent="0.25">
      <c r="A463">
        <v>449</v>
      </c>
      <c r="B463" s="172" t="e">
        <f t="shared" si="956"/>
        <v>#N/A</v>
      </c>
      <c r="C463" s="121" t="e">
        <f t="shared" ref="C463:E463" si="1091">AJ463-SUM(AB463:AB467)</f>
        <v>#N/A</v>
      </c>
      <c r="D463" s="122" t="e">
        <f t="shared" si="1091"/>
        <v>#N/A</v>
      </c>
      <c r="E463" s="122" t="e">
        <f t="shared" si="1091"/>
        <v>#N/A</v>
      </c>
      <c r="F463" s="176" t="e">
        <f t="shared" ref="F463:F509" si="1092">IF(AND(MAX(C463:E463)&gt;0,DS463-MAX(C463:E463)&lt;DS463),DS463-MAX(C463:E463),DS463)</f>
        <v>#N/A</v>
      </c>
      <c r="G463" s="121">
        <f t="shared" si="958"/>
        <v>208</v>
      </c>
      <c r="H463" s="176" t="e">
        <f t="shared" si="959"/>
        <v>#N/A</v>
      </c>
      <c r="I463" s="48">
        <v>1</v>
      </c>
      <c r="J463" s="39"/>
      <c r="K463" s="350">
        <v>1</v>
      </c>
      <c r="L463" s="34" t="e">
        <f t="shared" ref="L463:L509" si="1093">HLOOKUP(J463,$BS$14:$CM$508,A464,FALSE)+K463</f>
        <v>#N/A</v>
      </c>
      <c r="M463" s="38" t="e">
        <f>(HLOOKUP(J463,'Construction Times'!$B$3:$W$34,L463+2,FALSE)*HLOOKUP("hq modifier",'Construction Times'!$W$3:$W$34,BS463+2,FALSE))*(1-$H$9)</f>
        <v>#N/A</v>
      </c>
      <c r="N463" s="426" t="e">
        <f t="shared" si="960"/>
        <v>#N/A</v>
      </c>
      <c r="O463" s="427"/>
      <c r="P463" s="430" t="e">
        <f t="shared" si="961"/>
        <v>#N/A</v>
      </c>
      <c r="Q463" s="431"/>
      <c r="R463" s="103">
        <f t="shared" si="1052"/>
        <v>0</v>
      </c>
      <c r="S463" s="104">
        <f t="shared" si="1052"/>
        <v>0</v>
      </c>
      <c r="T463" s="104">
        <f t="shared" si="1053"/>
        <v>0</v>
      </c>
      <c r="U463" s="104">
        <f t="shared" si="1053"/>
        <v>0</v>
      </c>
      <c r="V463" s="104">
        <f t="shared" si="1053"/>
        <v>9.9999999999999995E-8</v>
      </c>
      <c r="W463" s="104">
        <f t="shared" si="1053"/>
        <v>0</v>
      </c>
      <c r="X463" s="104">
        <f t="shared" si="1089"/>
        <v>0</v>
      </c>
      <c r="Y463" s="104">
        <f t="shared" si="1089"/>
        <v>9.9999999999999995E-8</v>
      </c>
      <c r="Z463" s="104">
        <f t="shared" si="1089"/>
        <v>9.9999999999999995E-8</v>
      </c>
      <c r="AA463" s="105">
        <f t="shared" si="1089"/>
        <v>9.9999999999999995E-8</v>
      </c>
      <c r="AB463" s="101" t="e">
        <f>$DT463*HLOOKUP($J463,'Construction Costs (timber)'!$B$1:$V$32,'Construction Planner'!$L463+2,FALSE)</f>
        <v>#N/A</v>
      </c>
      <c r="AC463" s="14" t="e">
        <f>$DT463*HLOOKUP($J463,'Construction Costs (clay)'!$B$1:$V$32,'Construction Planner'!$L463+2,FALSE)</f>
        <v>#N/A</v>
      </c>
      <c r="AD463" s="14" t="e">
        <f>$DT463*HLOOKUP($J463,'Construction Costs (iron)'!$B$1:$V$32,'Construction Planner'!$L463+2,FALSE)</f>
        <v>#N/A</v>
      </c>
      <c r="AE463" s="34" t="e">
        <f t="shared" si="1000"/>
        <v>#N/A</v>
      </c>
      <c r="AF463" s="33" t="e">
        <f t="shared" ref="AF463:AF509" si="1094">AB463*($AH$3/$M463)</f>
        <v>#N/A</v>
      </c>
      <c r="AG463" s="14" t="e">
        <f t="shared" ref="AG463:AG509" si="1095">AC463*($AH$3/$M463)</f>
        <v>#N/A</v>
      </c>
      <c r="AH463" s="14" t="e">
        <f t="shared" ref="AH463:AH509" si="1096">AD463*($AH$3/$M463)</f>
        <v>#N/A</v>
      </c>
      <c r="AI463" s="34" t="e">
        <f t="shared" si="1001"/>
        <v>#N/A</v>
      </c>
      <c r="AJ463" s="49" t="e">
        <f t="shared" si="962"/>
        <v>#N/A</v>
      </c>
      <c r="AK463" s="49" t="e">
        <f t="shared" si="963"/>
        <v>#N/A</v>
      </c>
      <c r="AL463" s="49" t="e">
        <f t="shared" si="964"/>
        <v>#N/A</v>
      </c>
      <c r="AM463" s="25">
        <f t="shared" ref="AM463:AM509" si="1097">IF(CE463 = 0,$E$3*5,$E$3*30*1.163118^(CE463-1))*(1+$B$10)</f>
        <v>30</v>
      </c>
      <c r="AN463" s="25">
        <f t="shared" ref="AN463:AN509" si="1098">IF(CF463 = 0,$E$3*5,$E$3*30*1.163118^(CF463-1))*(1+$B$10)</f>
        <v>30</v>
      </c>
      <c r="AO463" s="25">
        <f t="shared" ref="AO463:AO509" si="1099">IF(CG463 = 0,$E$3*5,$E$3*30*1.163118^(CG463-1))*(1+$B$10)</f>
        <v>30</v>
      </c>
      <c r="AP463" s="52" t="e">
        <f t="shared" si="1049"/>
        <v>#N/A</v>
      </c>
      <c r="AQ463" s="53" t="e">
        <f t="shared" si="1049"/>
        <v>#N/A</v>
      </c>
      <c r="AR463" s="54" t="e">
        <f t="shared" si="1049"/>
        <v>#N/A</v>
      </c>
      <c r="AS463" s="316">
        <f t="shared" si="1077"/>
        <v>0</v>
      </c>
      <c r="AT463" s="106">
        <f>_xlfn.IFNA($M463/VLOOKUP($BT463,'Unit information'!$A$2:$K$29,2,FALSE)*R463,0)*(1+$E$9)</f>
        <v>0</v>
      </c>
      <c r="AU463" s="107">
        <f>_xlfn.IFNA($M463/VLOOKUP($BT463,'Unit information'!$A$2:$K$29,3,FALSE)*S463,0)*(1+$E$9)</f>
        <v>0</v>
      </c>
      <c r="AV463" s="107">
        <f>_xlfn.IFNA($M463/VLOOKUP($BT463,'Unit information'!$A$2:$K$29,4,FALSE)*T463,0)*(1+$E$9)</f>
        <v>0</v>
      </c>
      <c r="AW463" s="107">
        <f>_xlfn.IFNA($M463/VLOOKUP($BT463,'Unit information'!$A$2:$K$29,5,FALSE)*U463,0)*(1+$E$9)</f>
        <v>0</v>
      </c>
      <c r="AX463" s="107">
        <f>_xlfn.IFNA($M463/VLOOKUP($BU463,'Unit information'!$A$2:$K$29,6,FALSE)*V463,0)*(1+$E$9)</f>
        <v>0</v>
      </c>
      <c r="AY463" s="107">
        <f>_xlfn.IFNA($M463/VLOOKUP($BU463,'Unit information'!$A$2:$K$29,7,FALSE)*W463,0)*(1+$E$9)</f>
        <v>0</v>
      </c>
      <c r="AZ463" s="107">
        <f>_xlfn.IFNA($M463/VLOOKUP($BU463,'Unit information'!$A$2:$K$29,8,FALSE)*X463,0)*(1+$E$9)</f>
        <v>0</v>
      </c>
      <c r="BA463" s="107">
        <f>_xlfn.IFNA($M463/VLOOKUP($BU463,'Unit information'!$A$2:$K$29,9,FALSE)*Y463,0)*(1+$E$9)</f>
        <v>0</v>
      </c>
      <c r="BB463" s="107">
        <f>_xlfn.IFNA($M463/VLOOKUP($BV463,'Unit information'!$A$2:$K$29,10,FALSE)*Z463,0)*(1+$E$9)</f>
        <v>0</v>
      </c>
      <c r="BC463" s="108">
        <f>_xlfn.IFNA($M463/VLOOKUP($BV463,'Unit information'!$A$2:$K$29,11,FALSE)*AA463,0)*(1+$E$9)</f>
        <v>0</v>
      </c>
      <c r="BD463" s="106">
        <f t="shared" ref="BD463:BD509" si="1100">$AT463*50+$AU463*30+$AV463*60+$AX463*50+$AY463*125+$BA463*200+$BB463*300+$BC463*320</f>
        <v>0</v>
      </c>
      <c r="BE463" s="107">
        <f t="shared" ref="BE463:BE509" si="1101">$AT463*30+$AU463*30+$AV463*30+$AX463*50+$AY463*100+$BA463*150+$BB463*200+$BC463*400</f>
        <v>0</v>
      </c>
      <c r="BF463" s="108">
        <f t="shared" ref="BF463:BF509" si="1102">$AT463*10+$AU463*70+$AV463*40+$AX463*20+$AY463*250+$BA463*600+$BB463*200+$BC463*100</f>
        <v>0</v>
      </c>
      <c r="BG463" s="25" t="e">
        <f t="shared" ref="BG463:BG509" si="1103">AM463+AP463</f>
        <v>#N/A</v>
      </c>
      <c r="BH463" s="25" t="e">
        <f t="shared" ref="BH463:BH509" si="1104">AN463+AQ463</f>
        <v>#N/A</v>
      </c>
      <c r="BI463" s="25" t="e">
        <f t="shared" ref="BI463:BI509" si="1105">AO463+AR463</f>
        <v>#N/A</v>
      </c>
      <c r="BJ463" s="27" t="e">
        <f t="shared" ref="BJ463:BJ509" si="1106">IF(AJ463&gt;AB463,0,(AB463-AJ463)/BG463*$AK$3)</f>
        <v>#N/A</v>
      </c>
      <c r="BK463" s="18" t="e">
        <f t="shared" ref="BK463:BK509" si="1107">IF(AK463&gt;AC463,0,(AC463-AK463)/BH463*$AK$3)</f>
        <v>#N/A</v>
      </c>
      <c r="BL463" s="18" t="e">
        <f t="shared" ref="BL463:BL509" si="1108">IF(AL463&gt;AD463,0,(AD463-AL463)/BI463*$AK$3)</f>
        <v>#N/A</v>
      </c>
      <c r="BM463" s="28" t="e">
        <f t="shared" si="1003"/>
        <v>#N/A</v>
      </c>
      <c r="BN463" s="33">
        <f>HLOOKUP("maximum population",Miscelaneous!$C$1:$C$33,CH463+3,FALSE)</f>
        <v>240</v>
      </c>
      <c r="BO463" s="14">
        <f t="shared" si="966"/>
        <v>32</v>
      </c>
      <c r="BP463" s="14">
        <f t="shared" si="967"/>
        <v>0</v>
      </c>
      <c r="BQ463" s="14">
        <f t="shared" si="968"/>
        <v>208</v>
      </c>
      <c r="BR463" s="34" t="e">
        <f>HLOOKUP(J463,Villagers!$B$1:$V$33,L463+3,FALSE)-HLOOKUP(J463,Villagers!$B$1:$V$33,L463+2,FALSE)</f>
        <v>#N/A</v>
      </c>
      <c r="BS463" s="49">
        <f t="shared" si="969"/>
        <v>1</v>
      </c>
      <c r="BT463" s="50">
        <f t="shared" si="970"/>
        <v>0</v>
      </c>
      <c r="BU463" s="50">
        <f t="shared" si="971"/>
        <v>0</v>
      </c>
      <c r="BV463" s="50">
        <f t="shared" si="972"/>
        <v>0</v>
      </c>
      <c r="BW463" s="50">
        <f t="shared" si="1083"/>
        <v>0</v>
      </c>
      <c r="BX463" s="50">
        <f t="shared" si="1081"/>
        <v>0</v>
      </c>
      <c r="BY463" s="50">
        <f t="shared" si="1081"/>
        <v>0</v>
      </c>
      <c r="BZ463" s="50">
        <f t="shared" si="1015"/>
        <v>0</v>
      </c>
      <c r="CA463" s="50">
        <f t="shared" si="1016"/>
        <v>0</v>
      </c>
      <c r="CB463" s="50">
        <f t="shared" si="1017"/>
        <v>1</v>
      </c>
      <c r="CC463" s="50">
        <f t="shared" si="1018"/>
        <v>0</v>
      </c>
      <c r="CD463" s="50">
        <f t="shared" si="1019"/>
        <v>0</v>
      </c>
      <c r="CE463" s="50">
        <f t="shared" si="1020"/>
        <v>1</v>
      </c>
      <c r="CF463" s="50">
        <f t="shared" si="1021"/>
        <v>1</v>
      </c>
      <c r="CG463" s="50">
        <f t="shared" si="1022"/>
        <v>1</v>
      </c>
      <c r="CH463" s="50">
        <f t="shared" si="1023"/>
        <v>1</v>
      </c>
      <c r="CI463" s="50">
        <f t="shared" si="1024"/>
        <v>1</v>
      </c>
      <c r="CJ463" s="50">
        <f t="shared" si="1025"/>
        <v>1</v>
      </c>
      <c r="CK463" s="50">
        <f t="shared" si="1025"/>
        <v>0</v>
      </c>
      <c r="CL463" s="50">
        <f t="shared" si="1025"/>
        <v>0</v>
      </c>
      <c r="CM463" s="51">
        <f t="shared" si="1026"/>
        <v>0</v>
      </c>
      <c r="CN463" s="33">
        <f>ROUND(IF(BS463=0,0,HLOOKUP(BS$14,Villagers!$B$1:$V$33,BS463+3,FALSE)),)</f>
        <v>5</v>
      </c>
      <c r="CO463" s="14">
        <f>ROUND(IF(BT463=0,0,HLOOKUP(BT$14,Villagers!$B$1:$V$33,BT463+3,FALSE)),)</f>
        <v>0</v>
      </c>
      <c r="CP463" s="14">
        <f>ROUND(IF(BU463=0,0,HLOOKUP(BU$14,Villagers!$B$1:$V$33,BU463+3,FALSE)),)</f>
        <v>0</v>
      </c>
      <c r="CQ463" s="14">
        <f>ROUND(IF(BV463=0,0,HLOOKUP(BV$14,Villagers!$B$1:$V$33,BV463+3,FALSE)),)</f>
        <v>0</v>
      </c>
      <c r="CR463" s="14">
        <f>ROUND(IF(BW463=0,0,HLOOKUP(BW$14,Villagers!$B$1:$V$33,BW463+3,FALSE)),)</f>
        <v>0</v>
      </c>
      <c r="CS463" s="14">
        <f>ROUND(IF(BX463=0,0,HLOOKUP(BX$14,Villagers!$B$1:$V$33,BX463+3,FALSE)),)</f>
        <v>0</v>
      </c>
      <c r="CT463" s="14">
        <f>ROUND(IF(BY463=0,0,HLOOKUP(BY$14,Villagers!$B$1:$V$33,BY463+3,FALSE)),)</f>
        <v>0</v>
      </c>
      <c r="CU463" s="14">
        <f>ROUND(IF(BZ463=0,0,HLOOKUP(BZ$14,Villagers!$B$1:$V$33,BZ463+3,FALSE)),)</f>
        <v>0</v>
      </c>
      <c r="CV463" s="14">
        <f>ROUND(IF(CA463=0,0,HLOOKUP(CA$14,Villagers!$B$1:$V$33,CA463+3,FALSE)),)</f>
        <v>0</v>
      </c>
      <c r="CW463" s="14">
        <f>ROUND(IF(CB463=0,0,HLOOKUP(CB$14,Villagers!$B$1:$V$33,CB463+3,FALSE)),)</f>
        <v>0</v>
      </c>
      <c r="CX463" s="14">
        <f>ROUND(IF(CC463=0,0,HLOOKUP(CC$14,Villagers!$B$1:$V$33,CC463+3,FALSE)),)</f>
        <v>0</v>
      </c>
      <c r="CY463" s="14">
        <f>ROUND(IF(CD463=0,0,HLOOKUP(CD$14,Villagers!$B$1:$V$33,CD463+3,FALSE)),)</f>
        <v>0</v>
      </c>
      <c r="CZ463" s="14">
        <f>ROUND(IF(CE463=0,0,HLOOKUP(CE$14,Villagers!$B$1:$V$33,CE463+3,FALSE)),)</f>
        <v>5</v>
      </c>
      <c r="DA463" s="14">
        <f>ROUND(IF(CF463=0,0,HLOOKUP(CF$14,Villagers!$B$1:$V$33,CF463+3,FALSE)),)</f>
        <v>10</v>
      </c>
      <c r="DB463" s="14">
        <f>ROUND(IF(CG463=0,0,HLOOKUP(CG$14,Villagers!$B$1:$V$33,CG463+3,FALSE)),)</f>
        <v>10</v>
      </c>
      <c r="DC463" s="14">
        <f>ROUND(IF(CH463=0,0,HLOOKUP(CH$14,Villagers!$B$1:$V$33,CH463+3,FALSE)),)</f>
        <v>0</v>
      </c>
      <c r="DD463" s="14">
        <f>ROUND(IF(CI463=0,0,HLOOKUP(CI$14,Villagers!$B$1:$V$33,CI463+3,FALSE)),)</f>
        <v>0</v>
      </c>
      <c r="DE463" s="14">
        <f>ROUND(IF(CJ463=0,0,HLOOKUP(CJ$14,Villagers!$B$1:$V$33,CJ463+3,FALSE)),)</f>
        <v>2</v>
      </c>
      <c r="DF463" s="370">
        <f>ROUND(IF(CK463=0,0,HLOOKUP(CK$14,Villagers!$B$1:$V$33,CK463+3,FALSE)),)</f>
        <v>0</v>
      </c>
      <c r="DG463" s="370">
        <f>ROUND(IF(CL463=0,0,HLOOKUP(CL$14,Villagers!$B$1:$V$33,CL463+3,FALSE)),)</f>
        <v>0</v>
      </c>
      <c r="DH463" s="34">
        <f>ROUND(IF(CM463=0,0,HLOOKUP(CM$14,Villagers!$B$1:$V$33,CM463+3,FALSE)),)</f>
        <v>0</v>
      </c>
      <c r="DI463" s="109">
        <f t="shared" si="989"/>
        <v>0</v>
      </c>
      <c r="DJ463" s="50">
        <f t="shared" si="990"/>
        <v>0</v>
      </c>
      <c r="DK463" s="50">
        <f t="shared" si="991"/>
        <v>0</v>
      </c>
      <c r="DL463" s="50">
        <f t="shared" si="992"/>
        <v>0</v>
      </c>
      <c r="DM463" s="50">
        <f t="shared" si="993"/>
        <v>0</v>
      </c>
      <c r="DN463" s="50">
        <f t="shared" si="994"/>
        <v>0</v>
      </c>
      <c r="DO463" s="50">
        <f t="shared" si="995"/>
        <v>0</v>
      </c>
      <c r="DP463" s="50">
        <f t="shared" si="996"/>
        <v>0</v>
      </c>
      <c r="DQ463" s="50">
        <f t="shared" si="973"/>
        <v>0</v>
      </c>
      <c r="DR463" s="50">
        <f t="shared" si="974"/>
        <v>0</v>
      </c>
      <c r="DS463" s="96">
        <f>Miscelaneous!$D$4*Miscelaneous!$D$2^($CI463-1)</f>
        <v>1000</v>
      </c>
      <c r="DT463" s="333">
        <f t="shared" ref="DT463:DT509" si="1109">IF(I463&lt;3,1,1.125^(I463-3))</f>
        <v>1</v>
      </c>
      <c r="DU463" s="81">
        <v>1</v>
      </c>
      <c r="DV463" s="79">
        <f t="shared" si="975"/>
        <v>0</v>
      </c>
      <c r="DW463" s="79">
        <f t="shared" si="976"/>
        <v>0</v>
      </c>
      <c r="DX463" s="79">
        <f t="shared" si="977"/>
        <v>0</v>
      </c>
      <c r="DY463" s="79">
        <v>1</v>
      </c>
      <c r="DZ463" s="79">
        <f t="shared" si="978"/>
        <v>0</v>
      </c>
      <c r="EA463" s="79">
        <f t="shared" si="979"/>
        <v>0</v>
      </c>
      <c r="EB463" s="79">
        <f t="shared" si="980"/>
        <v>0</v>
      </c>
      <c r="EC463" s="79">
        <f t="shared" si="981"/>
        <v>0</v>
      </c>
      <c r="ED463" s="79">
        <v>1</v>
      </c>
      <c r="EE463" s="79">
        <v>1</v>
      </c>
      <c r="EF463" s="79">
        <f t="shared" si="982"/>
        <v>0</v>
      </c>
      <c r="EG463" s="79">
        <v>1</v>
      </c>
      <c r="EH463" s="79">
        <v>1</v>
      </c>
      <c r="EI463" s="79">
        <v>1</v>
      </c>
      <c r="EJ463" s="79">
        <v>1</v>
      </c>
      <c r="EK463" s="79">
        <v>1</v>
      </c>
      <c r="EL463" s="79">
        <v>1</v>
      </c>
      <c r="EM463" s="143">
        <f t="shared" si="983"/>
        <v>0</v>
      </c>
      <c r="EN463" s="143">
        <f t="shared" si="984"/>
        <v>0</v>
      </c>
      <c r="EO463" s="82">
        <f t="shared" si="985"/>
        <v>0</v>
      </c>
    </row>
    <row r="464" spans="1:145" x14ac:dyDescent="0.25">
      <c r="A464">
        <v>450</v>
      </c>
      <c r="B464" s="172" t="e">
        <f t="shared" ref="B464:B509" si="1110">BM464</f>
        <v>#N/A</v>
      </c>
      <c r="C464" s="121" t="e">
        <f t="shared" ref="C464:E464" si="1111">AJ464-SUM(AB464:AB468)</f>
        <v>#N/A</v>
      </c>
      <c r="D464" s="122" t="e">
        <f t="shared" si="1111"/>
        <v>#N/A</v>
      </c>
      <c r="E464" s="122" t="e">
        <f t="shared" si="1111"/>
        <v>#N/A</v>
      </c>
      <c r="F464" s="176" t="e">
        <f t="shared" si="1092"/>
        <v>#N/A</v>
      </c>
      <c r="G464" s="121">
        <f t="shared" ref="G464:G509" si="1112">BQ464</f>
        <v>208</v>
      </c>
      <c r="H464" s="176" t="e">
        <f t="shared" ref="H464:H509" si="1113">BQ464-SUM(BR464:BR468)</f>
        <v>#N/A</v>
      </c>
      <c r="I464" s="48">
        <v>1</v>
      </c>
      <c r="J464" s="39"/>
      <c r="K464" s="350">
        <v>1</v>
      </c>
      <c r="L464" s="34" t="e">
        <f t="shared" si="1093"/>
        <v>#N/A</v>
      </c>
      <c r="M464" s="38" t="e">
        <f>(HLOOKUP(J464,'Construction Times'!$B$3:$W$34,L464+2,FALSE)*HLOOKUP("hq modifier",'Construction Times'!$W$3:$W$34,BS464+2,FALSE))*(1-$H$9)</f>
        <v>#N/A</v>
      </c>
      <c r="N464" s="426" t="e">
        <f t="shared" ref="N464:N509" si="1114">P463+M463</f>
        <v>#N/A</v>
      </c>
      <c r="O464" s="427"/>
      <c r="P464" s="430" t="e">
        <f t="shared" ref="P464:P509" si="1115">IF(MAX(AB464:AD464)&gt;DS464,"Speicher zu klein",IF(HLOOKUP(J464,$DU$14:$EO$509,A464+2,FALSE)=0,"Gebäude Vor. nicht erfüllt",N464+BM464))</f>
        <v>#N/A</v>
      </c>
      <c r="Q464" s="431"/>
      <c r="R464" s="103">
        <f t="shared" si="1052"/>
        <v>0</v>
      </c>
      <c r="S464" s="104">
        <f t="shared" si="1052"/>
        <v>0</v>
      </c>
      <c r="T464" s="104">
        <f t="shared" si="1053"/>
        <v>0</v>
      </c>
      <c r="U464" s="104">
        <f t="shared" si="1053"/>
        <v>0</v>
      </c>
      <c r="V464" s="104">
        <f t="shared" si="1053"/>
        <v>9.9999999999999995E-8</v>
      </c>
      <c r="W464" s="104">
        <f t="shared" si="1053"/>
        <v>0</v>
      </c>
      <c r="X464" s="104">
        <f t="shared" si="1089"/>
        <v>0</v>
      </c>
      <c r="Y464" s="104">
        <f t="shared" si="1089"/>
        <v>9.9999999999999995E-8</v>
      </c>
      <c r="Z464" s="104">
        <f t="shared" si="1089"/>
        <v>9.9999999999999995E-8</v>
      </c>
      <c r="AA464" s="105">
        <f t="shared" si="1089"/>
        <v>9.9999999999999995E-8</v>
      </c>
      <c r="AB464" s="101" t="e">
        <f>$DT464*HLOOKUP($J464,'Construction Costs (timber)'!$B$1:$V$32,'Construction Planner'!$L464+2,FALSE)</f>
        <v>#N/A</v>
      </c>
      <c r="AC464" s="14" t="e">
        <f>$DT464*HLOOKUP($J464,'Construction Costs (clay)'!$B$1:$V$32,'Construction Planner'!$L464+2,FALSE)</f>
        <v>#N/A</v>
      </c>
      <c r="AD464" s="14" t="e">
        <f>$DT464*HLOOKUP($J464,'Construction Costs (iron)'!$B$1:$V$32,'Construction Planner'!$L464+2,FALSE)</f>
        <v>#N/A</v>
      </c>
      <c r="AE464" s="34" t="e">
        <f t="shared" si="1000"/>
        <v>#N/A</v>
      </c>
      <c r="AF464" s="33" t="e">
        <f t="shared" si="1094"/>
        <v>#N/A</v>
      </c>
      <c r="AG464" s="14" t="e">
        <f t="shared" si="1095"/>
        <v>#N/A</v>
      </c>
      <c r="AH464" s="14" t="e">
        <f t="shared" si="1096"/>
        <v>#N/A</v>
      </c>
      <c r="AI464" s="34" t="e">
        <f t="shared" si="1001"/>
        <v>#N/A</v>
      </c>
      <c r="AJ464" s="49" t="e">
        <f t="shared" ref="AJ464:AJ509" si="1116">(($N464-$N463)/$AK$3)*BG463+AJ463-AB463-BD463</f>
        <v>#N/A</v>
      </c>
      <c r="AK464" s="49" t="e">
        <f t="shared" ref="AK464:AK509" si="1117">(($N464-$N463)/$AK$3)*BH463+AK463-AC463-BE463</f>
        <v>#N/A</v>
      </c>
      <c r="AL464" s="49" t="e">
        <f t="shared" ref="AL464:AL509" si="1118">(($N464-$N463)/$AK$3)*BI463+AL463-AD463-BF463</f>
        <v>#N/A</v>
      </c>
      <c r="AM464" s="25">
        <f t="shared" si="1097"/>
        <v>30</v>
      </c>
      <c r="AN464" s="25">
        <f t="shared" si="1098"/>
        <v>30</v>
      </c>
      <c r="AO464" s="25">
        <f t="shared" si="1099"/>
        <v>30</v>
      </c>
      <c r="AP464" s="52" t="e">
        <f t="shared" ref="AP464:AR509" si="1119">($N464-$AK$6+$AK$9+1)*$AK$5/24/3*$AS464</f>
        <v>#N/A</v>
      </c>
      <c r="AQ464" s="53" t="e">
        <f t="shared" si="1119"/>
        <v>#N/A</v>
      </c>
      <c r="AR464" s="54" t="e">
        <f t="shared" si="1119"/>
        <v>#N/A</v>
      </c>
      <c r="AS464" s="316">
        <f t="shared" si="1077"/>
        <v>0</v>
      </c>
      <c r="AT464" s="106">
        <f>_xlfn.IFNA($M464/VLOOKUP($BT464,'Unit information'!$A$2:$K$29,2,FALSE)*R464,0)*(1+$E$9)</f>
        <v>0</v>
      </c>
      <c r="AU464" s="107">
        <f>_xlfn.IFNA($M464/VLOOKUP($BT464,'Unit information'!$A$2:$K$29,3,FALSE)*S464,0)*(1+$E$9)</f>
        <v>0</v>
      </c>
      <c r="AV464" s="107">
        <f>_xlfn.IFNA($M464/VLOOKUP($BT464,'Unit information'!$A$2:$K$29,4,FALSE)*T464,0)*(1+$E$9)</f>
        <v>0</v>
      </c>
      <c r="AW464" s="107">
        <f>_xlfn.IFNA($M464/VLOOKUP($BT464,'Unit information'!$A$2:$K$29,5,FALSE)*U464,0)*(1+$E$9)</f>
        <v>0</v>
      </c>
      <c r="AX464" s="107">
        <f>_xlfn.IFNA($M464/VLOOKUP($BU464,'Unit information'!$A$2:$K$29,6,FALSE)*V464,0)*(1+$E$9)</f>
        <v>0</v>
      </c>
      <c r="AY464" s="107">
        <f>_xlfn.IFNA($M464/VLOOKUP($BU464,'Unit information'!$A$2:$K$29,7,FALSE)*W464,0)*(1+$E$9)</f>
        <v>0</v>
      </c>
      <c r="AZ464" s="107">
        <f>_xlfn.IFNA($M464/VLOOKUP($BU464,'Unit information'!$A$2:$K$29,8,FALSE)*X464,0)*(1+$E$9)</f>
        <v>0</v>
      </c>
      <c r="BA464" s="107">
        <f>_xlfn.IFNA($M464/VLOOKUP($BU464,'Unit information'!$A$2:$K$29,9,FALSE)*Y464,0)*(1+$E$9)</f>
        <v>0</v>
      </c>
      <c r="BB464" s="107">
        <f>_xlfn.IFNA($M464/VLOOKUP($BV464,'Unit information'!$A$2:$K$29,10,FALSE)*Z464,0)*(1+$E$9)</f>
        <v>0</v>
      </c>
      <c r="BC464" s="108">
        <f>_xlfn.IFNA($M464/VLOOKUP($BV464,'Unit information'!$A$2:$K$29,11,FALSE)*AA464,0)*(1+$E$9)</f>
        <v>0</v>
      </c>
      <c r="BD464" s="106">
        <f t="shared" si="1100"/>
        <v>0</v>
      </c>
      <c r="BE464" s="107">
        <f t="shared" si="1101"/>
        <v>0</v>
      </c>
      <c r="BF464" s="108">
        <f t="shared" si="1102"/>
        <v>0</v>
      </c>
      <c r="BG464" s="25" t="e">
        <f t="shared" si="1103"/>
        <v>#N/A</v>
      </c>
      <c r="BH464" s="25" t="e">
        <f t="shared" si="1104"/>
        <v>#N/A</v>
      </c>
      <c r="BI464" s="25" t="e">
        <f t="shared" si="1105"/>
        <v>#N/A</v>
      </c>
      <c r="BJ464" s="27" t="e">
        <f t="shared" si="1106"/>
        <v>#N/A</v>
      </c>
      <c r="BK464" s="18" t="e">
        <f t="shared" si="1107"/>
        <v>#N/A</v>
      </c>
      <c r="BL464" s="18" t="e">
        <f t="shared" si="1108"/>
        <v>#N/A</v>
      </c>
      <c r="BM464" s="28" t="e">
        <f t="shared" si="1003"/>
        <v>#N/A</v>
      </c>
      <c r="BN464" s="33">
        <f>HLOOKUP("maximum population",Miscelaneous!$C$1:$C$33,CH464+3,FALSE)</f>
        <v>240</v>
      </c>
      <c r="BO464" s="14">
        <f t="shared" ref="BO464:BO509" si="1120">SUM(CN465:DH465)</f>
        <v>32</v>
      </c>
      <c r="BP464" s="14">
        <f t="shared" ref="BP464:BP509" si="1121">SUM(DI464:DL464)+DM464*2+DN464*4+DO464*5+DP464*6+DQ464*5+DR464*8</f>
        <v>0</v>
      </c>
      <c r="BQ464" s="14">
        <f t="shared" ref="BQ464:BQ509" si="1122">BN464-BO464-BP464</f>
        <v>208</v>
      </c>
      <c r="BR464" s="34" t="e">
        <f>HLOOKUP(J464,Villagers!$B$1:$V$33,L464+3,FALSE)-HLOOKUP(J464,Villagers!$B$1:$V$33,L464+2,FALSE)</f>
        <v>#N/A</v>
      </c>
      <c r="BS464" s="49">
        <f t="shared" ref="BS464:BS479" si="1123">IF($J463=BS$14,$L463,BS463)</f>
        <v>1</v>
      </c>
      <c r="BT464" s="50">
        <f t="shared" ref="BT464:BT479" si="1124">IF($J463=BT$14,$L463,BT463)</f>
        <v>0</v>
      </c>
      <c r="BU464" s="50">
        <f t="shared" ref="BU464:BU479" si="1125">IF($J463=BU$14,$L463,BU463)</f>
        <v>0</v>
      </c>
      <c r="BV464" s="50">
        <f t="shared" ref="BV464:BV479" si="1126">IF($J463=BV$14,$L463,BV463)</f>
        <v>0</v>
      </c>
      <c r="BW464" s="50">
        <f t="shared" ref="BW464:BY470" si="1127">IF($J463=BW$14,$L463,BW463)</f>
        <v>0</v>
      </c>
      <c r="BX464" s="50">
        <f t="shared" si="1127"/>
        <v>0</v>
      </c>
      <c r="BY464" s="50">
        <f t="shared" si="1127"/>
        <v>0</v>
      </c>
      <c r="BZ464" s="50">
        <f t="shared" si="1015"/>
        <v>0</v>
      </c>
      <c r="CA464" s="50">
        <f t="shared" si="1016"/>
        <v>0</v>
      </c>
      <c r="CB464" s="50">
        <f t="shared" si="1017"/>
        <v>1</v>
      </c>
      <c r="CC464" s="50">
        <f t="shared" si="1018"/>
        <v>0</v>
      </c>
      <c r="CD464" s="50">
        <f t="shared" si="1019"/>
        <v>0</v>
      </c>
      <c r="CE464" s="50">
        <f t="shared" si="1020"/>
        <v>1</v>
      </c>
      <c r="CF464" s="50">
        <f t="shared" si="1021"/>
        <v>1</v>
      </c>
      <c r="CG464" s="50">
        <f t="shared" si="1022"/>
        <v>1</v>
      </c>
      <c r="CH464" s="50">
        <f t="shared" si="1023"/>
        <v>1</v>
      </c>
      <c r="CI464" s="50">
        <f t="shared" si="1024"/>
        <v>1</v>
      </c>
      <c r="CJ464" s="50">
        <f t="shared" si="1025"/>
        <v>1</v>
      </c>
      <c r="CK464" s="50">
        <f t="shared" si="1025"/>
        <v>0</v>
      </c>
      <c r="CL464" s="50">
        <f t="shared" si="1025"/>
        <v>0</v>
      </c>
      <c r="CM464" s="51">
        <f t="shared" si="1026"/>
        <v>0</v>
      </c>
      <c r="CN464" s="33">
        <f>ROUND(IF(BS464=0,0,HLOOKUP(BS$14,Villagers!$B$1:$V$33,BS464+3,FALSE)),)</f>
        <v>5</v>
      </c>
      <c r="CO464" s="14">
        <f>ROUND(IF(BT464=0,0,HLOOKUP(BT$14,Villagers!$B$1:$V$33,BT464+3,FALSE)),)</f>
        <v>0</v>
      </c>
      <c r="CP464" s="14">
        <f>ROUND(IF(BU464=0,0,HLOOKUP(BU$14,Villagers!$B$1:$V$33,BU464+3,FALSE)),)</f>
        <v>0</v>
      </c>
      <c r="CQ464" s="14">
        <f>ROUND(IF(BV464=0,0,HLOOKUP(BV$14,Villagers!$B$1:$V$33,BV464+3,FALSE)),)</f>
        <v>0</v>
      </c>
      <c r="CR464" s="14">
        <f>ROUND(IF(BW464=0,0,HLOOKUP(BW$14,Villagers!$B$1:$V$33,BW464+3,FALSE)),)</f>
        <v>0</v>
      </c>
      <c r="CS464" s="14">
        <f>ROUND(IF(BX464=0,0,HLOOKUP(BX$14,Villagers!$B$1:$V$33,BX464+3,FALSE)),)</f>
        <v>0</v>
      </c>
      <c r="CT464" s="14">
        <f>ROUND(IF(BY464=0,0,HLOOKUP(BY$14,Villagers!$B$1:$V$33,BY464+3,FALSE)),)</f>
        <v>0</v>
      </c>
      <c r="CU464" s="14">
        <f>ROUND(IF(BZ464=0,0,HLOOKUP(BZ$14,Villagers!$B$1:$V$33,BZ464+3,FALSE)),)</f>
        <v>0</v>
      </c>
      <c r="CV464" s="14">
        <f>ROUND(IF(CA464=0,0,HLOOKUP(CA$14,Villagers!$B$1:$V$33,CA464+3,FALSE)),)</f>
        <v>0</v>
      </c>
      <c r="CW464" s="14">
        <f>ROUND(IF(CB464=0,0,HLOOKUP(CB$14,Villagers!$B$1:$V$33,CB464+3,FALSE)),)</f>
        <v>0</v>
      </c>
      <c r="CX464" s="14">
        <f>ROUND(IF(CC464=0,0,HLOOKUP(CC$14,Villagers!$B$1:$V$33,CC464+3,FALSE)),)</f>
        <v>0</v>
      </c>
      <c r="CY464" s="14">
        <f>ROUND(IF(CD464=0,0,HLOOKUP(CD$14,Villagers!$B$1:$V$33,CD464+3,FALSE)),)</f>
        <v>0</v>
      </c>
      <c r="CZ464" s="14">
        <f>ROUND(IF(CE464=0,0,HLOOKUP(CE$14,Villagers!$B$1:$V$33,CE464+3,FALSE)),)</f>
        <v>5</v>
      </c>
      <c r="DA464" s="14">
        <f>ROUND(IF(CF464=0,0,HLOOKUP(CF$14,Villagers!$B$1:$V$33,CF464+3,FALSE)),)</f>
        <v>10</v>
      </c>
      <c r="DB464" s="14">
        <f>ROUND(IF(CG464=0,0,HLOOKUP(CG$14,Villagers!$B$1:$V$33,CG464+3,FALSE)),)</f>
        <v>10</v>
      </c>
      <c r="DC464" s="14">
        <f>ROUND(IF(CH464=0,0,HLOOKUP(CH$14,Villagers!$B$1:$V$33,CH464+3,FALSE)),)</f>
        <v>0</v>
      </c>
      <c r="DD464" s="14">
        <f>ROUND(IF(CI464=0,0,HLOOKUP(CI$14,Villagers!$B$1:$V$33,CI464+3,FALSE)),)</f>
        <v>0</v>
      </c>
      <c r="DE464" s="14">
        <f>ROUND(IF(CJ464=0,0,HLOOKUP(CJ$14,Villagers!$B$1:$V$33,CJ464+3,FALSE)),)</f>
        <v>2</v>
      </c>
      <c r="DF464" s="370">
        <f>ROUND(IF(CK464=0,0,HLOOKUP(CK$14,Villagers!$B$1:$V$33,CK464+3,FALSE)),)</f>
        <v>0</v>
      </c>
      <c r="DG464" s="370">
        <f>ROUND(IF(CL464=0,0,HLOOKUP(CL$14,Villagers!$B$1:$V$33,CL464+3,FALSE)),)</f>
        <v>0</v>
      </c>
      <c r="DH464" s="34">
        <f>ROUND(IF(CM464=0,0,HLOOKUP(CM$14,Villagers!$B$1:$V$33,CM464+3,FALSE)),)</f>
        <v>0</v>
      </c>
      <c r="DI464" s="109">
        <f t="shared" si="989"/>
        <v>0</v>
      </c>
      <c r="DJ464" s="50">
        <f t="shared" si="990"/>
        <v>0</v>
      </c>
      <c r="DK464" s="50">
        <f t="shared" si="991"/>
        <v>0</v>
      </c>
      <c r="DL464" s="50">
        <f t="shared" si="992"/>
        <v>0</v>
      </c>
      <c r="DM464" s="50">
        <f t="shared" si="993"/>
        <v>0</v>
      </c>
      <c r="DN464" s="50">
        <f t="shared" si="994"/>
        <v>0</v>
      </c>
      <c r="DO464" s="50">
        <f t="shared" si="995"/>
        <v>0</v>
      </c>
      <c r="DP464" s="50">
        <f t="shared" si="996"/>
        <v>0</v>
      </c>
      <c r="DQ464" s="50">
        <f t="shared" ref="DQ464:DQ509" si="1128">ROUND(_xlfn.IFNA(DQ463+BB464,DQ463),0)</f>
        <v>0</v>
      </c>
      <c r="DR464" s="50">
        <f t="shared" ref="DR464:DR509" si="1129">ROUND(_xlfn.IFNA(DR463+BC464,DR463),0)</f>
        <v>0</v>
      </c>
      <c r="DS464" s="96">
        <f>Miscelaneous!$D$4*Miscelaneous!$D$2^($CI464-1)</f>
        <v>1000</v>
      </c>
      <c r="DT464" s="333">
        <f t="shared" si="1109"/>
        <v>1</v>
      </c>
      <c r="DU464" s="81">
        <v>1</v>
      </c>
      <c r="DV464" s="79">
        <f t="shared" ref="DV464:DV509" si="1130">IF(BS464&gt;2,1,0)</f>
        <v>0</v>
      </c>
      <c r="DW464" s="79">
        <f t="shared" ref="DW464:DW509" si="1131">IF(AND(BS464&gt;9,CA464&gt;4,BT464&gt;4)=TRUE,1,0)</f>
        <v>0</v>
      </c>
      <c r="DX464" s="79">
        <f t="shared" ref="DX464:DX509" si="1132">IF(AND(BS464&gt;9,CA464&gt;9)=TRUE,1,0)</f>
        <v>0</v>
      </c>
      <c r="DY464" s="79">
        <v>1</v>
      </c>
      <c r="DZ464" s="79">
        <f t="shared" ref="DZ464:DZ509" si="1133">IF(AND(BS464&gt;4,CH464&gt;4),1,0)</f>
        <v>0</v>
      </c>
      <c r="EA464" s="79">
        <f t="shared" ref="EA464:EA509" si="1134">IF(AND(BS464&gt;4,CH464&gt;4),1,0)</f>
        <v>0</v>
      </c>
      <c r="EB464" s="79">
        <f t="shared" ref="EB464:EB509" si="1135">IF(AND(BS464&gt;19,CA464&gt;19,CD464&gt;9)=TRUE,1,0)</f>
        <v>0</v>
      </c>
      <c r="EC464" s="79">
        <f t="shared" ref="EC464:EC509" si="1136">IF(AND(BS464&gt;4,BT464&gt;0)=TRUE,1,0)</f>
        <v>0</v>
      </c>
      <c r="ED464" s="79">
        <v>1</v>
      </c>
      <c r="EE464" s="79">
        <v>1</v>
      </c>
      <c r="EF464" s="79">
        <f t="shared" ref="EF464:EF509" si="1137">IF(AND(BS464&gt;2,CI464&gt;1),1,0)</f>
        <v>0</v>
      </c>
      <c r="EG464" s="79">
        <v>1</v>
      </c>
      <c r="EH464" s="79">
        <v>1</v>
      </c>
      <c r="EI464" s="79">
        <v>1</v>
      </c>
      <c r="EJ464" s="79">
        <v>1</v>
      </c>
      <c r="EK464" s="79">
        <v>1</v>
      </c>
      <c r="EL464" s="79">
        <v>1</v>
      </c>
      <c r="EM464" s="143">
        <f t="shared" ref="EM464:EM509" si="1138">IF(CL464&gt;0,1,0)</f>
        <v>0</v>
      </c>
      <c r="EN464" s="143">
        <f t="shared" ref="EN464:EN509" si="1139">IF(BZ464&gt;0,1,0)</f>
        <v>0</v>
      </c>
      <c r="EO464" s="82">
        <f t="shared" ref="EO464:EO509" si="1140">IF(BT464&gt;0,1,0)</f>
        <v>0</v>
      </c>
    </row>
    <row r="465" spans="1:145" x14ac:dyDescent="0.25">
      <c r="A465">
        <v>451</v>
      </c>
      <c r="B465" s="172" t="e">
        <f t="shared" si="1110"/>
        <v>#N/A</v>
      </c>
      <c r="C465" s="121" t="e">
        <f t="shared" ref="C465:E465" si="1141">AJ465-SUM(AB465:AB469)</f>
        <v>#N/A</v>
      </c>
      <c r="D465" s="122" t="e">
        <f t="shared" si="1141"/>
        <v>#N/A</v>
      </c>
      <c r="E465" s="122" t="e">
        <f t="shared" si="1141"/>
        <v>#N/A</v>
      </c>
      <c r="F465" s="176" t="e">
        <f t="shared" si="1092"/>
        <v>#N/A</v>
      </c>
      <c r="G465" s="121">
        <f t="shared" si="1112"/>
        <v>208</v>
      </c>
      <c r="H465" s="176" t="e">
        <f t="shared" si="1113"/>
        <v>#N/A</v>
      </c>
      <c r="I465" s="48">
        <v>1</v>
      </c>
      <c r="J465" s="39"/>
      <c r="K465" s="350">
        <v>1</v>
      </c>
      <c r="L465" s="34" t="e">
        <f t="shared" si="1093"/>
        <v>#N/A</v>
      </c>
      <c r="M465" s="38" t="e">
        <f>(HLOOKUP(J465,'Construction Times'!$B$3:$W$34,L465+2,FALSE)*HLOOKUP("hq modifier",'Construction Times'!$W$3:$W$34,BS465+2,FALSE))*(1-$H$9)</f>
        <v>#N/A</v>
      </c>
      <c r="N465" s="426" t="e">
        <f t="shared" si="1114"/>
        <v>#N/A</v>
      </c>
      <c r="O465" s="427"/>
      <c r="P465" s="430" t="e">
        <f t="shared" si="1115"/>
        <v>#N/A</v>
      </c>
      <c r="Q465" s="431"/>
      <c r="R465" s="103">
        <f t="shared" ref="R465:S509" si="1142">R464</f>
        <v>0</v>
      </c>
      <c r="S465" s="104">
        <f t="shared" si="1142"/>
        <v>0</v>
      </c>
      <c r="T465" s="104">
        <f t="shared" ref="T465:W509" si="1143">T464</f>
        <v>0</v>
      </c>
      <c r="U465" s="104">
        <f t="shared" si="1143"/>
        <v>0</v>
      </c>
      <c r="V465" s="104">
        <f t="shared" si="1143"/>
        <v>9.9999999999999995E-8</v>
      </c>
      <c r="W465" s="104">
        <f t="shared" si="1143"/>
        <v>0</v>
      </c>
      <c r="X465" s="104">
        <f t="shared" si="1089"/>
        <v>0</v>
      </c>
      <c r="Y465" s="104">
        <f t="shared" si="1089"/>
        <v>9.9999999999999995E-8</v>
      </c>
      <c r="Z465" s="104">
        <f t="shared" si="1089"/>
        <v>9.9999999999999995E-8</v>
      </c>
      <c r="AA465" s="105">
        <f t="shared" si="1089"/>
        <v>9.9999999999999995E-8</v>
      </c>
      <c r="AB465" s="101" t="e">
        <f>$DT465*HLOOKUP($J465,'Construction Costs (timber)'!$B$1:$V$32,'Construction Planner'!$L465+2,FALSE)</f>
        <v>#N/A</v>
      </c>
      <c r="AC465" s="14" t="e">
        <f>$DT465*HLOOKUP($J465,'Construction Costs (clay)'!$B$1:$V$32,'Construction Planner'!$L465+2,FALSE)</f>
        <v>#N/A</v>
      </c>
      <c r="AD465" s="14" t="e">
        <f>$DT465*HLOOKUP($J465,'Construction Costs (iron)'!$B$1:$V$32,'Construction Planner'!$L465+2,FALSE)</f>
        <v>#N/A</v>
      </c>
      <c r="AE465" s="34" t="e">
        <f t="shared" si="1000"/>
        <v>#N/A</v>
      </c>
      <c r="AF465" s="33" t="e">
        <f t="shared" si="1094"/>
        <v>#N/A</v>
      </c>
      <c r="AG465" s="14" t="e">
        <f t="shared" si="1095"/>
        <v>#N/A</v>
      </c>
      <c r="AH465" s="14" t="e">
        <f t="shared" si="1096"/>
        <v>#N/A</v>
      </c>
      <c r="AI465" s="34" t="e">
        <f t="shared" si="1001"/>
        <v>#N/A</v>
      </c>
      <c r="AJ465" s="49" t="e">
        <f t="shared" si="1116"/>
        <v>#N/A</v>
      </c>
      <c r="AK465" s="49" t="e">
        <f t="shared" si="1117"/>
        <v>#N/A</v>
      </c>
      <c r="AL465" s="49" t="e">
        <f t="shared" si="1118"/>
        <v>#N/A</v>
      </c>
      <c r="AM465" s="25">
        <f t="shared" si="1097"/>
        <v>30</v>
      </c>
      <c r="AN465" s="25">
        <f t="shared" si="1098"/>
        <v>30</v>
      </c>
      <c r="AO465" s="25">
        <f t="shared" si="1099"/>
        <v>30</v>
      </c>
      <c r="AP465" s="52" t="e">
        <f t="shared" si="1119"/>
        <v>#N/A</v>
      </c>
      <c r="AQ465" s="53" t="e">
        <f t="shared" si="1119"/>
        <v>#N/A</v>
      </c>
      <c r="AR465" s="54" t="e">
        <f t="shared" si="1119"/>
        <v>#N/A</v>
      </c>
      <c r="AS465" s="316">
        <f t="shared" si="1077"/>
        <v>0</v>
      </c>
      <c r="AT465" s="106">
        <f>_xlfn.IFNA($M465/VLOOKUP($BT465,'Unit information'!$A$2:$K$29,2,FALSE)*R465,0)*(1+$E$9)</f>
        <v>0</v>
      </c>
      <c r="AU465" s="107">
        <f>_xlfn.IFNA($M465/VLOOKUP($BT465,'Unit information'!$A$2:$K$29,3,FALSE)*S465,0)*(1+$E$9)</f>
        <v>0</v>
      </c>
      <c r="AV465" s="107">
        <f>_xlfn.IFNA($M465/VLOOKUP($BT465,'Unit information'!$A$2:$K$29,4,FALSE)*T465,0)*(1+$E$9)</f>
        <v>0</v>
      </c>
      <c r="AW465" s="107">
        <f>_xlfn.IFNA($M465/VLOOKUP($BT465,'Unit information'!$A$2:$K$29,5,FALSE)*U465,0)*(1+$E$9)</f>
        <v>0</v>
      </c>
      <c r="AX465" s="107">
        <f>_xlfn.IFNA($M465/VLOOKUP($BU465,'Unit information'!$A$2:$K$29,6,FALSE)*V465,0)*(1+$E$9)</f>
        <v>0</v>
      </c>
      <c r="AY465" s="107">
        <f>_xlfn.IFNA($M465/VLOOKUP($BU465,'Unit information'!$A$2:$K$29,7,FALSE)*W465,0)*(1+$E$9)</f>
        <v>0</v>
      </c>
      <c r="AZ465" s="107">
        <f>_xlfn.IFNA($M465/VLOOKUP($BU465,'Unit information'!$A$2:$K$29,8,FALSE)*X465,0)*(1+$E$9)</f>
        <v>0</v>
      </c>
      <c r="BA465" s="107">
        <f>_xlfn.IFNA($M465/VLOOKUP($BU465,'Unit information'!$A$2:$K$29,9,FALSE)*Y465,0)*(1+$E$9)</f>
        <v>0</v>
      </c>
      <c r="BB465" s="107">
        <f>_xlfn.IFNA($M465/VLOOKUP($BV465,'Unit information'!$A$2:$K$29,10,FALSE)*Z465,0)*(1+$E$9)</f>
        <v>0</v>
      </c>
      <c r="BC465" s="108">
        <f>_xlfn.IFNA($M465/VLOOKUP($BV465,'Unit information'!$A$2:$K$29,11,FALSE)*AA465,0)*(1+$E$9)</f>
        <v>0</v>
      </c>
      <c r="BD465" s="106">
        <f t="shared" si="1100"/>
        <v>0</v>
      </c>
      <c r="BE465" s="107">
        <f t="shared" si="1101"/>
        <v>0</v>
      </c>
      <c r="BF465" s="108">
        <f t="shared" si="1102"/>
        <v>0</v>
      </c>
      <c r="BG465" s="25" t="e">
        <f t="shared" si="1103"/>
        <v>#N/A</v>
      </c>
      <c r="BH465" s="25" t="e">
        <f t="shared" si="1104"/>
        <v>#N/A</v>
      </c>
      <c r="BI465" s="25" t="e">
        <f t="shared" si="1105"/>
        <v>#N/A</v>
      </c>
      <c r="BJ465" s="27" t="e">
        <f t="shared" si="1106"/>
        <v>#N/A</v>
      </c>
      <c r="BK465" s="18" t="e">
        <f t="shared" si="1107"/>
        <v>#N/A</v>
      </c>
      <c r="BL465" s="18" t="e">
        <f t="shared" si="1108"/>
        <v>#N/A</v>
      </c>
      <c r="BM465" s="28" t="e">
        <f t="shared" si="1003"/>
        <v>#N/A</v>
      </c>
      <c r="BN465" s="33">
        <f>HLOOKUP("maximum population",Miscelaneous!$C$1:$C$33,CH465+3,FALSE)</f>
        <v>240</v>
      </c>
      <c r="BO465" s="14">
        <f t="shared" si="1120"/>
        <v>32</v>
      </c>
      <c r="BP465" s="14">
        <f t="shared" si="1121"/>
        <v>0</v>
      </c>
      <c r="BQ465" s="14">
        <f t="shared" si="1122"/>
        <v>208</v>
      </c>
      <c r="BR465" s="34" t="e">
        <f>HLOOKUP(J465,Villagers!$B$1:$V$33,L465+3,FALSE)-HLOOKUP(J465,Villagers!$B$1:$V$33,L465+2,FALSE)</f>
        <v>#N/A</v>
      </c>
      <c r="BS465" s="49">
        <f t="shared" si="1123"/>
        <v>1</v>
      </c>
      <c r="BT465" s="50">
        <f t="shared" si="1124"/>
        <v>0</v>
      </c>
      <c r="BU465" s="50">
        <f t="shared" si="1125"/>
        <v>0</v>
      </c>
      <c r="BV465" s="50">
        <f t="shared" si="1126"/>
        <v>0</v>
      </c>
      <c r="BW465" s="50">
        <f t="shared" si="1127"/>
        <v>0</v>
      </c>
      <c r="BX465" s="50">
        <f t="shared" si="1127"/>
        <v>0</v>
      </c>
      <c r="BY465" s="50">
        <f t="shared" si="1127"/>
        <v>0</v>
      </c>
      <c r="BZ465" s="50">
        <f t="shared" si="1015"/>
        <v>0</v>
      </c>
      <c r="CA465" s="50">
        <f t="shared" si="1016"/>
        <v>0</v>
      </c>
      <c r="CB465" s="50">
        <f t="shared" si="1017"/>
        <v>1</v>
      </c>
      <c r="CC465" s="50">
        <f t="shared" si="1018"/>
        <v>0</v>
      </c>
      <c r="CD465" s="50">
        <f t="shared" si="1019"/>
        <v>0</v>
      </c>
      <c r="CE465" s="50">
        <f t="shared" si="1020"/>
        <v>1</v>
      </c>
      <c r="CF465" s="50">
        <f t="shared" si="1021"/>
        <v>1</v>
      </c>
      <c r="CG465" s="50">
        <f t="shared" si="1022"/>
        <v>1</v>
      </c>
      <c r="CH465" s="50">
        <f t="shared" si="1023"/>
        <v>1</v>
      </c>
      <c r="CI465" s="50">
        <f t="shared" si="1024"/>
        <v>1</v>
      </c>
      <c r="CJ465" s="50">
        <f t="shared" si="1025"/>
        <v>1</v>
      </c>
      <c r="CK465" s="50">
        <f t="shared" si="1025"/>
        <v>0</v>
      </c>
      <c r="CL465" s="50">
        <f t="shared" si="1025"/>
        <v>0</v>
      </c>
      <c r="CM465" s="51">
        <f t="shared" si="1026"/>
        <v>0</v>
      </c>
      <c r="CN465" s="33">
        <f>ROUND(IF(BS465=0,0,HLOOKUP(BS$14,Villagers!$B$1:$V$33,BS465+3,FALSE)),)</f>
        <v>5</v>
      </c>
      <c r="CO465" s="14">
        <f>ROUND(IF(BT465=0,0,HLOOKUP(BT$14,Villagers!$B$1:$V$33,BT465+3,FALSE)),)</f>
        <v>0</v>
      </c>
      <c r="CP465" s="14">
        <f>ROUND(IF(BU465=0,0,HLOOKUP(BU$14,Villagers!$B$1:$V$33,BU465+3,FALSE)),)</f>
        <v>0</v>
      </c>
      <c r="CQ465" s="14">
        <f>ROUND(IF(BV465=0,0,HLOOKUP(BV$14,Villagers!$B$1:$V$33,BV465+3,FALSE)),)</f>
        <v>0</v>
      </c>
      <c r="CR465" s="14">
        <f>ROUND(IF(BW465=0,0,HLOOKUP(BW$14,Villagers!$B$1:$V$33,BW465+3,FALSE)),)</f>
        <v>0</v>
      </c>
      <c r="CS465" s="14">
        <f>ROUND(IF(BX465=0,0,HLOOKUP(BX$14,Villagers!$B$1:$V$33,BX465+3,FALSE)),)</f>
        <v>0</v>
      </c>
      <c r="CT465" s="14">
        <f>ROUND(IF(BY465=0,0,HLOOKUP(BY$14,Villagers!$B$1:$V$33,BY465+3,FALSE)),)</f>
        <v>0</v>
      </c>
      <c r="CU465" s="14">
        <f>ROUND(IF(BZ465=0,0,HLOOKUP(BZ$14,Villagers!$B$1:$V$33,BZ465+3,FALSE)),)</f>
        <v>0</v>
      </c>
      <c r="CV465" s="14">
        <f>ROUND(IF(CA465=0,0,HLOOKUP(CA$14,Villagers!$B$1:$V$33,CA465+3,FALSE)),)</f>
        <v>0</v>
      </c>
      <c r="CW465" s="14">
        <f>ROUND(IF(CB465=0,0,HLOOKUP(CB$14,Villagers!$B$1:$V$33,CB465+3,FALSE)),)</f>
        <v>0</v>
      </c>
      <c r="CX465" s="14">
        <f>ROUND(IF(CC465=0,0,HLOOKUP(CC$14,Villagers!$B$1:$V$33,CC465+3,FALSE)),)</f>
        <v>0</v>
      </c>
      <c r="CY465" s="14">
        <f>ROUND(IF(CD465=0,0,HLOOKUP(CD$14,Villagers!$B$1:$V$33,CD465+3,FALSE)),)</f>
        <v>0</v>
      </c>
      <c r="CZ465" s="14">
        <f>ROUND(IF(CE465=0,0,HLOOKUP(CE$14,Villagers!$B$1:$V$33,CE465+3,FALSE)),)</f>
        <v>5</v>
      </c>
      <c r="DA465" s="14">
        <f>ROUND(IF(CF465=0,0,HLOOKUP(CF$14,Villagers!$B$1:$V$33,CF465+3,FALSE)),)</f>
        <v>10</v>
      </c>
      <c r="DB465" s="14">
        <f>ROUND(IF(CG465=0,0,HLOOKUP(CG$14,Villagers!$B$1:$V$33,CG465+3,FALSE)),)</f>
        <v>10</v>
      </c>
      <c r="DC465" s="14">
        <f>ROUND(IF(CH465=0,0,HLOOKUP(CH$14,Villagers!$B$1:$V$33,CH465+3,FALSE)),)</f>
        <v>0</v>
      </c>
      <c r="DD465" s="14">
        <f>ROUND(IF(CI465=0,0,HLOOKUP(CI$14,Villagers!$B$1:$V$33,CI465+3,FALSE)),)</f>
        <v>0</v>
      </c>
      <c r="DE465" s="14">
        <f>ROUND(IF(CJ465=0,0,HLOOKUP(CJ$14,Villagers!$B$1:$V$33,CJ465+3,FALSE)),)</f>
        <v>2</v>
      </c>
      <c r="DF465" s="370">
        <f>ROUND(IF(CK465=0,0,HLOOKUP(CK$14,Villagers!$B$1:$V$33,CK465+3,FALSE)),)</f>
        <v>0</v>
      </c>
      <c r="DG465" s="370">
        <f>ROUND(IF(CL465=0,0,HLOOKUP(CL$14,Villagers!$B$1:$V$33,CL465+3,FALSE)),)</f>
        <v>0</v>
      </c>
      <c r="DH465" s="34">
        <f>ROUND(IF(CM465=0,0,HLOOKUP(CM$14,Villagers!$B$1:$V$33,CM465+3,FALSE)),)</f>
        <v>0</v>
      </c>
      <c r="DI465" s="109">
        <f t="shared" ref="DI465:DI509" si="1144">ROUND(_xlfn.IFNA(DI464+AT465,DI464),0)</f>
        <v>0</v>
      </c>
      <c r="DJ465" s="50">
        <f t="shared" ref="DJ465:DJ509" si="1145">ROUND(_xlfn.IFNA(DJ464+AU465,DJ464),0)</f>
        <v>0</v>
      </c>
      <c r="DK465" s="50">
        <f t="shared" ref="DK465:DK509" si="1146">ROUND(_xlfn.IFNA(DK464+AV465,DK464),0)</f>
        <v>0</v>
      </c>
      <c r="DL465" s="50">
        <f t="shared" ref="DL465:DL509" si="1147">ROUND(_xlfn.IFNA(DL464+AW465,DL464),0)</f>
        <v>0</v>
      </c>
      <c r="DM465" s="50">
        <f t="shared" ref="DM465:DM509" si="1148">ROUND(_xlfn.IFNA(DM464+AX465,DM464),0)</f>
        <v>0</v>
      </c>
      <c r="DN465" s="50">
        <f t="shared" ref="DN465:DN509" si="1149">ROUND(_xlfn.IFNA(DN464+AY465,DN464),0)</f>
        <v>0</v>
      </c>
      <c r="DO465" s="50">
        <f t="shared" ref="DO465:DO509" si="1150">ROUND(_xlfn.IFNA(DO464+AZ465,DO464),0)</f>
        <v>0</v>
      </c>
      <c r="DP465" s="50">
        <f t="shared" ref="DP465:DP509" si="1151">ROUND(_xlfn.IFNA(DP464+BA465,DP464),0)</f>
        <v>0</v>
      </c>
      <c r="DQ465" s="50">
        <f t="shared" si="1128"/>
        <v>0</v>
      </c>
      <c r="DR465" s="50">
        <f t="shared" si="1129"/>
        <v>0</v>
      </c>
      <c r="DS465" s="96">
        <f>Miscelaneous!$D$4*Miscelaneous!$D$2^($CI465-1)</f>
        <v>1000</v>
      </c>
      <c r="DT465" s="333">
        <f t="shared" si="1109"/>
        <v>1</v>
      </c>
      <c r="DU465" s="81">
        <v>1</v>
      </c>
      <c r="DV465" s="79">
        <f t="shared" si="1130"/>
        <v>0</v>
      </c>
      <c r="DW465" s="79">
        <f t="shared" si="1131"/>
        <v>0</v>
      </c>
      <c r="DX465" s="79">
        <f t="shared" si="1132"/>
        <v>0</v>
      </c>
      <c r="DY465" s="79">
        <v>1</v>
      </c>
      <c r="DZ465" s="79">
        <f t="shared" si="1133"/>
        <v>0</v>
      </c>
      <c r="EA465" s="79">
        <f t="shared" si="1134"/>
        <v>0</v>
      </c>
      <c r="EB465" s="79">
        <f t="shared" si="1135"/>
        <v>0</v>
      </c>
      <c r="EC465" s="79">
        <f t="shared" si="1136"/>
        <v>0</v>
      </c>
      <c r="ED465" s="79">
        <v>1</v>
      </c>
      <c r="EE465" s="79">
        <v>1</v>
      </c>
      <c r="EF465" s="79">
        <f t="shared" si="1137"/>
        <v>0</v>
      </c>
      <c r="EG465" s="79">
        <v>1</v>
      </c>
      <c r="EH465" s="79">
        <v>1</v>
      </c>
      <c r="EI465" s="79">
        <v>1</v>
      </c>
      <c r="EJ465" s="79">
        <v>1</v>
      </c>
      <c r="EK465" s="79">
        <v>1</v>
      </c>
      <c r="EL465" s="79">
        <v>1</v>
      </c>
      <c r="EM465" s="143">
        <f t="shared" si="1138"/>
        <v>0</v>
      </c>
      <c r="EN465" s="143">
        <f t="shared" si="1139"/>
        <v>0</v>
      </c>
      <c r="EO465" s="82">
        <f t="shared" si="1140"/>
        <v>0</v>
      </c>
    </row>
    <row r="466" spans="1:145" x14ac:dyDescent="0.25">
      <c r="A466">
        <v>452</v>
      </c>
      <c r="B466" s="172" t="e">
        <f t="shared" si="1110"/>
        <v>#N/A</v>
      </c>
      <c r="C466" s="121" t="e">
        <f t="shared" ref="C466:E466" si="1152">AJ466-SUM(AB466:AB470)</f>
        <v>#N/A</v>
      </c>
      <c r="D466" s="122" t="e">
        <f t="shared" si="1152"/>
        <v>#N/A</v>
      </c>
      <c r="E466" s="122" t="e">
        <f t="shared" si="1152"/>
        <v>#N/A</v>
      </c>
      <c r="F466" s="176" t="e">
        <f t="shared" si="1092"/>
        <v>#N/A</v>
      </c>
      <c r="G466" s="121">
        <f t="shared" si="1112"/>
        <v>208</v>
      </c>
      <c r="H466" s="176" t="e">
        <f t="shared" si="1113"/>
        <v>#N/A</v>
      </c>
      <c r="I466" s="48">
        <v>1</v>
      </c>
      <c r="J466" s="39"/>
      <c r="K466" s="350">
        <v>1</v>
      </c>
      <c r="L466" s="34" t="e">
        <f t="shared" si="1093"/>
        <v>#N/A</v>
      </c>
      <c r="M466" s="38" t="e">
        <f>(HLOOKUP(J466,'Construction Times'!$B$3:$W$34,L466+2,FALSE)*HLOOKUP("hq modifier",'Construction Times'!$W$3:$W$34,BS466+2,FALSE))*(1-$H$9)</f>
        <v>#N/A</v>
      </c>
      <c r="N466" s="426" t="e">
        <f t="shared" si="1114"/>
        <v>#N/A</v>
      </c>
      <c r="O466" s="427"/>
      <c r="P466" s="430" t="e">
        <f t="shared" si="1115"/>
        <v>#N/A</v>
      </c>
      <c r="Q466" s="431"/>
      <c r="R466" s="103">
        <f t="shared" si="1142"/>
        <v>0</v>
      </c>
      <c r="S466" s="104">
        <f t="shared" si="1142"/>
        <v>0</v>
      </c>
      <c r="T466" s="104">
        <f t="shared" si="1143"/>
        <v>0</v>
      </c>
      <c r="U466" s="104">
        <f t="shared" si="1143"/>
        <v>0</v>
      </c>
      <c r="V466" s="104">
        <f t="shared" si="1143"/>
        <v>9.9999999999999995E-8</v>
      </c>
      <c r="W466" s="104">
        <f t="shared" si="1143"/>
        <v>0</v>
      </c>
      <c r="X466" s="104">
        <f t="shared" si="1089"/>
        <v>0</v>
      </c>
      <c r="Y466" s="104">
        <f t="shared" si="1089"/>
        <v>9.9999999999999995E-8</v>
      </c>
      <c r="Z466" s="104">
        <f t="shared" si="1089"/>
        <v>9.9999999999999995E-8</v>
      </c>
      <c r="AA466" s="105">
        <f t="shared" si="1089"/>
        <v>9.9999999999999995E-8</v>
      </c>
      <c r="AB466" s="101" t="e">
        <f>$DT466*HLOOKUP($J466,'Construction Costs (timber)'!$B$1:$V$32,'Construction Planner'!$L466+2,FALSE)</f>
        <v>#N/A</v>
      </c>
      <c r="AC466" s="14" t="e">
        <f>$DT466*HLOOKUP($J466,'Construction Costs (clay)'!$B$1:$V$32,'Construction Planner'!$L466+2,FALSE)</f>
        <v>#N/A</v>
      </c>
      <c r="AD466" s="14" t="e">
        <f>$DT466*HLOOKUP($J466,'Construction Costs (iron)'!$B$1:$V$32,'Construction Planner'!$L466+2,FALSE)</f>
        <v>#N/A</v>
      </c>
      <c r="AE466" s="34" t="e">
        <f t="shared" si="1000"/>
        <v>#N/A</v>
      </c>
      <c r="AF466" s="33" t="e">
        <f t="shared" si="1094"/>
        <v>#N/A</v>
      </c>
      <c r="AG466" s="14" t="e">
        <f t="shared" si="1095"/>
        <v>#N/A</v>
      </c>
      <c r="AH466" s="14" t="e">
        <f t="shared" si="1096"/>
        <v>#N/A</v>
      </c>
      <c r="AI466" s="34" t="e">
        <f t="shared" si="1001"/>
        <v>#N/A</v>
      </c>
      <c r="AJ466" s="49" t="e">
        <f t="shared" si="1116"/>
        <v>#N/A</v>
      </c>
      <c r="AK466" s="49" t="e">
        <f t="shared" si="1117"/>
        <v>#N/A</v>
      </c>
      <c r="AL466" s="49" t="e">
        <f t="shared" si="1118"/>
        <v>#N/A</v>
      </c>
      <c r="AM466" s="25">
        <f t="shared" si="1097"/>
        <v>30</v>
      </c>
      <c r="AN466" s="25">
        <f t="shared" si="1098"/>
        <v>30</v>
      </c>
      <c r="AO466" s="25">
        <f t="shared" si="1099"/>
        <v>30</v>
      </c>
      <c r="AP466" s="52" t="e">
        <f t="shared" si="1119"/>
        <v>#N/A</v>
      </c>
      <c r="AQ466" s="53" t="e">
        <f t="shared" si="1119"/>
        <v>#N/A</v>
      </c>
      <c r="AR466" s="54" t="e">
        <f t="shared" si="1119"/>
        <v>#N/A</v>
      </c>
      <c r="AS466" s="316">
        <f t="shared" si="1077"/>
        <v>0</v>
      </c>
      <c r="AT466" s="106">
        <f>_xlfn.IFNA($M466/VLOOKUP($BT466,'Unit information'!$A$2:$K$29,2,FALSE)*R466,0)*(1+$E$9)</f>
        <v>0</v>
      </c>
      <c r="AU466" s="107">
        <f>_xlfn.IFNA($M466/VLOOKUP($BT466,'Unit information'!$A$2:$K$29,3,FALSE)*S466,0)*(1+$E$9)</f>
        <v>0</v>
      </c>
      <c r="AV466" s="107">
        <f>_xlfn.IFNA($M466/VLOOKUP($BT466,'Unit information'!$A$2:$K$29,4,FALSE)*T466,0)*(1+$E$9)</f>
        <v>0</v>
      </c>
      <c r="AW466" s="107">
        <f>_xlfn.IFNA($M466/VLOOKUP($BT466,'Unit information'!$A$2:$K$29,5,FALSE)*U466,0)*(1+$E$9)</f>
        <v>0</v>
      </c>
      <c r="AX466" s="107">
        <f>_xlfn.IFNA($M466/VLOOKUP($BU466,'Unit information'!$A$2:$K$29,6,FALSE)*V466,0)*(1+$E$9)</f>
        <v>0</v>
      </c>
      <c r="AY466" s="107">
        <f>_xlfn.IFNA($M466/VLOOKUP($BU466,'Unit information'!$A$2:$K$29,7,FALSE)*W466,0)*(1+$E$9)</f>
        <v>0</v>
      </c>
      <c r="AZ466" s="107">
        <f>_xlfn.IFNA($M466/VLOOKUP($BU466,'Unit information'!$A$2:$K$29,8,FALSE)*X466,0)*(1+$E$9)</f>
        <v>0</v>
      </c>
      <c r="BA466" s="107">
        <f>_xlfn.IFNA($M466/VLOOKUP($BU466,'Unit information'!$A$2:$K$29,9,FALSE)*Y466,0)*(1+$E$9)</f>
        <v>0</v>
      </c>
      <c r="BB466" s="107">
        <f>_xlfn.IFNA($M466/VLOOKUP($BV466,'Unit information'!$A$2:$K$29,10,FALSE)*Z466,0)*(1+$E$9)</f>
        <v>0</v>
      </c>
      <c r="BC466" s="108">
        <f>_xlfn.IFNA($M466/VLOOKUP($BV466,'Unit information'!$A$2:$K$29,11,FALSE)*AA466,0)*(1+$E$9)</f>
        <v>0</v>
      </c>
      <c r="BD466" s="106">
        <f t="shared" si="1100"/>
        <v>0</v>
      </c>
      <c r="BE466" s="107">
        <f t="shared" si="1101"/>
        <v>0</v>
      </c>
      <c r="BF466" s="108">
        <f t="shared" si="1102"/>
        <v>0</v>
      </c>
      <c r="BG466" s="25" t="e">
        <f t="shared" si="1103"/>
        <v>#N/A</v>
      </c>
      <c r="BH466" s="25" t="e">
        <f t="shared" si="1104"/>
        <v>#N/A</v>
      </c>
      <c r="BI466" s="25" t="e">
        <f t="shared" si="1105"/>
        <v>#N/A</v>
      </c>
      <c r="BJ466" s="27" t="e">
        <f t="shared" si="1106"/>
        <v>#N/A</v>
      </c>
      <c r="BK466" s="18" t="e">
        <f t="shared" si="1107"/>
        <v>#N/A</v>
      </c>
      <c r="BL466" s="18" t="e">
        <f t="shared" si="1108"/>
        <v>#N/A</v>
      </c>
      <c r="BM466" s="28" t="e">
        <f t="shared" si="1003"/>
        <v>#N/A</v>
      </c>
      <c r="BN466" s="33">
        <f>HLOOKUP("maximum population",Miscelaneous!$C$1:$C$33,CH466+3,FALSE)</f>
        <v>240</v>
      </c>
      <c r="BO466" s="14">
        <f t="shared" si="1120"/>
        <v>32</v>
      </c>
      <c r="BP466" s="14">
        <f t="shared" si="1121"/>
        <v>0</v>
      </c>
      <c r="BQ466" s="14">
        <f t="shared" si="1122"/>
        <v>208</v>
      </c>
      <c r="BR466" s="34" t="e">
        <f>HLOOKUP(J466,Villagers!$B$1:$V$33,L466+3,FALSE)-HLOOKUP(J466,Villagers!$B$1:$V$33,L466+2,FALSE)</f>
        <v>#N/A</v>
      </c>
      <c r="BS466" s="49">
        <f t="shared" si="1123"/>
        <v>1</v>
      </c>
      <c r="BT466" s="50">
        <f t="shared" si="1124"/>
        <v>0</v>
      </c>
      <c r="BU466" s="50">
        <f t="shared" si="1125"/>
        <v>0</v>
      </c>
      <c r="BV466" s="50">
        <f t="shared" si="1126"/>
        <v>0</v>
      </c>
      <c r="BW466" s="50">
        <f t="shared" si="1127"/>
        <v>0</v>
      </c>
      <c r="BX466" s="50">
        <f t="shared" si="1127"/>
        <v>0</v>
      </c>
      <c r="BY466" s="50">
        <f t="shared" si="1127"/>
        <v>0</v>
      </c>
      <c r="BZ466" s="50">
        <f t="shared" si="1015"/>
        <v>0</v>
      </c>
      <c r="CA466" s="50">
        <f t="shared" si="1016"/>
        <v>0</v>
      </c>
      <c r="CB466" s="50">
        <f t="shared" si="1017"/>
        <v>1</v>
      </c>
      <c r="CC466" s="50">
        <f t="shared" si="1018"/>
        <v>0</v>
      </c>
      <c r="CD466" s="50">
        <f t="shared" si="1019"/>
        <v>0</v>
      </c>
      <c r="CE466" s="50">
        <f t="shared" si="1020"/>
        <v>1</v>
      </c>
      <c r="CF466" s="50">
        <f t="shared" si="1021"/>
        <v>1</v>
      </c>
      <c r="CG466" s="50">
        <f t="shared" si="1022"/>
        <v>1</v>
      </c>
      <c r="CH466" s="50">
        <f t="shared" si="1023"/>
        <v>1</v>
      </c>
      <c r="CI466" s="50">
        <f t="shared" si="1024"/>
        <v>1</v>
      </c>
      <c r="CJ466" s="50">
        <f t="shared" si="1025"/>
        <v>1</v>
      </c>
      <c r="CK466" s="50">
        <f t="shared" si="1025"/>
        <v>0</v>
      </c>
      <c r="CL466" s="50">
        <f t="shared" si="1025"/>
        <v>0</v>
      </c>
      <c r="CM466" s="51">
        <f t="shared" si="1026"/>
        <v>0</v>
      </c>
      <c r="CN466" s="33">
        <f>ROUND(IF(BS466=0,0,HLOOKUP(BS$14,Villagers!$B$1:$V$33,BS466+3,FALSE)),)</f>
        <v>5</v>
      </c>
      <c r="CO466" s="14">
        <f>ROUND(IF(BT466=0,0,HLOOKUP(BT$14,Villagers!$B$1:$V$33,BT466+3,FALSE)),)</f>
        <v>0</v>
      </c>
      <c r="CP466" s="14">
        <f>ROUND(IF(BU466=0,0,HLOOKUP(BU$14,Villagers!$B$1:$V$33,BU466+3,FALSE)),)</f>
        <v>0</v>
      </c>
      <c r="CQ466" s="14">
        <f>ROUND(IF(BV466=0,0,HLOOKUP(BV$14,Villagers!$B$1:$V$33,BV466+3,FALSE)),)</f>
        <v>0</v>
      </c>
      <c r="CR466" s="14">
        <f>ROUND(IF(BW466=0,0,HLOOKUP(BW$14,Villagers!$B$1:$V$33,BW466+3,FALSE)),)</f>
        <v>0</v>
      </c>
      <c r="CS466" s="14">
        <f>ROUND(IF(BX466=0,0,HLOOKUP(BX$14,Villagers!$B$1:$V$33,BX466+3,FALSE)),)</f>
        <v>0</v>
      </c>
      <c r="CT466" s="14">
        <f>ROUND(IF(BY466=0,0,HLOOKUP(BY$14,Villagers!$B$1:$V$33,BY466+3,FALSE)),)</f>
        <v>0</v>
      </c>
      <c r="CU466" s="14">
        <f>ROUND(IF(BZ466=0,0,HLOOKUP(BZ$14,Villagers!$B$1:$V$33,BZ466+3,FALSE)),)</f>
        <v>0</v>
      </c>
      <c r="CV466" s="14">
        <f>ROUND(IF(CA466=0,0,HLOOKUP(CA$14,Villagers!$B$1:$V$33,CA466+3,FALSE)),)</f>
        <v>0</v>
      </c>
      <c r="CW466" s="14">
        <f>ROUND(IF(CB466=0,0,HLOOKUP(CB$14,Villagers!$B$1:$V$33,CB466+3,FALSE)),)</f>
        <v>0</v>
      </c>
      <c r="CX466" s="14">
        <f>ROUND(IF(CC466=0,0,HLOOKUP(CC$14,Villagers!$B$1:$V$33,CC466+3,FALSE)),)</f>
        <v>0</v>
      </c>
      <c r="CY466" s="14">
        <f>ROUND(IF(CD466=0,0,HLOOKUP(CD$14,Villagers!$B$1:$V$33,CD466+3,FALSE)),)</f>
        <v>0</v>
      </c>
      <c r="CZ466" s="14">
        <f>ROUND(IF(CE466=0,0,HLOOKUP(CE$14,Villagers!$B$1:$V$33,CE466+3,FALSE)),)</f>
        <v>5</v>
      </c>
      <c r="DA466" s="14">
        <f>ROUND(IF(CF466=0,0,HLOOKUP(CF$14,Villagers!$B$1:$V$33,CF466+3,FALSE)),)</f>
        <v>10</v>
      </c>
      <c r="DB466" s="14">
        <f>ROUND(IF(CG466=0,0,HLOOKUP(CG$14,Villagers!$B$1:$V$33,CG466+3,FALSE)),)</f>
        <v>10</v>
      </c>
      <c r="DC466" s="14">
        <f>ROUND(IF(CH466=0,0,HLOOKUP(CH$14,Villagers!$B$1:$V$33,CH466+3,FALSE)),)</f>
        <v>0</v>
      </c>
      <c r="DD466" s="14">
        <f>ROUND(IF(CI466=0,0,HLOOKUP(CI$14,Villagers!$B$1:$V$33,CI466+3,FALSE)),)</f>
        <v>0</v>
      </c>
      <c r="DE466" s="14">
        <f>ROUND(IF(CJ466=0,0,HLOOKUP(CJ$14,Villagers!$B$1:$V$33,CJ466+3,FALSE)),)</f>
        <v>2</v>
      </c>
      <c r="DF466" s="370">
        <f>ROUND(IF(CK466=0,0,HLOOKUP(CK$14,Villagers!$B$1:$V$33,CK466+3,FALSE)),)</f>
        <v>0</v>
      </c>
      <c r="DG466" s="370">
        <f>ROUND(IF(CL466=0,0,HLOOKUP(CL$14,Villagers!$B$1:$V$33,CL466+3,FALSE)),)</f>
        <v>0</v>
      </c>
      <c r="DH466" s="34">
        <f>ROUND(IF(CM466=0,0,HLOOKUP(CM$14,Villagers!$B$1:$V$33,CM466+3,FALSE)),)</f>
        <v>0</v>
      </c>
      <c r="DI466" s="109">
        <f t="shared" si="1144"/>
        <v>0</v>
      </c>
      <c r="DJ466" s="50">
        <f t="shared" si="1145"/>
        <v>0</v>
      </c>
      <c r="DK466" s="50">
        <f t="shared" si="1146"/>
        <v>0</v>
      </c>
      <c r="DL466" s="50">
        <f t="shared" si="1147"/>
        <v>0</v>
      </c>
      <c r="DM466" s="50">
        <f t="shared" si="1148"/>
        <v>0</v>
      </c>
      <c r="DN466" s="50">
        <f t="shared" si="1149"/>
        <v>0</v>
      </c>
      <c r="DO466" s="50">
        <f t="shared" si="1150"/>
        <v>0</v>
      </c>
      <c r="DP466" s="50">
        <f t="shared" si="1151"/>
        <v>0</v>
      </c>
      <c r="DQ466" s="50">
        <f t="shared" si="1128"/>
        <v>0</v>
      </c>
      <c r="DR466" s="50">
        <f t="shared" si="1129"/>
        <v>0</v>
      </c>
      <c r="DS466" s="96">
        <f>Miscelaneous!$D$4*Miscelaneous!$D$2^($CI466-1)</f>
        <v>1000</v>
      </c>
      <c r="DT466" s="333">
        <f t="shared" si="1109"/>
        <v>1</v>
      </c>
      <c r="DU466" s="81">
        <v>1</v>
      </c>
      <c r="DV466" s="79">
        <f t="shared" si="1130"/>
        <v>0</v>
      </c>
      <c r="DW466" s="79">
        <f t="shared" si="1131"/>
        <v>0</v>
      </c>
      <c r="DX466" s="79">
        <f t="shared" si="1132"/>
        <v>0</v>
      </c>
      <c r="DY466" s="79">
        <v>1</v>
      </c>
      <c r="DZ466" s="79">
        <f t="shared" si="1133"/>
        <v>0</v>
      </c>
      <c r="EA466" s="79">
        <f t="shared" si="1134"/>
        <v>0</v>
      </c>
      <c r="EB466" s="79">
        <f t="shared" si="1135"/>
        <v>0</v>
      </c>
      <c r="EC466" s="79">
        <f t="shared" si="1136"/>
        <v>0</v>
      </c>
      <c r="ED466" s="79">
        <v>1</v>
      </c>
      <c r="EE466" s="79">
        <v>1</v>
      </c>
      <c r="EF466" s="79">
        <f t="shared" si="1137"/>
        <v>0</v>
      </c>
      <c r="EG466" s="79">
        <v>1</v>
      </c>
      <c r="EH466" s="79">
        <v>1</v>
      </c>
      <c r="EI466" s="79">
        <v>1</v>
      </c>
      <c r="EJ466" s="79">
        <v>1</v>
      </c>
      <c r="EK466" s="79">
        <v>1</v>
      </c>
      <c r="EL466" s="79">
        <v>1</v>
      </c>
      <c r="EM466" s="143">
        <f t="shared" si="1138"/>
        <v>0</v>
      </c>
      <c r="EN466" s="143">
        <f t="shared" si="1139"/>
        <v>0</v>
      </c>
      <c r="EO466" s="82">
        <f t="shared" si="1140"/>
        <v>0</v>
      </c>
    </row>
    <row r="467" spans="1:145" x14ac:dyDescent="0.25">
      <c r="A467">
        <v>453</v>
      </c>
      <c r="B467" s="172" t="e">
        <f t="shared" si="1110"/>
        <v>#N/A</v>
      </c>
      <c r="C467" s="121" t="e">
        <f t="shared" ref="C467:E467" si="1153">AJ467-SUM(AB467:AB471)</f>
        <v>#N/A</v>
      </c>
      <c r="D467" s="122" t="e">
        <f t="shared" si="1153"/>
        <v>#N/A</v>
      </c>
      <c r="E467" s="122" t="e">
        <f t="shared" si="1153"/>
        <v>#N/A</v>
      </c>
      <c r="F467" s="176" t="e">
        <f t="shared" si="1092"/>
        <v>#N/A</v>
      </c>
      <c r="G467" s="121">
        <f t="shared" si="1112"/>
        <v>208</v>
      </c>
      <c r="H467" s="176" t="e">
        <f t="shared" si="1113"/>
        <v>#N/A</v>
      </c>
      <c r="I467" s="48">
        <v>1</v>
      </c>
      <c r="J467" s="39"/>
      <c r="K467" s="350">
        <v>1</v>
      </c>
      <c r="L467" s="34" t="e">
        <f t="shared" si="1093"/>
        <v>#N/A</v>
      </c>
      <c r="M467" s="38" t="e">
        <f>(HLOOKUP(J467,'Construction Times'!$B$3:$W$34,L467+2,FALSE)*HLOOKUP("hq modifier",'Construction Times'!$W$3:$W$34,BS467+2,FALSE))*(1-$H$9)</f>
        <v>#N/A</v>
      </c>
      <c r="N467" s="426" t="e">
        <f t="shared" si="1114"/>
        <v>#N/A</v>
      </c>
      <c r="O467" s="427"/>
      <c r="P467" s="430" t="e">
        <f t="shared" si="1115"/>
        <v>#N/A</v>
      </c>
      <c r="Q467" s="431"/>
      <c r="R467" s="103">
        <f t="shared" si="1142"/>
        <v>0</v>
      </c>
      <c r="S467" s="104">
        <f t="shared" si="1142"/>
        <v>0</v>
      </c>
      <c r="T467" s="104">
        <f t="shared" si="1143"/>
        <v>0</v>
      </c>
      <c r="U467" s="104">
        <f t="shared" si="1143"/>
        <v>0</v>
      </c>
      <c r="V467" s="104">
        <f t="shared" si="1143"/>
        <v>9.9999999999999995E-8</v>
      </c>
      <c r="W467" s="104">
        <f t="shared" si="1143"/>
        <v>0</v>
      </c>
      <c r="X467" s="104">
        <f t="shared" si="1089"/>
        <v>0</v>
      </c>
      <c r="Y467" s="104">
        <f t="shared" si="1089"/>
        <v>9.9999999999999995E-8</v>
      </c>
      <c r="Z467" s="104">
        <f t="shared" si="1089"/>
        <v>9.9999999999999995E-8</v>
      </c>
      <c r="AA467" s="105">
        <f t="shared" si="1089"/>
        <v>9.9999999999999995E-8</v>
      </c>
      <c r="AB467" s="101" t="e">
        <f>$DT467*HLOOKUP($J467,'Construction Costs (timber)'!$B$1:$V$32,'Construction Planner'!$L467+2,FALSE)</f>
        <v>#N/A</v>
      </c>
      <c r="AC467" s="14" t="e">
        <f>$DT467*HLOOKUP($J467,'Construction Costs (clay)'!$B$1:$V$32,'Construction Planner'!$L467+2,FALSE)</f>
        <v>#N/A</v>
      </c>
      <c r="AD467" s="14" t="e">
        <f>$DT467*HLOOKUP($J467,'Construction Costs (iron)'!$B$1:$V$32,'Construction Planner'!$L467+2,FALSE)</f>
        <v>#N/A</v>
      </c>
      <c r="AE467" s="34" t="e">
        <f t="shared" si="1000"/>
        <v>#N/A</v>
      </c>
      <c r="AF467" s="33" t="e">
        <f t="shared" si="1094"/>
        <v>#N/A</v>
      </c>
      <c r="AG467" s="14" t="e">
        <f t="shared" si="1095"/>
        <v>#N/A</v>
      </c>
      <c r="AH467" s="14" t="e">
        <f t="shared" si="1096"/>
        <v>#N/A</v>
      </c>
      <c r="AI467" s="34" t="e">
        <f t="shared" si="1001"/>
        <v>#N/A</v>
      </c>
      <c r="AJ467" s="49" t="e">
        <f t="shared" si="1116"/>
        <v>#N/A</v>
      </c>
      <c r="AK467" s="49" t="e">
        <f t="shared" si="1117"/>
        <v>#N/A</v>
      </c>
      <c r="AL467" s="49" t="e">
        <f t="shared" si="1118"/>
        <v>#N/A</v>
      </c>
      <c r="AM467" s="25">
        <f t="shared" si="1097"/>
        <v>30</v>
      </c>
      <c r="AN467" s="25">
        <f t="shared" si="1098"/>
        <v>30</v>
      </c>
      <c r="AO467" s="25">
        <f t="shared" si="1099"/>
        <v>30</v>
      </c>
      <c r="AP467" s="52" t="e">
        <f t="shared" si="1119"/>
        <v>#N/A</v>
      </c>
      <c r="AQ467" s="53" t="e">
        <f t="shared" si="1119"/>
        <v>#N/A</v>
      </c>
      <c r="AR467" s="54" t="e">
        <f t="shared" si="1119"/>
        <v>#N/A</v>
      </c>
      <c r="AS467" s="316">
        <f t="shared" si="1077"/>
        <v>0</v>
      </c>
      <c r="AT467" s="106">
        <f>_xlfn.IFNA($M467/VLOOKUP($BT467,'Unit information'!$A$2:$K$29,2,FALSE)*R467,0)*(1+$E$9)</f>
        <v>0</v>
      </c>
      <c r="AU467" s="107">
        <f>_xlfn.IFNA($M467/VLOOKUP($BT467,'Unit information'!$A$2:$K$29,3,FALSE)*S467,0)*(1+$E$9)</f>
        <v>0</v>
      </c>
      <c r="AV467" s="107">
        <f>_xlfn.IFNA($M467/VLOOKUP($BT467,'Unit information'!$A$2:$K$29,4,FALSE)*T467,0)*(1+$E$9)</f>
        <v>0</v>
      </c>
      <c r="AW467" s="107">
        <f>_xlfn.IFNA($M467/VLOOKUP($BT467,'Unit information'!$A$2:$K$29,5,FALSE)*U467,0)*(1+$E$9)</f>
        <v>0</v>
      </c>
      <c r="AX467" s="107">
        <f>_xlfn.IFNA($M467/VLOOKUP($BU467,'Unit information'!$A$2:$K$29,6,FALSE)*V467,0)*(1+$E$9)</f>
        <v>0</v>
      </c>
      <c r="AY467" s="107">
        <f>_xlfn.IFNA($M467/VLOOKUP($BU467,'Unit information'!$A$2:$K$29,7,FALSE)*W467,0)*(1+$E$9)</f>
        <v>0</v>
      </c>
      <c r="AZ467" s="107">
        <f>_xlfn.IFNA($M467/VLOOKUP($BU467,'Unit information'!$A$2:$K$29,8,FALSE)*X467,0)*(1+$E$9)</f>
        <v>0</v>
      </c>
      <c r="BA467" s="107">
        <f>_xlfn.IFNA($M467/VLOOKUP($BU467,'Unit information'!$A$2:$K$29,9,FALSE)*Y467,0)*(1+$E$9)</f>
        <v>0</v>
      </c>
      <c r="BB467" s="107">
        <f>_xlfn.IFNA($M467/VLOOKUP($BV467,'Unit information'!$A$2:$K$29,10,FALSE)*Z467,0)*(1+$E$9)</f>
        <v>0</v>
      </c>
      <c r="BC467" s="108">
        <f>_xlfn.IFNA($M467/VLOOKUP($BV467,'Unit information'!$A$2:$K$29,11,FALSE)*AA467,0)*(1+$E$9)</f>
        <v>0</v>
      </c>
      <c r="BD467" s="106">
        <f t="shared" si="1100"/>
        <v>0</v>
      </c>
      <c r="BE467" s="107">
        <f t="shared" si="1101"/>
        <v>0</v>
      </c>
      <c r="BF467" s="108">
        <f t="shared" si="1102"/>
        <v>0</v>
      </c>
      <c r="BG467" s="25" t="e">
        <f t="shared" si="1103"/>
        <v>#N/A</v>
      </c>
      <c r="BH467" s="25" t="e">
        <f t="shared" si="1104"/>
        <v>#N/A</v>
      </c>
      <c r="BI467" s="25" t="e">
        <f t="shared" si="1105"/>
        <v>#N/A</v>
      </c>
      <c r="BJ467" s="27" t="e">
        <f t="shared" si="1106"/>
        <v>#N/A</v>
      </c>
      <c r="BK467" s="18" t="e">
        <f t="shared" si="1107"/>
        <v>#N/A</v>
      </c>
      <c r="BL467" s="18" t="e">
        <f t="shared" si="1108"/>
        <v>#N/A</v>
      </c>
      <c r="BM467" s="28" t="e">
        <f t="shared" si="1003"/>
        <v>#N/A</v>
      </c>
      <c r="BN467" s="33">
        <f>HLOOKUP("maximum population",Miscelaneous!$C$1:$C$33,CH467+3,FALSE)</f>
        <v>240</v>
      </c>
      <c r="BO467" s="14">
        <f t="shared" si="1120"/>
        <v>32</v>
      </c>
      <c r="BP467" s="14">
        <f t="shared" si="1121"/>
        <v>0</v>
      </c>
      <c r="BQ467" s="14">
        <f t="shared" si="1122"/>
        <v>208</v>
      </c>
      <c r="BR467" s="34" t="e">
        <f>HLOOKUP(J467,Villagers!$B$1:$V$33,L467+3,FALSE)-HLOOKUP(J467,Villagers!$B$1:$V$33,L467+2,FALSE)</f>
        <v>#N/A</v>
      </c>
      <c r="BS467" s="49">
        <f t="shared" si="1123"/>
        <v>1</v>
      </c>
      <c r="BT467" s="50">
        <f t="shared" si="1124"/>
        <v>0</v>
      </c>
      <c r="BU467" s="50">
        <f t="shared" si="1125"/>
        <v>0</v>
      </c>
      <c r="BV467" s="50">
        <f t="shared" si="1126"/>
        <v>0</v>
      </c>
      <c r="BW467" s="50">
        <f t="shared" si="1127"/>
        <v>0</v>
      </c>
      <c r="BX467" s="50">
        <f t="shared" si="1127"/>
        <v>0</v>
      </c>
      <c r="BY467" s="50">
        <f t="shared" si="1127"/>
        <v>0</v>
      </c>
      <c r="BZ467" s="50">
        <f t="shared" si="1015"/>
        <v>0</v>
      </c>
      <c r="CA467" s="50">
        <f t="shared" si="1016"/>
        <v>0</v>
      </c>
      <c r="CB467" s="50">
        <f t="shared" si="1017"/>
        <v>1</v>
      </c>
      <c r="CC467" s="50">
        <f t="shared" si="1018"/>
        <v>0</v>
      </c>
      <c r="CD467" s="50">
        <f t="shared" si="1019"/>
        <v>0</v>
      </c>
      <c r="CE467" s="50">
        <f t="shared" si="1020"/>
        <v>1</v>
      </c>
      <c r="CF467" s="50">
        <f t="shared" si="1021"/>
        <v>1</v>
      </c>
      <c r="CG467" s="50">
        <f t="shared" si="1022"/>
        <v>1</v>
      </c>
      <c r="CH467" s="50">
        <f t="shared" si="1023"/>
        <v>1</v>
      </c>
      <c r="CI467" s="50">
        <f t="shared" si="1024"/>
        <v>1</v>
      </c>
      <c r="CJ467" s="50">
        <f t="shared" si="1025"/>
        <v>1</v>
      </c>
      <c r="CK467" s="50">
        <f t="shared" si="1025"/>
        <v>0</v>
      </c>
      <c r="CL467" s="50">
        <f t="shared" si="1025"/>
        <v>0</v>
      </c>
      <c r="CM467" s="51">
        <f t="shared" si="1026"/>
        <v>0</v>
      </c>
      <c r="CN467" s="33">
        <f>ROUND(IF(BS467=0,0,HLOOKUP(BS$14,Villagers!$B$1:$V$33,BS467+3,FALSE)),)</f>
        <v>5</v>
      </c>
      <c r="CO467" s="14">
        <f>ROUND(IF(BT467=0,0,HLOOKUP(BT$14,Villagers!$B$1:$V$33,BT467+3,FALSE)),)</f>
        <v>0</v>
      </c>
      <c r="CP467" s="14">
        <f>ROUND(IF(BU467=0,0,HLOOKUP(BU$14,Villagers!$B$1:$V$33,BU467+3,FALSE)),)</f>
        <v>0</v>
      </c>
      <c r="CQ467" s="14">
        <f>ROUND(IF(BV467=0,0,HLOOKUP(BV$14,Villagers!$B$1:$V$33,BV467+3,FALSE)),)</f>
        <v>0</v>
      </c>
      <c r="CR467" s="14">
        <f>ROUND(IF(BW467=0,0,HLOOKUP(BW$14,Villagers!$B$1:$V$33,BW467+3,FALSE)),)</f>
        <v>0</v>
      </c>
      <c r="CS467" s="14">
        <f>ROUND(IF(BX467=0,0,HLOOKUP(BX$14,Villagers!$B$1:$V$33,BX467+3,FALSE)),)</f>
        <v>0</v>
      </c>
      <c r="CT467" s="14">
        <f>ROUND(IF(BY467=0,0,HLOOKUP(BY$14,Villagers!$B$1:$V$33,BY467+3,FALSE)),)</f>
        <v>0</v>
      </c>
      <c r="CU467" s="14">
        <f>ROUND(IF(BZ467=0,0,HLOOKUP(BZ$14,Villagers!$B$1:$V$33,BZ467+3,FALSE)),)</f>
        <v>0</v>
      </c>
      <c r="CV467" s="14">
        <f>ROUND(IF(CA467=0,0,HLOOKUP(CA$14,Villagers!$B$1:$V$33,CA467+3,FALSE)),)</f>
        <v>0</v>
      </c>
      <c r="CW467" s="14">
        <f>ROUND(IF(CB467=0,0,HLOOKUP(CB$14,Villagers!$B$1:$V$33,CB467+3,FALSE)),)</f>
        <v>0</v>
      </c>
      <c r="CX467" s="14">
        <f>ROUND(IF(CC467=0,0,HLOOKUP(CC$14,Villagers!$B$1:$V$33,CC467+3,FALSE)),)</f>
        <v>0</v>
      </c>
      <c r="CY467" s="14">
        <f>ROUND(IF(CD467=0,0,HLOOKUP(CD$14,Villagers!$B$1:$V$33,CD467+3,FALSE)),)</f>
        <v>0</v>
      </c>
      <c r="CZ467" s="14">
        <f>ROUND(IF(CE467=0,0,HLOOKUP(CE$14,Villagers!$B$1:$V$33,CE467+3,FALSE)),)</f>
        <v>5</v>
      </c>
      <c r="DA467" s="14">
        <f>ROUND(IF(CF467=0,0,HLOOKUP(CF$14,Villagers!$B$1:$V$33,CF467+3,FALSE)),)</f>
        <v>10</v>
      </c>
      <c r="DB467" s="14">
        <f>ROUND(IF(CG467=0,0,HLOOKUP(CG$14,Villagers!$B$1:$V$33,CG467+3,FALSE)),)</f>
        <v>10</v>
      </c>
      <c r="DC467" s="14">
        <f>ROUND(IF(CH467=0,0,HLOOKUP(CH$14,Villagers!$B$1:$V$33,CH467+3,FALSE)),)</f>
        <v>0</v>
      </c>
      <c r="DD467" s="14">
        <f>ROUND(IF(CI467=0,0,HLOOKUP(CI$14,Villagers!$B$1:$V$33,CI467+3,FALSE)),)</f>
        <v>0</v>
      </c>
      <c r="DE467" s="14">
        <f>ROUND(IF(CJ467=0,0,HLOOKUP(CJ$14,Villagers!$B$1:$V$33,CJ467+3,FALSE)),)</f>
        <v>2</v>
      </c>
      <c r="DF467" s="370">
        <f>ROUND(IF(CK467=0,0,HLOOKUP(CK$14,Villagers!$B$1:$V$33,CK467+3,FALSE)),)</f>
        <v>0</v>
      </c>
      <c r="DG467" s="370">
        <f>ROUND(IF(CL467=0,0,HLOOKUP(CL$14,Villagers!$B$1:$V$33,CL467+3,FALSE)),)</f>
        <v>0</v>
      </c>
      <c r="DH467" s="34">
        <f>ROUND(IF(CM467=0,0,HLOOKUP(CM$14,Villagers!$B$1:$V$33,CM467+3,FALSE)),)</f>
        <v>0</v>
      </c>
      <c r="DI467" s="109">
        <f t="shared" si="1144"/>
        <v>0</v>
      </c>
      <c r="DJ467" s="50">
        <f t="shared" si="1145"/>
        <v>0</v>
      </c>
      <c r="DK467" s="50">
        <f t="shared" si="1146"/>
        <v>0</v>
      </c>
      <c r="DL467" s="50">
        <f t="shared" si="1147"/>
        <v>0</v>
      </c>
      <c r="DM467" s="50">
        <f t="shared" si="1148"/>
        <v>0</v>
      </c>
      <c r="DN467" s="50">
        <f t="shared" si="1149"/>
        <v>0</v>
      </c>
      <c r="DO467" s="50">
        <f t="shared" si="1150"/>
        <v>0</v>
      </c>
      <c r="DP467" s="50">
        <f t="shared" si="1151"/>
        <v>0</v>
      </c>
      <c r="DQ467" s="50">
        <f t="shared" si="1128"/>
        <v>0</v>
      </c>
      <c r="DR467" s="50">
        <f t="shared" si="1129"/>
        <v>0</v>
      </c>
      <c r="DS467" s="96">
        <f>Miscelaneous!$D$4*Miscelaneous!$D$2^($CI467-1)</f>
        <v>1000</v>
      </c>
      <c r="DT467" s="333">
        <f t="shared" si="1109"/>
        <v>1</v>
      </c>
      <c r="DU467" s="81">
        <v>1</v>
      </c>
      <c r="DV467" s="79">
        <f t="shared" si="1130"/>
        <v>0</v>
      </c>
      <c r="DW467" s="79">
        <f t="shared" si="1131"/>
        <v>0</v>
      </c>
      <c r="DX467" s="79">
        <f t="shared" si="1132"/>
        <v>0</v>
      </c>
      <c r="DY467" s="79">
        <v>1</v>
      </c>
      <c r="DZ467" s="79">
        <f t="shared" si="1133"/>
        <v>0</v>
      </c>
      <c r="EA467" s="79">
        <f t="shared" si="1134"/>
        <v>0</v>
      </c>
      <c r="EB467" s="79">
        <f t="shared" si="1135"/>
        <v>0</v>
      </c>
      <c r="EC467" s="79">
        <f t="shared" si="1136"/>
        <v>0</v>
      </c>
      <c r="ED467" s="79">
        <v>1</v>
      </c>
      <c r="EE467" s="79">
        <v>1</v>
      </c>
      <c r="EF467" s="79">
        <f t="shared" si="1137"/>
        <v>0</v>
      </c>
      <c r="EG467" s="79">
        <v>1</v>
      </c>
      <c r="EH467" s="79">
        <v>1</v>
      </c>
      <c r="EI467" s="79">
        <v>1</v>
      </c>
      <c r="EJ467" s="79">
        <v>1</v>
      </c>
      <c r="EK467" s="79">
        <v>1</v>
      </c>
      <c r="EL467" s="79">
        <v>1</v>
      </c>
      <c r="EM467" s="143">
        <f t="shared" si="1138"/>
        <v>0</v>
      </c>
      <c r="EN467" s="143">
        <f t="shared" si="1139"/>
        <v>0</v>
      </c>
      <c r="EO467" s="82">
        <f t="shared" si="1140"/>
        <v>0</v>
      </c>
    </row>
    <row r="468" spans="1:145" x14ac:dyDescent="0.25">
      <c r="A468">
        <v>454</v>
      </c>
      <c r="B468" s="172" t="e">
        <f t="shared" si="1110"/>
        <v>#N/A</v>
      </c>
      <c r="C468" s="121" t="e">
        <f t="shared" ref="C468:E468" si="1154">AJ468-SUM(AB468:AB472)</f>
        <v>#N/A</v>
      </c>
      <c r="D468" s="122" t="e">
        <f t="shared" si="1154"/>
        <v>#N/A</v>
      </c>
      <c r="E468" s="122" t="e">
        <f t="shared" si="1154"/>
        <v>#N/A</v>
      </c>
      <c r="F468" s="176" t="e">
        <f t="shared" si="1092"/>
        <v>#N/A</v>
      </c>
      <c r="G468" s="121">
        <f t="shared" si="1112"/>
        <v>208</v>
      </c>
      <c r="H468" s="176" t="e">
        <f t="shared" si="1113"/>
        <v>#N/A</v>
      </c>
      <c r="I468" s="48">
        <v>1</v>
      </c>
      <c r="J468" s="39"/>
      <c r="K468" s="350">
        <v>1</v>
      </c>
      <c r="L468" s="34" t="e">
        <f t="shared" si="1093"/>
        <v>#N/A</v>
      </c>
      <c r="M468" s="38" t="e">
        <f>(HLOOKUP(J468,'Construction Times'!$B$3:$W$34,L468+2,FALSE)*HLOOKUP("hq modifier",'Construction Times'!$W$3:$W$34,BS468+2,FALSE))*(1-$H$9)</f>
        <v>#N/A</v>
      </c>
      <c r="N468" s="426" t="e">
        <f t="shared" si="1114"/>
        <v>#N/A</v>
      </c>
      <c r="O468" s="427"/>
      <c r="P468" s="430" t="e">
        <f t="shared" si="1115"/>
        <v>#N/A</v>
      </c>
      <c r="Q468" s="431"/>
      <c r="R468" s="103">
        <f t="shared" si="1142"/>
        <v>0</v>
      </c>
      <c r="S468" s="104">
        <f t="shared" si="1142"/>
        <v>0</v>
      </c>
      <c r="T468" s="104">
        <f t="shared" si="1143"/>
        <v>0</v>
      </c>
      <c r="U468" s="104">
        <f t="shared" si="1143"/>
        <v>0</v>
      </c>
      <c r="V468" s="104">
        <f t="shared" si="1143"/>
        <v>9.9999999999999995E-8</v>
      </c>
      <c r="W468" s="104">
        <f t="shared" si="1143"/>
        <v>0</v>
      </c>
      <c r="X468" s="104">
        <f t="shared" si="1089"/>
        <v>0</v>
      </c>
      <c r="Y468" s="104">
        <f t="shared" si="1089"/>
        <v>9.9999999999999995E-8</v>
      </c>
      <c r="Z468" s="104">
        <f t="shared" si="1089"/>
        <v>9.9999999999999995E-8</v>
      </c>
      <c r="AA468" s="105">
        <f t="shared" si="1089"/>
        <v>9.9999999999999995E-8</v>
      </c>
      <c r="AB468" s="101" t="e">
        <f>$DT468*HLOOKUP($J468,'Construction Costs (timber)'!$B$1:$V$32,'Construction Planner'!$L468+2,FALSE)</f>
        <v>#N/A</v>
      </c>
      <c r="AC468" s="14" t="e">
        <f>$DT468*HLOOKUP($J468,'Construction Costs (clay)'!$B$1:$V$32,'Construction Planner'!$L468+2,FALSE)</f>
        <v>#N/A</v>
      </c>
      <c r="AD468" s="14" t="e">
        <f>$DT468*HLOOKUP($J468,'Construction Costs (iron)'!$B$1:$V$32,'Construction Planner'!$L468+2,FALSE)</f>
        <v>#N/A</v>
      </c>
      <c r="AE468" s="34" t="e">
        <f t="shared" ref="AE468:AE509" si="1155">SUM(AB468:AD468)</f>
        <v>#N/A</v>
      </c>
      <c r="AF468" s="33" t="e">
        <f t="shared" si="1094"/>
        <v>#N/A</v>
      </c>
      <c r="AG468" s="14" t="e">
        <f t="shared" si="1095"/>
        <v>#N/A</v>
      </c>
      <c r="AH468" s="14" t="e">
        <f t="shared" si="1096"/>
        <v>#N/A</v>
      </c>
      <c r="AI468" s="34" t="e">
        <f t="shared" ref="AI468:AI509" si="1156">SUM(AF468:AH468)</f>
        <v>#N/A</v>
      </c>
      <c r="AJ468" s="49" t="e">
        <f t="shared" si="1116"/>
        <v>#N/A</v>
      </c>
      <c r="AK468" s="49" t="e">
        <f t="shared" si="1117"/>
        <v>#N/A</v>
      </c>
      <c r="AL468" s="49" t="e">
        <f t="shared" si="1118"/>
        <v>#N/A</v>
      </c>
      <c r="AM468" s="25">
        <f t="shared" si="1097"/>
        <v>30</v>
      </c>
      <c r="AN468" s="25">
        <f t="shared" si="1098"/>
        <v>30</v>
      </c>
      <c r="AO468" s="25">
        <f t="shared" si="1099"/>
        <v>30</v>
      </c>
      <c r="AP468" s="52" t="e">
        <f t="shared" si="1119"/>
        <v>#N/A</v>
      </c>
      <c r="AQ468" s="53" t="e">
        <f t="shared" si="1119"/>
        <v>#N/A</v>
      </c>
      <c r="AR468" s="54" t="e">
        <f t="shared" si="1119"/>
        <v>#N/A</v>
      </c>
      <c r="AS468" s="316">
        <f t="shared" ref="AS468:AS483" si="1157">AS467</f>
        <v>0</v>
      </c>
      <c r="AT468" s="106">
        <f>_xlfn.IFNA($M468/VLOOKUP($BT468,'Unit information'!$A$2:$K$29,2,FALSE)*R468,0)*(1+$E$9)</f>
        <v>0</v>
      </c>
      <c r="AU468" s="107">
        <f>_xlfn.IFNA($M468/VLOOKUP($BT468,'Unit information'!$A$2:$K$29,3,FALSE)*S468,0)*(1+$E$9)</f>
        <v>0</v>
      </c>
      <c r="AV468" s="107">
        <f>_xlfn.IFNA($M468/VLOOKUP($BT468,'Unit information'!$A$2:$K$29,4,FALSE)*T468,0)*(1+$E$9)</f>
        <v>0</v>
      </c>
      <c r="AW468" s="107">
        <f>_xlfn.IFNA($M468/VLOOKUP($BT468,'Unit information'!$A$2:$K$29,5,FALSE)*U468,0)*(1+$E$9)</f>
        <v>0</v>
      </c>
      <c r="AX468" s="107">
        <f>_xlfn.IFNA($M468/VLOOKUP($BU468,'Unit information'!$A$2:$K$29,6,FALSE)*V468,0)*(1+$E$9)</f>
        <v>0</v>
      </c>
      <c r="AY468" s="107">
        <f>_xlfn.IFNA($M468/VLOOKUP($BU468,'Unit information'!$A$2:$K$29,7,FALSE)*W468,0)*(1+$E$9)</f>
        <v>0</v>
      </c>
      <c r="AZ468" s="107">
        <f>_xlfn.IFNA($M468/VLOOKUP($BU468,'Unit information'!$A$2:$K$29,8,FALSE)*X468,0)*(1+$E$9)</f>
        <v>0</v>
      </c>
      <c r="BA468" s="107">
        <f>_xlfn.IFNA($M468/VLOOKUP($BU468,'Unit information'!$A$2:$K$29,9,FALSE)*Y468,0)*(1+$E$9)</f>
        <v>0</v>
      </c>
      <c r="BB468" s="107">
        <f>_xlfn.IFNA($M468/VLOOKUP($BV468,'Unit information'!$A$2:$K$29,10,FALSE)*Z468,0)*(1+$E$9)</f>
        <v>0</v>
      </c>
      <c r="BC468" s="108">
        <f>_xlfn.IFNA($M468/VLOOKUP($BV468,'Unit information'!$A$2:$K$29,11,FALSE)*AA468,0)*(1+$E$9)</f>
        <v>0</v>
      </c>
      <c r="BD468" s="106">
        <f t="shared" si="1100"/>
        <v>0</v>
      </c>
      <c r="BE468" s="107">
        <f t="shared" si="1101"/>
        <v>0</v>
      </c>
      <c r="BF468" s="108">
        <f t="shared" si="1102"/>
        <v>0</v>
      </c>
      <c r="BG468" s="25" t="e">
        <f t="shared" si="1103"/>
        <v>#N/A</v>
      </c>
      <c r="BH468" s="25" t="e">
        <f t="shared" si="1104"/>
        <v>#N/A</v>
      </c>
      <c r="BI468" s="25" t="e">
        <f t="shared" si="1105"/>
        <v>#N/A</v>
      </c>
      <c r="BJ468" s="27" t="e">
        <f t="shared" si="1106"/>
        <v>#N/A</v>
      </c>
      <c r="BK468" s="18" t="e">
        <f t="shared" si="1107"/>
        <v>#N/A</v>
      </c>
      <c r="BL468" s="18" t="e">
        <f t="shared" si="1108"/>
        <v>#N/A</v>
      </c>
      <c r="BM468" s="28" t="e">
        <f t="shared" ref="BM468:BM509" si="1158">MAX(BJ468:BL468)</f>
        <v>#N/A</v>
      </c>
      <c r="BN468" s="33">
        <f>HLOOKUP("maximum population",Miscelaneous!$C$1:$C$33,CH468+3,FALSE)</f>
        <v>240</v>
      </c>
      <c r="BO468" s="14">
        <f t="shared" si="1120"/>
        <v>32</v>
      </c>
      <c r="BP468" s="14">
        <f t="shared" si="1121"/>
        <v>0</v>
      </c>
      <c r="BQ468" s="14">
        <f t="shared" si="1122"/>
        <v>208</v>
      </c>
      <c r="BR468" s="34" t="e">
        <f>HLOOKUP(J468,Villagers!$B$1:$V$33,L468+3,FALSE)-HLOOKUP(J468,Villagers!$B$1:$V$33,L468+2,FALSE)</f>
        <v>#N/A</v>
      </c>
      <c r="BS468" s="49">
        <f t="shared" si="1123"/>
        <v>1</v>
      </c>
      <c r="BT468" s="50">
        <f t="shared" si="1124"/>
        <v>0</v>
      </c>
      <c r="BU468" s="50">
        <f t="shared" si="1125"/>
        <v>0</v>
      </c>
      <c r="BV468" s="50">
        <f t="shared" si="1126"/>
        <v>0</v>
      </c>
      <c r="BW468" s="50">
        <f t="shared" si="1127"/>
        <v>0</v>
      </c>
      <c r="BX468" s="50">
        <f t="shared" si="1127"/>
        <v>0</v>
      </c>
      <c r="BY468" s="50">
        <f t="shared" si="1127"/>
        <v>0</v>
      </c>
      <c r="BZ468" s="50">
        <f t="shared" si="1015"/>
        <v>0</v>
      </c>
      <c r="CA468" s="50">
        <f t="shared" si="1016"/>
        <v>0</v>
      </c>
      <c r="CB468" s="50">
        <f t="shared" si="1017"/>
        <v>1</v>
      </c>
      <c r="CC468" s="50">
        <f t="shared" si="1018"/>
        <v>0</v>
      </c>
      <c r="CD468" s="50">
        <f t="shared" si="1019"/>
        <v>0</v>
      </c>
      <c r="CE468" s="50">
        <f t="shared" si="1020"/>
        <v>1</v>
      </c>
      <c r="CF468" s="50">
        <f t="shared" si="1021"/>
        <v>1</v>
      </c>
      <c r="CG468" s="50">
        <f t="shared" si="1022"/>
        <v>1</v>
      </c>
      <c r="CH468" s="50">
        <f t="shared" si="1023"/>
        <v>1</v>
      </c>
      <c r="CI468" s="50">
        <f t="shared" si="1024"/>
        <v>1</v>
      </c>
      <c r="CJ468" s="50">
        <f t="shared" si="1025"/>
        <v>1</v>
      </c>
      <c r="CK468" s="50">
        <f t="shared" si="1025"/>
        <v>0</v>
      </c>
      <c r="CL468" s="50">
        <f t="shared" si="1025"/>
        <v>0</v>
      </c>
      <c r="CM468" s="51">
        <f t="shared" si="1026"/>
        <v>0</v>
      </c>
      <c r="CN468" s="33">
        <f>ROUND(IF(BS468=0,0,HLOOKUP(BS$14,Villagers!$B$1:$V$33,BS468+3,FALSE)),)</f>
        <v>5</v>
      </c>
      <c r="CO468" s="14">
        <f>ROUND(IF(BT468=0,0,HLOOKUP(BT$14,Villagers!$B$1:$V$33,BT468+3,FALSE)),)</f>
        <v>0</v>
      </c>
      <c r="CP468" s="14">
        <f>ROUND(IF(BU468=0,0,HLOOKUP(BU$14,Villagers!$B$1:$V$33,BU468+3,FALSE)),)</f>
        <v>0</v>
      </c>
      <c r="CQ468" s="14">
        <f>ROUND(IF(BV468=0,0,HLOOKUP(BV$14,Villagers!$B$1:$V$33,BV468+3,FALSE)),)</f>
        <v>0</v>
      </c>
      <c r="CR468" s="14">
        <f>ROUND(IF(BW468=0,0,HLOOKUP(BW$14,Villagers!$B$1:$V$33,BW468+3,FALSE)),)</f>
        <v>0</v>
      </c>
      <c r="CS468" s="14">
        <f>ROUND(IF(BX468=0,0,HLOOKUP(BX$14,Villagers!$B$1:$V$33,BX468+3,FALSE)),)</f>
        <v>0</v>
      </c>
      <c r="CT468" s="14">
        <f>ROUND(IF(BY468=0,0,HLOOKUP(BY$14,Villagers!$B$1:$V$33,BY468+3,FALSE)),)</f>
        <v>0</v>
      </c>
      <c r="CU468" s="14">
        <f>ROUND(IF(BZ468=0,0,HLOOKUP(BZ$14,Villagers!$B$1:$V$33,BZ468+3,FALSE)),)</f>
        <v>0</v>
      </c>
      <c r="CV468" s="14">
        <f>ROUND(IF(CA468=0,0,HLOOKUP(CA$14,Villagers!$B$1:$V$33,CA468+3,FALSE)),)</f>
        <v>0</v>
      </c>
      <c r="CW468" s="14">
        <f>ROUND(IF(CB468=0,0,HLOOKUP(CB$14,Villagers!$B$1:$V$33,CB468+3,FALSE)),)</f>
        <v>0</v>
      </c>
      <c r="CX468" s="14">
        <f>ROUND(IF(CC468=0,0,HLOOKUP(CC$14,Villagers!$B$1:$V$33,CC468+3,FALSE)),)</f>
        <v>0</v>
      </c>
      <c r="CY468" s="14">
        <f>ROUND(IF(CD468=0,0,HLOOKUP(CD$14,Villagers!$B$1:$V$33,CD468+3,FALSE)),)</f>
        <v>0</v>
      </c>
      <c r="CZ468" s="14">
        <f>ROUND(IF(CE468=0,0,HLOOKUP(CE$14,Villagers!$B$1:$V$33,CE468+3,FALSE)),)</f>
        <v>5</v>
      </c>
      <c r="DA468" s="14">
        <f>ROUND(IF(CF468=0,0,HLOOKUP(CF$14,Villagers!$B$1:$V$33,CF468+3,FALSE)),)</f>
        <v>10</v>
      </c>
      <c r="DB468" s="14">
        <f>ROUND(IF(CG468=0,0,HLOOKUP(CG$14,Villagers!$B$1:$V$33,CG468+3,FALSE)),)</f>
        <v>10</v>
      </c>
      <c r="DC468" s="14">
        <f>ROUND(IF(CH468=0,0,HLOOKUP(CH$14,Villagers!$B$1:$V$33,CH468+3,FALSE)),)</f>
        <v>0</v>
      </c>
      <c r="DD468" s="14">
        <f>ROUND(IF(CI468=0,0,HLOOKUP(CI$14,Villagers!$B$1:$V$33,CI468+3,FALSE)),)</f>
        <v>0</v>
      </c>
      <c r="DE468" s="14">
        <f>ROUND(IF(CJ468=0,0,HLOOKUP(CJ$14,Villagers!$B$1:$V$33,CJ468+3,FALSE)),)</f>
        <v>2</v>
      </c>
      <c r="DF468" s="370">
        <f>ROUND(IF(CK468=0,0,HLOOKUP(CK$14,Villagers!$B$1:$V$33,CK468+3,FALSE)),)</f>
        <v>0</v>
      </c>
      <c r="DG468" s="370">
        <f>ROUND(IF(CL468=0,0,HLOOKUP(CL$14,Villagers!$B$1:$V$33,CL468+3,FALSE)),)</f>
        <v>0</v>
      </c>
      <c r="DH468" s="34">
        <f>ROUND(IF(CM468=0,0,HLOOKUP(CM$14,Villagers!$B$1:$V$33,CM468+3,FALSE)),)</f>
        <v>0</v>
      </c>
      <c r="DI468" s="109">
        <f t="shared" si="1144"/>
        <v>0</v>
      </c>
      <c r="DJ468" s="50">
        <f t="shared" si="1145"/>
        <v>0</v>
      </c>
      <c r="DK468" s="50">
        <f t="shared" si="1146"/>
        <v>0</v>
      </c>
      <c r="DL468" s="50">
        <f t="shared" si="1147"/>
        <v>0</v>
      </c>
      <c r="DM468" s="50">
        <f t="shared" si="1148"/>
        <v>0</v>
      </c>
      <c r="DN468" s="50">
        <f t="shared" si="1149"/>
        <v>0</v>
      </c>
      <c r="DO468" s="50">
        <f t="shared" si="1150"/>
        <v>0</v>
      </c>
      <c r="DP468" s="50">
        <f t="shared" si="1151"/>
        <v>0</v>
      </c>
      <c r="DQ468" s="50">
        <f t="shared" si="1128"/>
        <v>0</v>
      </c>
      <c r="DR468" s="50">
        <f t="shared" si="1129"/>
        <v>0</v>
      </c>
      <c r="DS468" s="96">
        <f>Miscelaneous!$D$4*Miscelaneous!$D$2^($CI468-1)</f>
        <v>1000</v>
      </c>
      <c r="DT468" s="333">
        <f t="shared" si="1109"/>
        <v>1</v>
      </c>
      <c r="DU468" s="81">
        <v>1</v>
      </c>
      <c r="DV468" s="79">
        <f t="shared" si="1130"/>
        <v>0</v>
      </c>
      <c r="DW468" s="79">
        <f t="shared" si="1131"/>
        <v>0</v>
      </c>
      <c r="DX468" s="79">
        <f t="shared" si="1132"/>
        <v>0</v>
      </c>
      <c r="DY468" s="79">
        <v>1</v>
      </c>
      <c r="DZ468" s="79">
        <f t="shared" si="1133"/>
        <v>0</v>
      </c>
      <c r="EA468" s="79">
        <f t="shared" si="1134"/>
        <v>0</v>
      </c>
      <c r="EB468" s="79">
        <f t="shared" si="1135"/>
        <v>0</v>
      </c>
      <c r="EC468" s="79">
        <f t="shared" si="1136"/>
        <v>0</v>
      </c>
      <c r="ED468" s="79">
        <v>1</v>
      </c>
      <c r="EE468" s="79">
        <v>1</v>
      </c>
      <c r="EF468" s="79">
        <f t="shared" si="1137"/>
        <v>0</v>
      </c>
      <c r="EG468" s="79">
        <v>1</v>
      </c>
      <c r="EH468" s="79">
        <v>1</v>
      </c>
      <c r="EI468" s="79">
        <v>1</v>
      </c>
      <c r="EJ468" s="79">
        <v>1</v>
      </c>
      <c r="EK468" s="79">
        <v>1</v>
      </c>
      <c r="EL468" s="79">
        <v>1</v>
      </c>
      <c r="EM468" s="143">
        <f t="shared" si="1138"/>
        <v>0</v>
      </c>
      <c r="EN468" s="143">
        <f t="shared" si="1139"/>
        <v>0</v>
      </c>
      <c r="EO468" s="82">
        <f t="shared" si="1140"/>
        <v>0</v>
      </c>
    </row>
    <row r="469" spans="1:145" x14ac:dyDescent="0.25">
      <c r="A469">
        <v>455</v>
      </c>
      <c r="B469" s="172" t="e">
        <f t="shared" si="1110"/>
        <v>#N/A</v>
      </c>
      <c r="C469" s="121" t="e">
        <f t="shared" ref="C469:E469" si="1159">AJ469-SUM(AB469:AB473)</f>
        <v>#N/A</v>
      </c>
      <c r="D469" s="122" t="e">
        <f t="shared" si="1159"/>
        <v>#N/A</v>
      </c>
      <c r="E469" s="122" t="e">
        <f t="shared" si="1159"/>
        <v>#N/A</v>
      </c>
      <c r="F469" s="176" t="e">
        <f t="shared" si="1092"/>
        <v>#N/A</v>
      </c>
      <c r="G469" s="121">
        <f t="shared" si="1112"/>
        <v>208</v>
      </c>
      <c r="H469" s="176" t="e">
        <f t="shared" si="1113"/>
        <v>#N/A</v>
      </c>
      <c r="I469" s="48">
        <v>1</v>
      </c>
      <c r="J469" s="39"/>
      <c r="K469" s="350">
        <v>1</v>
      </c>
      <c r="L469" s="34" t="e">
        <f t="shared" si="1093"/>
        <v>#N/A</v>
      </c>
      <c r="M469" s="38" t="e">
        <f>(HLOOKUP(J469,'Construction Times'!$B$3:$W$34,L469+2,FALSE)*HLOOKUP("hq modifier",'Construction Times'!$W$3:$W$34,BS469+2,FALSE))*(1-$H$9)</f>
        <v>#N/A</v>
      </c>
      <c r="N469" s="426" t="e">
        <f t="shared" si="1114"/>
        <v>#N/A</v>
      </c>
      <c r="O469" s="427"/>
      <c r="P469" s="430" t="e">
        <f t="shared" si="1115"/>
        <v>#N/A</v>
      </c>
      <c r="Q469" s="431"/>
      <c r="R469" s="103">
        <f t="shared" si="1142"/>
        <v>0</v>
      </c>
      <c r="S469" s="104">
        <f t="shared" si="1142"/>
        <v>0</v>
      </c>
      <c r="T469" s="104">
        <f t="shared" si="1143"/>
        <v>0</v>
      </c>
      <c r="U469" s="104">
        <f t="shared" si="1143"/>
        <v>0</v>
      </c>
      <c r="V469" s="104">
        <f t="shared" si="1143"/>
        <v>9.9999999999999995E-8</v>
      </c>
      <c r="W469" s="104">
        <f t="shared" si="1143"/>
        <v>0</v>
      </c>
      <c r="X469" s="104">
        <f t="shared" si="1089"/>
        <v>0</v>
      </c>
      <c r="Y469" s="104">
        <f t="shared" si="1089"/>
        <v>9.9999999999999995E-8</v>
      </c>
      <c r="Z469" s="104">
        <f t="shared" si="1089"/>
        <v>9.9999999999999995E-8</v>
      </c>
      <c r="AA469" s="105">
        <f t="shared" si="1089"/>
        <v>9.9999999999999995E-8</v>
      </c>
      <c r="AB469" s="101" t="e">
        <f>$DT469*HLOOKUP($J469,'Construction Costs (timber)'!$B$1:$V$32,'Construction Planner'!$L469+2,FALSE)</f>
        <v>#N/A</v>
      </c>
      <c r="AC469" s="14" t="e">
        <f>$DT469*HLOOKUP($J469,'Construction Costs (clay)'!$B$1:$V$32,'Construction Planner'!$L469+2,FALSE)</f>
        <v>#N/A</v>
      </c>
      <c r="AD469" s="14" t="e">
        <f>$DT469*HLOOKUP($J469,'Construction Costs (iron)'!$B$1:$V$32,'Construction Planner'!$L469+2,FALSE)</f>
        <v>#N/A</v>
      </c>
      <c r="AE469" s="34" t="e">
        <f t="shared" si="1155"/>
        <v>#N/A</v>
      </c>
      <c r="AF469" s="33" t="e">
        <f t="shared" si="1094"/>
        <v>#N/A</v>
      </c>
      <c r="AG469" s="14" t="e">
        <f t="shared" si="1095"/>
        <v>#N/A</v>
      </c>
      <c r="AH469" s="14" t="e">
        <f t="shared" si="1096"/>
        <v>#N/A</v>
      </c>
      <c r="AI469" s="34" t="e">
        <f t="shared" si="1156"/>
        <v>#N/A</v>
      </c>
      <c r="AJ469" s="49" t="e">
        <f t="shared" si="1116"/>
        <v>#N/A</v>
      </c>
      <c r="AK469" s="49" t="e">
        <f t="shared" si="1117"/>
        <v>#N/A</v>
      </c>
      <c r="AL469" s="49" t="e">
        <f t="shared" si="1118"/>
        <v>#N/A</v>
      </c>
      <c r="AM469" s="25">
        <f t="shared" si="1097"/>
        <v>30</v>
      </c>
      <c r="AN469" s="25">
        <f t="shared" si="1098"/>
        <v>30</v>
      </c>
      <c r="AO469" s="25">
        <f t="shared" si="1099"/>
        <v>30</v>
      </c>
      <c r="AP469" s="52" t="e">
        <f t="shared" si="1119"/>
        <v>#N/A</v>
      </c>
      <c r="AQ469" s="53" t="e">
        <f t="shared" si="1119"/>
        <v>#N/A</v>
      </c>
      <c r="AR469" s="54" t="e">
        <f t="shared" si="1119"/>
        <v>#N/A</v>
      </c>
      <c r="AS469" s="316">
        <f t="shared" si="1157"/>
        <v>0</v>
      </c>
      <c r="AT469" s="106">
        <f>_xlfn.IFNA($M469/VLOOKUP($BT469,'Unit information'!$A$2:$K$29,2,FALSE)*R469,0)*(1+$E$9)</f>
        <v>0</v>
      </c>
      <c r="AU469" s="107">
        <f>_xlfn.IFNA($M469/VLOOKUP($BT469,'Unit information'!$A$2:$K$29,3,FALSE)*S469,0)*(1+$E$9)</f>
        <v>0</v>
      </c>
      <c r="AV469" s="107">
        <f>_xlfn.IFNA($M469/VLOOKUP($BT469,'Unit information'!$A$2:$K$29,4,FALSE)*T469,0)*(1+$E$9)</f>
        <v>0</v>
      </c>
      <c r="AW469" s="107">
        <f>_xlfn.IFNA($M469/VLOOKUP($BT469,'Unit information'!$A$2:$K$29,5,FALSE)*U469,0)*(1+$E$9)</f>
        <v>0</v>
      </c>
      <c r="AX469" s="107">
        <f>_xlfn.IFNA($M469/VLOOKUP($BU469,'Unit information'!$A$2:$K$29,6,FALSE)*V469,0)*(1+$E$9)</f>
        <v>0</v>
      </c>
      <c r="AY469" s="107">
        <f>_xlfn.IFNA($M469/VLOOKUP($BU469,'Unit information'!$A$2:$K$29,7,FALSE)*W469,0)*(1+$E$9)</f>
        <v>0</v>
      </c>
      <c r="AZ469" s="107">
        <f>_xlfn.IFNA($M469/VLOOKUP($BU469,'Unit information'!$A$2:$K$29,8,FALSE)*X469,0)*(1+$E$9)</f>
        <v>0</v>
      </c>
      <c r="BA469" s="107">
        <f>_xlfn.IFNA($M469/VLOOKUP($BU469,'Unit information'!$A$2:$K$29,9,FALSE)*Y469,0)*(1+$E$9)</f>
        <v>0</v>
      </c>
      <c r="BB469" s="107">
        <f>_xlfn.IFNA($M469/VLOOKUP($BV469,'Unit information'!$A$2:$K$29,10,FALSE)*Z469,0)*(1+$E$9)</f>
        <v>0</v>
      </c>
      <c r="BC469" s="108">
        <f>_xlfn.IFNA($M469/VLOOKUP($BV469,'Unit information'!$A$2:$K$29,11,FALSE)*AA469,0)*(1+$E$9)</f>
        <v>0</v>
      </c>
      <c r="BD469" s="106">
        <f t="shared" si="1100"/>
        <v>0</v>
      </c>
      <c r="BE469" s="107">
        <f t="shared" si="1101"/>
        <v>0</v>
      </c>
      <c r="BF469" s="108">
        <f t="shared" si="1102"/>
        <v>0</v>
      </c>
      <c r="BG469" s="25" t="e">
        <f t="shared" si="1103"/>
        <v>#N/A</v>
      </c>
      <c r="BH469" s="25" t="e">
        <f t="shared" si="1104"/>
        <v>#N/A</v>
      </c>
      <c r="BI469" s="25" t="e">
        <f t="shared" si="1105"/>
        <v>#N/A</v>
      </c>
      <c r="BJ469" s="27" t="e">
        <f t="shared" si="1106"/>
        <v>#N/A</v>
      </c>
      <c r="BK469" s="18" t="e">
        <f t="shared" si="1107"/>
        <v>#N/A</v>
      </c>
      <c r="BL469" s="18" t="e">
        <f t="shared" si="1108"/>
        <v>#N/A</v>
      </c>
      <c r="BM469" s="28" t="e">
        <f t="shared" si="1158"/>
        <v>#N/A</v>
      </c>
      <c r="BN469" s="33">
        <f>HLOOKUP("maximum population",Miscelaneous!$C$1:$C$33,CH469+3,FALSE)</f>
        <v>240</v>
      </c>
      <c r="BO469" s="14">
        <f t="shared" si="1120"/>
        <v>32</v>
      </c>
      <c r="BP469" s="14">
        <f t="shared" si="1121"/>
        <v>0</v>
      </c>
      <c r="BQ469" s="14">
        <f t="shared" si="1122"/>
        <v>208</v>
      </c>
      <c r="BR469" s="34" t="e">
        <f>HLOOKUP(J469,Villagers!$B$1:$V$33,L469+3,FALSE)-HLOOKUP(J469,Villagers!$B$1:$V$33,L469+2,FALSE)</f>
        <v>#N/A</v>
      </c>
      <c r="BS469" s="49">
        <f t="shared" si="1123"/>
        <v>1</v>
      </c>
      <c r="BT469" s="50">
        <f t="shared" si="1124"/>
        <v>0</v>
      </c>
      <c r="BU469" s="50">
        <f t="shared" si="1125"/>
        <v>0</v>
      </c>
      <c r="BV469" s="50">
        <f t="shared" si="1126"/>
        <v>0</v>
      </c>
      <c r="BW469" s="50">
        <f t="shared" si="1127"/>
        <v>0</v>
      </c>
      <c r="BX469" s="50">
        <f t="shared" si="1127"/>
        <v>0</v>
      </c>
      <c r="BY469" s="50">
        <f t="shared" si="1127"/>
        <v>0</v>
      </c>
      <c r="BZ469" s="50">
        <f t="shared" si="1015"/>
        <v>0</v>
      </c>
      <c r="CA469" s="50">
        <f t="shared" si="1016"/>
        <v>0</v>
      </c>
      <c r="CB469" s="50">
        <f t="shared" si="1017"/>
        <v>1</v>
      </c>
      <c r="CC469" s="50">
        <f t="shared" si="1018"/>
        <v>0</v>
      </c>
      <c r="CD469" s="50">
        <f t="shared" si="1019"/>
        <v>0</v>
      </c>
      <c r="CE469" s="50">
        <f t="shared" si="1020"/>
        <v>1</v>
      </c>
      <c r="CF469" s="50">
        <f t="shared" si="1021"/>
        <v>1</v>
      </c>
      <c r="CG469" s="50">
        <f t="shared" si="1022"/>
        <v>1</v>
      </c>
      <c r="CH469" s="50">
        <f t="shared" si="1023"/>
        <v>1</v>
      </c>
      <c r="CI469" s="50">
        <f t="shared" si="1024"/>
        <v>1</v>
      </c>
      <c r="CJ469" s="50">
        <f t="shared" si="1025"/>
        <v>1</v>
      </c>
      <c r="CK469" s="50">
        <f t="shared" si="1025"/>
        <v>0</v>
      </c>
      <c r="CL469" s="50">
        <f t="shared" si="1025"/>
        <v>0</v>
      </c>
      <c r="CM469" s="51">
        <f t="shared" si="1026"/>
        <v>0</v>
      </c>
      <c r="CN469" s="33">
        <f>ROUND(IF(BS469=0,0,HLOOKUP(BS$14,Villagers!$B$1:$V$33,BS469+3,FALSE)),)</f>
        <v>5</v>
      </c>
      <c r="CO469" s="14">
        <f>ROUND(IF(BT469=0,0,HLOOKUP(BT$14,Villagers!$B$1:$V$33,BT469+3,FALSE)),)</f>
        <v>0</v>
      </c>
      <c r="CP469" s="14">
        <f>ROUND(IF(BU469=0,0,HLOOKUP(BU$14,Villagers!$B$1:$V$33,BU469+3,FALSE)),)</f>
        <v>0</v>
      </c>
      <c r="CQ469" s="14">
        <f>ROUND(IF(BV469=0,0,HLOOKUP(BV$14,Villagers!$B$1:$V$33,BV469+3,FALSE)),)</f>
        <v>0</v>
      </c>
      <c r="CR469" s="14">
        <f>ROUND(IF(BW469=0,0,HLOOKUP(BW$14,Villagers!$B$1:$V$33,BW469+3,FALSE)),)</f>
        <v>0</v>
      </c>
      <c r="CS469" s="14">
        <f>ROUND(IF(BX469=0,0,HLOOKUP(BX$14,Villagers!$B$1:$V$33,BX469+3,FALSE)),)</f>
        <v>0</v>
      </c>
      <c r="CT469" s="14">
        <f>ROUND(IF(BY469=0,0,HLOOKUP(BY$14,Villagers!$B$1:$V$33,BY469+3,FALSE)),)</f>
        <v>0</v>
      </c>
      <c r="CU469" s="14">
        <f>ROUND(IF(BZ469=0,0,HLOOKUP(BZ$14,Villagers!$B$1:$V$33,BZ469+3,FALSE)),)</f>
        <v>0</v>
      </c>
      <c r="CV469" s="14">
        <f>ROUND(IF(CA469=0,0,HLOOKUP(CA$14,Villagers!$B$1:$V$33,CA469+3,FALSE)),)</f>
        <v>0</v>
      </c>
      <c r="CW469" s="14">
        <f>ROUND(IF(CB469=0,0,HLOOKUP(CB$14,Villagers!$B$1:$V$33,CB469+3,FALSE)),)</f>
        <v>0</v>
      </c>
      <c r="CX469" s="14">
        <f>ROUND(IF(CC469=0,0,HLOOKUP(CC$14,Villagers!$B$1:$V$33,CC469+3,FALSE)),)</f>
        <v>0</v>
      </c>
      <c r="CY469" s="14">
        <f>ROUND(IF(CD469=0,0,HLOOKUP(CD$14,Villagers!$B$1:$V$33,CD469+3,FALSE)),)</f>
        <v>0</v>
      </c>
      <c r="CZ469" s="14">
        <f>ROUND(IF(CE469=0,0,HLOOKUP(CE$14,Villagers!$B$1:$V$33,CE469+3,FALSE)),)</f>
        <v>5</v>
      </c>
      <c r="DA469" s="14">
        <f>ROUND(IF(CF469=0,0,HLOOKUP(CF$14,Villagers!$B$1:$V$33,CF469+3,FALSE)),)</f>
        <v>10</v>
      </c>
      <c r="DB469" s="14">
        <f>ROUND(IF(CG469=0,0,HLOOKUP(CG$14,Villagers!$B$1:$V$33,CG469+3,FALSE)),)</f>
        <v>10</v>
      </c>
      <c r="DC469" s="14">
        <f>ROUND(IF(CH469=0,0,HLOOKUP(CH$14,Villagers!$B$1:$V$33,CH469+3,FALSE)),)</f>
        <v>0</v>
      </c>
      <c r="DD469" s="14">
        <f>ROUND(IF(CI469=0,0,HLOOKUP(CI$14,Villagers!$B$1:$V$33,CI469+3,FALSE)),)</f>
        <v>0</v>
      </c>
      <c r="DE469" s="14">
        <f>ROUND(IF(CJ469=0,0,HLOOKUP(CJ$14,Villagers!$B$1:$V$33,CJ469+3,FALSE)),)</f>
        <v>2</v>
      </c>
      <c r="DF469" s="370">
        <f>ROUND(IF(CK469=0,0,HLOOKUP(CK$14,Villagers!$B$1:$V$33,CK469+3,FALSE)),)</f>
        <v>0</v>
      </c>
      <c r="DG469" s="370">
        <f>ROUND(IF(CL469=0,0,HLOOKUP(CL$14,Villagers!$B$1:$V$33,CL469+3,FALSE)),)</f>
        <v>0</v>
      </c>
      <c r="DH469" s="34">
        <f>ROUND(IF(CM469=0,0,HLOOKUP(CM$14,Villagers!$B$1:$V$33,CM469+3,FALSE)),)</f>
        <v>0</v>
      </c>
      <c r="DI469" s="109">
        <f t="shared" si="1144"/>
        <v>0</v>
      </c>
      <c r="DJ469" s="50">
        <f t="shared" si="1145"/>
        <v>0</v>
      </c>
      <c r="DK469" s="50">
        <f t="shared" si="1146"/>
        <v>0</v>
      </c>
      <c r="DL469" s="50">
        <f t="shared" si="1147"/>
        <v>0</v>
      </c>
      <c r="DM469" s="50">
        <f t="shared" si="1148"/>
        <v>0</v>
      </c>
      <c r="DN469" s="50">
        <f t="shared" si="1149"/>
        <v>0</v>
      </c>
      <c r="DO469" s="50">
        <f t="shared" si="1150"/>
        <v>0</v>
      </c>
      <c r="DP469" s="50">
        <f t="shared" si="1151"/>
        <v>0</v>
      </c>
      <c r="DQ469" s="50">
        <f t="shared" si="1128"/>
        <v>0</v>
      </c>
      <c r="DR469" s="50">
        <f t="shared" si="1129"/>
        <v>0</v>
      </c>
      <c r="DS469" s="96">
        <f>Miscelaneous!$D$4*Miscelaneous!$D$2^($CI469-1)</f>
        <v>1000</v>
      </c>
      <c r="DT469" s="333">
        <f t="shared" si="1109"/>
        <v>1</v>
      </c>
      <c r="DU469" s="81">
        <v>1</v>
      </c>
      <c r="DV469" s="79">
        <f t="shared" si="1130"/>
        <v>0</v>
      </c>
      <c r="DW469" s="79">
        <f t="shared" si="1131"/>
        <v>0</v>
      </c>
      <c r="DX469" s="79">
        <f t="shared" si="1132"/>
        <v>0</v>
      </c>
      <c r="DY469" s="79">
        <v>1</v>
      </c>
      <c r="DZ469" s="79">
        <f t="shared" si="1133"/>
        <v>0</v>
      </c>
      <c r="EA469" s="79">
        <f t="shared" si="1134"/>
        <v>0</v>
      </c>
      <c r="EB469" s="79">
        <f t="shared" si="1135"/>
        <v>0</v>
      </c>
      <c r="EC469" s="79">
        <f t="shared" si="1136"/>
        <v>0</v>
      </c>
      <c r="ED469" s="79">
        <v>1</v>
      </c>
      <c r="EE469" s="79">
        <v>1</v>
      </c>
      <c r="EF469" s="79">
        <f t="shared" si="1137"/>
        <v>0</v>
      </c>
      <c r="EG469" s="79">
        <v>1</v>
      </c>
      <c r="EH469" s="79">
        <v>1</v>
      </c>
      <c r="EI469" s="79">
        <v>1</v>
      </c>
      <c r="EJ469" s="79">
        <v>1</v>
      </c>
      <c r="EK469" s="79">
        <v>1</v>
      </c>
      <c r="EL469" s="79">
        <v>1</v>
      </c>
      <c r="EM469" s="143">
        <f t="shared" si="1138"/>
        <v>0</v>
      </c>
      <c r="EN469" s="143">
        <f t="shared" si="1139"/>
        <v>0</v>
      </c>
      <c r="EO469" s="82">
        <f t="shared" si="1140"/>
        <v>0</v>
      </c>
    </row>
    <row r="470" spans="1:145" x14ac:dyDescent="0.25">
      <c r="A470">
        <v>456</v>
      </c>
      <c r="B470" s="172" t="e">
        <f t="shared" si="1110"/>
        <v>#N/A</v>
      </c>
      <c r="C470" s="121" t="e">
        <f t="shared" ref="C470:E470" si="1160">AJ470-SUM(AB470:AB474)</f>
        <v>#N/A</v>
      </c>
      <c r="D470" s="122" t="e">
        <f t="shared" si="1160"/>
        <v>#N/A</v>
      </c>
      <c r="E470" s="122" t="e">
        <f t="shared" si="1160"/>
        <v>#N/A</v>
      </c>
      <c r="F470" s="176" t="e">
        <f t="shared" si="1092"/>
        <v>#N/A</v>
      </c>
      <c r="G470" s="121">
        <f t="shared" si="1112"/>
        <v>208</v>
      </c>
      <c r="H470" s="176" t="e">
        <f t="shared" si="1113"/>
        <v>#N/A</v>
      </c>
      <c r="I470" s="48">
        <v>1</v>
      </c>
      <c r="J470" s="39"/>
      <c r="K470" s="350">
        <v>1</v>
      </c>
      <c r="L470" s="34" t="e">
        <f t="shared" si="1093"/>
        <v>#N/A</v>
      </c>
      <c r="M470" s="38" t="e">
        <f>(HLOOKUP(J470,'Construction Times'!$B$3:$W$34,L470+2,FALSE)*HLOOKUP("hq modifier",'Construction Times'!$W$3:$W$34,BS470+2,FALSE))*(1-$H$9)</f>
        <v>#N/A</v>
      </c>
      <c r="N470" s="426" t="e">
        <f t="shared" si="1114"/>
        <v>#N/A</v>
      </c>
      <c r="O470" s="427"/>
      <c r="P470" s="430" t="e">
        <f t="shared" si="1115"/>
        <v>#N/A</v>
      </c>
      <c r="Q470" s="431"/>
      <c r="R470" s="103">
        <f t="shared" si="1142"/>
        <v>0</v>
      </c>
      <c r="S470" s="104">
        <f t="shared" si="1142"/>
        <v>0</v>
      </c>
      <c r="T470" s="104">
        <f t="shared" si="1143"/>
        <v>0</v>
      </c>
      <c r="U470" s="104">
        <f t="shared" si="1143"/>
        <v>0</v>
      </c>
      <c r="V470" s="104">
        <f t="shared" si="1143"/>
        <v>9.9999999999999995E-8</v>
      </c>
      <c r="W470" s="104">
        <f t="shared" si="1143"/>
        <v>0</v>
      </c>
      <c r="X470" s="104">
        <f t="shared" si="1089"/>
        <v>0</v>
      </c>
      <c r="Y470" s="104">
        <f t="shared" si="1089"/>
        <v>9.9999999999999995E-8</v>
      </c>
      <c r="Z470" s="104">
        <f t="shared" si="1089"/>
        <v>9.9999999999999995E-8</v>
      </c>
      <c r="AA470" s="105">
        <f t="shared" si="1089"/>
        <v>9.9999999999999995E-8</v>
      </c>
      <c r="AB470" s="101" t="e">
        <f>$DT470*HLOOKUP($J470,'Construction Costs (timber)'!$B$1:$V$32,'Construction Planner'!$L470+2,FALSE)</f>
        <v>#N/A</v>
      </c>
      <c r="AC470" s="14" t="e">
        <f>$DT470*HLOOKUP($J470,'Construction Costs (clay)'!$B$1:$V$32,'Construction Planner'!$L470+2,FALSE)</f>
        <v>#N/A</v>
      </c>
      <c r="AD470" s="14" t="e">
        <f>$DT470*HLOOKUP($J470,'Construction Costs (iron)'!$B$1:$V$32,'Construction Planner'!$L470+2,FALSE)</f>
        <v>#N/A</v>
      </c>
      <c r="AE470" s="34" t="e">
        <f t="shared" si="1155"/>
        <v>#N/A</v>
      </c>
      <c r="AF470" s="33" t="e">
        <f t="shared" si="1094"/>
        <v>#N/A</v>
      </c>
      <c r="AG470" s="14" t="e">
        <f t="shared" si="1095"/>
        <v>#N/A</v>
      </c>
      <c r="AH470" s="14" t="e">
        <f t="shared" si="1096"/>
        <v>#N/A</v>
      </c>
      <c r="AI470" s="34" t="e">
        <f t="shared" si="1156"/>
        <v>#N/A</v>
      </c>
      <c r="AJ470" s="49" t="e">
        <f t="shared" si="1116"/>
        <v>#N/A</v>
      </c>
      <c r="AK470" s="49" t="e">
        <f t="shared" si="1117"/>
        <v>#N/A</v>
      </c>
      <c r="AL470" s="49" t="e">
        <f t="shared" si="1118"/>
        <v>#N/A</v>
      </c>
      <c r="AM470" s="25">
        <f t="shared" si="1097"/>
        <v>30</v>
      </c>
      <c r="AN470" s="25">
        <f t="shared" si="1098"/>
        <v>30</v>
      </c>
      <c r="AO470" s="25">
        <f t="shared" si="1099"/>
        <v>30</v>
      </c>
      <c r="AP470" s="52" t="e">
        <f t="shared" si="1119"/>
        <v>#N/A</v>
      </c>
      <c r="AQ470" s="53" t="e">
        <f t="shared" si="1119"/>
        <v>#N/A</v>
      </c>
      <c r="AR470" s="54" t="e">
        <f t="shared" si="1119"/>
        <v>#N/A</v>
      </c>
      <c r="AS470" s="316">
        <f t="shared" si="1157"/>
        <v>0</v>
      </c>
      <c r="AT470" s="106">
        <f>_xlfn.IFNA($M470/VLOOKUP($BT470,'Unit information'!$A$2:$K$29,2,FALSE)*R470,0)*(1+$E$9)</f>
        <v>0</v>
      </c>
      <c r="AU470" s="107">
        <f>_xlfn.IFNA($M470/VLOOKUP($BT470,'Unit information'!$A$2:$K$29,3,FALSE)*S470,0)*(1+$E$9)</f>
        <v>0</v>
      </c>
      <c r="AV470" s="107">
        <f>_xlfn.IFNA($M470/VLOOKUP($BT470,'Unit information'!$A$2:$K$29,4,FALSE)*T470,0)*(1+$E$9)</f>
        <v>0</v>
      </c>
      <c r="AW470" s="107">
        <f>_xlfn.IFNA($M470/VLOOKUP($BT470,'Unit information'!$A$2:$K$29,5,FALSE)*U470,0)*(1+$E$9)</f>
        <v>0</v>
      </c>
      <c r="AX470" s="107">
        <f>_xlfn.IFNA($M470/VLOOKUP($BU470,'Unit information'!$A$2:$K$29,6,FALSE)*V470,0)*(1+$E$9)</f>
        <v>0</v>
      </c>
      <c r="AY470" s="107">
        <f>_xlfn.IFNA($M470/VLOOKUP($BU470,'Unit information'!$A$2:$K$29,7,FALSE)*W470,0)*(1+$E$9)</f>
        <v>0</v>
      </c>
      <c r="AZ470" s="107">
        <f>_xlfn.IFNA($M470/VLOOKUP($BU470,'Unit information'!$A$2:$K$29,8,FALSE)*X470,0)*(1+$E$9)</f>
        <v>0</v>
      </c>
      <c r="BA470" s="107">
        <f>_xlfn.IFNA($M470/VLOOKUP($BU470,'Unit information'!$A$2:$K$29,9,FALSE)*Y470,0)*(1+$E$9)</f>
        <v>0</v>
      </c>
      <c r="BB470" s="107">
        <f>_xlfn.IFNA($M470/VLOOKUP($BV470,'Unit information'!$A$2:$K$29,10,FALSE)*Z470,0)*(1+$E$9)</f>
        <v>0</v>
      </c>
      <c r="BC470" s="108">
        <f>_xlfn.IFNA($M470/VLOOKUP($BV470,'Unit information'!$A$2:$K$29,11,FALSE)*AA470,0)*(1+$E$9)</f>
        <v>0</v>
      </c>
      <c r="BD470" s="106">
        <f t="shared" si="1100"/>
        <v>0</v>
      </c>
      <c r="BE470" s="107">
        <f t="shared" si="1101"/>
        <v>0</v>
      </c>
      <c r="BF470" s="108">
        <f t="shared" si="1102"/>
        <v>0</v>
      </c>
      <c r="BG470" s="25" t="e">
        <f t="shared" si="1103"/>
        <v>#N/A</v>
      </c>
      <c r="BH470" s="25" t="e">
        <f t="shared" si="1104"/>
        <v>#N/A</v>
      </c>
      <c r="BI470" s="25" t="e">
        <f t="shared" si="1105"/>
        <v>#N/A</v>
      </c>
      <c r="BJ470" s="27" t="e">
        <f t="shared" si="1106"/>
        <v>#N/A</v>
      </c>
      <c r="BK470" s="18" t="e">
        <f t="shared" si="1107"/>
        <v>#N/A</v>
      </c>
      <c r="BL470" s="18" t="e">
        <f t="shared" si="1108"/>
        <v>#N/A</v>
      </c>
      <c r="BM470" s="28" t="e">
        <f t="shared" si="1158"/>
        <v>#N/A</v>
      </c>
      <c r="BN470" s="33">
        <f>HLOOKUP("maximum population",Miscelaneous!$C$1:$C$33,CH470+3,FALSE)</f>
        <v>240</v>
      </c>
      <c r="BO470" s="14">
        <f t="shared" si="1120"/>
        <v>32</v>
      </c>
      <c r="BP470" s="14">
        <f t="shared" si="1121"/>
        <v>0</v>
      </c>
      <c r="BQ470" s="14">
        <f t="shared" si="1122"/>
        <v>208</v>
      </c>
      <c r="BR470" s="34" t="e">
        <f>HLOOKUP(J470,Villagers!$B$1:$V$33,L470+3,FALSE)-HLOOKUP(J470,Villagers!$B$1:$V$33,L470+2,FALSE)</f>
        <v>#N/A</v>
      </c>
      <c r="BS470" s="49">
        <f t="shared" si="1123"/>
        <v>1</v>
      </c>
      <c r="BT470" s="50">
        <f t="shared" si="1124"/>
        <v>0</v>
      </c>
      <c r="BU470" s="50">
        <f t="shared" si="1125"/>
        <v>0</v>
      </c>
      <c r="BV470" s="50">
        <f t="shared" si="1126"/>
        <v>0</v>
      </c>
      <c r="BW470" s="50">
        <f t="shared" si="1127"/>
        <v>0</v>
      </c>
      <c r="BX470" s="50">
        <f t="shared" si="1127"/>
        <v>0</v>
      </c>
      <c r="BY470" s="50">
        <f t="shared" si="1127"/>
        <v>0</v>
      </c>
      <c r="BZ470" s="50">
        <f t="shared" si="1015"/>
        <v>0</v>
      </c>
      <c r="CA470" s="50">
        <f t="shared" si="1016"/>
        <v>0</v>
      </c>
      <c r="CB470" s="50">
        <f t="shared" si="1017"/>
        <v>1</v>
      </c>
      <c r="CC470" s="50">
        <f t="shared" si="1018"/>
        <v>0</v>
      </c>
      <c r="CD470" s="50">
        <f t="shared" si="1019"/>
        <v>0</v>
      </c>
      <c r="CE470" s="50">
        <f t="shared" si="1020"/>
        <v>1</v>
      </c>
      <c r="CF470" s="50">
        <f t="shared" si="1021"/>
        <v>1</v>
      </c>
      <c r="CG470" s="50">
        <f t="shared" si="1022"/>
        <v>1</v>
      </c>
      <c r="CH470" s="50">
        <f t="shared" si="1023"/>
        <v>1</v>
      </c>
      <c r="CI470" s="50">
        <f t="shared" si="1024"/>
        <v>1</v>
      </c>
      <c r="CJ470" s="50">
        <f t="shared" si="1025"/>
        <v>1</v>
      </c>
      <c r="CK470" s="50">
        <f t="shared" si="1025"/>
        <v>0</v>
      </c>
      <c r="CL470" s="50">
        <f t="shared" si="1025"/>
        <v>0</v>
      </c>
      <c r="CM470" s="51">
        <f t="shared" si="1026"/>
        <v>0</v>
      </c>
      <c r="CN470" s="33">
        <f>ROUND(IF(BS470=0,0,HLOOKUP(BS$14,Villagers!$B$1:$V$33,BS470+3,FALSE)),)</f>
        <v>5</v>
      </c>
      <c r="CO470" s="14">
        <f>ROUND(IF(BT470=0,0,HLOOKUP(BT$14,Villagers!$B$1:$V$33,BT470+3,FALSE)),)</f>
        <v>0</v>
      </c>
      <c r="CP470" s="14">
        <f>ROUND(IF(BU470=0,0,HLOOKUP(BU$14,Villagers!$B$1:$V$33,BU470+3,FALSE)),)</f>
        <v>0</v>
      </c>
      <c r="CQ470" s="14">
        <f>ROUND(IF(BV470=0,0,HLOOKUP(BV$14,Villagers!$B$1:$V$33,BV470+3,FALSE)),)</f>
        <v>0</v>
      </c>
      <c r="CR470" s="14">
        <f>ROUND(IF(BW470=0,0,HLOOKUP(BW$14,Villagers!$B$1:$V$33,BW470+3,FALSE)),)</f>
        <v>0</v>
      </c>
      <c r="CS470" s="14">
        <f>ROUND(IF(BX470=0,0,HLOOKUP(BX$14,Villagers!$B$1:$V$33,BX470+3,FALSE)),)</f>
        <v>0</v>
      </c>
      <c r="CT470" s="14">
        <f>ROUND(IF(BY470=0,0,HLOOKUP(BY$14,Villagers!$B$1:$V$33,BY470+3,FALSE)),)</f>
        <v>0</v>
      </c>
      <c r="CU470" s="14">
        <f>ROUND(IF(BZ470=0,0,HLOOKUP(BZ$14,Villagers!$B$1:$V$33,BZ470+3,FALSE)),)</f>
        <v>0</v>
      </c>
      <c r="CV470" s="14">
        <f>ROUND(IF(CA470=0,0,HLOOKUP(CA$14,Villagers!$B$1:$V$33,CA470+3,FALSE)),)</f>
        <v>0</v>
      </c>
      <c r="CW470" s="14">
        <f>ROUND(IF(CB470=0,0,HLOOKUP(CB$14,Villagers!$B$1:$V$33,CB470+3,FALSE)),)</f>
        <v>0</v>
      </c>
      <c r="CX470" s="14">
        <f>ROUND(IF(CC470=0,0,HLOOKUP(CC$14,Villagers!$B$1:$V$33,CC470+3,FALSE)),)</f>
        <v>0</v>
      </c>
      <c r="CY470" s="14">
        <f>ROUND(IF(CD470=0,0,HLOOKUP(CD$14,Villagers!$B$1:$V$33,CD470+3,FALSE)),)</f>
        <v>0</v>
      </c>
      <c r="CZ470" s="14">
        <f>ROUND(IF(CE470=0,0,HLOOKUP(CE$14,Villagers!$B$1:$V$33,CE470+3,FALSE)),)</f>
        <v>5</v>
      </c>
      <c r="DA470" s="14">
        <f>ROUND(IF(CF470=0,0,HLOOKUP(CF$14,Villagers!$B$1:$V$33,CF470+3,FALSE)),)</f>
        <v>10</v>
      </c>
      <c r="DB470" s="14">
        <f>ROUND(IF(CG470=0,0,HLOOKUP(CG$14,Villagers!$B$1:$V$33,CG470+3,FALSE)),)</f>
        <v>10</v>
      </c>
      <c r="DC470" s="14">
        <f>ROUND(IF(CH470=0,0,HLOOKUP(CH$14,Villagers!$B$1:$V$33,CH470+3,FALSE)),)</f>
        <v>0</v>
      </c>
      <c r="DD470" s="14">
        <f>ROUND(IF(CI470=0,0,HLOOKUP(CI$14,Villagers!$B$1:$V$33,CI470+3,FALSE)),)</f>
        <v>0</v>
      </c>
      <c r="DE470" s="14">
        <f>ROUND(IF(CJ470=0,0,HLOOKUP(CJ$14,Villagers!$B$1:$V$33,CJ470+3,FALSE)),)</f>
        <v>2</v>
      </c>
      <c r="DF470" s="370">
        <f>ROUND(IF(CK470=0,0,HLOOKUP(CK$14,Villagers!$B$1:$V$33,CK470+3,FALSE)),)</f>
        <v>0</v>
      </c>
      <c r="DG470" s="370">
        <f>ROUND(IF(CL470=0,0,HLOOKUP(CL$14,Villagers!$B$1:$V$33,CL470+3,FALSE)),)</f>
        <v>0</v>
      </c>
      <c r="DH470" s="34">
        <f>ROUND(IF(CM470=0,0,HLOOKUP(CM$14,Villagers!$B$1:$V$33,CM470+3,FALSE)),)</f>
        <v>0</v>
      </c>
      <c r="DI470" s="109">
        <f t="shared" si="1144"/>
        <v>0</v>
      </c>
      <c r="DJ470" s="50">
        <f t="shared" si="1145"/>
        <v>0</v>
      </c>
      <c r="DK470" s="50">
        <f t="shared" si="1146"/>
        <v>0</v>
      </c>
      <c r="DL470" s="50">
        <f t="shared" si="1147"/>
        <v>0</v>
      </c>
      <c r="DM470" s="50">
        <f t="shared" si="1148"/>
        <v>0</v>
      </c>
      <c r="DN470" s="50">
        <f t="shared" si="1149"/>
        <v>0</v>
      </c>
      <c r="DO470" s="50">
        <f t="shared" si="1150"/>
        <v>0</v>
      </c>
      <c r="DP470" s="50">
        <f t="shared" si="1151"/>
        <v>0</v>
      </c>
      <c r="DQ470" s="50">
        <f t="shared" si="1128"/>
        <v>0</v>
      </c>
      <c r="DR470" s="50">
        <f t="shared" si="1129"/>
        <v>0</v>
      </c>
      <c r="DS470" s="96">
        <f>Miscelaneous!$D$4*Miscelaneous!$D$2^($CI470-1)</f>
        <v>1000</v>
      </c>
      <c r="DT470" s="333">
        <f t="shared" si="1109"/>
        <v>1</v>
      </c>
      <c r="DU470" s="81">
        <v>1</v>
      </c>
      <c r="DV470" s="79">
        <f t="shared" si="1130"/>
        <v>0</v>
      </c>
      <c r="DW470" s="79">
        <f t="shared" si="1131"/>
        <v>0</v>
      </c>
      <c r="DX470" s="79">
        <f t="shared" si="1132"/>
        <v>0</v>
      </c>
      <c r="DY470" s="79">
        <v>1</v>
      </c>
      <c r="DZ470" s="79">
        <f t="shared" si="1133"/>
        <v>0</v>
      </c>
      <c r="EA470" s="79">
        <f t="shared" si="1134"/>
        <v>0</v>
      </c>
      <c r="EB470" s="79">
        <f t="shared" si="1135"/>
        <v>0</v>
      </c>
      <c r="EC470" s="79">
        <f t="shared" si="1136"/>
        <v>0</v>
      </c>
      <c r="ED470" s="79">
        <v>1</v>
      </c>
      <c r="EE470" s="79">
        <v>1</v>
      </c>
      <c r="EF470" s="79">
        <f t="shared" si="1137"/>
        <v>0</v>
      </c>
      <c r="EG470" s="79">
        <v>1</v>
      </c>
      <c r="EH470" s="79">
        <v>1</v>
      </c>
      <c r="EI470" s="79">
        <v>1</v>
      </c>
      <c r="EJ470" s="79">
        <v>1</v>
      </c>
      <c r="EK470" s="79">
        <v>1</v>
      </c>
      <c r="EL470" s="79">
        <v>1</v>
      </c>
      <c r="EM470" s="143">
        <f t="shared" si="1138"/>
        <v>0</v>
      </c>
      <c r="EN470" s="143">
        <f t="shared" si="1139"/>
        <v>0</v>
      </c>
      <c r="EO470" s="82">
        <f t="shared" si="1140"/>
        <v>0</v>
      </c>
    </row>
    <row r="471" spans="1:145" x14ac:dyDescent="0.25">
      <c r="A471">
        <v>457</v>
      </c>
      <c r="B471" s="172" t="e">
        <f t="shared" si="1110"/>
        <v>#N/A</v>
      </c>
      <c r="C471" s="121" t="e">
        <f t="shared" ref="C471:E471" si="1161">AJ471-SUM(AB471:AB475)</f>
        <v>#N/A</v>
      </c>
      <c r="D471" s="122" t="e">
        <f t="shared" si="1161"/>
        <v>#N/A</v>
      </c>
      <c r="E471" s="122" t="e">
        <f t="shared" si="1161"/>
        <v>#N/A</v>
      </c>
      <c r="F471" s="176" t="e">
        <f t="shared" si="1092"/>
        <v>#N/A</v>
      </c>
      <c r="G471" s="121">
        <f t="shared" si="1112"/>
        <v>208</v>
      </c>
      <c r="H471" s="176" t="e">
        <f t="shared" si="1113"/>
        <v>#N/A</v>
      </c>
      <c r="I471" s="48">
        <v>1</v>
      </c>
      <c r="J471" s="39"/>
      <c r="K471" s="350">
        <v>1</v>
      </c>
      <c r="L471" s="34" t="e">
        <f t="shared" si="1093"/>
        <v>#N/A</v>
      </c>
      <c r="M471" s="38" t="e">
        <f>(HLOOKUP(J471,'Construction Times'!$B$3:$W$34,L471+2,FALSE)*HLOOKUP("hq modifier",'Construction Times'!$W$3:$W$34,BS471+2,FALSE))*(1-$H$9)</f>
        <v>#N/A</v>
      </c>
      <c r="N471" s="426" t="e">
        <f t="shared" si="1114"/>
        <v>#N/A</v>
      </c>
      <c r="O471" s="427"/>
      <c r="P471" s="430" t="e">
        <f t="shared" si="1115"/>
        <v>#N/A</v>
      </c>
      <c r="Q471" s="431"/>
      <c r="R471" s="103">
        <f t="shared" si="1142"/>
        <v>0</v>
      </c>
      <c r="S471" s="104">
        <f t="shared" si="1142"/>
        <v>0</v>
      </c>
      <c r="T471" s="104">
        <f t="shared" si="1143"/>
        <v>0</v>
      </c>
      <c r="U471" s="104">
        <f t="shared" si="1143"/>
        <v>0</v>
      </c>
      <c r="V471" s="104">
        <f t="shared" si="1143"/>
        <v>9.9999999999999995E-8</v>
      </c>
      <c r="W471" s="104">
        <f t="shared" si="1143"/>
        <v>0</v>
      </c>
      <c r="X471" s="104">
        <f t="shared" si="1089"/>
        <v>0</v>
      </c>
      <c r="Y471" s="104">
        <f t="shared" si="1089"/>
        <v>9.9999999999999995E-8</v>
      </c>
      <c r="Z471" s="104">
        <f t="shared" si="1089"/>
        <v>9.9999999999999995E-8</v>
      </c>
      <c r="AA471" s="105">
        <f t="shared" si="1089"/>
        <v>9.9999999999999995E-8</v>
      </c>
      <c r="AB471" s="101" t="e">
        <f>$DT471*HLOOKUP($J471,'Construction Costs (timber)'!$B$1:$V$32,'Construction Planner'!$L471+2,FALSE)</f>
        <v>#N/A</v>
      </c>
      <c r="AC471" s="14" t="e">
        <f>$DT471*HLOOKUP($J471,'Construction Costs (clay)'!$B$1:$V$32,'Construction Planner'!$L471+2,FALSE)</f>
        <v>#N/A</v>
      </c>
      <c r="AD471" s="14" t="e">
        <f>$DT471*HLOOKUP($J471,'Construction Costs (iron)'!$B$1:$V$32,'Construction Planner'!$L471+2,FALSE)</f>
        <v>#N/A</v>
      </c>
      <c r="AE471" s="34" t="e">
        <f t="shared" si="1155"/>
        <v>#N/A</v>
      </c>
      <c r="AF471" s="33" t="e">
        <f t="shared" si="1094"/>
        <v>#N/A</v>
      </c>
      <c r="AG471" s="14" t="e">
        <f t="shared" si="1095"/>
        <v>#N/A</v>
      </c>
      <c r="AH471" s="14" t="e">
        <f t="shared" si="1096"/>
        <v>#N/A</v>
      </c>
      <c r="AI471" s="34" t="e">
        <f t="shared" si="1156"/>
        <v>#N/A</v>
      </c>
      <c r="AJ471" s="49" t="e">
        <f t="shared" si="1116"/>
        <v>#N/A</v>
      </c>
      <c r="AK471" s="49" t="e">
        <f t="shared" si="1117"/>
        <v>#N/A</v>
      </c>
      <c r="AL471" s="49" t="e">
        <f t="shared" si="1118"/>
        <v>#N/A</v>
      </c>
      <c r="AM471" s="25">
        <f t="shared" si="1097"/>
        <v>30</v>
      </c>
      <c r="AN471" s="25">
        <f t="shared" si="1098"/>
        <v>30</v>
      </c>
      <c r="AO471" s="25">
        <f t="shared" si="1099"/>
        <v>30</v>
      </c>
      <c r="AP471" s="52" t="e">
        <f t="shared" si="1119"/>
        <v>#N/A</v>
      </c>
      <c r="AQ471" s="53" t="e">
        <f t="shared" si="1119"/>
        <v>#N/A</v>
      </c>
      <c r="AR471" s="54" t="e">
        <f t="shared" si="1119"/>
        <v>#N/A</v>
      </c>
      <c r="AS471" s="316">
        <f t="shared" si="1157"/>
        <v>0</v>
      </c>
      <c r="AT471" s="106">
        <f>_xlfn.IFNA($M471/VLOOKUP($BT471,'Unit information'!$A$2:$K$29,2,FALSE)*R471,0)*(1+$E$9)</f>
        <v>0</v>
      </c>
      <c r="AU471" s="107">
        <f>_xlfn.IFNA($M471/VLOOKUP($BT471,'Unit information'!$A$2:$K$29,3,FALSE)*S471,0)*(1+$E$9)</f>
        <v>0</v>
      </c>
      <c r="AV471" s="107">
        <f>_xlfn.IFNA($M471/VLOOKUP($BT471,'Unit information'!$A$2:$K$29,4,FALSE)*T471,0)*(1+$E$9)</f>
        <v>0</v>
      </c>
      <c r="AW471" s="107">
        <f>_xlfn.IFNA($M471/VLOOKUP($BT471,'Unit information'!$A$2:$K$29,5,FALSE)*U471,0)*(1+$E$9)</f>
        <v>0</v>
      </c>
      <c r="AX471" s="107">
        <f>_xlfn.IFNA($M471/VLOOKUP($BU471,'Unit information'!$A$2:$K$29,6,FALSE)*V471,0)*(1+$E$9)</f>
        <v>0</v>
      </c>
      <c r="AY471" s="107">
        <f>_xlfn.IFNA($M471/VLOOKUP($BU471,'Unit information'!$A$2:$K$29,7,FALSE)*W471,0)*(1+$E$9)</f>
        <v>0</v>
      </c>
      <c r="AZ471" s="107">
        <f>_xlfn.IFNA($M471/VLOOKUP($BU471,'Unit information'!$A$2:$K$29,8,FALSE)*X471,0)*(1+$E$9)</f>
        <v>0</v>
      </c>
      <c r="BA471" s="107">
        <f>_xlfn.IFNA($M471/VLOOKUP($BU471,'Unit information'!$A$2:$K$29,9,FALSE)*Y471,0)*(1+$E$9)</f>
        <v>0</v>
      </c>
      <c r="BB471" s="107">
        <f>_xlfn.IFNA($M471/VLOOKUP($BV471,'Unit information'!$A$2:$K$29,10,FALSE)*Z471,0)*(1+$E$9)</f>
        <v>0</v>
      </c>
      <c r="BC471" s="108">
        <f>_xlfn.IFNA($M471/VLOOKUP($BV471,'Unit information'!$A$2:$K$29,11,FALSE)*AA471,0)*(1+$E$9)</f>
        <v>0</v>
      </c>
      <c r="BD471" s="106">
        <f t="shared" si="1100"/>
        <v>0</v>
      </c>
      <c r="BE471" s="107">
        <f t="shared" si="1101"/>
        <v>0</v>
      </c>
      <c r="BF471" s="108">
        <f t="shared" si="1102"/>
        <v>0</v>
      </c>
      <c r="BG471" s="25" t="e">
        <f t="shared" si="1103"/>
        <v>#N/A</v>
      </c>
      <c r="BH471" s="25" t="e">
        <f t="shared" si="1104"/>
        <v>#N/A</v>
      </c>
      <c r="BI471" s="25" t="e">
        <f t="shared" si="1105"/>
        <v>#N/A</v>
      </c>
      <c r="BJ471" s="27" t="e">
        <f t="shared" si="1106"/>
        <v>#N/A</v>
      </c>
      <c r="BK471" s="18" t="e">
        <f t="shared" si="1107"/>
        <v>#N/A</v>
      </c>
      <c r="BL471" s="18" t="e">
        <f t="shared" si="1108"/>
        <v>#N/A</v>
      </c>
      <c r="BM471" s="28" t="e">
        <f t="shared" si="1158"/>
        <v>#N/A</v>
      </c>
      <c r="BN471" s="33">
        <f>HLOOKUP("maximum population",Miscelaneous!$C$1:$C$33,CH471+3,FALSE)</f>
        <v>240</v>
      </c>
      <c r="BO471" s="14">
        <f t="shared" si="1120"/>
        <v>32</v>
      </c>
      <c r="BP471" s="14">
        <f t="shared" si="1121"/>
        <v>0</v>
      </c>
      <c r="BQ471" s="14">
        <f t="shared" si="1122"/>
        <v>208</v>
      </c>
      <c r="BR471" s="34" t="e">
        <f>HLOOKUP(J471,Villagers!$B$1:$V$33,L471+3,FALSE)-HLOOKUP(J471,Villagers!$B$1:$V$33,L471+2,FALSE)</f>
        <v>#N/A</v>
      </c>
      <c r="BS471" s="49">
        <f t="shared" si="1123"/>
        <v>1</v>
      </c>
      <c r="BT471" s="50">
        <f t="shared" si="1124"/>
        <v>0</v>
      </c>
      <c r="BU471" s="50">
        <f t="shared" si="1125"/>
        <v>0</v>
      </c>
      <c r="BV471" s="50">
        <f t="shared" si="1126"/>
        <v>0</v>
      </c>
      <c r="BW471" s="50">
        <f t="shared" ref="BW471:BW495" si="1162">IF($J470=BW$14,$L470,BW470)</f>
        <v>0</v>
      </c>
      <c r="BX471" s="50">
        <f t="shared" ref="BX471:BY495" si="1163">IF($J470=BX$14,$L470,BX470)</f>
        <v>0</v>
      </c>
      <c r="BY471" s="50">
        <f t="shared" si="1163"/>
        <v>0</v>
      </c>
      <c r="BZ471" s="50">
        <f t="shared" si="1015"/>
        <v>0</v>
      </c>
      <c r="CA471" s="50">
        <f t="shared" si="1016"/>
        <v>0</v>
      </c>
      <c r="CB471" s="50">
        <f t="shared" si="1017"/>
        <v>1</v>
      </c>
      <c r="CC471" s="50">
        <f t="shared" si="1018"/>
        <v>0</v>
      </c>
      <c r="CD471" s="50">
        <f t="shared" si="1019"/>
        <v>0</v>
      </c>
      <c r="CE471" s="50">
        <f t="shared" si="1020"/>
        <v>1</v>
      </c>
      <c r="CF471" s="50">
        <f t="shared" si="1021"/>
        <v>1</v>
      </c>
      <c r="CG471" s="50">
        <f t="shared" si="1022"/>
        <v>1</v>
      </c>
      <c r="CH471" s="50">
        <f t="shared" si="1023"/>
        <v>1</v>
      </c>
      <c r="CI471" s="50">
        <f t="shared" si="1024"/>
        <v>1</v>
      </c>
      <c r="CJ471" s="50">
        <f t="shared" si="1025"/>
        <v>1</v>
      </c>
      <c r="CK471" s="50">
        <f t="shared" si="1025"/>
        <v>0</v>
      </c>
      <c r="CL471" s="50">
        <f t="shared" si="1025"/>
        <v>0</v>
      </c>
      <c r="CM471" s="51">
        <f t="shared" si="1026"/>
        <v>0</v>
      </c>
      <c r="CN471" s="33">
        <f>ROUND(IF(BS471=0,0,HLOOKUP(BS$14,Villagers!$B$1:$V$33,BS471+3,FALSE)),)</f>
        <v>5</v>
      </c>
      <c r="CO471" s="14">
        <f>ROUND(IF(BT471=0,0,HLOOKUP(BT$14,Villagers!$B$1:$V$33,BT471+3,FALSE)),)</f>
        <v>0</v>
      </c>
      <c r="CP471" s="14">
        <f>ROUND(IF(BU471=0,0,HLOOKUP(BU$14,Villagers!$B$1:$V$33,BU471+3,FALSE)),)</f>
        <v>0</v>
      </c>
      <c r="CQ471" s="14">
        <f>ROUND(IF(BV471=0,0,HLOOKUP(BV$14,Villagers!$B$1:$V$33,BV471+3,FALSE)),)</f>
        <v>0</v>
      </c>
      <c r="CR471" s="14">
        <f>ROUND(IF(BW471=0,0,HLOOKUP(BW$14,Villagers!$B$1:$V$33,BW471+3,FALSE)),)</f>
        <v>0</v>
      </c>
      <c r="CS471" s="14">
        <f>ROUND(IF(BX471=0,0,HLOOKUP(BX$14,Villagers!$B$1:$V$33,BX471+3,FALSE)),)</f>
        <v>0</v>
      </c>
      <c r="CT471" s="14">
        <f>ROUND(IF(BY471=0,0,HLOOKUP(BY$14,Villagers!$B$1:$V$33,BY471+3,FALSE)),)</f>
        <v>0</v>
      </c>
      <c r="CU471" s="14">
        <f>ROUND(IF(BZ471=0,0,HLOOKUP(BZ$14,Villagers!$B$1:$V$33,BZ471+3,FALSE)),)</f>
        <v>0</v>
      </c>
      <c r="CV471" s="14">
        <f>ROUND(IF(CA471=0,0,HLOOKUP(CA$14,Villagers!$B$1:$V$33,CA471+3,FALSE)),)</f>
        <v>0</v>
      </c>
      <c r="CW471" s="14">
        <f>ROUND(IF(CB471=0,0,HLOOKUP(CB$14,Villagers!$B$1:$V$33,CB471+3,FALSE)),)</f>
        <v>0</v>
      </c>
      <c r="CX471" s="14">
        <f>ROUND(IF(CC471=0,0,HLOOKUP(CC$14,Villagers!$B$1:$V$33,CC471+3,FALSE)),)</f>
        <v>0</v>
      </c>
      <c r="CY471" s="14">
        <f>ROUND(IF(CD471=0,0,HLOOKUP(CD$14,Villagers!$B$1:$V$33,CD471+3,FALSE)),)</f>
        <v>0</v>
      </c>
      <c r="CZ471" s="14">
        <f>ROUND(IF(CE471=0,0,HLOOKUP(CE$14,Villagers!$B$1:$V$33,CE471+3,FALSE)),)</f>
        <v>5</v>
      </c>
      <c r="DA471" s="14">
        <f>ROUND(IF(CF471=0,0,HLOOKUP(CF$14,Villagers!$B$1:$V$33,CF471+3,FALSE)),)</f>
        <v>10</v>
      </c>
      <c r="DB471" s="14">
        <f>ROUND(IF(CG471=0,0,HLOOKUP(CG$14,Villagers!$B$1:$V$33,CG471+3,FALSE)),)</f>
        <v>10</v>
      </c>
      <c r="DC471" s="14">
        <f>ROUND(IF(CH471=0,0,HLOOKUP(CH$14,Villagers!$B$1:$V$33,CH471+3,FALSE)),)</f>
        <v>0</v>
      </c>
      <c r="DD471" s="14">
        <f>ROUND(IF(CI471=0,0,HLOOKUP(CI$14,Villagers!$B$1:$V$33,CI471+3,FALSE)),)</f>
        <v>0</v>
      </c>
      <c r="DE471" s="14">
        <f>ROUND(IF(CJ471=0,0,HLOOKUP(CJ$14,Villagers!$B$1:$V$33,CJ471+3,FALSE)),)</f>
        <v>2</v>
      </c>
      <c r="DF471" s="370">
        <f>ROUND(IF(CK471=0,0,HLOOKUP(CK$14,Villagers!$B$1:$V$33,CK471+3,FALSE)),)</f>
        <v>0</v>
      </c>
      <c r="DG471" s="370">
        <f>ROUND(IF(CL471=0,0,HLOOKUP(CL$14,Villagers!$B$1:$V$33,CL471+3,FALSE)),)</f>
        <v>0</v>
      </c>
      <c r="DH471" s="34">
        <f>ROUND(IF(CM471=0,0,HLOOKUP(CM$14,Villagers!$B$1:$V$33,CM471+3,FALSE)),)</f>
        <v>0</v>
      </c>
      <c r="DI471" s="109">
        <f t="shared" si="1144"/>
        <v>0</v>
      </c>
      <c r="DJ471" s="50">
        <f t="shared" si="1145"/>
        <v>0</v>
      </c>
      <c r="DK471" s="50">
        <f t="shared" si="1146"/>
        <v>0</v>
      </c>
      <c r="DL471" s="50">
        <f t="shared" si="1147"/>
        <v>0</v>
      </c>
      <c r="DM471" s="50">
        <f t="shared" si="1148"/>
        <v>0</v>
      </c>
      <c r="DN471" s="50">
        <f t="shared" si="1149"/>
        <v>0</v>
      </c>
      <c r="DO471" s="50">
        <f t="shared" si="1150"/>
        <v>0</v>
      </c>
      <c r="DP471" s="50">
        <f t="shared" si="1151"/>
        <v>0</v>
      </c>
      <c r="DQ471" s="50">
        <f t="shared" si="1128"/>
        <v>0</v>
      </c>
      <c r="DR471" s="50">
        <f t="shared" si="1129"/>
        <v>0</v>
      </c>
      <c r="DS471" s="96">
        <f>Miscelaneous!$D$4*Miscelaneous!$D$2^($CI471-1)</f>
        <v>1000</v>
      </c>
      <c r="DT471" s="333">
        <f t="shared" si="1109"/>
        <v>1</v>
      </c>
      <c r="DU471" s="81">
        <v>1</v>
      </c>
      <c r="DV471" s="79">
        <f t="shared" si="1130"/>
        <v>0</v>
      </c>
      <c r="DW471" s="79">
        <f t="shared" si="1131"/>
        <v>0</v>
      </c>
      <c r="DX471" s="79">
        <f t="shared" si="1132"/>
        <v>0</v>
      </c>
      <c r="DY471" s="79">
        <v>1</v>
      </c>
      <c r="DZ471" s="79">
        <f t="shared" si="1133"/>
        <v>0</v>
      </c>
      <c r="EA471" s="79">
        <f t="shared" si="1134"/>
        <v>0</v>
      </c>
      <c r="EB471" s="79">
        <f t="shared" si="1135"/>
        <v>0</v>
      </c>
      <c r="EC471" s="79">
        <f t="shared" si="1136"/>
        <v>0</v>
      </c>
      <c r="ED471" s="79">
        <v>1</v>
      </c>
      <c r="EE471" s="79">
        <v>1</v>
      </c>
      <c r="EF471" s="79">
        <f t="shared" si="1137"/>
        <v>0</v>
      </c>
      <c r="EG471" s="79">
        <v>1</v>
      </c>
      <c r="EH471" s="79">
        <v>1</v>
      </c>
      <c r="EI471" s="79">
        <v>1</v>
      </c>
      <c r="EJ471" s="79">
        <v>1</v>
      </c>
      <c r="EK471" s="79">
        <v>1</v>
      </c>
      <c r="EL471" s="79">
        <v>1</v>
      </c>
      <c r="EM471" s="143">
        <f t="shared" si="1138"/>
        <v>0</v>
      </c>
      <c r="EN471" s="143">
        <f t="shared" si="1139"/>
        <v>0</v>
      </c>
      <c r="EO471" s="82">
        <f t="shared" si="1140"/>
        <v>0</v>
      </c>
    </row>
    <row r="472" spans="1:145" x14ac:dyDescent="0.25">
      <c r="A472">
        <v>458</v>
      </c>
      <c r="B472" s="172" t="e">
        <f t="shared" si="1110"/>
        <v>#N/A</v>
      </c>
      <c r="C472" s="121" t="e">
        <f t="shared" ref="C472:E472" si="1164">AJ472-SUM(AB472:AB476)</f>
        <v>#N/A</v>
      </c>
      <c r="D472" s="122" t="e">
        <f t="shared" si="1164"/>
        <v>#N/A</v>
      </c>
      <c r="E472" s="122" t="e">
        <f t="shared" si="1164"/>
        <v>#N/A</v>
      </c>
      <c r="F472" s="176" t="e">
        <f t="shared" si="1092"/>
        <v>#N/A</v>
      </c>
      <c r="G472" s="121">
        <f t="shared" si="1112"/>
        <v>208</v>
      </c>
      <c r="H472" s="176" t="e">
        <f t="shared" si="1113"/>
        <v>#N/A</v>
      </c>
      <c r="I472" s="48">
        <v>1</v>
      </c>
      <c r="J472" s="39"/>
      <c r="K472" s="350">
        <v>1</v>
      </c>
      <c r="L472" s="34" t="e">
        <f t="shared" si="1093"/>
        <v>#N/A</v>
      </c>
      <c r="M472" s="38" t="e">
        <f>(HLOOKUP(J472,'Construction Times'!$B$3:$W$34,L472+2,FALSE)*HLOOKUP("hq modifier",'Construction Times'!$W$3:$W$34,BS472+2,FALSE))*(1-$H$9)</f>
        <v>#N/A</v>
      </c>
      <c r="N472" s="426" t="e">
        <f t="shared" si="1114"/>
        <v>#N/A</v>
      </c>
      <c r="O472" s="427"/>
      <c r="P472" s="430" t="e">
        <f t="shared" si="1115"/>
        <v>#N/A</v>
      </c>
      <c r="Q472" s="431"/>
      <c r="R472" s="103">
        <f t="shared" si="1142"/>
        <v>0</v>
      </c>
      <c r="S472" s="104">
        <f t="shared" si="1142"/>
        <v>0</v>
      </c>
      <c r="T472" s="104">
        <f t="shared" si="1143"/>
        <v>0</v>
      </c>
      <c r="U472" s="104">
        <f t="shared" si="1143"/>
        <v>0</v>
      </c>
      <c r="V472" s="104">
        <f t="shared" si="1143"/>
        <v>9.9999999999999995E-8</v>
      </c>
      <c r="W472" s="104">
        <f t="shared" si="1143"/>
        <v>0</v>
      </c>
      <c r="X472" s="104">
        <f t="shared" si="1089"/>
        <v>0</v>
      </c>
      <c r="Y472" s="104">
        <f t="shared" si="1089"/>
        <v>9.9999999999999995E-8</v>
      </c>
      <c r="Z472" s="104">
        <f t="shared" si="1089"/>
        <v>9.9999999999999995E-8</v>
      </c>
      <c r="AA472" s="105">
        <f t="shared" si="1089"/>
        <v>9.9999999999999995E-8</v>
      </c>
      <c r="AB472" s="101" t="e">
        <f>$DT472*HLOOKUP($J472,'Construction Costs (timber)'!$B$1:$V$32,'Construction Planner'!$L472+2,FALSE)</f>
        <v>#N/A</v>
      </c>
      <c r="AC472" s="14" t="e">
        <f>$DT472*HLOOKUP($J472,'Construction Costs (clay)'!$B$1:$V$32,'Construction Planner'!$L472+2,FALSE)</f>
        <v>#N/A</v>
      </c>
      <c r="AD472" s="14" t="e">
        <f>$DT472*HLOOKUP($J472,'Construction Costs (iron)'!$B$1:$V$32,'Construction Planner'!$L472+2,FALSE)</f>
        <v>#N/A</v>
      </c>
      <c r="AE472" s="34" t="e">
        <f t="shared" si="1155"/>
        <v>#N/A</v>
      </c>
      <c r="AF472" s="33" t="e">
        <f t="shared" si="1094"/>
        <v>#N/A</v>
      </c>
      <c r="AG472" s="14" t="e">
        <f t="shared" si="1095"/>
        <v>#N/A</v>
      </c>
      <c r="AH472" s="14" t="e">
        <f t="shared" si="1096"/>
        <v>#N/A</v>
      </c>
      <c r="AI472" s="34" t="e">
        <f t="shared" si="1156"/>
        <v>#N/A</v>
      </c>
      <c r="AJ472" s="49" t="e">
        <f t="shared" si="1116"/>
        <v>#N/A</v>
      </c>
      <c r="AK472" s="49" t="e">
        <f t="shared" si="1117"/>
        <v>#N/A</v>
      </c>
      <c r="AL472" s="49" t="e">
        <f t="shared" si="1118"/>
        <v>#N/A</v>
      </c>
      <c r="AM472" s="25">
        <f t="shared" si="1097"/>
        <v>30</v>
      </c>
      <c r="AN472" s="25">
        <f t="shared" si="1098"/>
        <v>30</v>
      </c>
      <c r="AO472" s="25">
        <f t="shared" si="1099"/>
        <v>30</v>
      </c>
      <c r="AP472" s="52" t="e">
        <f t="shared" si="1119"/>
        <v>#N/A</v>
      </c>
      <c r="AQ472" s="53" t="e">
        <f t="shared" si="1119"/>
        <v>#N/A</v>
      </c>
      <c r="AR472" s="54" t="e">
        <f t="shared" si="1119"/>
        <v>#N/A</v>
      </c>
      <c r="AS472" s="316">
        <f t="shared" si="1157"/>
        <v>0</v>
      </c>
      <c r="AT472" s="106">
        <f>_xlfn.IFNA($M472/VLOOKUP($BT472,'Unit information'!$A$2:$K$29,2,FALSE)*R472,0)*(1+$E$9)</f>
        <v>0</v>
      </c>
      <c r="AU472" s="107">
        <f>_xlfn.IFNA($M472/VLOOKUP($BT472,'Unit information'!$A$2:$K$29,3,FALSE)*S472,0)*(1+$E$9)</f>
        <v>0</v>
      </c>
      <c r="AV472" s="107">
        <f>_xlfn.IFNA($M472/VLOOKUP($BT472,'Unit information'!$A$2:$K$29,4,FALSE)*T472,0)*(1+$E$9)</f>
        <v>0</v>
      </c>
      <c r="AW472" s="107">
        <f>_xlfn.IFNA($M472/VLOOKUP($BT472,'Unit information'!$A$2:$K$29,5,FALSE)*U472,0)*(1+$E$9)</f>
        <v>0</v>
      </c>
      <c r="AX472" s="107">
        <f>_xlfn.IFNA($M472/VLOOKUP($BU472,'Unit information'!$A$2:$K$29,6,FALSE)*V472,0)*(1+$E$9)</f>
        <v>0</v>
      </c>
      <c r="AY472" s="107">
        <f>_xlfn.IFNA($M472/VLOOKUP($BU472,'Unit information'!$A$2:$K$29,7,FALSE)*W472,0)*(1+$E$9)</f>
        <v>0</v>
      </c>
      <c r="AZ472" s="107">
        <f>_xlfn.IFNA($M472/VLOOKUP($BU472,'Unit information'!$A$2:$K$29,8,FALSE)*X472,0)*(1+$E$9)</f>
        <v>0</v>
      </c>
      <c r="BA472" s="107">
        <f>_xlfn.IFNA($M472/VLOOKUP($BU472,'Unit information'!$A$2:$K$29,9,FALSE)*Y472,0)*(1+$E$9)</f>
        <v>0</v>
      </c>
      <c r="BB472" s="107">
        <f>_xlfn.IFNA($M472/VLOOKUP($BV472,'Unit information'!$A$2:$K$29,10,FALSE)*Z472,0)*(1+$E$9)</f>
        <v>0</v>
      </c>
      <c r="BC472" s="108">
        <f>_xlfn.IFNA($M472/VLOOKUP($BV472,'Unit information'!$A$2:$K$29,11,FALSE)*AA472,0)*(1+$E$9)</f>
        <v>0</v>
      </c>
      <c r="BD472" s="106">
        <f t="shared" si="1100"/>
        <v>0</v>
      </c>
      <c r="BE472" s="107">
        <f t="shared" si="1101"/>
        <v>0</v>
      </c>
      <c r="BF472" s="108">
        <f t="shared" si="1102"/>
        <v>0</v>
      </c>
      <c r="BG472" s="25" t="e">
        <f t="shared" si="1103"/>
        <v>#N/A</v>
      </c>
      <c r="BH472" s="25" t="e">
        <f t="shared" si="1104"/>
        <v>#N/A</v>
      </c>
      <c r="BI472" s="25" t="e">
        <f t="shared" si="1105"/>
        <v>#N/A</v>
      </c>
      <c r="BJ472" s="27" t="e">
        <f t="shared" si="1106"/>
        <v>#N/A</v>
      </c>
      <c r="BK472" s="18" t="e">
        <f t="shared" si="1107"/>
        <v>#N/A</v>
      </c>
      <c r="BL472" s="18" t="e">
        <f t="shared" si="1108"/>
        <v>#N/A</v>
      </c>
      <c r="BM472" s="28" t="e">
        <f t="shared" si="1158"/>
        <v>#N/A</v>
      </c>
      <c r="BN472" s="33">
        <f>HLOOKUP("maximum population",Miscelaneous!$C$1:$C$33,CH472+3,FALSE)</f>
        <v>240</v>
      </c>
      <c r="BO472" s="14">
        <f t="shared" si="1120"/>
        <v>32</v>
      </c>
      <c r="BP472" s="14">
        <f t="shared" si="1121"/>
        <v>0</v>
      </c>
      <c r="BQ472" s="14">
        <f t="shared" si="1122"/>
        <v>208</v>
      </c>
      <c r="BR472" s="34" t="e">
        <f>HLOOKUP(J472,Villagers!$B$1:$V$33,L472+3,FALSE)-HLOOKUP(J472,Villagers!$B$1:$V$33,L472+2,FALSE)</f>
        <v>#N/A</v>
      </c>
      <c r="BS472" s="49">
        <f t="shared" si="1123"/>
        <v>1</v>
      </c>
      <c r="BT472" s="50">
        <f t="shared" si="1124"/>
        <v>0</v>
      </c>
      <c r="BU472" s="50">
        <f t="shared" si="1125"/>
        <v>0</v>
      </c>
      <c r="BV472" s="50">
        <f t="shared" si="1126"/>
        <v>0</v>
      </c>
      <c r="BW472" s="50">
        <f t="shared" si="1162"/>
        <v>0</v>
      </c>
      <c r="BX472" s="50">
        <f t="shared" si="1163"/>
        <v>0</v>
      </c>
      <c r="BY472" s="50">
        <f t="shared" si="1163"/>
        <v>0</v>
      </c>
      <c r="BZ472" s="50">
        <f t="shared" si="1015"/>
        <v>0</v>
      </c>
      <c r="CA472" s="50">
        <f t="shared" si="1016"/>
        <v>0</v>
      </c>
      <c r="CB472" s="50">
        <f t="shared" si="1017"/>
        <v>1</v>
      </c>
      <c r="CC472" s="50">
        <f t="shared" si="1018"/>
        <v>0</v>
      </c>
      <c r="CD472" s="50">
        <f t="shared" si="1019"/>
        <v>0</v>
      </c>
      <c r="CE472" s="50">
        <f t="shared" si="1020"/>
        <v>1</v>
      </c>
      <c r="CF472" s="50">
        <f t="shared" si="1021"/>
        <v>1</v>
      </c>
      <c r="CG472" s="50">
        <f t="shared" si="1022"/>
        <v>1</v>
      </c>
      <c r="CH472" s="50">
        <f t="shared" si="1023"/>
        <v>1</v>
      </c>
      <c r="CI472" s="50">
        <f t="shared" si="1024"/>
        <v>1</v>
      </c>
      <c r="CJ472" s="50">
        <f t="shared" si="1025"/>
        <v>1</v>
      </c>
      <c r="CK472" s="50">
        <f t="shared" si="1025"/>
        <v>0</v>
      </c>
      <c r="CL472" s="50">
        <f t="shared" si="1025"/>
        <v>0</v>
      </c>
      <c r="CM472" s="51">
        <f t="shared" si="1026"/>
        <v>0</v>
      </c>
      <c r="CN472" s="33">
        <f>ROUND(IF(BS472=0,0,HLOOKUP(BS$14,Villagers!$B$1:$V$33,BS472+3,FALSE)),)</f>
        <v>5</v>
      </c>
      <c r="CO472" s="14">
        <f>ROUND(IF(BT472=0,0,HLOOKUP(BT$14,Villagers!$B$1:$V$33,BT472+3,FALSE)),)</f>
        <v>0</v>
      </c>
      <c r="CP472" s="14">
        <f>ROUND(IF(BU472=0,0,HLOOKUP(BU$14,Villagers!$B$1:$V$33,BU472+3,FALSE)),)</f>
        <v>0</v>
      </c>
      <c r="CQ472" s="14">
        <f>ROUND(IF(BV472=0,0,HLOOKUP(BV$14,Villagers!$B$1:$V$33,BV472+3,FALSE)),)</f>
        <v>0</v>
      </c>
      <c r="CR472" s="14">
        <f>ROUND(IF(BW472=0,0,HLOOKUP(BW$14,Villagers!$B$1:$V$33,BW472+3,FALSE)),)</f>
        <v>0</v>
      </c>
      <c r="CS472" s="14">
        <f>ROUND(IF(BX472=0,0,HLOOKUP(BX$14,Villagers!$B$1:$V$33,BX472+3,FALSE)),)</f>
        <v>0</v>
      </c>
      <c r="CT472" s="14">
        <f>ROUND(IF(BY472=0,0,HLOOKUP(BY$14,Villagers!$B$1:$V$33,BY472+3,FALSE)),)</f>
        <v>0</v>
      </c>
      <c r="CU472" s="14">
        <f>ROUND(IF(BZ472=0,0,HLOOKUP(BZ$14,Villagers!$B$1:$V$33,BZ472+3,FALSE)),)</f>
        <v>0</v>
      </c>
      <c r="CV472" s="14">
        <f>ROUND(IF(CA472=0,0,HLOOKUP(CA$14,Villagers!$B$1:$V$33,CA472+3,FALSE)),)</f>
        <v>0</v>
      </c>
      <c r="CW472" s="14">
        <f>ROUND(IF(CB472=0,0,HLOOKUP(CB$14,Villagers!$B$1:$V$33,CB472+3,FALSE)),)</f>
        <v>0</v>
      </c>
      <c r="CX472" s="14">
        <f>ROUND(IF(CC472=0,0,HLOOKUP(CC$14,Villagers!$B$1:$V$33,CC472+3,FALSE)),)</f>
        <v>0</v>
      </c>
      <c r="CY472" s="14">
        <f>ROUND(IF(CD472=0,0,HLOOKUP(CD$14,Villagers!$B$1:$V$33,CD472+3,FALSE)),)</f>
        <v>0</v>
      </c>
      <c r="CZ472" s="14">
        <f>ROUND(IF(CE472=0,0,HLOOKUP(CE$14,Villagers!$B$1:$V$33,CE472+3,FALSE)),)</f>
        <v>5</v>
      </c>
      <c r="DA472" s="14">
        <f>ROUND(IF(CF472=0,0,HLOOKUP(CF$14,Villagers!$B$1:$V$33,CF472+3,FALSE)),)</f>
        <v>10</v>
      </c>
      <c r="DB472" s="14">
        <f>ROUND(IF(CG472=0,0,HLOOKUP(CG$14,Villagers!$B$1:$V$33,CG472+3,FALSE)),)</f>
        <v>10</v>
      </c>
      <c r="DC472" s="14">
        <f>ROUND(IF(CH472=0,0,HLOOKUP(CH$14,Villagers!$B$1:$V$33,CH472+3,FALSE)),)</f>
        <v>0</v>
      </c>
      <c r="DD472" s="14">
        <f>ROUND(IF(CI472=0,0,HLOOKUP(CI$14,Villagers!$B$1:$V$33,CI472+3,FALSE)),)</f>
        <v>0</v>
      </c>
      <c r="DE472" s="14">
        <f>ROUND(IF(CJ472=0,0,HLOOKUP(CJ$14,Villagers!$B$1:$V$33,CJ472+3,FALSE)),)</f>
        <v>2</v>
      </c>
      <c r="DF472" s="370">
        <f>ROUND(IF(CK472=0,0,HLOOKUP(CK$14,Villagers!$B$1:$V$33,CK472+3,FALSE)),)</f>
        <v>0</v>
      </c>
      <c r="DG472" s="370">
        <f>ROUND(IF(CL472=0,0,HLOOKUP(CL$14,Villagers!$B$1:$V$33,CL472+3,FALSE)),)</f>
        <v>0</v>
      </c>
      <c r="DH472" s="34">
        <f>ROUND(IF(CM472=0,0,HLOOKUP(CM$14,Villagers!$B$1:$V$33,CM472+3,FALSE)),)</f>
        <v>0</v>
      </c>
      <c r="DI472" s="109">
        <f t="shared" si="1144"/>
        <v>0</v>
      </c>
      <c r="DJ472" s="50">
        <f t="shared" si="1145"/>
        <v>0</v>
      </c>
      <c r="DK472" s="50">
        <f t="shared" si="1146"/>
        <v>0</v>
      </c>
      <c r="DL472" s="50">
        <f t="shared" si="1147"/>
        <v>0</v>
      </c>
      <c r="DM472" s="50">
        <f t="shared" si="1148"/>
        <v>0</v>
      </c>
      <c r="DN472" s="50">
        <f t="shared" si="1149"/>
        <v>0</v>
      </c>
      <c r="DO472" s="50">
        <f t="shared" si="1150"/>
        <v>0</v>
      </c>
      <c r="DP472" s="50">
        <f t="shared" si="1151"/>
        <v>0</v>
      </c>
      <c r="DQ472" s="50">
        <f t="shared" si="1128"/>
        <v>0</v>
      </c>
      <c r="DR472" s="50">
        <f t="shared" si="1129"/>
        <v>0</v>
      </c>
      <c r="DS472" s="96">
        <f>Miscelaneous!$D$4*Miscelaneous!$D$2^($CI472-1)</f>
        <v>1000</v>
      </c>
      <c r="DT472" s="333">
        <f t="shared" si="1109"/>
        <v>1</v>
      </c>
      <c r="DU472" s="81">
        <v>1</v>
      </c>
      <c r="DV472" s="79">
        <f t="shared" si="1130"/>
        <v>0</v>
      </c>
      <c r="DW472" s="79">
        <f t="shared" si="1131"/>
        <v>0</v>
      </c>
      <c r="DX472" s="79">
        <f t="shared" si="1132"/>
        <v>0</v>
      </c>
      <c r="DY472" s="79">
        <v>1</v>
      </c>
      <c r="DZ472" s="79">
        <f t="shared" si="1133"/>
        <v>0</v>
      </c>
      <c r="EA472" s="79">
        <f t="shared" si="1134"/>
        <v>0</v>
      </c>
      <c r="EB472" s="79">
        <f t="shared" si="1135"/>
        <v>0</v>
      </c>
      <c r="EC472" s="79">
        <f t="shared" si="1136"/>
        <v>0</v>
      </c>
      <c r="ED472" s="79">
        <v>1</v>
      </c>
      <c r="EE472" s="79">
        <v>1</v>
      </c>
      <c r="EF472" s="79">
        <f t="shared" si="1137"/>
        <v>0</v>
      </c>
      <c r="EG472" s="79">
        <v>1</v>
      </c>
      <c r="EH472" s="79">
        <v>1</v>
      </c>
      <c r="EI472" s="79">
        <v>1</v>
      </c>
      <c r="EJ472" s="79">
        <v>1</v>
      </c>
      <c r="EK472" s="79">
        <v>1</v>
      </c>
      <c r="EL472" s="79">
        <v>1</v>
      </c>
      <c r="EM472" s="143">
        <f t="shared" si="1138"/>
        <v>0</v>
      </c>
      <c r="EN472" s="143">
        <f t="shared" si="1139"/>
        <v>0</v>
      </c>
      <c r="EO472" s="82">
        <f t="shared" si="1140"/>
        <v>0</v>
      </c>
    </row>
    <row r="473" spans="1:145" x14ac:dyDescent="0.25">
      <c r="A473">
        <v>459</v>
      </c>
      <c r="B473" s="172" t="e">
        <f t="shared" si="1110"/>
        <v>#N/A</v>
      </c>
      <c r="C473" s="121" t="e">
        <f t="shared" ref="C473:E473" si="1165">AJ473-SUM(AB473:AB477)</f>
        <v>#N/A</v>
      </c>
      <c r="D473" s="122" t="e">
        <f t="shared" si="1165"/>
        <v>#N/A</v>
      </c>
      <c r="E473" s="122" t="e">
        <f t="shared" si="1165"/>
        <v>#N/A</v>
      </c>
      <c r="F473" s="176" t="e">
        <f t="shared" si="1092"/>
        <v>#N/A</v>
      </c>
      <c r="G473" s="121">
        <f t="shared" si="1112"/>
        <v>208</v>
      </c>
      <c r="H473" s="176" t="e">
        <f t="shared" si="1113"/>
        <v>#N/A</v>
      </c>
      <c r="I473" s="48">
        <v>1</v>
      </c>
      <c r="J473" s="39"/>
      <c r="K473" s="350">
        <v>1</v>
      </c>
      <c r="L473" s="34" t="e">
        <f t="shared" si="1093"/>
        <v>#N/A</v>
      </c>
      <c r="M473" s="38" t="e">
        <f>(HLOOKUP(J473,'Construction Times'!$B$3:$W$34,L473+2,FALSE)*HLOOKUP("hq modifier",'Construction Times'!$W$3:$W$34,BS473+2,FALSE))*(1-$H$9)</f>
        <v>#N/A</v>
      </c>
      <c r="N473" s="426" t="e">
        <f t="shared" si="1114"/>
        <v>#N/A</v>
      </c>
      <c r="O473" s="427"/>
      <c r="P473" s="430" t="e">
        <f t="shared" si="1115"/>
        <v>#N/A</v>
      </c>
      <c r="Q473" s="431"/>
      <c r="R473" s="103">
        <f t="shared" si="1142"/>
        <v>0</v>
      </c>
      <c r="S473" s="104">
        <f t="shared" si="1142"/>
        <v>0</v>
      </c>
      <c r="T473" s="104">
        <f t="shared" si="1143"/>
        <v>0</v>
      </c>
      <c r="U473" s="104">
        <f t="shared" si="1143"/>
        <v>0</v>
      </c>
      <c r="V473" s="104">
        <f t="shared" si="1143"/>
        <v>9.9999999999999995E-8</v>
      </c>
      <c r="W473" s="104">
        <f t="shared" si="1143"/>
        <v>0</v>
      </c>
      <c r="X473" s="104">
        <f t="shared" si="1089"/>
        <v>0</v>
      </c>
      <c r="Y473" s="104">
        <f t="shared" si="1089"/>
        <v>9.9999999999999995E-8</v>
      </c>
      <c r="Z473" s="104">
        <f t="shared" si="1089"/>
        <v>9.9999999999999995E-8</v>
      </c>
      <c r="AA473" s="105">
        <f t="shared" si="1089"/>
        <v>9.9999999999999995E-8</v>
      </c>
      <c r="AB473" s="101" t="e">
        <f>$DT473*HLOOKUP($J473,'Construction Costs (timber)'!$B$1:$V$32,'Construction Planner'!$L473+2,FALSE)</f>
        <v>#N/A</v>
      </c>
      <c r="AC473" s="14" t="e">
        <f>$DT473*HLOOKUP($J473,'Construction Costs (clay)'!$B$1:$V$32,'Construction Planner'!$L473+2,FALSE)</f>
        <v>#N/A</v>
      </c>
      <c r="AD473" s="14" t="e">
        <f>$DT473*HLOOKUP($J473,'Construction Costs (iron)'!$B$1:$V$32,'Construction Planner'!$L473+2,FALSE)</f>
        <v>#N/A</v>
      </c>
      <c r="AE473" s="34" t="e">
        <f t="shared" si="1155"/>
        <v>#N/A</v>
      </c>
      <c r="AF473" s="33" t="e">
        <f t="shared" si="1094"/>
        <v>#N/A</v>
      </c>
      <c r="AG473" s="14" t="e">
        <f t="shared" si="1095"/>
        <v>#N/A</v>
      </c>
      <c r="AH473" s="14" t="e">
        <f t="shared" si="1096"/>
        <v>#N/A</v>
      </c>
      <c r="AI473" s="34" t="e">
        <f t="shared" si="1156"/>
        <v>#N/A</v>
      </c>
      <c r="AJ473" s="49" t="e">
        <f t="shared" si="1116"/>
        <v>#N/A</v>
      </c>
      <c r="AK473" s="49" t="e">
        <f t="shared" si="1117"/>
        <v>#N/A</v>
      </c>
      <c r="AL473" s="49" t="e">
        <f t="shared" si="1118"/>
        <v>#N/A</v>
      </c>
      <c r="AM473" s="25">
        <f t="shared" si="1097"/>
        <v>30</v>
      </c>
      <c r="AN473" s="25">
        <f t="shared" si="1098"/>
        <v>30</v>
      </c>
      <c r="AO473" s="25">
        <f t="shared" si="1099"/>
        <v>30</v>
      </c>
      <c r="AP473" s="52" t="e">
        <f t="shared" si="1119"/>
        <v>#N/A</v>
      </c>
      <c r="AQ473" s="53" t="e">
        <f t="shared" si="1119"/>
        <v>#N/A</v>
      </c>
      <c r="AR473" s="54" t="e">
        <f t="shared" si="1119"/>
        <v>#N/A</v>
      </c>
      <c r="AS473" s="316">
        <f t="shared" si="1157"/>
        <v>0</v>
      </c>
      <c r="AT473" s="106">
        <f>_xlfn.IFNA($M473/VLOOKUP($BT473,'Unit information'!$A$2:$K$29,2,FALSE)*R473,0)*(1+$E$9)</f>
        <v>0</v>
      </c>
      <c r="AU473" s="107">
        <f>_xlfn.IFNA($M473/VLOOKUP($BT473,'Unit information'!$A$2:$K$29,3,FALSE)*S473,0)*(1+$E$9)</f>
        <v>0</v>
      </c>
      <c r="AV473" s="107">
        <f>_xlfn.IFNA($M473/VLOOKUP($BT473,'Unit information'!$A$2:$K$29,4,FALSE)*T473,0)*(1+$E$9)</f>
        <v>0</v>
      </c>
      <c r="AW473" s="107">
        <f>_xlfn.IFNA($M473/VLOOKUP($BT473,'Unit information'!$A$2:$K$29,5,FALSE)*U473,0)*(1+$E$9)</f>
        <v>0</v>
      </c>
      <c r="AX473" s="107">
        <f>_xlfn.IFNA($M473/VLOOKUP($BU473,'Unit information'!$A$2:$K$29,6,FALSE)*V473,0)*(1+$E$9)</f>
        <v>0</v>
      </c>
      <c r="AY473" s="107">
        <f>_xlfn.IFNA($M473/VLOOKUP($BU473,'Unit information'!$A$2:$K$29,7,FALSE)*W473,0)*(1+$E$9)</f>
        <v>0</v>
      </c>
      <c r="AZ473" s="107">
        <f>_xlfn.IFNA($M473/VLOOKUP($BU473,'Unit information'!$A$2:$K$29,8,FALSE)*X473,0)*(1+$E$9)</f>
        <v>0</v>
      </c>
      <c r="BA473" s="107">
        <f>_xlfn.IFNA($M473/VLOOKUP($BU473,'Unit information'!$A$2:$K$29,9,FALSE)*Y473,0)*(1+$E$9)</f>
        <v>0</v>
      </c>
      <c r="BB473" s="107">
        <f>_xlfn.IFNA($M473/VLOOKUP($BV473,'Unit information'!$A$2:$K$29,10,FALSE)*Z473,0)*(1+$E$9)</f>
        <v>0</v>
      </c>
      <c r="BC473" s="108">
        <f>_xlfn.IFNA($M473/VLOOKUP($BV473,'Unit information'!$A$2:$K$29,11,FALSE)*AA473,0)*(1+$E$9)</f>
        <v>0</v>
      </c>
      <c r="BD473" s="106">
        <f t="shared" si="1100"/>
        <v>0</v>
      </c>
      <c r="BE473" s="107">
        <f t="shared" si="1101"/>
        <v>0</v>
      </c>
      <c r="BF473" s="108">
        <f t="shared" si="1102"/>
        <v>0</v>
      </c>
      <c r="BG473" s="25" t="e">
        <f t="shared" si="1103"/>
        <v>#N/A</v>
      </c>
      <c r="BH473" s="25" t="e">
        <f t="shared" si="1104"/>
        <v>#N/A</v>
      </c>
      <c r="BI473" s="25" t="e">
        <f t="shared" si="1105"/>
        <v>#N/A</v>
      </c>
      <c r="BJ473" s="27" t="e">
        <f t="shared" si="1106"/>
        <v>#N/A</v>
      </c>
      <c r="BK473" s="18" t="e">
        <f t="shared" si="1107"/>
        <v>#N/A</v>
      </c>
      <c r="BL473" s="18" t="e">
        <f t="shared" si="1108"/>
        <v>#N/A</v>
      </c>
      <c r="BM473" s="28" t="e">
        <f t="shared" si="1158"/>
        <v>#N/A</v>
      </c>
      <c r="BN473" s="33">
        <f>HLOOKUP("maximum population",Miscelaneous!$C$1:$C$33,CH473+3,FALSE)</f>
        <v>240</v>
      </c>
      <c r="BO473" s="14">
        <f t="shared" si="1120"/>
        <v>32</v>
      </c>
      <c r="BP473" s="14">
        <f t="shared" si="1121"/>
        <v>0</v>
      </c>
      <c r="BQ473" s="14">
        <f t="shared" si="1122"/>
        <v>208</v>
      </c>
      <c r="BR473" s="34" t="e">
        <f>HLOOKUP(J473,Villagers!$B$1:$V$33,L473+3,FALSE)-HLOOKUP(J473,Villagers!$B$1:$V$33,L473+2,FALSE)</f>
        <v>#N/A</v>
      </c>
      <c r="BS473" s="49">
        <f t="shared" si="1123"/>
        <v>1</v>
      </c>
      <c r="BT473" s="50">
        <f t="shared" si="1124"/>
        <v>0</v>
      </c>
      <c r="BU473" s="50">
        <f t="shared" si="1125"/>
        <v>0</v>
      </c>
      <c r="BV473" s="50">
        <f t="shared" si="1126"/>
        <v>0</v>
      </c>
      <c r="BW473" s="50">
        <f t="shared" si="1162"/>
        <v>0</v>
      </c>
      <c r="BX473" s="50">
        <f t="shared" si="1163"/>
        <v>0</v>
      </c>
      <c r="BY473" s="50">
        <f t="shared" si="1163"/>
        <v>0</v>
      </c>
      <c r="BZ473" s="50">
        <f t="shared" si="1015"/>
        <v>0</v>
      </c>
      <c r="CA473" s="50">
        <f t="shared" si="1016"/>
        <v>0</v>
      </c>
      <c r="CB473" s="50">
        <f t="shared" si="1017"/>
        <v>1</v>
      </c>
      <c r="CC473" s="50">
        <f t="shared" si="1018"/>
        <v>0</v>
      </c>
      <c r="CD473" s="50">
        <f t="shared" si="1019"/>
        <v>0</v>
      </c>
      <c r="CE473" s="50">
        <f t="shared" si="1020"/>
        <v>1</v>
      </c>
      <c r="CF473" s="50">
        <f t="shared" si="1021"/>
        <v>1</v>
      </c>
      <c r="CG473" s="50">
        <f t="shared" si="1022"/>
        <v>1</v>
      </c>
      <c r="CH473" s="50">
        <f t="shared" si="1023"/>
        <v>1</v>
      </c>
      <c r="CI473" s="50">
        <f t="shared" si="1024"/>
        <v>1</v>
      </c>
      <c r="CJ473" s="50">
        <f t="shared" si="1025"/>
        <v>1</v>
      </c>
      <c r="CK473" s="50">
        <f t="shared" si="1025"/>
        <v>0</v>
      </c>
      <c r="CL473" s="50">
        <f t="shared" si="1025"/>
        <v>0</v>
      </c>
      <c r="CM473" s="51">
        <f t="shared" si="1026"/>
        <v>0</v>
      </c>
      <c r="CN473" s="33">
        <f>ROUND(IF(BS473=0,0,HLOOKUP(BS$14,Villagers!$B$1:$V$33,BS473+3,FALSE)),)</f>
        <v>5</v>
      </c>
      <c r="CO473" s="14">
        <f>ROUND(IF(BT473=0,0,HLOOKUP(BT$14,Villagers!$B$1:$V$33,BT473+3,FALSE)),)</f>
        <v>0</v>
      </c>
      <c r="CP473" s="14">
        <f>ROUND(IF(BU473=0,0,HLOOKUP(BU$14,Villagers!$B$1:$V$33,BU473+3,FALSE)),)</f>
        <v>0</v>
      </c>
      <c r="CQ473" s="14">
        <f>ROUND(IF(BV473=0,0,HLOOKUP(BV$14,Villagers!$B$1:$V$33,BV473+3,FALSE)),)</f>
        <v>0</v>
      </c>
      <c r="CR473" s="14">
        <f>ROUND(IF(BW473=0,0,HLOOKUP(BW$14,Villagers!$B$1:$V$33,BW473+3,FALSE)),)</f>
        <v>0</v>
      </c>
      <c r="CS473" s="14">
        <f>ROUND(IF(BX473=0,0,HLOOKUP(BX$14,Villagers!$B$1:$V$33,BX473+3,FALSE)),)</f>
        <v>0</v>
      </c>
      <c r="CT473" s="14">
        <f>ROUND(IF(BY473=0,0,HLOOKUP(BY$14,Villagers!$B$1:$V$33,BY473+3,FALSE)),)</f>
        <v>0</v>
      </c>
      <c r="CU473" s="14">
        <f>ROUND(IF(BZ473=0,0,HLOOKUP(BZ$14,Villagers!$B$1:$V$33,BZ473+3,FALSE)),)</f>
        <v>0</v>
      </c>
      <c r="CV473" s="14">
        <f>ROUND(IF(CA473=0,0,HLOOKUP(CA$14,Villagers!$B$1:$V$33,CA473+3,FALSE)),)</f>
        <v>0</v>
      </c>
      <c r="CW473" s="14">
        <f>ROUND(IF(CB473=0,0,HLOOKUP(CB$14,Villagers!$B$1:$V$33,CB473+3,FALSE)),)</f>
        <v>0</v>
      </c>
      <c r="CX473" s="14">
        <f>ROUND(IF(CC473=0,0,HLOOKUP(CC$14,Villagers!$B$1:$V$33,CC473+3,FALSE)),)</f>
        <v>0</v>
      </c>
      <c r="CY473" s="14">
        <f>ROUND(IF(CD473=0,0,HLOOKUP(CD$14,Villagers!$B$1:$V$33,CD473+3,FALSE)),)</f>
        <v>0</v>
      </c>
      <c r="CZ473" s="14">
        <f>ROUND(IF(CE473=0,0,HLOOKUP(CE$14,Villagers!$B$1:$V$33,CE473+3,FALSE)),)</f>
        <v>5</v>
      </c>
      <c r="DA473" s="14">
        <f>ROUND(IF(CF473=0,0,HLOOKUP(CF$14,Villagers!$B$1:$V$33,CF473+3,FALSE)),)</f>
        <v>10</v>
      </c>
      <c r="DB473" s="14">
        <f>ROUND(IF(CG473=0,0,HLOOKUP(CG$14,Villagers!$B$1:$V$33,CG473+3,FALSE)),)</f>
        <v>10</v>
      </c>
      <c r="DC473" s="14">
        <f>ROUND(IF(CH473=0,0,HLOOKUP(CH$14,Villagers!$B$1:$V$33,CH473+3,FALSE)),)</f>
        <v>0</v>
      </c>
      <c r="DD473" s="14">
        <f>ROUND(IF(CI473=0,0,HLOOKUP(CI$14,Villagers!$B$1:$V$33,CI473+3,FALSE)),)</f>
        <v>0</v>
      </c>
      <c r="DE473" s="14">
        <f>ROUND(IF(CJ473=0,0,HLOOKUP(CJ$14,Villagers!$B$1:$V$33,CJ473+3,FALSE)),)</f>
        <v>2</v>
      </c>
      <c r="DF473" s="370">
        <f>ROUND(IF(CK473=0,0,HLOOKUP(CK$14,Villagers!$B$1:$V$33,CK473+3,FALSE)),)</f>
        <v>0</v>
      </c>
      <c r="DG473" s="370">
        <f>ROUND(IF(CL473=0,0,HLOOKUP(CL$14,Villagers!$B$1:$V$33,CL473+3,FALSE)),)</f>
        <v>0</v>
      </c>
      <c r="DH473" s="34">
        <f>ROUND(IF(CM473=0,0,HLOOKUP(CM$14,Villagers!$B$1:$V$33,CM473+3,FALSE)),)</f>
        <v>0</v>
      </c>
      <c r="DI473" s="109">
        <f t="shared" si="1144"/>
        <v>0</v>
      </c>
      <c r="DJ473" s="50">
        <f t="shared" si="1145"/>
        <v>0</v>
      </c>
      <c r="DK473" s="50">
        <f t="shared" si="1146"/>
        <v>0</v>
      </c>
      <c r="DL473" s="50">
        <f t="shared" si="1147"/>
        <v>0</v>
      </c>
      <c r="DM473" s="50">
        <f t="shared" si="1148"/>
        <v>0</v>
      </c>
      <c r="DN473" s="50">
        <f t="shared" si="1149"/>
        <v>0</v>
      </c>
      <c r="DO473" s="50">
        <f t="shared" si="1150"/>
        <v>0</v>
      </c>
      <c r="DP473" s="50">
        <f t="shared" si="1151"/>
        <v>0</v>
      </c>
      <c r="DQ473" s="50">
        <f t="shared" si="1128"/>
        <v>0</v>
      </c>
      <c r="DR473" s="50">
        <f t="shared" si="1129"/>
        <v>0</v>
      </c>
      <c r="DS473" s="96">
        <f>Miscelaneous!$D$4*Miscelaneous!$D$2^($CI473-1)</f>
        <v>1000</v>
      </c>
      <c r="DT473" s="333">
        <f t="shared" si="1109"/>
        <v>1</v>
      </c>
      <c r="DU473" s="81">
        <v>1</v>
      </c>
      <c r="DV473" s="79">
        <f t="shared" si="1130"/>
        <v>0</v>
      </c>
      <c r="DW473" s="79">
        <f t="shared" si="1131"/>
        <v>0</v>
      </c>
      <c r="DX473" s="79">
        <f t="shared" si="1132"/>
        <v>0</v>
      </c>
      <c r="DY473" s="79">
        <v>1</v>
      </c>
      <c r="DZ473" s="79">
        <f t="shared" si="1133"/>
        <v>0</v>
      </c>
      <c r="EA473" s="79">
        <f t="shared" si="1134"/>
        <v>0</v>
      </c>
      <c r="EB473" s="79">
        <f t="shared" si="1135"/>
        <v>0</v>
      </c>
      <c r="EC473" s="79">
        <f t="shared" si="1136"/>
        <v>0</v>
      </c>
      <c r="ED473" s="79">
        <v>1</v>
      </c>
      <c r="EE473" s="79">
        <v>1</v>
      </c>
      <c r="EF473" s="79">
        <f t="shared" si="1137"/>
        <v>0</v>
      </c>
      <c r="EG473" s="79">
        <v>1</v>
      </c>
      <c r="EH473" s="79">
        <v>1</v>
      </c>
      <c r="EI473" s="79">
        <v>1</v>
      </c>
      <c r="EJ473" s="79">
        <v>1</v>
      </c>
      <c r="EK473" s="79">
        <v>1</v>
      </c>
      <c r="EL473" s="79">
        <v>1</v>
      </c>
      <c r="EM473" s="143">
        <f t="shared" si="1138"/>
        <v>0</v>
      </c>
      <c r="EN473" s="143">
        <f t="shared" si="1139"/>
        <v>0</v>
      </c>
      <c r="EO473" s="82">
        <f t="shared" si="1140"/>
        <v>0</v>
      </c>
    </row>
    <row r="474" spans="1:145" x14ac:dyDescent="0.25">
      <c r="A474">
        <v>460</v>
      </c>
      <c r="B474" s="172" t="e">
        <f t="shared" si="1110"/>
        <v>#N/A</v>
      </c>
      <c r="C474" s="121" t="e">
        <f t="shared" ref="C474:E474" si="1166">AJ474-SUM(AB474:AB478)</f>
        <v>#N/A</v>
      </c>
      <c r="D474" s="122" t="e">
        <f t="shared" si="1166"/>
        <v>#N/A</v>
      </c>
      <c r="E474" s="122" t="e">
        <f t="shared" si="1166"/>
        <v>#N/A</v>
      </c>
      <c r="F474" s="176" t="e">
        <f t="shared" si="1092"/>
        <v>#N/A</v>
      </c>
      <c r="G474" s="121">
        <f t="shared" si="1112"/>
        <v>208</v>
      </c>
      <c r="H474" s="176" t="e">
        <f t="shared" si="1113"/>
        <v>#N/A</v>
      </c>
      <c r="I474" s="48">
        <v>1</v>
      </c>
      <c r="J474" s="39"/>
      <c r="K474" s="350">
        <v>1</v>
      </c>
      <c r="L474" s="34" t="e">
        <f t="shared" si="1093"/>
        <v>#N/A</v>
      </c>
      <c r="M474" s="38" t="e">
        <f>(HLOOKUP(J474,'Construction Times'!$B$3:$W$34,L474+2,FALSE)*HLOOKUP("hq modifier",'Construction Times'!$W$3:$W$34,BS474+2,FALSE))*(1-$H$9)</f>
        <v>#N/A</v>
      </c>
      <c r="N474" s="426" t="e">
        <f t="shared" si="1114"/>
        <v>#N/A</v>
      </c>
      <c r="O474" s="427"/>
      <c r="P474" s="430" t="e">
        <f t="shared" si="1115"/>
        <v>#N/A</v>
      </c>
      <c r="Q474" s="431"/>
      <c r="R474" s="103">
        <f t="shared" si="1142"/>
        <v>0</v>
      </c>
      <c r="S474" s="104">
        <f t="shared" si="1142"/>
        <v>0</v>
      </c>
      <c r="T474" s="104">
        <f t="shared" si="1143"/>
        <v>0</v>
      </c>
      <c r="U474" s="104">
        <f t="shared" si="1143"/>
        <v>0</v>
      </c>
      <c r="V474" s="104">
        <f t="shared" si="1143"/>
        <v>9.9999999999999995E-8</v>
      </c>
      <c r="W474" s="104">
        <f t="shared" si="1143"/>
        <v>0</v>
      </c>
      <c r="X474" s="104">
        <f t="shared" si="1089"/>
        <v>0</v>
      </c>
      <c r="Y474" s="104">
        <f t="shared" si="1089"/>
        <v>9.9999999999999995E-8</v>
      </c>
      <c r="Z474" s="104">
        <f t="shared" si="1089"/>
        <v>9.9999999999999995E-8</v>
      </c>
      <c r="AA474" s="105">
        <f t="shared" si="1089"/>
        <v>9.9999999999999995E-8</v>
      </c>
      <c r="AB474" s="101" t="e">
        <f>$DT474*HLOOKUP($J474,'Construction Costs (timber)'!$B$1:$V$32,'Construction Planner'!$L474+2,FALSE)</f>
        <v>#N/A</v>
      </c>
      <c r="AC474" s="14" t="e">
        <f>$DT474*HLOOKUP($J474,'Construction Costs (clay)'!$B$1:$V$32,'Construction Planner'!$L474+2,FALSE)</f>
        <v>#N/A</v>
      </c>
      <c r="AD474" s="14" t="e">
        <f>$DT474*HLOOKUP($J474,'Construction Costs (iron)'!$B$1:$V$32,'Construction Planner'!$L474+2,FALSE)</f>
        <v>#N/A</v>
      </c>
      <c r="AE474" s="34" t="e">
        <f t="shared" si="1155"/>
        <v>#N/A</v>
      </c>
      <c r="AF474" s="33" t="e">
        <f t="shared" si="1094"/>
        <v>#N/A</v>
      </c>
      <c r="AG474" s="14" t="e">
        <f t="shared" si="1095"/>
        <v>#N/A</v>
      </c>
      <c r="AH474" s="14" t="e">
        <f t="shared" si="1096"/>
        <v>#N/A</v>
      </c>
      <c r="AI474" s="34" t="e">
        <f t="shared" si="1156"/>
        <v>#N/A</v>
      </c>
      <c r="AJ474" s="49" t="e">
        <f t="shared" si="1116"/>
        <v>#N/A</v>
      </c>
      <c r="AK474" s="49" t="e">
        <f t="shared" si="1117"/>
        <v>#N/A</v>
      </c>
      <c r="AL474" s="49" t="e">
        <f t="shared" si="1118"/>
        <v>#N/A</v>
      </c>
      <c r="AM474" s="25">
        <f t="shared" si="1097"/>
        <v>30</v>
      </c>
      <c r="AN474" s="25">
        <f t="shared" si="1098"/>
        <v>30</v>
      </c>
      <c r="AO474" s="25">
        <f t="shared" si="1099"/>
        <v>30</v>
      </c>
      <c r="AP474" s="52" t="e">
        <f t="shared" si="1119"/>
        <v>#N/A</v>
      </c>
      <c r="AQ474" s="53" t="e">
        <f t="shared" si="1119"/>
        <v>#N/A</v>
      </c>
      <c r="AR474" s="54" t="e">
        <f t="shared" si="1119"/>
        <v>#N/A</v>
      </c>
      <c r="AS474" s="316">
        <f t="shared" si="1157"/>
        <v>0</v>
      </c>
      <c r="AT474" s="106">
        <f>_xlfn.IFNA($M474/VLOOKUP($BT474,'Unit information'!$A$2:$K$29,2,FALSE)*R474,0)*(1+$E$9)</f>
        <v>0</v>
      </c>
      <c r="AU474" s="107">
        <f>_xlfn.IFNA($M474/VLOOKUP($BT474,'Unit information'!$A$2:$K$29,3,FALSE)*S474,0)*(1+$E$9)</f>
        <v>0</v>
      </c>
      <c r="AV474" s="107">
        <f>_xlfn.IFNA($M474/VLOOKUP($BT474,'Unit information'!$A$2:$K$29,4,FALSE)*T474,0)*(1+$E$9)</f>
        <v>0</v>
      </c>
      <c r="AW474" s="107">
        <f>_xlfn.IFNA($M474/VLOOKUP($BT474,'Unit information'!$A$2:$K$29,5,FALSE)*U474,0)*(1+$E$9)</f>
        <v>0</v>
      </c>
      <c r="AX474" s="107">
        <f>_xlfn.IFNA($M474/VLOOKUP($BU474,'Unit information'!$A$2:$K$29,6,FALSE)*V474,0)*(1+$E$9)</f>
        <v>0</v>
      </c>
      <c r="AY474" s="107">
        <f>_xlfn.IFNA($M474/VLOOKUP($BU474,'Unit information'!$A$2:$K$29,7,FALSE)*W474,0)*(1+$E$9)</f>
        <v>0</v>
      </c>
      <c r="AZ474" s="107">
        <f>_xlfn.IFNA($M474/VLOOKUP($BU474,'Unit information'!$A$2:$K$29,8,FALSE)*X474,0)*(1+$E$9)</f>
        <v>0</v>
      </c>
      <c r="BA474" s="107">
        <f>_xlfn.IFNA($M474/VLOOKUP($BU474,'Unit information'!$A$2:$K$29,9,FALSE)*Y474,0)*(1+$E$9)</f>
        <v>0</v>
      </c>
      <c r="BB474" s="107">
        <f>_xlfn.IFNA($M474/VLOOKUP($BV474,'Unit information'!$A$2:$K$29,10,FALSE)*Z474,0)*(1+$E$9)</f>
        <v>0</v>
      </c>
      <c r="BC474" s="108">
        <f>_xlfn.IFNA($M474/VLOOKUP($BV474,'Unit information'!$A$2:$K$29,11,FALSE)*AA474,0)*(1+$E$9)</f>
        <v>0</v>
      </c>
      <c r="BD474" s="106">
        <f t="shared" si="1100"/>
        <v>0</v>
      </c>
      <c r="BE474" s="107">
        <f t="shared" si="1101"/>
        <v>0</v>
      </c>
      <c r="BF474" s="108">
        <f t="shared" si="1102"/>
        <v>0</v>
      </c>
      <c r="BG474" s="25" t="e">
        <f t="shared" si="1103"/>
        <v>#N/A</v>
      </c>
      <c r="BH474" s="25" t="e">
        <f t="shared" si="1104"/>
        <v>#N/A</v>
      </c>
      <c r="BI474" s="25" t="e">
        <f t="shared" si="1105"/>
        <v>#N/A</v>
      </c>
      <c r="BJ474" s="27" t="e">
        <f t="shared" si="1106"/>
        <v>#N/A</v>
      </c>
      <c r="BK474" s="18" t="e">
        <f t="shared" si="1107"/>
        <v>#N/A</v>
      </c>
      <c r="BL474" s="18" t="e">
        <f t="shared" si="1108"/>
        <v>#N/A</v>
      </c>
      <c r="BM474" s="28" t="e">
        <f t="shared" si="1158"/>
        <v>#N/A</v>
      </c>
      <c r="BN474" s="33">
        <f>HLOOKUP("maximum population",Miscelaneous!$C$1:$C$33,CH474+3,FALSE)</f>
        <v>240</v>
      </c>
      <c r="BO474" s="14">
        <f t="shared" si="1120"/>
        <v>32</v>
      </c>
      <c r="BP474" s="14">
        <f t="shared" si="1121"/>
        <v>0</v>
      </c>
      <c r="BQ474" s="14">
        <f t="shared" si="1122"/>
        <v>208</v>
      </c>
      <c r="BR474" s="34" t="e">
        <f>HLOOKUP(J474,Villagers!$B$1:$V$33,L474+3,FALSE)-HLOOKUP(J474,Villagers!$B$1:$V$33,L474+2,FALSE)</f>
        <v>#N/A</v>
      </c>
      <c r="BS474" s="49">
        <f t="shared" si="1123"/>
        <v>1</v>
      </c>
      <c r="BT474" s="50">
        <f t="shared" si="1124"/>
        <v>0</v>
      </c>
      <c r="BU474" s="50">
        <f t="shared" si="1125"/>
        <v>0</v>
      </c>
      <c r="BV474" s="50">
        <f t="shared" si="1126"/>
        <v>0</v>
      </c>
      <c r="BW474" s="50">
        <f t="shared" si="1162"/>
        <v>0</v>
      </c>
      <c r="BX474" s="50">
        <f t="shared" si="1163"/>
        <v>0</v>
      </c>
      <c r="BY474" s="50">
        <f t="shared" si="1163"/>
        <v>0</v>
      </c>
      <c r="BZ474" s="50">
        <f t="shared" si="1015"/>
        <v>0</v>
      </c>
      <c r="CA474" s="50">
        <f t="shared" si="1016"/>
        <v>0</v>
      </c>
      <c r="CB474" s="50">
        <f t="shared" si="1017"/>
        <v>1</v>
      </c>
      <c r="CC474" s="50">
        <f t="shared" si="1018"/>
        <v>0</v>
      </c>
      <c r="CD474" s="50">
        <f t="shared" si="1019"/>
        <v>0</v>
      </c>
      <c r="CE474" s="50">
        <f t="shared" si="1020"/>
        <v>1</v>
      </c>
      <c r="CF474" s="50">
        <f t="shared" si="1021"/>
        <v>1</v>
      </c>
      <c r="CG474" s="50">
        <f t="shared" si="1022"/>
        <v>1</v>
      </c>
      <c r="CH474" s="50">
        <f t="shared" si="1023"/>
        <v>1</v>
      </c>
      <c r="CI474" s="50">
        <f t="shared" si="1024"/>
        <v>1</v>
      </c>
      <c r="CJ474" s="50">
        <f t="shared" si="1025"/>
        <v>1</v>
      </c>
      <c r="CK474" s="50">
        <f t="shared" si="1025"/>
        <v>0</v>
      </c>
      <c r="CL474" s="50">
        <f t="shared" si="1025"/>
        <v>0</v>
      </c>
      <c r="CM474" s="51">
        <f t="shared" si="1026"/>
        <v>0</v>
      </c>
      <c r="CN474" s="33">
        <f>ROUND(IF(BS474=0,0,HLOOKUP(BS$14,Villagers!$B$1:$V$33,BS474+3,FALSE)),)</f>
        <v>5</v>
      </c>
      <c r="CO474" s="14">
        <f>ROUND(IF(BT474=0,0,HLOOKUP(BT$14,Villagers!$B$1:$V$33,BT474+3,FALSE)),)</f>
        <v>0</v>
      </c>
      <c r="CP474" s="14">
        <f>ROUND(IF(BU474=0,0,HLOOKUP(BU$14,Villagers!$B$1:$V$33,BU474+3,FALSE)),)</f>
        <v>0</v>
      </c>
      <c r="CQ474" s="14">
        <f>ROUND(IF(BV474=0,0,HLOOKUP(BV$14,Villagers!$B$1:$V$33,BV474+3,FALSE)),)</f>
        <v>0</v>
      </c>
      <c r="CR474" s="14">
        <f>ROUND(IF(BW474=0,0,HLOOKUP(BW$14,Villagers!$B$1:$V$33,BW474+3,FALSE)),)</f>
        <v>0</v>
      </c>
      <c r="CS474" s="14">
        <f>ROUND(IF(BX474=0,0,HLOOKUP(BX$14,Villagers!$B$1:$V$33,BX474+3,FALSE)),)</f>
        <v>0</v>
      </c>
      <c r="CT474" s="14">
        <f>ROUND(IF(BY474=0,0,HLOOKUP(BY$14,Villagers!$B$1:$V$33,BY474+3,FALSE)),)</f>
        <v>0</v>
      </c>
      <c r="CU474" s="14">
        <f>ROUND(IF(BZ474=0,0,HLOOKUP(BZ$14,Villagers!$B$1:$V$33,BZ474+3,FALSE)),)</f>
        <v>0</v>
      </c>
      <c r="CV474" s="14">
        <f>ROUND(IF(CA474=0,0,HLOOKUP(CA$14,Villagers!$B$1:$V$33,CA474+3,FALSE)),)</f>
        <v>0</v>
      </c>
      <c r="CW474" s="14">
        <f>ROUND(IF(CB474=0,0,HLOOKUP(CB$14,Villagers!$B$1:$V$33,CB474+3,FALSE)),)</f>
        <v>0</v>
      </c>
      <c r="CX474" s="14">
        <f>ROUND(IF(CC474=0,0,HLOOKUP(CC$14,Villagers!$B$1:$V$33,CC474+3,FALSE)),)</f>
        <v>0</v>
      </c>
      <c r="CY474" s="14">
        <f>ROUND(IF(CD474=0,0,HLOOKUP(CD$14,Villagers!$B$1:$V$33,CD474+3,FALSE)),)</f>
        <v>0</v>
      </c>
      <c r="CZ474" s="14">
        <f>ROUND(IF(CE474=0,0,HLOOKUP(CE$14,Villagers!$B$1:$V$33,CE474+3,FALSE)),)</f>
        <v>5</v>
      </c>
      <c r="DA474" s="14">
        <f>ROUND(IF(CF474=0,0,HLOOKUP(CF$14,Villagers!$B$1:$V$33,CF474+3,FALSE)),)</f>
        <v>10</v>
      </c>
      <c r="DB474" s="14">
        <f>ROUND(IF(CG474=0,0,HLOOKUP(CG$14,Villagers!$B$1:$V$33,CG474+3,FALSE)),)</f>
        <v>10</v>
      </c>
      <c r="DC474" s="14">
        <f>ROUND(IF(CH474=0,0,HLOOKUP(CH$14,Villagers!$B$1:$V$33,CH474+3,FALSE)),)</f>
        <v>0</v>
      </c>
      <c r="DD474" s="14">
        <f>ROUND(IF(CI474=0,0,HLOOKUP(CI$14,Villagers!$B$1:$V$33,CI474+3,FALSE)),)</f>
        <v>0</v>
      </c>
      <c r="DE474" s="14">
        <f>ROUND(IF(CJ474=0,0,HLOOKUP(CJ$14,Villagers!$B$1:$V$33,CJ474+3,FALSE)),)</f>
        <v>2</v>
      </c>
      <c r="DF474" s="370">
        <f>ROUND(IF(CK474=0,0,HLOOKUP(CK$14,Villagers!$B$1:$V$33,CK474+3,FALSE)),)</f>
        <v>0</v>
      </c>
      <c r="DG474" s="370">
        <f>ROUND(IF(CL474=0,0,HLOOKUP(CL$14,Villagers!$B$1:$V$33,CL474+3,FALSE)),)</f>
        <v>0</v>
      </c>
      <c r="DH474" s="34">
        <f>ROUND(IF(CM474=0,0,HLOOKUP(CM$14,Villagers!$B$1:$V$33,CM474+3,FALSE)),)</f>
        <v>0</v>
      </c>
      <c r="DI474" s="109">
        <f t="shared" si="1144"/>
        <v>0</v>
      </c>
      <c r="DJ474" s="50">
        <f t="shared" si="1145"/>
        <v>0</v>
      </c>
      <c r="DK474" s="50">
        <f t="shared" si="1146"/>
        <v>0</v>
      </c>
      <c r="DL474" s="50">
        <f t="shared" si="1147"/>
        <v>0</v>
      </c>
      <c r="DM474" s="50">
        <f t="shared" si="1148"/>
        <v>0</v>
      </c>
      <c r="DN474" s="50">
        <f t="shared" si="1149"/>
        <v>0</v>
      </c>
      <c r="DO474" s="50">
        <f t="shared" si="1150"/>
        <v>0</v>
      </c>
      <c r="DP474" s="50">
        <f t="shared" si="1151"/>
        <v>0</v>
      </c>
      <c r="DQ474" s="50">
        <f t="shared" si="1128"/>
        <v>0</v>
      </c>
      <c r="DR474" s="50">
        <f t="shared" si="1129"/>
        <v>0</v>
      </c>
      <c r="DS474" s="96">
        <f>Miscelaneous!$D$4*Miscelaneous!$D$2^($CI474-1)</f>
        <v>1000</v>
      </c>
      <c r="DT474" s="333">
        <f t="shared" si="1109"/>
        <v>1</v>
      </c>
      <c r="DU474" s="81">
        <v>1</v>
      </c>
      <c r="DV474" s="79">
        <f t="shared" si="1130"/>
        <v>0</v>
      </c>
      <c r="DW474" s="79">
        <f t="shared" si="1131"/>
        <v>0</v>
      </c>
      <c r="DX474" s="79">
        <f t="shared" si="1132"/>
        <v>0</v>
      </c>
      <c r="DY474" s="79">
        <v>1</v>
      </c>
      <c r="DZ474" s="79">
        <f t="shared" si="1133"/>
        <v>0</v>
      </c>
      <c r="EA474" s="79">
        <f t="shared" si="1134"/>
        <v>0</v>
      </c>
      <c r="EB474" s="79">
        <f t="shared" si="1135"/>
        <v>0</v>
      </c>
      <c r="EC474" s="79">
        <f t="shared" si="1136"/>
        <v>0</v>
      </c>
      <c r="ED474" s="79">
        <v>1</v>
      </c>
      <c r="EE474" s="79">
        <v>1</v>
      </c>
      <c r="EF474" s="79">
        <f t="shared" si="1137"/>
        <v>0</v>
      </c>
      <c r="EG474" s="79">
        <v>1</v>
      </c>
      <c r="EH474" s="79">
        <v>1</v>
      </c>
      <c r="EI474" s="79">
        <v>1</v>
      </c>
      <c r="EJ474" s="79">
        <v>1</v>
      </c>
      <c r="EK474" s="79">
        <v>1</v>
      </c>
      <c r="EL474" s="79">
        <v>1</v>
      </c>
      <c r="EM474" s="143">
        <f t="shared" si="1138"/>
        <v>0</v>
      </c>
      <c r="EN474" s="143">
        <f t="shared" si="1139"/>
        <v>0</v>
      </c>
      <c r="EO474" s="82">
        <f t="shared" si="1140"/>
        <v>0</v>
      </c>
    </row>
    <row r="475" spans="1:145" x14ac:dyDescent="0.25">
      <c r="A475">
        <v>461</v>
      </c>
      <c r="B475" s="172" t="e">
        <f t="shared" si="1110"/>
        <v>#N/A</v>
      </c>
      <c r="C475" s="121" t="e">
        <f t="shared" ref="C475:E475" si="1167">AJ475-SUM(AB475:AB479)</f>
        <v>#N/A</v>
      </c>
      <c r="D475" s="122" t="e">
        <f t="shared" si="1167"/>
        <v>#N/A</v>
      </c>
      <c r="E475" s="122" t="e">
        <f t="shared" si="1167"/>
        <v>#N/A</v>
      </c>
      <c r="F475" s="176" t="e">
        <f t="shared" si="1092"/>
        <v>#N/A</v>
      </c>
      <c r="G475" s="121">
        <f t="shared" si="1112"/>
        <v>208</v>
      </c>
      <c r="H475" s="176" t="e">
        <f t="shared" si="1113"/>
        <v>#N/A</v>
      </c>
      <c r="I475" s="48">
        <v>1</v>
      </c>
      <c r="J475" s="39"/>
      <c r="K475" s="350">
        <v>1</v>
      </c>
      <c r="L475" s="34" t="e">
        <f t="shared" si="1093"/>
        <v>#N/A</v>
      </c>
      <c r="M475" s="38" t="e">
        <f>(HLOOKUP(J475,'Construction Times'!$B$3:$W$34,L475+2,FALSE)*HLOOKUP("hq modifier",'Construction Times'!$W$3:$W$34,BS475+2,FALSE))*(1-$H$9)</f>
        <v>#N/A</v>
      </c>
      <c r="N475" s="426" t="e">
        <f t="shared" si="1114"/>
        <v>#N/A</v>
      </c>
      <c r="O475" s="427"/>
      <c r="P475" s="430" t="e">
        <f t="shared" si="1115"/>
        <v>#N/A</v>
      </c>
      <c r="Q475" s="431"/>
      <c r="R475" s="103">
        <f t="shared" si="1142"/>
        <v>0</v>
      </c>
      <c r="S475" s="104">
        <f t="shared" si="1142"/>
        <v>0</v>
      </c>
      <c r="T475" s="104">
        <f t="shared" si="1143"/>
        <v>0</v>
      </c>
      <c r="U475" s="104">
        <f t="shared" si="1143"/>
        <v>0</v>
      </c>
      <c r="V475" s="104">
        <f t="shared" si="1143"/>
        <v>9.9999999999999995E-8</v>
      </c>
      <c r="W475" s="104">
        <f t="shared" si="1143"/>
        <v>0</v>
      </c>
      <c r="X475" s="104">
        <f t="shared" si="1089"/>
        <v>0</v>
      </c>
      <c r="Y475" s="104">
        <f t="shared" si="1089"/>
        <v>9.9999999999999995E-8</v>
      </c>
      <c r="Z475" s="104">
        <f t="shared" si="1089"/>
        <v>9.9999999999999995E-8</v>
      </c>
      <c r="AA475" s="105">
        <f t="shared" si="1089"/>
        <v>9.9999999999999995E-8</v>
      </c>
      <c r="AB475" s="101" t="e">
        <f>$DT475*HLOOKUP($J475,'Construction Costs (timber)'!$B$1:$V$32,'Construction Planner'!$L475+2,FALSE)</f>
        <v>#N/A</v>
      </c>
      <c r="AC475" s="14" t="e">
        <f>$DT475*HLOOKUP($J475,'Construction Costs (clay)'!$B$1:$V$32,'Construction Planner'!$L475+2,FALSE)</f>
        <v>#N/A</v>
      </c>
      <c r="AD475" s="14" t="e">
        <f>$DT475*HLOOKUP($J475,'Construction Costs (iron)'!$B$1:$V$32,'Construction Planner'!$L475+2,FALSE)</f>
        <v>#N/A</v>
      </c>
      <c r="AE475" s="34" t="e">
        <f t="shared" si="1155"/>
        <v>#N/A</v>
      </c>
      <c r="AF475" s="33" t="e">
        <f t="shared" si="1094"/>
        <v>#N/A</v>
      </c>
      <c r="AG475" s="14" t="e">
        <f t="shared" si="1095"/>
        <v>#N/A</v>
      </c>
      <c r="AH475" s="14" t="e">
        <f t="shared" si="1096"/>
        <v>#N/A</v>
      </c>
      <c r="AI475" s="34" t="e">
        <f t="shared" si="1156"/>
        <v>#N/A</v>
      </c>
      <c r="AJ475" s="49" t="e">
        <f t="shared" si="1116"/>
        <v>#N/A</v>
      </c>
      <c r="AK475" s="49" t="e">
        <f t="shared" si="1117"/>
        <v>#N/A</v>
      </c>
      <c r="AL475" s="49" t="e">
        <f t="shared" si="1118"/>
        <v>#N/A</v>
      </c>
      <c r="AM475" s="25">
        <f t="shared" si="1097"/>
        <v>30</v>
      </c>
      <c r="AN475" s="25">
        <f t="shared" si="1098"/>
        <v>30</v>
      </c>
      <c r="AO475" s="25">
        <f t="shared" si="1099"/>
        <v>30</v>
      </c>
      <c r="AP475" s="52" t="e">
        <f t="shared" si="1119"/>
        <v>#N/A</v>
      </c>
      <c r="AQ475" s="53" t="e">
        <f t="shared" si="1119"/>
        <v>#N/A</v>
      </c>
      <c r="AR475" s="54" t="e">
        <f t="shared" si="1119"/>
        <v>#N/A</v>
      </c>
      <c r="AS475" s="316">
        <f t="shared" si="1157"/>
        <v>0</v>
      </c>
      <c r="AT475" s="106">
        <f>_xlfn.IFNA($M475/VLOOKUP($BT475,'Unit information'!$A$2:$K$29,2,FALSE)*R475,0)*(1+$E$9)</f>
        <v>0</v>
      </c>
      <c r="AU475" s="107">
        <f>_xlfn.IFNA($M475/VLOOKUP($BT475,'Unit information'!$A$2:$K$29,3,FALSE)*S475,0)*(1+$E$9)</f>
        <v>0</v>
      </c>
      <c r="AV475" s="107">
        <f>_xlfn.IFNA($M475/VLOOKUP($BT475,'Unit information'!$A$2:$K$29,4,FALSE)*T475,0)*(1+$E$9)</f>
        <v>0</v>
      </c>
      <c r="AW475" s="107">
        <f>_xlfn.IFNA($M475/VLOOKUP($BT475,'Unit information'!$A$2:$K$29,5,FALSE)*U475,0)*(1+$E$9)</f>
        <v>0</v>
      </c>
      <c r="AX475" s="107">
        <f>_xlfn.IFNA($M475/VLOOKUP($BU475,'Unit information'!$A$2:$K$29,6,FALSE)*V475,0)*(1+$E$9)</f>
        <v>0</v>
      </c>
      <c r="AY475" s="107">
        <f>_xlfn.IFNA($M475/VLOOKUP($BU475,'Unit information'!$A$2:$K$29,7,FALSE)*W475,0)*(1+$E$9)</f>
        <v>0</v>
      </c>
      <c r="AZ475" s="107">
        <f>_xlfn.IFNA($M475/VLOOKUP($BU475,'Unit information'!$A$2:$K$29,8,FALSE)*X475,0)*(1+$E$9)</f>
        <v>0</v>
      </c>
      <c r="BA475" s="107">
        <f>_xlfn.IFNA($M475/VLOOKUP($BU475,'Unit information'!$A$2:$K$29,9,FALSE)*Y475,0)*(1+$E$9)</f>
        <v>0</v>
      </c>
      <c r="BB475" s="107">
        <f>_xlfn.IFNA($M475/VLOOKUP($BV475,'Unit information'!$A$2:$K$29,10,FALSE)*Z475,0)*(1+$E$9)</f>
        <v>0</v>
      </c>
      <c r="BC475" s="108">
        <f>_xlfn.IFNA($M475/VLOOKUP($BV475,'Unit information'!$A$2:$K$29,11,FALSE)*AA475,0)*(1+$E$9)</f>
        <v>0</v>
      </c>
      <c r="BD475" s="106">
        <f t="shared" si="1100"/>
        <v>0</v>
      </c>
      <c r="BE475" s="107">
        <f t="shared" si="1101"/>
        <v>0</v>
      </c>
      <c r="BF475" s="108">
        <f t="shared" si="1102"/>
        <v>0</v>
      </c>
      <c r="BG475" s="25" t="e">
        <f t="shared" si="1103"/>
        <v>#N/A</v>
      </c>
      <c r="BH475" s="25" t="e">
        <f t="shared" si="1104"/>
        <v>#N/A</v>
      </c>
      <c r="BI475" s="25" t="e">
        <f t="shared" si="1105"/>
        <v>#N/A</v>
      </c>
      <c r="BJ475" s="27" t="e">
        <f t="shared" si="1106"/>
        <v>#N/A</v>
      </c>
      <c r="BK475" s="18" t="e">
        <f t="shared" si="1107"/>
        <v>#N/A</v>
      </c>
      <c r="BL475" s="18" t="e">
        <f t="shared" si="1108"/>
        <v>#N/A</v>
      </c>
      <c r="BM475" s="28" t="e">
        <f t="shared" si="1158"/>
        <v>#N/A</v>
      </c>
      <c r="BN475" s="33">
        <f>HLOOKUP("maximum population",Miscelaneous!$C$1:$C$33,CH475+3,FALSE)</f>
        <v>240</v>
      </c>
      <c r="BO475" s="14">
        <f t="shared" si="1120"/>
        <v>32</v>
      </c>
      <c r="BP475" s="14">
        <f t="shared" si="1121"/>
        <v>0</v>
      </c>
      <c r="BQ475" s="14">
        <f t="shared" si="1122"/>
        <v>208</v>
      </c>
      <c r="BR475" s="34" t="e">
        <f>HLOOKUP(J475,Villagers!$B$1:$V$33,L475+3,FALSE)-HLOOKUP(J475,Villagers!$B$1:$V$33,L475+2,FALSE)</f>
        <v>#N/A</v>
      </c>
      <c r="BS475" s="49">
        <f t="shared" si="1123"/>
        <v>1</v>
      </c>
      <c r="BT475" s="50">
        <f t="shared" si="1124"/>
        <v>0</v>
      </c>
      <c r="BU475" s="50">
        <f t="shared" si="1125"/>
        <v>0</v>
      </c>
      <c r="BV475" s="50">
        <f t="shared" si="1126"/>
        <v>0</v>
      </c>
      <c r="BW475" s="50">
        <f t="shared" si="1162"/>
        <v>0</v>
      </c>
      <c r="BX475" s="50">
        <f t="shared" si="1163"/>
        <v>0</v>
      </c>
      <c r="BY475" s="50">
        <f t="shared" si="1163"/>
        <v>0</v>
      </c>
      <c r="BZ475" s="50">
        <f t="shared" si="1015"/>
        <v>0</v>
      </c>
      <c r="CA475" s="50">
        <f t="shared" si="1016"/>
        <v>0</v>
      </c>
      <c r="CB475" s="50">
        <f t="shared" si="1017"/>
        <v>1</v>
      </c>
      <c r="CC475" s="50">
        <f t="shared" si="1018"/>
        <v>0</v>
      </c>
      <c r="CD475" s="50">
        <f t="shared" si="1019"/>
        <v>0</v>
      </c>
      <c r="CE475" s="50">
        <f t="shared" si="1020"/>
        <v>1</v>
      </c>
      <c r="CF475" s="50">
        <f t="shared" si="1021"/>
        <v>1</v>
      </c>
      <c r="CG475" s="50">
        <f t="shared" si="1022"/>
        <v>1</v>
      </c>
      <c r="CH475" s="50">
        <f t="shared" si="1023"/>
        <v>1</v>
      </c>
      <c r="CI475" s="50">
        <f t="shared" si="1024"/>
        <v>1</v>
      </c>
      <c r="CJ475" s="50">
        <f t="shared" si="1025"/>
        <v>1</v>
      </c>
      <c r="CK475" s="50">
        <f t="shared" si="1025"/>
        <v>0</v>
      </c>
      <c r="CL475" s="50">
        <f t="shared" si="1025"/>
        <v>0</v>
      </c>
      <c r="CM475" s="51">
        <f t="shared" si="1026"/>
        <v>0</v>
      </c>
      <c r="CN475" s="33">
        <f>ROUND(IF(BS475=0,0,HLOOKUP(BS$14,Villagers!$B$1:$V$33,BS475+3,FALSE)),)</f>
        <v>5</v>
      </c>
      <c r="CO475" s="14">
        <f>ROUND(IF(BT475=0,0,HLOOKUP(BT$14,Villagers!$B$1:$V$33,BT475+3,FALSE)),)</f>
        <v>0</v>
      </c>
      <c r="CP475" s="14">
        <f>ROUND(IF(BU475=0,0,HLOOKUP(BU$14,Villagers!$B$1:$V$33,BU475+3,FALSE)),)</f>
        <v>0</v>
      </c>
      <c r="CQ475" s="14">
        <f>ROUND(IF(BV475=0,0,HLOOKUP(BV$14,Villagers!$B$1:$V$33,BV475+3,FALSE)),)</f>
        <v>0</v>
      </c>
      <c r="CR475" s="14">
        <f>ROUND(IF(BW475=0,0,HLOOKUP(BW$14,Villagers!$B$1:$V$33,BW475+3,FALSE)),)</f>
        <v>0</v>
      </c>
      <c r="CS475" s="14">
        <f>ROUND(IF(BX475=0,0,HLOOKUP(BX$14,Villagers!$B$1:$V$33,BX475+3,FALSE)),)</f>
        <v>0</v>
      </c>
      <c r="CT475" s="14">
        <f>ROUND(IF(BY475=0,0,HLOOKUP(BY$14,Villagers!$B$1:$V$33,BY475+3,FALSE)),)</f>
        <v>0</v>
      </c>
      <c r="CU475" s="14">
        <f>ROUND(IF(BZ475=0,0,HLOOKUP(BZ$14,Villagers!$B$1:$V$33,BZ475+3,FALSE)),)</f>
        <v>0</v>
      </c>
      <c r="CV475" s="14">
        <f>ROUND(IF(CA475=0,0,HLOOKUP(CA$14,Villagers!$B$1:$V$33,CA475+3,FALSE)),)</f>
        <v>0</v>
      </c>
      <c r="CW475" s="14">
        <f>ROUND(IF(CB475=0,0,HLOOKUP(CB$14,Villagers!$B$1:$V$33,CB475+3,FALSE)),)</f>
        <v>0</v>
      </c>
      <c r="CX475" s="14">
        <f>ROUND(IF(CC475=0,0,HLOOKUP(CC$14,Villagers!$B$1:$V$33,CC475+3,FALSE)),)</f>
        <v>0</v>
      </c>
      <c r="CY475" s="14">
        <f>ROUND(IF(CD475=0,0,HLOOKUP(CD$14,Villagers!$B$1:$V$33,CD475+3,FALSE)),)</f>
        <v>0</v>
      </c>
      <c r="CZ475" s="14">
        <f>ROUND(IF(CE475=0,0,HLOOKUP(CE$14,Villagers!$B$1:$V$33,CE475+3,FALSE)),)</f>
        <v>5</v>
      </c>
      <c r="DA475" s="14">
        <f>ROUND(IF(CF475=0,0,HLOOKUP(CF$14,Villagers!$B$1:$V$33,CF475+3,FALSE)),)</f>
        <v>10</v>
      </c>
      <c r="DB475" s="14">
        <f>ROUND(IF(CG475=0,0,HLOOKUP(CG$14,Villagers!$B$1:$V$33,CG475+3,FALSE)),)</f>
        <v>10</v>
      </c>
      <c r="DC475" s="14">
        <f>ROUND(IF(CH475=0,0,HLOOKUP(CH$14,Villagers!$B$1:$V$33,CH475+3,FALSE)),)</f>
        <v>0</v>
      </c>
      <c r="DD475" s="14">
        <f>ROUND(IF(CI475=0,0,HLOOKUP(CI$14,Villagers!$B$1:$V$33,CI475+3,FALSE)),)</f>
        <v>0</v>
      </c>
      <c r="DE475" s="14">
        <f>ROUND(IF(CJ475=0,0,HLOOKUP(CJ$14,Villagers!$B$1:$V$33,CJ475+3,FALSE)),)</f>
        <v>2</v>
      </c>
      <c r="DF475" s="370">
        <f>ROUND(IF(CK475=0,0,HLOOKUP(CK$14,Villagers!$B$1:$V$33,CK475+3,FALSE)),)</f>
        <v>0</v>
      </c>
      <c r="DG475" s="370">
        <f>ROUND(IF(CL475=0,0,HLOOKUP(CL$14,Villagers!$B$1:$V$33,CL475+3,FALSE)),)</f>
        <v>0</v>
      </c>
      <c r="DH475" s="34">
        <f>ROUND(IF(CM475=0,0,HLOOKUP(CM$14,Villagers!$B$1:$V$33,CM475+3,FALSE)),)</f>
        <v>0</v>
      </c>
      <c r="DI475" s="109">
        <f t="shared" si="1144"/>
        <v>0</v>
      </c>
      <c r="DJ475" s="50">
        <f t="shared" si="1145"/>
        <v>0</v>
      </c>
      <c r="DK475" s="50">
        <f t="shared" si="1146"/>
        <v>0</v>
      </c>
      <c r="DL475" s="50">
        <f t="shared" si="1147"/>
        <v>0</v>
      </c>
      <c r="DM475" s="50">
        <f t="shared" si="1148"/>
        <v>0</v>
      </c>
      <c r="DN475" s="50">
        <f t="shared" si="1149"/>
        <v>0</v>
      </c>
      <c r="DO475" s="50">
        <f t="shared" si="1150"/>
        <v>0</v>
      </c>
      <c r="DP475" s="50">
        <f t="shared" si="1151"/>
        <v>0</v>
      </c>
      <c r="DQ475" s="50">
        <f t="shared" si="1128"/>
        <v>0</v>
      </c>
      <c r="DR475" s="50">
        <f t="shared" si="1129"/>
        <v>0</v>
      </c>
      <c r="DS475" s="96">
        <f>Miscelaneous!$D$4*Miscelaneous!$D$2^($CI475-1)</f>
        <v>1000</v>
      </c>
      <c r="DT475" s="333">
        <f t="shared" si="1109"/>
        <v>1</v>
      </c>
      <c r="DU475" s="81">
        <v>1</v>
      </c>
      <c r="DV475" s="79">
        <f t="shared" si="1130"/>
        <v>0</v>
      </c>
      <c r="DW475" s="79">
        <f t="shared" si="1131"/>
        <v>0</v>
      </c>
      <c r="DX475" s="79">
        <f t="shared" si="1132"/>
        <v>0</v>
      </c>
      <c r="DY475" s="79">
        <v>1</v>
      </c>
      <c r="DZ475" s="79">
        <f t="shared" si="1133"/>
        <v>0</v>
      </c>
      <c r="EA475" s="79">
        <f t="shared" si="1134"/>
        <v>0</v>
      </c>
      <c r="EB475" s="79">
        <f t="shared" si="1135"/>
        <v>0</v>
      </c>
      <c r="EC475" s="79">
        <f t="shared" si="1136"/>
        <v>0</v>
      </c>
      <c r="ED475" s="79">
        <v>1</v>
      </c>
      <c r="EE475" s="79">
        <v>1</v>
      </c>
      <c r="EF475" s="79">
        <f t="shared" si="1137"/>
        <v>0</v>
      </c>
      <c r="EG475" s="79">
        <v>1</v>
      </c>
      <c r="EH475" s="79">
        <v>1</v>
      </c>
      <c r="EI475" s="79">
        <v>1</v>
      </c>
      <c r="EJ475" s="79">
        <v>1</v>
      </c>
      <c r="EK475" s="79">
        <v>1</v>
      </c>
      <c r="EL475" s="79">
        <v>1</v>
      </c>
      <c r="EM475" s="143">
        <f t="shared" si="1138"/>
        <v>0</v>
      </c>
      <c r="EN475" s="143">
        <f t="shared" si="1139"/>
        <v>0</v>
      </c>
      <c r="EO475" s="82">
        <f t="shared" si="1140"/>
        <v>0</v>
      </c>
    </row>
    <row r="476" spans="1:145" x14ac:dyDescent="0.25">
      <c r="A476">
        <v>462</v>
      </c>
      <c r="B476" s="172" t="e">
        <f t="shared" si="1110"/>
        <v>#N/A</v>
      </c>
      <c r="C476" s="121" t="e">
        <f t="shared" ref="C476:E476" si="1168">AJ476-SUM(AB476:AB480)</f>
        <v>#N/A</v>
      </c>
      <c r="D476" s="122" t="e">
        <f t="shared" si="1168"/>
        <v>#N/A</v>
      </c>
      <c r="E476" s="122" t="e">
        <f t="shared" si="1168"/>
        <v>#N/A</v>
      </c>
      <c r="F476" s="176" t="e">
        <f t="shared" si="1092"/>
        <v>#N/A</v>
      </c>
      <c r="G476" s="121">
        <f t="shared" si="1112"/>
        <v>208</v>
      </c>
      <c r="H476" s="176" t="e">
        <f t="shared" si="1113"/>
        <v>#N/A</v>
      </c>
      <c r="I476" s="48">
        <v>1</v>
      </c>
      <c r="J476" s="39"/>
      <c r="K476" s="350">
        <v>1</v>
      </c>
      <c r="L476" s="34" t="e">
        <f t="shared" si="1093"/>
        <v>#N/A</v>
      </c>
      <c r="M476" s="38" t="e">
        <f>(HLOOKUP(J476,'Construction Times'!$B$3:$W$34,L476+2,FALSE)*HLOOKUP("hq modifier",'Construction Times'!$W$3:$W$34,BS476+2,FALSE))*(1-$H$9)</f>
        <v>#N/A</v>
      </c>
      <c r="N476" s="426" t="e">
        <f t="shared" si="1114"/>
        <v>#N/A</v>
      </c>
      <c r="O476" s="427"/>
      <c r="P476" s="430" t="e">
        <f t="shared" si="1115"/>
        <v>#N/A</v>
      </c>
      <c r="Q476" s="431"/>
      <c r="R476" s="103">
        <f t="shared" si="1142"/>
        <v>0</v>
      </c>
      <c r="S476" s="104">
        <f t="shared" si="1142"/>
        <v>0</v>
      </c>
      <c r="T476" s="104">
        <f t="shared" si="1143"/>
        <v>0</v>
      </c>
      <c r="U476" s="104">
        <f t="shared" si="1143"/>
        <v>0</v>
      </c>
      <c r="V476" s="104">
        <f t="shared" si="1143"/>
        <v>9.9999999999999995E-8</v>
      </c>
      <c r="W476" s="104">
        <f t="shared" si="1143"/>
        <v>0</v>
      </c>
      <c r="X476" s="104">
        <f t="shared" si="1089"/>
        <v>0</v>
      </c>
      <c r="Y476" s="104">
        <f t="shared" si="1089"/>
        <v>9.9999999999999995E-8</v>
      </c>
      <c r="Z476" s="104">
        <f t="shared" si="1089"/>
        <v>9.9999999999999995E-8</v>
      </c>
      <c r="AA476" s="105">
        <f t="shared" si="1089"/>
        <v>9.9999999999999995E-8</v>
      </c>
      <c r="AB476" s="101" t="e">
        <f>$DT476*HLOOKUP($J476,'Construction Costs (timber)'!$B$1:$V$32,'Construction Planner'!$L476+2,FALSE)</f>
        <v>#N/A</v>
      </c>
      <c r="AC476" s="14" t="e">
        <f>$DT476*HLOOKUP($J476,'Construction Costs (clay)'!$B$1:$V$32,'Construction Planner'!$L476+2,FALSE)</f>
        <v>#N/A</v>
      </c>
      <c r="AD476" s="14" t="e">
        <f>$DT476*HLOOKUP($J476,'Construction Costs (iron)'!$B$1:$V$32,'Construction Planner'!$L476+2,FALSE)</f>
        <v>#N/A</v>
      </c>
      <c r="AE476" s="34" t="e">
        <f t="shared" si="1155"/>
        <v>#N/A</v>
      </c>
      <c r="AF476" s="33" t="e">
        <f t="shared" si="1094"/>
        <v>#N/A</v>
      </c>
      <c r="AG476" s="14" t="e">
        <f t="shared" si="1095"/>
        <v>#N/A</v>
      </c>
      <c r="AH476" s="14" t="e">
        <f t="shared" si="1096"/>
        <v>#N/A</v>
      </c>
      <c r="AI476" s="34" t="e">
        <f t="shared" si="1156"/>
        <v>#N/A</v>
      </c>
      <c r="AJ476" s="49" t="e">
        <f t="shared" si="1116"/>
        <v>#N/A</v>
      </c>
      <c r="AK476" s="49" t="e">
        <f t="shared" si="1117"/>
        <v>#N/A</v>
      </c>
      <c r="AL476" s="49" t="e">
        <f t="shared" si="1118"/>
        <v>#N/A</v>
      </c>
      <c r="AM476" s="25">
        <f t="shared" si="1097"/>
        <v>30</v>
      </c>
      <c r="AN476" s="25">
        <f t="shared" si="1098"/>
        <v>30</v>
      </c>
      <c r="AO476" s="25">
        <f t="shared" si="1099"/>
        <v>30</v>
      </c>
      <c r="AP476" s="52" t="e">
        <f t="shared" si="1119"/>
        <v>#N/A</v>
      </c>
      <c r="AQ476" s="53" t="e">
        <f t="shared" si="1119"/>
        <v>#N/A</v>
      </c>
      <c r="AR476" s="54" t="e">
        <f t="shared" si="1119"/>
        <v>#N/A</v>
      </c>
      <c r="AS476" s="316">
        <f t="shared" si="1157"/>
        <v>0</v>
      </c>
      <c r="AT476" s="106">
        <f>_xlfn.IFNA($M476/VLOOKUP($BT476,'Unit information'!$A$2:$K$29,2,FALSE)*R476,0)*(1+$E$9)</f>
        <v>0</v>
      </c>
      <c r="AU476" s="107">
        <f>_xlfn.IFNA($M476/VLOOKUP($BT476,'Unit information'!$A$2:$K$29,3,FALSE)*S476,0)*(1+$E$9)</f>
        <v>0</v>
      </c>
      <c r="AV476" s="107">
        <f>_xlfn.IFNA($M476/VLOOKUP($BT476,'Unit information'!$A$2:$K$29,4,FALSE)*T476,0)*(1+$E$9)</f>
        <v>0</v>
      </c>
      <c r="AW476" s="107">
        <f>_xlfn.IFNA($M476/VLOOKUP($BT476,'Unit information'!$A$2:$K$29,5,FALSE)*U476,0)*(1+$E$9)</f>
        <v>0</v>
      </c>
      <c r="AX476" s="107">
        <f>_xlfn.IFNA($M476/VLOOKUP($BU476,'Unit information'!$A$2:$K$29,6,FALSE)*V476,0)*(1+$E$9)</f>
        <v>0</v>
      </c>
      <c r="AY476" s="107">
        <f>_xlfn.IFNA($M476/VLOOKUP($BU476,'Unit information'!$A$2:$K$29,7,FALSE)*W476,0)*(1+$E$9)</f>
        <v>0</v>
      </c>
      <c r="AZ476" s="107">
        <f>_xlfn.IFNA($M476/VLOOKUP($BU476,'Unit information'!$A$2:$K$29,8,FALSE)*X476,0)*(1+$E$9)</f>
        <v>0</v>
      </c>
      <c r="BA476" s="107">
        <f>_xlfn.IFNA($M476/VLOOKUP($BU476,'Unit information'!$A$2:$K$29,9,FALSE)*Y476,0)*(1+$E$9)</f>
        <v>0</v>
      </c>
      <c r="BB476" s="107">
        <f>_xlfn.IFNA($M476/VLOOKUP($BV476,'Unit information'!$A$2:$K$29,10,FALSE)*Z476,0)*(1+$E$9)</f>
        <v>0</v>
      </c>
      <c r="BC476" s="108">
        <f>_xlfn.IFNA($M476/VLOOKUP($BV476,'Unit information'!$A$2:$K$29,11,FALSE)*AA476,0)*(1+$E$9)</f>
        <v>0</v>
      </c>
      <c r="BD476" s="106">
        <f t="shared" si="1100"/>
        <v>0</v>
      </c>
      <c r="BE476" s="107">
        <f t="shared" si="1101"/>
        <v>0</v>
      </c>
      <c r="BF476" s="108">
        <f t="shared" si="1102"/>
        <v>0</v>
      </c>
      <c r="BG476" s="25" t="e">
        <f t="shared" si="1103"/>
        <v>#N/A</v>
      </c>
      <c r="BH476" s="25" t="e">
        <f t="shared" si="1104"/>
        <v>#N/A</v>
      </c>
      <c r="BI476" s="25" t="e">
        <f t="shared" si="1105"/>
        <v>#N/A</v>
      </c>
      <c r="BJ476" s="27" t="e">
        <f t="shared" si="1106"/>
        <v>#N/A</v>
      </c>
      <c r="BK476" s="18" t="e">
        <f t="shared" si="1107"/>
        <v>#N/A</v>
      </c>
      <c r="BL476" s="18" t="e">
        <f t="shared" si="1108"/>
        <v>#N/A</v>
      </c>
      <c r="BM476" s="28" t="e">
        <f t="shared" si="1158"/>
        <v>#N/A</v>
      </c>
      <c r="BN476" s="33">
        <f>HLOOKUP("maximum population",Miscelaneous!$C$1:$C$33,CH476+3,FALSE)</f>
        <v>240</v>
      </c>
      <c r="BO476" s="14">
        <f t="shared" si="1120"/>
        <v>32</v>
      </c>
      <c r="BP476" s="14">
        <f t="shared" si="1121"/>
        <v>0</v>
      </c>
      <c r="BQ476" s="14">
        <f t="shared" si="1122"/>
        <v>208</v>
      </c>
      <c r="BR476" s="34" t="e">
        <f>HLOOKUP(J476,Villagers!$B$1:$V$33,L476+3,FALSE)-HLOOKUP(J476,Villagers!$B$1:$V$33,L476+2,FALSE)</f>
        <v>#N/A</v>
      </c>
      <c r="BS476" s="49">
        <f t="shared" si="1123"/>
        <v>1</v>
      </c>
      <c r="BT476" s="50">
        <f t="shared" si="1124"/>
        <v>0</v>
      </c>
      <c r="BU476" s="50">
        <f t="shared" si="1125"/>
        <v>0</v>
      </c>
      <c r="BV476" s="50">
        <f t="shared" si="1126"/>
        <v>0</v>
      </c>
      <c r="BW476" s="50">
        <f t="shared" si="1162"/>
        <v>0</v>
      </c>
      <c r="BX476" s="50">
        <f t="shared" si="1163"/>
        <v>0</v>
      </c>
      <c r="BY476" s="50">
        <f t="shared" si="1163"/>
        <v>0</v>
      </c>
      <c r="BZ476" s="50">
        <f t="shared" si="1015"/>
        <v>0</v>
      </c>
      <c r="CA476" s="50">
        <f t="shared" si="1016"/>
        <v>0</v>
      </c>
      <c r="CB476" s="50">
        <f t="shared" si="1017"/>
        <v>1</v>
      </c>
      <c r="CC476" s="50">
        <f t="shared" si="1018"/>
        <v>0</v>
      </c>
      <c r="CD476" s="50">
        <f t="shared" si="1019"/>
        <v>0</v>
      </c>
      <c r="CE476" s="50">
        <f t="shared" si="1020"/>
        <v>1</v>
      </c>
      <c r="CF476" s="50">
        <f t="shared" si="1021"/>
        <v>1</v>
      </c>
      <c r="CG476" s="50">
        <f t="shared" si="1022"/>
        <v>1</v>
      </c>
      <c r="CH476" s="50">
        <f t="shared" si="1023"/>
        <v>1</v>
      </c>
      <c r="CI476" s="50">
        <f t="shared" si="1024"/>
        <v>1</v>
      </c>
      <c r="CJ476" s="50">
        <f t="shared" si="1025"/>
        <v>1</v>
      </c>
      <c r="CK476" s="50">
        <f t="shared" si="1025"/>
        <v>0</v>
      </c>
      <c r="CL476" s="50">
        <f t="shared" si="1025"/>
        <v>0</v>
      </c>
      <c r="CM476" s="51">
        <f t="shared" si="1026"/>
        <v>0</v>
      </c>
      <c r="CN476" s="33">
        <f>ROUND(IF(BS476=0,0,HLOOKUP(BS$14,Villagers!$B$1:$V$33,BS476+3,FALSE)),)</f>
        <v>5</v>
      </c>
      <c r="CO476" s="14">
        <f>ROUND(IF(BT476=0,0,HLOOKUP(BT$14,Villagers!$B$1:$V$33,BT476+3,FALSE)),)</f>
        <v>0</v>
      </c>
      <c r="CP476" s="14">
        <f>ROUND(IF(BU476=0,0,HLOOKUP(BU$14,Villagers!$B$1:$V$33,BU476+3,FALSE)),)</f>
        <v>0</v>
      </c>
      <c r="CQ476" s="14">
        <f>ROUND(IF(BV476=0,0,HLOOKUP(BV$14,Villagers!$B$1:$V$33,BV476+3,FALSE)),)</f>
        <v>0</v>
      </c>
      <c r="CR476" s="14">
        <f>ROUND(IF(BW476=0,0,HLOOKUP(BW$14,Villagers!$B$1:$V$33,BW476+3,FALSE)),)</f>
        <v>0</v>
      </c>
      <c r="CS476" s="14">
        <f>ROUND(IF(BX476=0,0,HLOOKUP(BX$14,Villagers!$B$1:$V$33,BX476+3,FALSE)),)</f>
        <v>0</v>
      </c>
      <c r="CT476" s="14">
        <f>ROUND(IF(BY476=0,0,HLOOKUP(BY$14,Villagers!$B$1:$V$33,BY476+3,FALSE)),)</f>
        <v>0</v>
      </c>
      <c r="CU476" s="14">
        <f>ROUND(IF(BZ476=0,0,HLOOKUP(BZ$14,Villagers!$B$1:$V$33,BZ476+3,FALSE)),)</f>
        <v>0</v>
      </c>
      <c r="CV476" s="14">
        <f>ROUND(IF(CA476=0,0,HLOOKUP(CA$14,Villagers!$B$1:$V$33,CA476+3,FALSE)),)</f>
        <v>0</v>
      </c>
      <c r="CW476" s="14">
        <f>ROUND(IF(CB476=0,0,HLOOKUP(CB$14,Villagers!$B$1:$V$33,CB476+3,FALSE)),)</f>
        <v>0</v>
      </c>
      <c r="CX476" s="14">
        <f>ROUND(IF(CC476=0,0,HLOOKUP(CC$14,Villagers!$B$1:$V$33,CC476+3,FALSE)),)</f>
        <v>0</v>
      </c>
      <c r="CY476" s="14">
        <f>ROUND(IF(CD476=0,0,HLOOKUP(CD$14,Villagers!$B$1:$V$33,CD476+3,FALSE)),)</f>
        <v>0</v>
      </c>
      <c r="CZ476" s="14">
        <f>ROUND(IF(CE476=0,0,HLOOKUP(CE$14,Villagers!$B$1:$V$33,CE476+3,FALSE)),)</f>
        <v>5</v>
      </c>
      <c r="DA476" s="14">
        <f>ROUND(IF(CF476=0,0,HLOOKUP(CF$14,Villagers!$B$1:$V$33,CF476+3,FALSE)),)</f>
        <v>10</v>
      </c>
      <c r="DB476" s="14">
        <f>ROUND(IF(CG476=0,0,HLOOKUP(CG$14,Villagers!$B$1:$V$33,CG476+3,FALSE)),)</f>
        <v>10</v>
      </c>
      <c r="DC476" s="14">
        <f>ROUND(IF(CH476=0,0,HLOOKUP(CH$14,Villagers!$B$1:$V$33,CH476+3,FALSE)),)</f>
        <v>0</v>
      </c>
      <c r="DD476" s="14">
        <f>ROUND(IF(CI476=0,0,HLOOKUP(CI$14,Villagers!$B$1:$V$33,CI476+3,FALSE)),)</f>
        <v>0</v>
      </c>
      <c r="DE476" s="14">
        <f>ROUND(IF(CJ476=0,0,HLOOKUP(CJ$14,Villagers!$B$1:$V$33,CJ476+3,FALSE)),)</f>
        <v>2</v>
      </c>
      <c r="DF476" s="370">
        <f>ROUND(IF(CK476=0,0,HLOOKUP(CK$14,Villagers!$B$1:$V$33,CK476+3,FALSE)),)</f>
        <v>0</v>
      </c>
      <c r="DG476" s="370">
        <f>ROUND(IF(CL476=0,0,HLOOKUP(CL$14,Villagers!$B$1:$V$33,CL476+3,FALSE)),)</f>
        <v>0</v>
      </c>
      <c r="DH476" s="34">
        <f>ROUND(IF(CM476=0,0,HLOOKUP(CM$14,Villagers!$B$1:$V$33,CM476+3,FALSE)),)</f>
        <v>0</v>
      </c>
      <c r="DI476" s="109">
        <f t="shared" si="1144"/>
        <v>0</v>
      </c>
      <c r="DJ476" s="50">
        <f t="shared" si="1145"/>
        <v>0</v>
      </c>
      <c r="DK476" s="50">
        <f t="shared" si="1146"/>
        <v>0</v>
      </c>
      <c r="DL476" s="50">
        <f t="shared" si="1147"/>
        <v>0</v>
      </c>
      <c r="DM476" s="50">
        <f t="shared" si="1148"/>
        <v>0</v>
      </c>
      <c r="DN476" s="50">
        <f t="shared" si="1149"/>
        <v>0</v>
      </c>
      <c r="DO476" s="50">
        <f t="shared" si="1150"/>
        <v>0</v>
      </c>
      <c r="DP476" s="50">
        <f t="shared" si="1151"/>
        <v>0</v>
      </c>
      <c r="DQ476" s="50">
        <f t="shared" si="1128"/>
        <v>0</v>
      </c>
      <c r="DR476" s="50">
        <f t="shared" si="1129"/>
        <v>0</v>
      </c>
      <c r="DS476" s="96">
        <f>Miscelaneous!$D$4*Miscelaneous!$D$2^($CI476-1)</f>
        <v>1000</v>
      </c>
      <c r="DT476" s="333">
        <f t="shared" si="1109"/>
        <v>1</v>
      </c>
      <c r="DU476" s="81">
        <v>1</v>
      </c>
      <c r="DV476" s="79">
        <f t="shared" si="1130"/>
        <v>0</v>
      </c>
      <c r="DW476" s="79">
        <f t="shared" si="1131"/>
        <v>0</v>
      </c>
      <c r="DX476" s="79">
        <f t="shared" si="1132"/>
        <v>0</v>
      </c>
      <c r="DY476" s="79">
        <v>1</v>
      </c>
      <c r="DZ476" s="79">
        <f t="shared" si="1133"/>
        <v>0</v>
      </c>
      <c r="EA476" s="79">
        <f t="shared" si="1134"/>
        <v>0</v>
      </c>
      <c r="EB476" s="79">
        <f t="shared" si="1135"/>
        <v>0</v>
      </c>
      <c r="EC476" s="79">
        <f t="shared" si="1136"/>
        <v>0</v>
      </c>
      <c r="ED476" s="79">
        <v>1</v>
      </c>
      <c r="EE476" s="79">
        <v>1</v>
      </c>
      <c r="EF476" s="79">
        <f t="shared" si="1137"/>
        <v>0</v>
      </c>
      <c r="EG476" s="79">
        <v>1</v>
      </c>
      <c r="EH476" s="79">
        <v>1</v>
      </c>
      <c r="EI476" s="79">
        <v>1</v>
      </c>
      <c r="EJ476" s="79">
        <v>1</v>
      </c>
      <c r="EK476" s="79">
        <v>1</v>
      </c>
      <c r="EL476" s="79">
        <v>1</v>
      </c>
      <c r="EM476" s="143">
        <f t="shared" si="1138"/>
        <v>0</v>
      </c>
      <c r="EN476" s="143">
        <f t="shared" si="1139"/>
        <v>0</v>
      </c>
      <c r="EO476" s="82">
        <f t="shared" si="1140"/>
        <v>0</v>
      </c>
    </row>
    <row r="477" spans="1:145" x14ac:dyDescent="0.25">
      <c r="A477">
        <v>463</v>
      </c>
      <c r="B477" s="172" t="e">
        <f t="shared" si="1110"/>
        <v>#N/A</v>
      </c>
      <c r="C477" s="121" t="e">
        <f t="shared" ref="C477:E477" si="1169">AJ477-SUM(AB477:AB481)</f>
        <v>#N/A</v>
      </c>
      <c r="D477" s="122" t="e">
        <f t="shared" si="1169"/>
        <v>#N/A</v>
      </c>
      <c r="E477" s="122" t="e">
        <f t="shared" si="1169"/>
        <v>#N/A</v>
      </c>
      <c r="F477" s="176" t="e">
        <f t="shared" si="1092"/>
        <v>#N/A</v>
      </c>
      <c r="G477" s="121">
        <f t="shared" si="1112"/>
        <v>208</v>
      </c>
      <c r="H477" s="176" t="e">
        <f t="shared" si="1113"/>
        <v>#N/A</v>
      </c>
      <c r="I477" s="48">
        <v>1</v>
      </c>
      <c r="J477" s="39"/>
      <c r="K477" s="350">
        <v>1</v>
      </c>
      <c r="L477" s="34" t="e">
        <f t="shared" si="1093"/>
        <v>#N/A</v>
      </c>
      <c r="M477" s="38" t="e">
        <f>(HLOOKUP(J477,'Construction Times'!$B$3:$W$34,L477+2,FALSE)*HLOOKUP("hq modifier",'Construction Times'!$W$3:$W$34,BS477+2,FALSE))*(1-$H$9)</f>
        <v>#N/A</v>
      </c>
      <c r="N477" s="426" t="e">
        <f t="shared" si="1114"/>
        <v>#N/A</v>
      </c>
      <c r="O477" s="427"/>
      <c r="P477" s="430" t="e">
        <f t="shared" si="1115"/>
        <v>#N/A</v>
      </c>
      <c r="Q477" s="431"/>
      <c r="R477" s="103">
        <f t="shared" si="1142"/>
        <v>0</v>
      </c>
      <c r="S477" s="104">
        <f t="shared" si="1142"/>
        <v>0</v>
      </c>
      <c r="T477" s="104">
        <f t="shared" si="1143"/>
        <v>0</v>
      </c>
      <c r="U477" s="104">
        <f t="shared" si="1143"/>
        <v>0</v>
      </c>
      <c r="V477" s="104">
        <f t="shared" si="1143"/>
        <v>9.9999999999999995E-8</v>
      </c>
      <c r="W477" s="104">
        <f t="shared" si="1143"/>
        <v>0</v>
      </c>
      <c r="X477" s="104">
        <f t="shared" si="1089"/>
        <v>0</v>
      </c>
      <c r="Y477" s="104">
        <f t="shared" si="1089"/>
        <v>9.9999999999999995E-8</v>
      </c>
      <c r="Z477" s="104">
        <f t="shared" si="1089"/>
        <v>9.9999999999999995E-8</v>
      </c>
      <c r="AA477" s="105">
        <f t="shared" si="1089"/>
        <v>9.9999999999999995E-8</v>
      </c>
      <c r="AB477" s="101" t="e">
        <f>$DT477*HLOOKUP($J477,'Construction Costs (timber)'!$B$1:$V$32,'Construction Planner'!$L477+2,FALSE)</f>
        <v>#N/A</v>
      </c>
      <c r="AC477" s="14" t="e">
        <f>$DT477*HLOOKUP($J477,'Construction Costs (clay)'!$B$1:$V$32,'Construction Planner'!$L477+2,FALSE)</f>
        <v>#N/A</v>
      </c>
      <c r="AD477" s="14" t="e">
        <f>$DT477*HLOOKUP($J477,'Construction Costs (iron)'!$B$1:$V$32,'Construction Planner'!$L477+2,FALSE)</f>
        <v>#N/A</v>
      </c>
      <c r="AE477" s="34" t="e">
        <f t="shared" si="1155"/>
        <v>#N/A</v>
      </c>
      <c r="AF477" s="33" t="e">
        <f t="shared" si="1094"/>
        <v>#N/A</v>
      </c>
      <c r="AG477" s="14" t="e">
        <f t="shared" si="1095"/>
        <v>#N/A</v>
      </c>
      <c r="AH477" s="14" t="e">
        <f t="shared" si="1096"/>
        <v>#N/A</v>
      </c>
      <c r="AI477" s="34" t="e">
        <f t="shared" si="1156"/>
        <v>#N/A</v>
      </c>
      <c r="AJ477" s="49" t="e">
        <f t="shared" si="1116"/>
        <v>#N/A</v>
      </c>
      <c r="AK477" s="49" t="e">
        <f t="shared" si="1117"/>
        <v>#N/A</v>
      </c>
      <c r="AL477" s="49" t="e">
        <f t="shared" si="1118"/>
        <v>#N/A</v>
      </c>
      <c r="AM477" s="25">
        <f t="shared" si="1097"/>
        <v>30</v>
      </c>
      <c r="AN477" s="25">
        <f t="shared" si="1098"/>
        <v>30</v>
      </c>
      <c r="AO477" s="25">
        <f t="shared" si="1099"/>
        <v>30</v>
      </c>
      <c r="AP477" s="52" t="e">
        <f t="shared" si="1119"/>
        <v>#N/A</v>
      </c>
      <c r="AQ477" s="53" t="e">
        <f t="shared" si="1119"/>
        <v>#N/A</v>
      </c>
      <c r="AR477" s="54" t="e">
        <f t="shared" si="1119"/>
        <v>#N/A</v>
      </c>
      <c r="AS477" s="316">
        <f t="shared" si="1157"/>
        <v>0</v>
      </c>
      <c r="AT477" s="106">
        <f>_xlfn.IFNA($M477/VLOOKUP($BT477,'Unit information'!$A$2:$K$29,2,FALSE)*R477,0)*(1+$E$9)</f>
        <v>0</v>
      </c>
      <c r="AU477" s="107">
        <f>_xlfn.IFNA($M477/VLOOKUP($BT477,'Unit information'!$A$2:$K$29,3,FALSE)*S477,0)*(1+$E$9)</f>
        <v>0</v>
      </c>
      <c r="AV477" s="107">
        <f>_xlfn.IFNA($M477/VLOOKUP($BT477,'Unit information'!$A$2:$K$29,4,FALSE)*T477,0)*(1+$E$9)</f>
        <v>0</v>
      </c>
      <c r="AW477" s="107">
        <f>_xlfn.IFNA($M477/VLOOKUP($BT477,'Unit information'!$A$2:$K$29,5,FALSE)*U477,0)*(1+$E$9)</f>
        <v>0</v>
      </c>
      <c r="AX477" s="107">
        <f>_xlfn.IFNA($M477/VLOOKUP($BU477,'Unit information'!$A$2:$K$29,6,FALSE)*V477,0)*(1+$E$9)</f>
        <v>0</v>
      </c>
      <c r="AY477" s="107">
        <f>_xlfn.IFNA($M477/VLOOKUP($BU477,'Unit information'!$A$2:$K$29,7,FALSE)*W477,0)*(1+$E$9)</f>
        <v>0</v>
      </c>
      <c r="AZ477" s="107">
        <f>_xlfn.IFNA($M477/VLOOKUP($BU477,'Unit information'!$A$2:$K$29,8,FALSE)*X477,0)*(1+$E$9)</f>
        <v>0</v>
      </c>
      <c r="BA477" s="107">
        <f>_xlfn.IFNA($M477/VLOOKUP($BU477,'Unit information'!$A$2:$K$29,9,FALSE)*Y477,0)*(1+$E$9)</f>
        <v>0</v>
      </c>
      <c r="BB477" s="107">
        <f>_xlfn.IFNA($M477/VLOOKUP($BV477,'Unit information'!$A$2:$K$29,10,FALSE)*Z477,0)*(1+$E$9)</f>
        <v>0</v>
      </c>
      <c r="BC477" s="108">
        <f>_xlfn.IFNA($M477/VLOOKUP($BV477,'Unit information'!$A$2:$K$29,11,FALSE)*AA477,0)*(1+$E$9)</f>
        <v>0</v>
      </c>
      <c r="BD477" s="106">
        <f t="shared" si="1100"/>
        <v>0</v>
      </c>
      <c r="BE477" s="107">
        <f t="shared" si="1101"/>
        <v>0</v>
      </c>
      <c r="BF477" s="108">
        <f t="shared" si="1102"/>
        <v>0</v>
      </c>
      <c r="BG477" s="25" t="e">
        <f t="shared" si="1103"/>
        <v>#N/A</v>
      </c>
      <c r="BH477" s="25" t="e">
        <f t="shared" si="1104"/>
        <v>#N/A</v>
      </c>
      <c r="BI477" s="25" t="e">
        <f t="shared" si="1105"/>
        <v>#N/A</v>
      </c>
      <c r="BJ477" s="27" t="e">
        <f t="shared" si="1106"/>
        <v>#N/A</v>
      </c>
      <c r="BK477" s="18" t="e">
        <f t="shared" si="1107"/>
        <v>#N/A</v>
      </c>
      <c r="BL477" s="18" t="e">
        <f t="shared" si="1108"/>
        <v>#N/A</v>
      </c>
      <c r="BM477" s="28" t="e">
        <f t="shared" si="1158"/>
        <v>#N/A</v>
      </c>
      <c r="BN477" s="33">
        <f>HLOOKUP("maximum population",Miscelaneous!$C$1:$C$33,CH477+3,FALSE)</f>
        <v>240</v>
      </c>
      <c r="BO477" s="14">
        <f t="shared" si="1120"/>
        <v>32</v>
      </c>
      <c r="BP477" s="14">
        <f t="shared" si="1121"/>
        <v>0</v>
      </c>
      <c r="BQ477" s="14">
        <f t="shared" si="1122"/>
        <v>208</v>
      </c>
      <c r="BR477" s="34" t="e">
        <f>HLOOKUP(J477,Villagers!$B$1:$V$33,L477+3,FALSE)-HLOOKUP(J477,Villagers!$B$1:$V$33,L477+2,FALSE)</f>
        <v>#N/A</v>
      </c>
      <c r="BS477" s="49">
        <f t="shared" si="1123"/>
        <v>1</v>
      </c>
      <c r="BT477" s="50">
        <f t="shared" si="1124"/>
        <v>0</v>
      </c>
      <c r="BU477" s="50">
        <f t="shared" si="1125"/>
        <v>0</v>
      </c>
      <c r="BV477" s="50">
        <f t="shared" si="1126"/>
        <v>0</v>
      </c>
      <c r="BW477" s="50">
        <f t="shared" si="1162"/>
        <v>0</v>
      </c>
      <c r="BX477" s="50">
        <f t="shared" si="1163"/>
        <v>0</v>
      </c>
      <c r="BY477" s="50">
        <f t="shared" si="1163"/>
        <v>0</v>
      </c>
      <c r="BZ477" s="50">
        <f t="shared" si="1015"/>
        <v>0</v>
      </c>
      <c r="CA477" s="50">
        <f t="shared" si="1016"/>
        <v>0</v>
      </c>
      <c r="CB477" s="50">
        <f t="shared" si="1017"/>
        <v>1</v>
      </c>
      <c r="CC477" s="50">
        <f t="shared" si="1018"/>
        <v>0</v>
      </c>
      <c r="CD477" s="50">
        <f t="shared" si="1019"/>
        <v>0</v>
      </c>
      <c r="CE477" s="50">
        <f t="shared" si="1020"/>
        <v>1</v>
      </c>
      <c r="CF477" s="50">
        <f t="shared" si="1021"/>
        <v>1</v>
      </c>
      <c r="CG477" s="50">
        <f t="shared" si="1022"/>
        <v>1</v>
      </c>
      <c r="CH477" s="50">
        <f t="shared" si="1023"/>
        <v>1</v>
      </c>
      <c r="CI477" s="50">
        <f t="shared" si="1024"/>
        <v>1</v>
      </c>
      <c r="CJ477" s="50">
        <f t="shared" si="1025"/>
        <v>1</v>
      </c>
      <c r="CK477" s="50">
        <f t="shared" si="1025"/>
        <v>0</v>
      </c>
      <c r="CL477" s="50">
        <f t="shared" si="1025"/>
        <v>0</v>
      </c>
      <c r="CM477" s="51">
        <f t="shared" si="1026"/>
        <v>0</v>
      </c>
      <c r="CN477" s="33">
        <f>ROUND(IF(BS477=0,0,HLOOKUP(BS$14,Villagers!$B$1:$V$33,BS477+3,FALSE)),)</f>
        <v>5</v>
      </c>
      <c r="CO477" s="14">
        <f>ROUND(IF(BT477=0,0,HLOOKUP(BT$14,Villagers!$B$1:$V$33,BT477+3,FALSE)),)</f>
        <v>0</v>
      </c>
      <c r="CP477" s="14">
        <f>ROUND(IF(BU477=0,0,HLOOKUP(BU$14,Villagers!$B$1:$V$33,BU477+3,FALSE)),)</f>
        <v>0</v>
      </c>
      <c r="CQ477" s="14">
        <f>ROUND(IF(BV477=0,0,HLOOKUP(BV$14,Villagers!$B$1:$V$33,BV477+3,FALSE)),)</f>
        <v>0</v>
      </c>
      <c r="CR477" s="14">
        <f>ROUND(IF(BW477=0,0,HLOOKUP(BW$14,Villagers!$B$1:$V$33,BW477+3,FALSE)),)</f>
        <v>0</v>
      </c>
      <c r="CS477" s="14">
        <f>ROUND(IF(BX477=0,0,HLOOKUP(BX$14,Villagers!$B$1:$V$33,BX477+3,FALSE)),)</f>
        <v>0</v>
      </c>
      <c r="CT477" s="14">
        <f>ROUND(IF(BY477=0,0,HLOOKUP(BY$14,Villagers!$B$1:$V$33,BY477+3,FALSE)),)</f>
        <v>0</v>
      </c>
      <c r="CU477" s="14">
        <f>ROUND(IF(BZ477=0,0,HLOOKUP(BZ$14,Villagers!$B$1:$V$33,BZ477+3,FALSE)),)</f>
        <v>0</v>
      </c>
      <c r="CV477" s="14">
        <f>ROUND(IF(CA477=0,0,HLOOKUP(CA$14,Villagers!$B$1:$V$33,CA477+3,FALSE)),)</f>
        <v>0</v>
      </c>
      <c r="CW477" s="14">
        <f>ROUND(IF(CB477=0,0,HLOOKUP(CB$14,Villagers!$B$1:$V$33,CB477+3,FALSE)),)</f>
        <v>0</v>
      </c>
      <c r="CX477" s="14">
        <f>ROUND(IF(CC477=0,0,HLOOKUP(CC$14,Villagers!$B$1:$V$33,CC477+3,FALSE)),)</f>
        <v>0</v>
      </c>
      <c r="CY477" s="14">
        <f>ROUND(IF(CD477=0,0,HLOOKUP(CD$14,Villagers!$B$1:$V$33,CD477+3,FALSE)),)</f>
        <v>0</v>
      </c>
      <c r="CZ477" s="14">
        <f>ROUND(IF(CE477=0,0,HLOOKUP(CE$14,Villagers!$B$1:$V$33,CE477+3,FALSE)),)</f>
        <v>5</v>
      </c>
      <c r="DA477" s="14">
        <f>ROUND(IF(CF477=0,0,HLOOKUP(CF$14,Villagers!$B$1:$V$33,CF477+3,FALSE)),)</f>
        <v>10</v>
      </c>
      <c r="DB477" s="14">
        <f>ROUND(IF(CG477=0,0,HLOOKUP(CG$14,Villagers!$B$1:$V$33,CG477+3,FALSE)),)</f>
        <v>10</v>
      </c>
      <c r="DC477" s="14">
        <f>ROUND(IF(CH477=0,0,HLOOKUP(CH$14,Villagers!$B$1:$V$33,CH477+3,FALSE)),)</f>
        <v>0</v>
      </c>
      <c r="DD477" s="14">
        <f>ROUND(IF(CI477=0,0,HLOOKUP(CI$14,Villagers!$B$1:$V$33,CI477+3,FALSE)),)</f>
        <v>0</v>
      </c>
      <c r="DE477" s="14">
        <f>ROUND(IF(CJ477=0,0,HLOOKUP(CJ$14,Villagers!$B$1:$V$33,CJ477+3,FALSE)),)</f>
        <v>2</v>
      </c>
      <c r="DF477" s="370">
        <f>ROUND(IF(CK477=0,0,HLOOKUP(CK$14,Villagers!$B$1:$V$33,CK477+3,FALSE)),)</f>
        <v>0</v>
      </c>
      <c r="DG477" s="370">
        <f>ROUND(IF(CL477=0,0,HLOOKUP(CL$14,Villagers!$B$1:$V$33,CL477+3,FALSE)),)</f>
        <v>0</v>
      </c>
      <c r="DH477" s="34">
        <f>ROUND(IF(CM477=0,0,HLOOKUP(CM$14,Villagers!$B$1:$V$33,CM477+3,FALSE)),)</f>
        <v>0</v>
      </c>
      <c r="DI477" s="109">
        <f t="shared" si="1144"/>
        <v>0</v>
      </c>
      <c r="DJ477" s="50">
        <f t="shared" si="1145"/>
        <v>0</v>
      </c>
      <c r="DK477" s="50">
        <f t="shared" si="1146"/>
        <v>0</v>
      </c>
      <c r="DL477" s="50">
        <f t="shared" si="1147"/>
        <v>0</v>
      </c>
      <c r="DM477" s="50">
        <f t="shared" si="1148"/>
        <v>0</v>
      </c>
      <c r="DN477" s="50">
        <f t="shared" si="1149"/>
        <v>0</v>
      </c>
      <c r="DO477" s="50">
        <f t="shared" si="1150"/>
        <v>0</v>
      </c>
      <c r="DP477" s="50">
        <f t="shared" si="1151"/>
        <v>0</v>
      </c>
      <c r="DQ477" s="50">
        <f t="shared" si="1128"/>
        <v>0</v>
      </c>
      <c r="DR477" s="50">
        <f t="shared" si="1129"/>
        <v>0</v>
      </c>
      <c r="DS477" s="96">
        <f>Miscelaneous!$D$4*Miscelaneous!$D$2^($CI477-1)</f>
        <v>1000</v>
      </c>
      <c r="DT477" s="333">
        <f t="shared" si="1109"/>
        <v>1</v>
      </c>
      <c r="DU477" s="81">
        <v>1</v>
      </c>
      <c r="DV477" s="79">
        <f t="shared" si="1130"/>
        <v>0</v>
      </c>
      <c r="DW477" s="79">
        <f t="shared" si="1131"/>
        <v>0</v>
      </c>
      <c r="DX477" s="79">
        <f t="shared" si="1132"/>
        <v>0</v>
      </c>
      <c r="DY477" s="79">
        <v>1</v>
      </c>
      <c r="DZ477" s="79">
        <f t="shared" si="1133"/>
        <v>0</v>
      </c>
      <c r="EA477" s="79">
        <f t="shared" si="1134"/>
        <v>0</v>
      </c>
      <c r="EB477" s="79">
        <f t="shared" si="1135"/>
        <v>0</v>
      </c>
      <c r="EC477" s="79">
        <f t="shared" si="1136"/>
        <v>0</v>
      </c>
      <c r="ED477" s="79">
        <v>1</v>
      </c>
      <c r="EE477" s="79">
        <v>1</v>
      </c>
      <c r="EF477" s="79">
        <f t="shared" si="1137"/>
        <v>0</v>
      </c>
      <c r="EG477" s="79">
        <v>1</v>
      </c>
      <c r="EH477" s="79">
        <v>1</v>
      </c>
      <c r="EI477" s="79">
        <v>1</v>
      </c>
      <c r="EJ477" s="79">
        <v>1</v>
      </c>
      <c r="EK477" s="79">
        <v>1</v>
      </c>
      <c r="EL477" s="79">
        <v>1</v>
      </c>
      <c r="EM477" s="143">
        <f t="shared" si="1138"/>
        <v>0</v>
      </c>
      <c r="EN477" s="143">
        <f t="shared" si="1139"/>
        <v>0</v>
      </c>
      <c r="EO477" s="82">
        <f t="shared" si="1140"/>
        <v>0</v>
      </c>
    </row>
    <row r="478" spans="1:145" x14ac:dyDescent="0.25">
      <c r="A478">
        <v>464</v>
      </c>
      <c r="B478" s="172" t="e">
        <f t="shared" si="1110"/>
        <v>#N/A</v>
      </c>
      <c r="C478" s="121" t="e">
        <f t="shared" ref="C478:E478" si="1170">AJ478-SUM(AB478:AB482)</f>
        <v>#N/A</v>
      </c>
      <c r="D478" s="122" t="e">
        <f t="shared" si="1170"/>
        <v>#N/A</v>
      </c>
      <c r="E478" s="122" t="e">
        <f t="shared" si="1170"/>
        <v>#N/A</v>
      </c>
      <c r="F478" s="176" t="e">
        <f t="shared" si="1092"/>
        <v>#N/A</v>
      </c>
      <c r="G478" s="121">
        <f t="shared" si="1112"/>
        <v>208</v>
      </c>
      <c r="H478" s="176" t="e">
        <f t="shared" si="1113"/>
        <v>#N/A</v>
      </c>
      <c r="I478" s="48">
        <v>1</v>
      </c>
      <c r="J478" s="39"/>
      <c r="K478" s="350">
        <v>1</v>
      </c>
      <c r="L478" s="34" t="e">
        <f t="shared" si="1093"/>
        <v>#N/A</v>
      </c>
      <c r="M478" s="38" t="e">
        <f>(HLOOKUP(J478,'Construction Times'!$B$3:$W$34,L478+2,FALSE)*HLOOKUP("hq modifier",'Construction Times'!$W$3:$W$34,BS478+2,FALSE))*(1-$H$9)</f>
        <v>#N/A</v>
      </c>
      <c r="N478" s="426" t="e">
        <f t="shared" si="1114"/>
        <v>#N/A</v>
      </c>
      <c r="O478" s="427"/>
      <c r="P478" s="430" t="e">
        <f t="shared" si="1115"/>
        <v>#N/A</v>
      </c>
      <c r="Q478" s="431"/>
      <c r="R478" s="103">
        <f t="shared" si="1142"/>
        <v>0</v>
      </c>
      <c r="S478" s="104">
        <f t="shared" si="1142"/>
        <v>0</v>
      </c>
      <c r="T478" s="104">
        <f t="shared" si="1143"/>
        <v>0</v>
      </c>
      <c r="U478" s="104">
        <f t="shared" si="1143"/>
        <v>0</v>
      </c>
      <c r="V478" s="104">
        <f t="shared" si="1143"/>
        <v>9.9999999999999995E-8</v>
      </c>
      <c r="W478" s="104">
        <f t="shared" si="1143"/>
        <v>0</v>
      </c>
      <c r="X478" s="104">
        <f t="shared" si="1089"/>
        <v>0</v>
      </c>
      <c r="Y478" s="104">
        <f t="shared" si="1089"/>
        <v>9.9999999999999995E-8</v>
      </c>
      <c r="Z478" s="104">
        <f t="shared" si="1089"/>
        <v>9.9999999999999995E-8</v>
      </c>
      <c r="AA478" s="105">
        <f t="shared" si="1089"/>
        <v>9.9999999999999995E-8</v>
      </c>
      <c r="AB478" s="101" t="e">
        <f>$DT478*HLOOKUP($J478,'Construction Costs (timber)'!$B$1:$V$32,'Construction Planner'!$L478+2,FALSE)</f>
        <v>#N/A</v>
      </c>
      <c r="AC478" s="14" t="e">
        <f>$DT478*HLOOKUP($J478,'Construction Costs (clay)'!$B$1:$V$32,'Construction Planner'!$L478+2,FALSE)</f>
        <v>#N/A</v>
      </c>
      <c r="AD478" s="14" t="e">
        <f>$DT478*HLOOKUP($J478,'Construction Costs (iron)'!$B$1:$V$32,'Construction Planner'!$L478+2,FALSE)</f>
        <v>#N/A</v>
      </c>
      <c r="AE478" s="34" t="e">
        <f t="shared" si="1155"/>
        <v>#N/A</v>
      </c>
      <c r="AF478" s="33" t="e">
        <f t="shared" si="1094"/>
        <v>#N/A</v>
      </c>
      <c r="AG478" s="14" t="e">
        <f t="shared" si="1095"/>
        <v>#N/A</v>
      </c>
      <c r="AH478" s="14" t="e">
        <f t="shared" si="1096"/>
        <v>#N/A</v>
      </c>
      <c r="AI478" s="34" t="e">
        <f t="shared" si="1156"/>
        <v>#N/A</v>
      </c>
      <c r="AJ478" s="49" t="e">
        <f t="shared" si="1116"/>
        <v>#N/A</v>
      </c>
      <c r="AK478" s="49" t="e">
        <f t="shared" si="1117"/>
        <v>#N/A</v>
      </c>
      <c r="AL478" s="49" t="e">
        <f t="shared" si="1118"/>
        <v>#N/A</v>
      </c>
      <c r="AM478" s="25">
        <f t="shared" si="1097"/>
        <v>30</v>
      </c>
      <c r="AN478" s="25">
        <f t="shared" si="1098"/>
        <v>30</v>
      </c>
      <c r="AO478" s="25">
        <f t="shared" si="1099"/>
        <v>30</v>
      </c>
      <c r="AP478" s="52" t="e">
        <f t="shared" si="1119"/>
        <v>#N/A</v>
      </c>
      <c r="AQ478" s="53" t="e">
        <f t="shared" si="1119"/>
        <v>#N/A</v>
      </c>
      <c r="AR478" s="54" t="e">
        <f t="shared" si="1119"/>
        <v>#N/A</v>
      </c>
      <c r="AS478" s="316">
        <f t="shared" si="1157"/>
        <v>0</v>
      </c>
      <c r="AT478" s="106">
        <f>_xlfn.IFNA($M478/VLOOKUP($BT478,'Unit information'!$A$2:$K$29,2,FALSE)*R478,0)*(1+$E$9)</f>
        <v>0</v>
      </c>
      <c r="AU478" s="107">
        <f>_xlfn.IFNA($M478/VLOOKUP($BT478,'Unit information'!$A$2:$K$29,3,FALSE)*S478,0)*(1+$E$9)</f>
        <v>0</v>
      </c>
      <c r="AV478" s="107">
        <f>_xlfn.IFNA($M478/VLOOKUP($BT478,'Unit information'!$A$2:$K$29,4,FALSE)*T478,0)*(1+$E$9)</f>
        <v>0</v>
      </c>
      <c r="AW478" s="107">
        <f>_xlfn.IFNA($M478/VLOOKUP($BT478,'Unit information'!$A$2:$K$29,5,FALSE)*U478,0)*(1+$E$9)</f>
        <v>0</v>
      </c>
      <c r="AX478" s="107">
        <f>_xlfn.IFNA($M478/VLOOKUP($BU478,'Unit information'!$A$2:$K$29,6,FALSE)*V478,0)*(1+$E$9)</f>
        <v>0</v>
      </c>
      <c r="AY478" s="107">
        <f>_xlfn.IFNA($M478/VLOOKUP($BU478,'Unit information'!$A$2:$K$29,7,FALSE)*W478,0)*(1+$E$9)</f>
        <v>0</v>
      </c>
      <c r="AZ478" s="107">
        <f>_xlfn.IFNA($M478/VLOOKUP($BU478,'Unit information'!$A$2:$K$29,8,FALSE)*X478,0)*(1+$E$9)</f>
        <v>0</v>
      </c>
      <c r="BA478" s="107">
        <f>_xlfn.IFNA($M478/VLOOKUP($BU478,'Unit information'!$A$2:$K$29,9,FALSE)*Y478,0)*(1+$E$9)</f>
        <v>0</v>
      </c>
      <c r="BB478" s="107">
        <f>_xlfn.IFNA($M478/VLOOKUP($BV478,'Unit information'!$A$2:$K$29,10,FALSE)*Z478,0)*(1+$E$9)</f>
        <v>0</v>
      </c>
      <c r="BC478" s="108">
        <f>_xlfn.IFNA($M478/VLOOKUP($BV478,'Unit information'!$A$2:$K$29,11,FALSE)*AA478,0)*(1+$E$9)</f>
        <v>0</v>
      </c>
      <c r="BD478" s="106">
        <f t="shared" si="1100"/>
        <v>0</v>
      </c>
      <c r="BE478" s="107">
        <f t="shared" si="1101"/>
        <v>0</v>
      </c>
      <c r="BF478" s="108">
        <f t="shared" si="1102"/>
        <v>0</v>
      </c>
      <c r="BG478" s="25" t="e">
        <f t="shared" si="1103"/>
        <v>#N/A</v>
      </c>
      <c r="BH478" s="25" t="e">
        <f t="shared" si="1104"/>
        <v>#N/A</v>
      </c>
      <c r="BI478" s="25" t="e">
        <f t="shared" si="1105"/>
        <v>#N/A</v>
      </c>
      <c r="BJ478" s="27" t="e">
        <f t="shared" si="1106"/>
        <v>#N/A</v>
      </c>
      <c r="BK478" s="18" t="e">
        <f t="shared" si="1107"/>
        <v>#N/A</v>
      </c>
      <c r="BL478" s="18" t="e">
        <f t="shared" si="1108"/>
        <v>#N/A</v>
      </c>
      <c r="BM478" s="28" t="e">
        <f t="shared" si="1158"/>
        <v>#N/A</v>
      </c>
      <c r="BN478" s="33">
        <f>HLOOKUP("maximum population",Miscelaneous!$C$1:$C$33,CH478+3,FALSE)</f>
        <v>240</v>
      </c>
      <c r="BO478" s="14">
        <f t="shared" si="1120"/>
        <v>32</v>
      </c>
      <c r="BP478" s="14">
        <f t="shared" si="1121"/>
        <v>0</v>
      </c>
      <c r="BQ478" s="14">
        <f t="shared" si="1122"/>
        <v>208</v>
      </c>
      <c r="BR478" s="34" t="e">
        <f>HLOOKUP(J478,Villagers!$B$1:$V$33,L478+3,FALSE)-HLOOKUP(J478,Villagers!$B$1:$V$33,L478+2,FALSE)</f>
        <v>#N/A</v>
      </c>
      <c r="BS478" s="49">
        <f t="shared" si="1123"/>
        <v>1</v>
      </c>
      <c r="BT478" s="50">
        <f t="shared" si="1124"/>
        <v>0</v>
      </c>
      <c r="BU478" s="50">
        <f t="shared" si="1125"/>
        <v>0</v>
      </c>
      <c r="BV478" s="50">
        <f t="shared" si="1126"/>
        <v>0</v>
      </c>
      <c r="BW478" s="50">
        <f t="shared" si="1162"/>
        <v>0</v>
      </c>
      <c r="BX478" s="50">
        <f t="shared" si="1163"/>
        <v>0</v>
      </c>
      <c r="BY478" s="50">
        <f t="shared" si="1163"/>
        <v>0</v>
      </c>
      <c r="BZ478" s="50">
        <f t="shared" si="1015"/>
        <v>0</v>
      </c>
      <c r="CA478" s="50">
        <f t="shared" si="1016"/>
        <v>0</v>
      </c>
      <c r="CB478" s="50">
        <f t="shared" si="1017"/>
        <v>1</v>
      </c>
      <c r="CC478" s="50">
        <f t="shared" si="1018"/>
        <v>0</v>
      </c>
      <c r="CD478" s="50">
        <f t="shared" si="1019"/>
        <v>0</v>
      </c>
      <c r="CE478" s="50">
        <f t="shared" si="1020"/>
        <v>1</v>
      </c>
      <c r="CF478" s="50">
        <f t="shared" si="1021"/>
        <v>1</v>
      </c>
      <c r="CG478" s="50">
        <f t="shared" si="1022"/>
        <v>1</v>
      </c>
      <c r="CH478" s="50">
        <f t="shared" si="1023"/>
        <v>1</v>
      </c>
      <c r="CI478" s="50">
        <f t="shared" si="1024"/>
        <v>1</v>
      </c>
      <c r="CJ478" s="50">
        <f t="shared" si="1025"/>
        <v>1</v>
      </c>
      <c r="CK478" s="50">
        <f t="shared" si="1025"/>
        <v>0</v>
      </c>
      <c r="CL478" s="50">
        <f t="shared" si="1025"/>
        <v>0</v>
      </c>
      <c r="CM478" s="51">
        <f t="shared" si="1026"/>
        <v>0</v>
      </c>
      <c r="CN478" s="33">
        <f>ROUND(IF(BS478=0,0,HLOOKUP(BS$14,Villagers!$B$1:$V$33,BS478+3,FALSE)),)</f>
        <v>5</v>
      </c>
      <c r="CO478" s="14">
        <f>ROUND(IF(BT478=0,0,HLOOKUP(BT$14,Villagers!$B$1:$V$33,BT478+3,FALSE)),)</f>
        <v>0</v>
      </c>
      <c r="CP478" s="14">
        <f>ROUND(IF(BU478=0,0,HLOOKUP(BU$14,Villagers!$B$1:$V$33,BU478+3,FALSE)),)</f>
        <v>0</v>
      </c>
      <c r="CQ478" s="14">
        <f>ROUND(IF(BV478=0,0,HLOOKUP(BV$14,Villagers!$B$1:$V$33,BV478+3,FALSE)),)</f>
        <v>0</v>
      </c>
      <c r="CR478" s="14">
        <f>ROUND(IF(BW478=0,0,HLOOKUP(BW$14,Villagers!$B$1:$V$33,BW478+3,FALSE)),)</f>
        <v>0</v>
      </c>
      <c r="CS478" s="14">
        <f>ROUND(IF(BX478=0,0,HLOOKUP(BX$14,Villagers!$B$1:$V$33,BX478+3,FALSE)),)</f>
        <v>0</v>
      </c>
      <c r="CT478" s="14">
        <f>ROUND(IF(BY478=0,0,HLOOKUP(BY$14,Villagers!$B$1:$V$33,BY478+3,FALSE)),)</f>
        <v>0</v>
      </c>
      <c r="CU478" s="14">
        <f>ROUND(IF(BZ478=0,0,HLOOKUP(BZ$14,Villagers!$B$1:$V$33,BZ478+3,FALSE)),)</f>
        <v>0</v>
      </c>
      <c r="CV478" s="14">
        <f>ROUND(IF(CA478=0,0,HLOOKUP(CA$14,Villagers!$B$1:$V$33,CA478+3,FALSE)),)</f>
        <v>0</v>
      </c>
      <c r="CW478" s="14">
        <f>ROUND(IF(CB478=0,0,HLOOKUP(CB$14,Villagers!$B$1:$V$33,CB478+3,FALSE)),)</f>
        <v>0</v>
      </c>
      <c r="CX478" s="14">
        <f>ROUND(IF(CC478=0,0,HLOOKUP(CC$14,Villagers!$B$1:$V$33,CC478+3,FALSE)),)</f>
        <v>0</v>
      </c>
      <c r="CY478" s="14">
        <f>ROUND(IF(CD478=0,0,HLOOKUP(CD$14,Villagers!$B$1:$V$33,CD478+3,FALSE)),)</f>
        <v>0</v>
      </c>
      <c r="CZ478" s="14">
        <f>ROUND(IF(CE478=0,0,HLOOKUP(CE$14,Villagers!$B$1:$V$33,CE478+3,FALSE)),)</f>
        <v>5</v>
      </c>
      <c r="DA478" s="14">
        <f>ROUND(IF(CF478=0,0,HLOOKUP(CF$14,Villagers!$B$1:$V$33,CF478+3,FALSE)),)</f>
        <v>10</v>
      </c>
      <c r="DB478" s="14">
        <f>ROUND(IF(CG478=0,0,HLOOKUP(CG$14,Villagers!$B$1:$V$33,CG478+3,FALSE)),)</f>
        <v>10</v>
      </c>
      <c r="DC478" s="14">
        <f>ROUND(IF(CH478=0,0,HLOOKUP(CH$14,Villagers!$B$1:$V$33,CH478+3,FALSE)),)</f>
        <v>0</v>
      </c>
      <c r="DD478" s="14">
        <f>ROUND(IF(CI478=0,0,HLOOKUP(CI$14,Villagers!$B$1:$V$33,CI478+3,FALSE)),)</f>
        <v>0</v>
      </c>
      <c r="DE478" s="14">
        <f>ROUND(IF(CJ478=0,0,HLOOKUP(CJ$14,Villagers!$B$1:$V$33,CJ478+3,FALSE)),)</f>
        <v>2</v>
      </c>
      <c r="DF478" s="370">
        <f>ROUND(IF(CK478=0,0,HLOOKUP(CK$14,Villagers!$B$1:$V$33,CK478+3,FALSE)),)</f>
        <v>0</v>
      </c>
      <c r="DG478" s="370">
        <f>ROUND(IF(CL478=0,0,HLOOKUP(CL$14,Villagers!$B$1:$V$33,CL478+3,FALSE)),)</f>
        <v>0</v>
      </c>
      <c r="DH478" s="34">
        <f>ROUND(IF(CM478=0,0,HLOOKUP(CM$14,Villagers!$B$1:$V$33,CM478+3,FALSE)),)</f>
        <v>0</v>
      </c>
      <c r="DI478" s="109">
        <f t="shared" si="1144"/>
        <v>0</v>
      </c>
      <c r="DJ478" s="50">
        <f t="shared" si="1145"/>
        <v>0</v>
      </c>
      <c r="DK478" s="50">
        <f t="shared" si="1146"/>
        <v>0</v>
      </c>
      <c r="DL478" s="50">
        <f t="shared" si="1147"/>
        <v>0</v>
      </c>
      <c r="DM478" s="50">
        <f t="shared" si="1148"/>
        <v>0</v>
      </c>
      <c r="DN478" s="50">
        <f t="shared" si="1149"/>
        <v>0</v>
      </c>
      <c r="DO478" s="50">
        <f t="shared" si="1150"/>
        <v>0</v>
      </c>
      <c r="DP478" s="50">
        <f t="shared" si="1151"/>
        <v>0</v>
      </c>
      <c r="DQ478" s="50">
        <f t="shared" si="1128"/>
        <v>0</v>
      </c>
      <c r="DR478" s="50">
        <f t="shared" si="1129"/>
        <v>0</v>
      </c>
      <c r="DS478" s="96">
        <f>Miscelaneous!$D$4*Miscelaneous!$D$2^($CI478-1)</f>
        <v>1000</v>
      </c>
      <c r="DT478" s="333">
        <f t="shared" si="1109"/>
        <v>1</v>
      </c>
      <c r="DU478" s="81">
        <v>1</v>
      </c>
      <c r="DV478" s="79">
        <f t="shared" si="1130"/>
        <v>0</v>
      </c>
      <c r="DW478" s="79">
        <f t="shared" si="1131"/>
        <v>0</v>
      </c>
      <c r="DX478" s="79">
        <f t="shared" si="1132"/>
        <v>0</v>
      </c>
      <c r="DY478" s="79">
        <v>1</v>
      </c>
      <c r="DZ478" s="79">
        <f t="shared" si="1133"/>
        <v>0</v>
      </c>
      <c r="EA478" s="79">
        <f t="shared" si="1134"/>
        <v>0</v>
      </c>
      <c r="EB478" s="79">
        <f t="shared" si="1135"/>
        <v>0</v>
      </c>
      <c r="EC478" s="79">
        <f t="shared" si="1136"/>
        <v>0</v>
      </c>
      <c r="ED478" s="79">
        <v>1</v>
      </c>
      <c r="EE478" s="79">
        <v>1</v>
      </c>
      <c r="EF478" s="79">
        <f t="shared" si="1137"/>
        <v>0</v>
      </c>
      <c r="EG478" s="79">
        <v>1</v>
      </c>
      <c r="EH478" s="79">
        <v>1</v>
      </c>
      <c r="EI478" s="79">
        <v>1</v>
      </c>
      <c r="EJ478" s="79">
        <v>1</v>
      </c>
      <c r="EK478" s="79">
        <v>1</v>
      </c>
      <c r="EL478" s="79">
        <v>1</v>
      </c>
      <c r="EM478" s="143">
        <f t="shared" si="1138"/>
        <v>0</v>
      </c>
      <c r="EN478" s="143">
        <f t="shared" si="1139"/>
        <v>0</v>
      </c>
      <c r="EO478" s="82">
        <f t="shared" si="1140"/>
        <v>0</v>
      </c>
    </row>
    <row r="479" spans="1:145" x14ac:dyDescent="0.25">
      <c r="A479">
        <v>465</v>
      </c>
      <c r="B479" s="172" t="e">
        <f t="shared" si="1110"/>
        <v>#N/A</v>
      </c>
      <c r="C479" s="121" t="e">
        <f t="shared" ref="C479:E479" si="1171">AJ479-SUM(AB479:AB483)</f>
        <v>#N/A</v>
      </c>
      <c r="D479" s="122" t="e">
        <f t="shared" si="1171"/>
        <v>#N/A</v>
      </c>
      <c r="E479" s="122" t="e">
        <f t="shared" si="1171"/>
        <v>#N/A</v>
      </c>
      <c r="F479" s="176" t="e">
        <f t="shared" si="1092"/>
        <v>#N/A</v>
      </c>
      <c r="G479" s="121">
        <f t="shared" si="1112"/>
        <v>208</v>
      </c>
      <c r="H479" s="176" t="e">
        <f t="shared" si="1113"/>
        <v>#N/A</v>
      </c>
      <c r="I479" s="48">
        <v>1</v>
      </c>
      <c r="J479" s="39"/>
      <c r="K479" s="350">
        <v>1</v>
      </c>
      <c r="L479" s="34" t="e">
        <f t="shared" si="1093"/>
        <v>#N/A</v>
      </c>
      <c r="M479" s="38" t="e">
        <f>(HLOOKUP(J479,'Construction Times'!$B$3:$W$34,L479+2,FALSE)*HLOOKUP("hq modifier",'Construction Times'!$W$3:$W$34,BS479+2,FALSE))*(1-$H$9)</f>
        <v>#N/A</v>
      </c>
      <c r="N479" s="426" t="e">
        <f t="shared" si="1114"/>
        <v>#N/A</v>
      </c>
      <c r="O479" s="427"/>
      <c r="P479" s="430" t="e">
        <f t="shared" si="1115"/>
        <v>#N/A</v>
      </c>
      <c r="Q479" s="431"/>
      <c r="R479" s="103">
        <f t="shared" si="1142"/>
        <v>0</v>
      </c>
      <c r="S479" s="104">
        <f t="shared" si="1142"/>
        <v>0</v>
      </c>
      <c r="T479" s="104">
        <f t="shared" si="1143"/>
        <v>0</v>
      </c>
      <c r="U479" s="104">
        <f t="shared" si="1143"/>
        <v>0</v>
      </c>
      <c r="V479" s="104">
        <f t="shared" si="1143"/>
        <v>9.9999999999999995E-8</v>
      </c>
      <c r="W479" s="104">
        <f t="shared" si="1143"/>
        <v>0</v>
      </c>
      <c r="X479" s="104">
        <f t="shared" si="1089"/>
        <v>0</v>
      </c>
      <c r="Y479" s="104">
        <f t="shared" si="1089"/>
        <v>9.9999999999999995E-8</v>
      </c>
      <c r="Z479" s="104">
        <f t="shared" si="1089"/>
        <v>9.9999999999999995E-8</v>
      </c>
      <c r="AA479" s="105">
        <f t="shared" si="1089"/>
        <v>9.9999999999999995E-8</v>
      </c>
      <c r="AB479" s="101" t="e">
        <f>$DT479*HLOOKUP($J479,'Construction Costs (timber)'!$B$1:$V$32,'Construction Planner'!$L479+2,FALSE)</f>
        <v>#N/A</v>
      </c>
      <c r="AC479" s="14" t="e">
        <f>$DT479*HLOOKUP($J479,'Construction Costs (clay)'!$B$1:$V$32,'Construction Planner'!$L479+2,FALSE)</f>
        <v>#N/A</v>
      </c>
      <c r="AD479" s="14" t="e">
        <f>$DT479*HLOOKUP($J479,'Construction Costs (iron)'!$B$1:$V$32,'Construction Planner'!$L479+2,FALSE)</f>
        <v>#N/A</v>
      </c>
      <c r="AE479" s="34" t="e">
        <f t="shared" si="1155"/>
        <v>#N/A</v>
      </c>
      <c r="AF479" s="33" t="e">
        <f t="shared" si="1094"/>
        <v>#N/A</v>
      </c>
      <c r="AG479" s="14" t="e">
        <f t="shared" si="1095"/>
        <v>#N/A</v>
      </c>
      <c r="AH479" s="14" t="e">
        <f t="shared" si="1096"/>
        <v>#N/A</v>
      </c>
      <c r="AI479" s="34" t="e">
        <f t="shared" si="1156"/>
        <v>#N/A</v>
      </c>
      <c r="AJ479" s="49" t="e">
        <f t="shared" si="1116"/>
        <v>#N/A</v>
      </c>
      <c r="AK479" s="49" t="e">
        <f t="shared" si="1117"/>
        <v>#N/A</v>
      </c>
      <c r="AL479" s="49" t="e">
        <f t="shared" si="1118"/>
        <v>#N/A</v>
      </c>
      <c r="AM479" s="25">
        <f t="shared" si="1097"/>
        <v>30</v>
      </c>
      <c r="AN479" s="25">
        <f t="shared" si="1098"/>
        <v>30</v>
      </c>
      <c r="AO479" s="25">
        <f t="shared" si="1099"/>
        <v>30</v>
      </c>
      <c r="AP479" s="52" t="e">
        <f t="shared" si="1119"/>
        <v>#N/A</v>
      </c>
      <c r="AQ479" s="53" t="e">
        <f t="shared" si="1119"/>
        <v>#N/A</v>
      </c>
      <c r="AR479" s="54" t="e">
        <f t="shared" si="1119"/>
        <v>#N/A</v>
      </c>
      <c r="AS479" s="316">
        <f t="shared" si="1157"/>
        <v>0</v>
      </c>
      <c r="AT479" s="106">
        <f>_xlfn.IFNA($M479/VLOOKUP($BT479,'Unit information'!$A$2:$K$29,2,FALSE)*R479,0)*(1+$E$9)</f>
        <v>0</v>
      </c>
      <c r="AU479" s="107">
        <f>_xlfn.IFNA($M479/VLOOKUP($BT479,'Unit information'!$A$2:$K$29,3,FALSE)*S479,0)*(1+$E$9)</f>
        <v>0</v>
      </c>
      <c r="AV479" s="107">
        <f>_xlfn.IFNA($M479/VLOOKUP($BT479,'Unit information'!$A$2:$K$29,4,FALSE)*T479,0)*(1+$E$9)</f>
        <v>0</v>
      </c>
      <c r="AW479" s="107">
        <f>_xlfn.IFNA($M479/VLOOKUP($BT479,'Unit information'!$A$2:$K$29,5,FALSE)*U479,0)*(1+$E$9)</f>
        <v>0</v>
      </c>
      <c r="AX479" s="107">
        <f>_xlfn.IFNA($M479/VLOOKUP($BU479,'Unit information'!$A$2:$K$29,6,FALSE)*V479,0)*(1+$E$9)</f>
        <v>0</v>
      </c>
      <c r="AY479" s="107">
        <f>_xlfn.IFNA($M479/VLOOKUP($BU479,'Unit information'!$A$2:$K$29,7,FALSE)*W479,0)*(1+$E$9)</f>
        <v>0</v>
      </c>
      <c r="AZ479" s="107">
        <f>_xlfn.IFNA($M479/VLOOKUP($BU479,'Unit information'!$A$2:$K$29,8,FALSE)*X479,0)*(1+$E$9)</f>
        <v>0</v>
      </c>
      <c r="BA479" s="107">
        <f>_xlfn.IFNA($M479/VLOOKUP($BU479,'Unit information'!$A$2:$K$29,9,FALSE)*Y479,0)*(1+$E$9)</f>
        <v>0</v>
      </c>
      <c r="BB479" s="107">
        <f>_xlfn.IFNA($M479/VLOOKUP($BV479,'Unit information'!$A$2:$K$29,10,FALSE)*Z479,0)*(1+$E$9)</f>
        <v>0</v>
      </c>
      <c r="BC479" s="108">
        <f>_xlfn.IFNA($M479/VLOOKUP($BV479,'Unit information'!$A$2:$K$29,11,FALSE)*AA479,0)*(1+$E$9)</f>
        <v>0</v>
      </c>
      <c r="BD479" s="106">
        <f t="shared" si="1100"/>
        <v>0</v>
      </c>
      <c r="BE479" s="107">
        <f t="shared" si="1101"/>
        <v>0</v>
      </c>
      <c r="BF479" s="108">
        <f t="shared" si="1102"/>
        <v>0</v>
      </c>
      <c r="BG479" s="25" t="e">
        <f t="shared" si="1103"/>
        <v>#N/A</v>
      </c>
      <c r="BH479" s="25" t="e">
        <f t="shared" si="1104"/>
        <v>#N/A</v>
      </c>
      <c r="BI479" s="25" t="e">
        <f t="shared" si="1105"/>
        <v>#N/A</v>
      </c>
      <c r="BJ479" s="27" t="e">
        <f t="shared" si="1106"/>
        <v>#N/A</v>
      </c>
      <c r="BK479" s="18" t="e">
        <f t="shared" si="1107"/>
        <v>#N/A</v>
      </c>
      <c r="BL479" s="18" t="e">
        <f t="shared" si="1108"/>
        <v>#N/A</v>
      </c>
      <c r="BM479" s="28" t="e">
        <f t="shared" si="1158"/>
        <v>#N/A</v>
      </c>
      <c r="BN479" s="33">
        <f>HLOOKUP("maximum population",Miscelaneous!$C$1:$C$33,CH479+3,FALSE)</f>
        <v>240</v>
      </c>
      <c r="BO479" s="14">
        <f t="shared" si="1120"/>
        <v>32</v>
      </c>
      <c r="BP479" s="14">
        <f t="shared" si="1121"/>
        <v>0</v>
      </c>
      <c r="BQ479" s="14">
        <f t="shared" si="1122"/>
        <v>208</v>
      </c>
      <c r="BR479" s="34" t="e">
        <f>HLOOKUP(J479,Villagers!$B$1:$V$33,L479+3,FALSE)-HLOOKUP(J479,Villagers!$B$1:$V$33,L479+2,FALSE)</f>
        <v>#N/A</v>
      </c>
      <c r="BS479" s="49">
        <f t="shared" si="1123"/>
        <v>1</v>
      </c>
      <c r="BT479" s="50">
        <f t="shared" si="1124"/>
        <v>0</v>
      </c>
      <c r="BU479" s="50">
        <f t="shared" si="1125"/>
        <v>0</v>
      </c>
      <c r="BV479" s="50">
        <f t="shared" si="1126"/>
        <v>0</v>
      </c>
      <c r="BW479" s="50">
        <f t="shared" si="1162"/>
        <v>0</v>
      </c>
      <c r="BX479" s="50">
        <f t="shared" si="1163"/>
        <v>0</v>
      </c>
      <c r="BY479" s="50">
        <f t="shared" si="1163"/>
        <v>0</v>
      </c>
      <c r="BZ479" s="50">
        <f t="shared" si="1015"/>
        <v>0</v>
      </c>
      <c r="CA479" s="50">
        <f t="shared" si="1016"/>
        <v>0</v>
      </c>
      <c r="CB479" s="50">
        <f t="shared" si="1017"/>
        <v>1</v>
      </c>
      <c r="CC479" s="50">
        <f t="shared" si="1018"/>
        <v>0</v>
      </c>
      <c r="CD479" s="50">
        <f t="shared" si="1019"/>
        <v>0</v>
      </c>
      <c r="CE479" s="50">
        <f t="shared" si="1020"/>
        <v>1</v>
      </c>
      <c r="CF479" s="50">
        <f t="shared" si="1021"/>
        <v>1</v>
      </c>
      <c r="CG479" s="50">
        <f t="shared" si="1022"/>
        <v>1</v>
      </c>
      <c r="CH479" s="50">
        <f t="shared" si="1023"/>
        <v>1</v>
      </c>
      <c r="CI479" s="50">
        <f t="shared" si="1024"/>
        <v>1</v>
      </c>
      <c r="CJ479" s="50">
        <f t="shared" si="1025"/>
        <v>1</v>
      </c>
      <c r="CK479" s="50">
        <f t="shared" si="1025"/>
        <v>0</v>
      </c>
      <c r="CL479" s="50">
        <f t="shared" si="1025"/>
        <v>0</v>
      </c>
      <c r="CM479" s="51">
        <f>IF($J478=CM$14,$L478,CM478)</f>
        <v>0</v>
      </c>
      <c r="CN479" s="33">
        <f>ROUND(IF(BS479=0,0,HLOOKUP(BS$14,Villagers!$B$1:$V$33,BS479+3,FALSE)),)</f>
        <v>5</v>
      </c>
      <c r="CO479" s="14">
        <f>ROUND(IF(BT479=0,0,HLOOKUP(BT$14,Villagers!$B$1:$V$33,BT479+3,FALSE)),)</f>
        <v>0</v>
      </c>
      <c r="CP479" s="14">
        <f>ROUND(IF(BU479=0,0,HLOOKUP(BU$14,Villagers!$B$1:$V$33,BU479+3,FALSE)),)</f>
        <v>0</v>
      </c>
      <c r="CQ479" s="14">
        <f>ROUND(IF(BV479=0,0,HLOOKUP(BV$14,Villagers!$B$1:$V$33,BV479+3,FALSE)),)</f>
        <v>0</v>
      </c>
      <c r="CR479" s="14">
        <f>ROUND(IF(BW479=0,0,HLOOKUP(BW$14,Villagers!$B$1:$V$33,BW479+3,FALSE)),)</f>
        <v>0</v>
      </c>
      <c r="CS479" s="14">
        <f>ROUND(IF(BX479=0,0,HLOOKUP(BX$14,Villagers!$B$1:$V$33,BX479+3,FALSE)),)</f>
        <v>0</v>
      </c>
      <c r="CT479" s="14">
        <f>ROUND(IF(BY479=0,0,HLOOKUP(BY$14,Villagers!$B$1:$V$33,BY479+3,FALSE)),)</f>
        <v>0</v>
      </c>
      <c r="CU479" s="14">
        <f>ROUND(IF(BZ479=0,0,HLOOKUP(BZ$14,Villagers!$B$1:$V$33,BZ479+3,FALSE)),)</f>
        <v>0</v>
      </c>
      <c r="CV479" s="14">
        <f>ROUND(IF(CA479=0,0,HLOOKUP(CA$14,Villagers!$B$1:$V$33,CA479+3,FALSE)),)</f>
        <v>0</v>
      </c>
      <c r="CW479" s="14">
        <f>ROUND(IF(CB479=0,0,HLOOKUP(CB$14,Villagers!$B$1:$V$33,CB479+3,FALSE)),)</f>
        <v>0</v>
      </c>
      <c r="CX479" s="14">
        <f>ROUND(IF(CC479=0,0,HLOOKUP(CC$14,Villagers!$B$1:$V$33,CC479+3,FALSE)),)</f>
        <v>0</v>
      </c>
      <c r="CY479" s="14">
        <f>ROUND(IF(CD479=0,0,HLOOKUP(CD$14,Villagers!$B$1:$V$33,CD479+3,FALSE)),)</f>
        <v>0</v>
      </c>
      <c r="CZ479" s="14">
        <f>ROUND(IF(CE479=0,0,HLOOKUP(CE$14,Villagers!$B$1:$V$33,CE479+3,FALSE)),)</f>
        <v>5</v>
      </c>
      <c r="DA479" s="14">
        <f>ROUND(IF(CF479=0,0,HLOOKUP(CF$14,Villagers!$B$1:$V$33,CF479+3,FALSE)),)</f>
        <v>10</v>
      </c>
      <c r="DB479" s="14">
        <f>ROUND(IF(CG479=0,0,HLOOKUP(CG$14,Villagers!$B$1:$V$33,CG479+3,FALSE)),)</f>
        <v>10</v>
      </c>
      <c r="DC479" s="14">
        <f>ROUND(IF(CH479=0,0,HLOOKUP(CH$14,Villagers!$B$1:$V$33,CH479+3,FALSE)),)</f>
        <v>0</v>
      </c>
      <c r="DD479" s="14">
        <f>ROUND(IF(CI479=0,0,HLOOKUP(CI$14,Villagers!$B$1:$V$33,CI479+3,FALSE)),)</f>
        <v>0</v>
      </c>
      <c r="DE479" s="14">
        <f>ROUND(IF(CJ479=0,0,HLOOKUP(CJ$14,Villagers!$B$1:$V$33,CJ479+3,FALSE)),)</f>
        <v>2</v>
      </c>
      <c r="DF479" s="370">
        <f>ROUND(IF(CK479=0,0,HLOOKUP(CK$14,Villagers!$B$1:$V$33,CK479+3,FALSE)),)</f>
        <v>0</v>
      </c>
      <c r="DG479" s="370">
        <f>ROUND(IF(CL479=0,0,HLOOKUP(CL$14,Villagers!$B$1:$V$33,CL479+3,FALSE)),)</f>
        <v>0</v>
      </c>
      <c r="DH479" s="34">
        <f>ROUND(IF(CM479=0,0,HLOOKUP(CM$14,Villagers!$B$1:$V$33,CM479+3,FALSE)),)</f>
        <v>0</v>
      </c>
      <c r="DI479" s="109">
        <f t="shared" si="1144"/>
        <v>0</v>
      </c>
      <c r="DJ479" s="50">
        <f t="shared" si="1145"/>
        <v>0</v>
      </c>
      <c r="DK479" s="50">
        <f t="shared" si="1146"/>
        <v>0</v>
      </c>
      <c r="DL479" s="50">
        <f t="shared" si="1147"/>
        <v>0</v>
      </c>
      <c r="DM479" s="50">
        <f t="shared" si="1148"/>
        <v>0</v>
      </c>
      <c r="DN479" s="50">
        <f t="shared" si="1149"/>
        <v>0</v>
      </c>
      <c r="DO479" s="50">
        <f t="shared" si="1150"/>
        <v>0</v>
      </c>
      <c r="DP479" s="50">
        <f t="shared" si="1151"/>
        <v>0</v>
      </c>
      <c r="DQ479" s="50">
        <f t="shared" si="1128"/>
        <v>0</v>
      </c>
      <c r="DR479" s="50">
        <f t="shared" si="1129"/>
        <v>0</v>
      </c>
      <c r="DS479" s="96">
        <f>Miscelaneous!$D$4*Miscelaneous!$D$2^($CI479-1)</f>
        <v>1000</v>
      </c>
      <c r="DT479" s="333">
        <f t="shared" si="1109"/>
        <v>1</v>
      </c>
      <c r="DU479" s="81">
        <v>1</v>
      </c>
      <c r="DV479" s="79">
        <f t="shared" si="1130"/>
        <v>0</v>
      </c>
      <c r="DW479" s="79">
        <f t="shared" si="1131"/>
        <v>0</v>
      </c>
      <c r="DX479" s="79">
        <f t="shared" si="1132"/>
        <v>0</v>
      </c>
      <c r="DY479" s="79">
        <v>1</v>
      </c>
      <c r="DZ479" s="79">
        <f t="shared" si="1133"/>
        <v>0</v>
      </c>
      <c r="EA479" s="79">
        <f t="shared" si="1134"/>
        <v>0</v>
      </c>
      <c r="EB479" s="79">
        <f t="shared" si="1135"/>
        <v>0</v>
      </c>
      <c r="EC479" s="79">
        <f t="shared" si="1136"/>
        <v>0</v>
      </c>
      <c r="ED479" s="79">
        <v>1</v>
      </c>
      <c r="EE479" s="79">
        <v>1</v>
      </c>
      <c r="EF479" s="79">
        <f t="shared" si="1137"/>
        <v>0</v>
      </c>
      <c r="EG479" s="79">
        <v>1</v>
      </c>
      <c r="EH479" s="79">
        <v>1</v>
      </c>
      <c r="EI479" s="79">
        <v>1</v>
      </c>
      <c r="EJ479" s="79">
        <v>1</v>
      </c>
      <c r="EK479" s="79">
        <v>1</v>
      </c>
      <c r="EL479" s="79">
        <v>1</v>
      </c>
      <c r="EM479" s="143">
        <f t="shared" si="1138"/>
        <v>0</v>
      </c>
      <c r="EN479" s="143">
        <f t="shared" si="1139"/>
        <v>0</v>
      </c>
      <c r="EO479" s="82">
        <f t="shared" si="1140"/>
        <v>0</v>
      </c>
    </row>
    <row r="480" spans="1:145" x14ac:dyDescent="0.25">
      <c r="A480">
        <v>466</v>
      </c>
      <c r="B480" s="172" t="e">
        <f t="shared" si="1110"/>
        <v>#N/A</v>
      </c>
      <c r="C480" s="121" t="e">
        <f t="shared" ref="C480:E480" si="1172">AJ480-SUM(AB480:AB484)</f>
        <v>#N/A</v>
      </c>
      <c r="D480" s="122" t="e">
        <f t="shared" si="1172"/>
        <v>#N/A</v>
      </c>
      <c r="E480" s="122" t="e">
        <f t="shared" si="1172"/>
        <v>#N/A</v>
      </c>
      <c r="F480" s="176" t="e">
        <f t="shared" si="1092"/>
        <v>#N/A</v>
      </c>
      <c r="G480" s="121">
        <f t="shared" si="1112"/>
        <v>208</v>
      </c>
      <c r="H480" s="176" t="e">
        <f t="shared" si="1113"/>
        <v>#N/A</v>
      </c>
      <c r="I480" s="48">
        <v>1</v>
      </c>
      <c r="J480" s="39"/>
      <c r="K480" s="350">
        <v>1</v>
      </c>
      <c r="L480" s="34" t="e">
        <f t="shared" si="1093"/>
        <v>#N/A</v>
      </c>
      <c r="M480" s="38" t="e">
        <f>(HLOOKUP(J480,'Construction Times'!$B$3:$W$34,L480+2,FALSE)*HLOOKUP("hq modifier",'Construction Times'!$W$3:$W$34,BS480+2,FALSE))*(1-$H$9)</f>
        <v>#N/A</v>
      </c>
      <c r="N480" s="426" t="e">
        <f t="shared" si="1114"/>
        <v>#N/A</v>
      </c>
      <c r="O480" s="427"/>
      <c r="P480" s="430" t="e">
        <f t="shared" si="1115"/>
        <v>#N/A</v>
      </c>
      <c r="Q480" s="431"/>
      <c r="R480" s="103">
        <f t="shared" si="1142"/>
        <v>0</v>
      </c>
      <c r="S480" s="104">
        <f t="shared" si="1142"/>
        <v>0</v>
      </c>
      <c r="T480" s="104">
        <f t="shared" si="1143"/>
        <v>0</v>
      </c>
      <c r="U480" s="104">
        <f t="shared" si="1143"/>
        <v>0</v>
      </c>
      <c r="V480" s="104">
        <f t="shared" si="1143"/>
        <v>9.9999999999999995E-8</v>
      </c>
      <c r="W480" s="104">
        <f t="shared" si="1143"/>
        <v>0</v>
      </c>
      <c r="X480" s="104">
        <f t="shared" si="1089"/>
        <v>0</v>
      </c>
      <c r="Y480" s="104">
        <f t="shared" si="1089"/>
        <v>9.9999999999999995E-8</v>
      </c>
      <c r="Z480" s="104">
        <f t="shared" si="1089"/>
        <v>9.9999999999999995E-8</v>
      </c>
      <c r="AA480" s="105">
        <f t="shared" si="1089"/>
        <v>9.9999999999999995E-8</v>
      </c>
      <c r="AB480" s="101" t="e">
        <f>$DT480*HLOOKUP($J480,'Construction Costs (timber)'!$B$1:$V$32,'Construction Planner'!$L480+2,FALSE)</f>
        <v>#N/A</v>
      </c>
      <c r="AC480" s="14" t="e">
        <f>$DT480*HLOOKUP($J480,'Construction Costs (clay)'!$B$1:$V$32,'Construction Planner'!$L480+2,FALSE)</f>
        <v>#N/A</v>
      </c>
      <c r="AD480" s="14" t="e">
        <f>$DT480*HLOOKUP($J480,'Construction Costs (iron)'!$B$1:$V$32,'Construction Planner'!$L480+2,FALSE)</f>
        <v>#N/A</v>
      </c>
      <c r="AE480" s="34" t="e">
        <f t="shared" si="1155"/>
        <v>#N/A</v>
      </c>
      <c r="AF480" s="33" t="e">
        <f t="shared" si="1094"/>
        <v>#N/A</v>
      </c>
      <c r="AG480" s="14" t="e">
        <f t="shared" si="1095"/>
        <v>#N/A</v>
      </c>
      <c r="AH480" s="14" t="e">
        <f t="shared" si="1096"/>
        <v>#N/A</v>
      </c>
      <c r="AI480" s="34" t="e">
        <f t="shared" si="1156"/>
        <v>#N/A</v>
      </c>
      <c r="AJ480" s="49" t="e">
        <f t="shared" si="1116"/>
        <v>#N/A</v>
      </c>
      <c r="AK480" s="49" t="e">
        <f t="shared" si="1117"/>
        <v>#N/A</v>
      </c>
      <c r="AL480" s="49" t="e">
        <f t="shared" si="1118"/>
        <v>#N/A</v>
      </c>
      <c r="AM480" s="25">
        <f t="shared" si="1097"/>
        <v>30</v>
      </c>
      <c r="AN480" s="25">
        <f t="shared" si="1098"/>
        <v>30</v>
      </c>
      <c r="AO480" s="25">
        <f t="shared" si="1099"/>
        <v>30</v>
      </c>
      <c r="AP480" s="52" t="e">
        <f t="shared" si="1119"/>
        <v>#N/A</v>
      </c>
      <c r="AQ480" s="53" t="e">
        <f t="shared" si="1119"/>
        <v>#N/A</v>
      </c>
      <c r="AR480" s="54" t="e">
        <f t="shared" si="1119"/>
        <v>#N/A</v>
      </c>
      <c r="AS480" s="316">
        <f t="shared" si="1157"/>
        <v>0</v>
      </c>
      <c r="AT480" s="106">
        <f>_xlfn.IFNA($M480/VLOOKUP($BT480,'Unit information'!$A$2:$K$29,2,FALSE)*R480,0)*(1+$E$9)</f>
        <v>0</v>
      </c>
      <c r="AU480" s="107">
        <f>_xlfn.IFNA($M480/VLOOKUP($BT480,'Unit information'!$A$2:$K$29,3,FALSE)*S480,0)*(1+$E$9)</f>
        <v>0</v>
      </c>
      <c r="AV480" s="107">
        <f>_xlfn.IFNA($M480/VLOOKUP($BT480,'Unit information'!$A$2:$K$29,4,FALSE)*T480,0)*(1+$E$9)</f>
        <v>0</v>
      </c>
      <c r="AW480" s="107">
        <f>_xlfn.IFNA($M480/VLOOKUP($BT480,'Unit information'!$A$2:$K$29,5,FALSE)*U480,0)*(1+$E$9)</f>
        <v>0</v>
      </c>
      <c r="AX480" s="107">
        <f>_xlfn.IFNA($M480/VLOOKUP($BU480,'Unit information'!$A$2:$K$29,6,FALSE)*V480,0)*(1+$E$9)</f>
        <v>0</v>
      </c>
      <c r="AY480" s="107">
        <f>_xlfn.IFNA($M480/VLOOKUP($BU480,'Unit information'!$A$2:$K$29,7,FALSE)*W480,0)*(1+$E$9)</f>
        <v>0</v>
      </c>
      <c r="AZ480" s="107">
        <f>_xlfn.IFNA($M480/VLOOKUP($BU480,'Unit information'!$A$2:$K$29,8,FALSE)*X480,0)*(1+$E$9)</f>
        <v>0</v>
      </c>
      <c r="BA480" s="107">
        <f>_xlfn.IFNA($M480/VLOOKUP($BU480,'Unit information'!$A$2:$K$29,9,FALSE)*Y480,0)*(1+$E$9)</f>
        <v>0</v>
      </c>
      <c r="BB480" s="107">
        <f>_xlfn.IFNA($M480/VLOOKUP($BV480,'Unit information'!$A$2:$K$29,10,FALSE)*Z480,0)*(1+$E$9)</f>
        <v>0</v>
      </c>
      <c r="BC480" s="108">
        <f>_xlfn.IFNA($M480/VLOOKUP($BV480,'Unit information'!$A$2:$K$29,11,FALSE)*AA480,0)*(1+$E$9)</f>
        <v>0</v>
      </c>
      <c r="BD480" s="106">
        <f t="shared" si="1100"/>
        <v>0</v>
      </c>
      <c r="BE480" s="107">
        <f t="shared" si="1101"/>
        <v>0</v>
      </c>
      <c r="BF480" s="108">
        <f t="shared" si="1102"/>
        <v>0</v>
      </c>
      <c r="BG480" s="25" t="e">
        <f t="shared" si="1103"/>
        <v>#N/A</v>
      </c>
      <c r="BH480" s="25" t="e">
        <f t="shared" si="1104"/>
        <v>#N/A</v>
      </c>
      <c r="BI480" s="25" t="e">
        <f t="shared" si="1105"/>
        <v>#N/A</v>
      </c>
      <c r="BJ480" s="27" t="e">
        <f t="shared" si="1106"/>
        <v>#N/A</v>
      </c>
      <c r="BK480" s="18" t="e">
        <f t="shared" si="1107"/>
        <v>#N/A</v>
      </c>
      <c r="BL480" s="18" t="e">
        <f t="shared" si="1108"/>
        <v>#N/A</v>
      </c>
      <c r="BM480" s="28" t="e">
        <f t="shared" si="1158"/>
        <v>#N/A</v>
      </c>
      <c r="BN480" s="33">
        <f>HLOOKUP("maximum population",Miscelaneous!$C$1:$C$33,CH480+3,FALSE)</f>
        <v>240</v>
      </c>
      <c r="BO480" s="14">
        <f t="shared" si="1120"/>
        <v>32</v>
      </c>
      <c r="BP480" s="14">
        <f t="shared" si="1121"/>
        <v>0</v>
      </c>
      <c r="BQ480" s="14">
        <f t="shared" si="1122"/>
        <v>208</v>
      </c>
      <c r="BR480" s="34" t="e">
        <f>HLOOKUP(J480,Villagers!$B$1:$V$33,L480+3,FALSE)-HLOOKUP(J480,Villagers!$B$1:$V$33,L480+2,FALSE)</f>
        <v>#N/A</v>
      </c>
      <c r="BS480" s="49">
        <f t="shared" ref="BS480:CM495" si="1173">IF($J479=BS$14,$L479,BS479)</f>
        <v>1</v>
      </c>
      <c r="BT480" s="50">
        <f t="shared" si="1173"/>
        <v>0</v>
      </c>
      <c r="BU480" s="50">
        <f t="shared" si="1173"/>
        <v>0</v>
      </c>
      <c r="BV480" s="50">
        <f t="shared" si="1173"/>
        <v>0</v>
      </c>
      <c r="BW480" s="50">
        <f t="shared" si="1162"/>
        <v>0</v>
      </c>
      <c r="BX480" s="50">
        <f t="shared" si="1163"/>
        <v>0</v>
      </c>
      <c r="BY480" s="50">
        <f t="shared" si="1163"/>
        <v>0</v>
      </c>
      <c r="BZ480" s="50">
        <f t="shared" si="1173"/>
        <v>0</v>
      </c>
      <c r="CA480" s="50">
        <f t="shared" si="1173"/>
        <v>0</v>
      </c>
      <c r="CB480" s="50">
        <f t="shared" si="1173"/>
        <v>1</v>
      </c>
      <c r="CC480" s="50">
        <f t="shared" si="1173"/>
        <v>0</v>
      </c>
      <c r="CD480" s="50">
        <f t="shared" si="1173"/>
        <v>0</v>
      </c>
      <c r="CE480" s="50">
        <f t="shared" si="1173"/>
        <v>1</v>
      </c>
      <c r="CF480" s="50">
        <f t="shared" si="1173"/>
        <v>1</v>
      </c>
      <c r="CG480" s="50">
        <f t="shared" si="1173"/>
        <v>1</v>
      </c>
      <c r="CH480" s="50">
        <f t="shared" si="1173"/>
        <v>1</v>
      </c>
      <c r="CI480" s="50">
        <f t="shared" si="1173"/>
        <v>1</v>
      </c>
      <c r="CJ480" s="50">
        <f t="shared" si="1173"/>
        <v>1</v>
      </c>
      <c r="CK480" s="50">
        <f t="shared" ref="CK480:CL495" si="1174">IF($J479=CK$14,$L479,CK479)</f>
        <v>0</v>
      </c>
      <c r="CL480" s="50">
        <f t="shared" si="1174"/>
        <v>0</v>
      </c>
      <c r="CM480" s="51">
        <f t="shared" si="1173"/>
        <v>0</v>
      </c>
      <c r="CN480" s="33">
        <f>ROUND(IF(BS480=0,0,HLOOKUP(BS$14,Villagers!$B$1:$V$33,BS480+3,FALSE)),)</f>
        <v>5</v>
      </c>
      <c r="CO480" s="14">
        <f>ROUND(IF(BT480=0,0,HLOOKUP(BT$14,Villagers!$B$1:$V$33,BT480+3,FALSE)),)</f>
        <v>0</v>
      </c>
      <c r="CP480" s="14">
        <f>ROUND(IF(BU480=0,0,HLOOKUP(BU$14,Villagers!$B$1:$V$33,BU480+3,FALSE)),)</f>
        <v>0</v>
      </c>
      <c r="CQ480" s="14">
        <f>ROUND(IF(BV480=0,0,HLOOKUP(BV$14,Villagers!$B$1:$V$33,BV480+3,FALSE)),)</f>
        <v>0</v>
      </c>
      <c r="CR480" s="14">
        <f>ROUND(IF(BW480=0,0,HLOOKUP(BW$14,Villagers!$B$1:$V$33,BW480+3,FALSE)),)</f>
        <v>0</v>
      </c>
      <c r="CS480" s="14">
        <f>ROUND(IF(BX480=0,0,HLOOKUP(BX$14,Villagers!$B$1:$V$33,BX480+3,FALSE)),)</f>
        <v>0</v>
      </c>
      <c r="CT480" s="14">
        <f>ROUND(IF(BY480=0,0,HLOOKUP(BY$14,Villagers!$B$1:$V$33,BY480+3,FALSE)),)</f>
        <v>0</v>
      </c>
      <c r="CU480" s="14">
        <f>ROUND(IF(BZ480=0,0,HLOOKUP(BZ$14,Villagers!$B$1:$V$33,BZ480+3,FALSE)),)</f>
        <v>0</v>
      </c>
      <c r="CV480" s="14">
        <f>ROUND(IF(CA480=0,0,HLOOKUP(CA$14,Villagers!$B$1:$V$33,CA480+3,FALSE)),)</f>
        <v>0</v>
      </c>
      <c r="CW480" s="14">
        <f>ROUND(IF(CB480=0,0,HLOOKUP(CB$14,Villagers!$B$1:$V$33,CB480+3,FALSE)),)</f>
        <v>0</v>
      </c>
      <c r="CX480" s="14">
        <f>ROUND(IF(CC480=0,0,HLOOKUP(CC$14,Villagers!$B$1:$V$33,CC480+3,FALSE)),)</f>
        <v>0</v>
      </c>
      <c r="CY480" s="14">
        <f>ROUND(IF(CD480=0,0,HLOOKUP(CD$14,Villagers!$B$1:$V$33,CD480+3,FALSE)),)</f>
        <v>0</v>
      </c>
      <c r="CZ480" s="14">
        <f>ROUND(IF(CE480=0,0,HLOOKUP(CE$14,Villagers!$B$1:$V$33,CE480+3,FALSE)),)</f>
        <v>5</v>
      </c>
      <c r="DA480" s="14">
        <f>ROUND(IF(CF480=0,0,HLOOKUP(CF$14,Villagers!$B$1:$V$33,CF480+3,FALSE)),)</f>
        <v>10</v>
      </c>
      <c r="DB480" s="14">
        <f>ROUND(IF(CG480=0,0,HLOOKUP(CG$14,Villagers!$B$1:$V$33,CG480+3,FALSE)),)</f>
        <v>10</v>
      </c>
      <c r="DC480" s="14">
        <f>ROUND(IF(CH480=0,0,HLOOKUP(CH$14,Villagers!$B$1:$V$33,CH480+3,FALSE)),)</f>
        <v>0</v>
      </c>
      <c r="DD480" s="14">
        <f>ROUND(IF(CI480=0,0,HLOOKUP(CI$14,Villagers!$B$1:$V$33,CI480+3,FALSE)),)</f>
        <v>0</v>
      </c>
      <c r="DE480" s="14">
        <f>ROUND(IF(CJ480=0,0,HLOOKUP(CJ$14,Villagers!$B$1:$V$33,CJ480+3,FALSE)),)</f>
        <v>2</v>
      </c>
      <c r="DF480" s="370">
        <f>ROUND(IF(CK480=0,0,HLOOKUP(CK$14,Villagers!$B$1:$V$33,CK480+3,FALSE)),)</f>
        <v>0</v>
      </c>
      <c r="DG480" s="370">
        <f>ROUND(IF(CL480=0,0,HLOOKUP(CL$14,Villagers!$B$1:$V$33,CL480+3,FALSE)),)</f>
        <v>0</v>
      </c>
      <c r="DH480" s="34">
        <f>ROUND(IF(CM480=0,0,HLOOKUP(CM$14,Villagers!$B$1:$V$33,CM480+3,FALSE)),)</f>
        <v>0</v>
      </c>
      <c r="DI480" s="109">
        <f t="shared" si="1144"/>
        <v>0</v>
      </c>
      <c r="DJ480" s="50">
        <f t="shared" si="1145"/>
        <v>0</v>
      </c>
      <c r="DK480" s="50">
        <f t="shared" si="1146"/>
        <v>0</v>
      </c>
      <c r="DL480" s="50">
        <f t="shared" si="1147"/>
        <v>0</v>
      </c>
      <c r="DM480" s="50">
        <f t="shared" si="1148"/>
        <v>0</v>
      </c>
      <c r="DN480" s="50">
        <f t="shared" si="1149"/>
        <v>0</v>
      </c>
      <c r="DO480" s="50">
        <f t="shared" si="1150"/>
        <v>0</v>
      </c>
      <c r="DP480" s="50">
        <f t="shared" si="1151"/>
        <v>0</v>
      </c>
      <c r="DQ480" s="50">
        <f t="shared" si="1128"/>
        <v>0</v>
      </c>
      <c r="DR480" s="50">
        <f t="shared" si="1129"/>
        <v>0</v>
      </c>
      <c r="DS480" s="96">
        <f>Miscelaneous!$D$4*Miscelaneous!$D$2^($CI480-1)</f>
        <v>1000</v>
      </c>
      <c r="DT480" s="333">
        <f t="shared" si="1109"/>
        <v>1</v>
      </c>
      <c r="DU480" s="81">
        <v>1</v>
      </c>
      <c r="DV480" s="79">
        <f t="shared" si="1130"/>
        <v>0</v>
      </c>
      <c r="DW480" s="79">
        <f t="shared" si="1131"/>
        <v>0</v>
      </c>
      <c r="DX480" s="79">
        <f t="shared" si="1132"/>
        <v>0</v>
      </c>
      <c r="DY480" s="79">
        <v>1</v>
      </c>
      <c r="DZ480" s="79">
        <f t="shared" si="1133"/>
        <v>0</v>
      </c>
      <c r="EA480" s="79">
        <f t="shared" si="1134"/>
        <v>0</v>
      </c>
      <c r="EB480" s="79">
        <f t="shared" si="1135"/>
        <v>0</v>
      </c>
      <c r="EC480" s="79">
        <f t="shared" si="1136"/>
        <v>0</v>
      </c>
      <c r="ED480" s="79">
        <v>1</v>
      </c>
      <c r="EE480" s="79">
        <v>1</v>
      </c>
      <c r="EF480" s="79">
        <f t="shared" si="1137"/>
        <v>0</v>
      </c>
      <c r="EG480" s="79">
        <v>1</v>
      </c>
      <c r="EH480" s="79">
        <v>1</v>
      </c>
      <c r="EI480" s="79">
        <v>1</v>
      </c>
      <c r="EJ480" s="79">
        <v>1</v>
      </c>
      <c r="EK480" s="79">
        <v>1</v>
      </c>
      <c r="EL480" s="79">
        <v>1</v>
      </c>
      <c r="EM480" s="143">
        <f t="shared" si="1138"/>
        <v>0</v>
      </c>
      <c r="EN480" s="143">
        <f t="shared" si="1139"/>
        <v>0</v>
      </c>
      <c r="EO480" s="82">
        <f t="shared" si="1140"/>
        <v>0</v>
      </c>
    </row>
    <row r="481" spans="1:145" x14ac:dyDescent="0.25">
      <c r="A481">
        <v>467</v>
      </c>
      <c r="B481" s="172" t="e">
        <f t="shared" si="1110"/>
        <v>#N/A</v>
      </c>
      <c r="C481" s="121" t="e">
        <f t="shared" ref="C481:E481" si="1175">AJ481-SUM(AB481:AB485)</f>
        <v>#N/A</v>
      </c>
      <c r="D481" s="122" t="e">
        <f t="shared" si="1175"/>
        <v>#N/A</v>
      </c>
      <c r="E481" s="122" t="e">
        <f t="shared" si="1175"/>
        <v>#N/A</v>
      </c>
      <c r="F481" s="176" t="e">
        <f t="shared" si="1092"/>
        <v>#N/A</v>
      </c>
      <c r="G481" s="121">
        <f t="shared" si="1112"/>
        <v>208</v>
      </c>
      <c r="H481" s="176" t="e">
        <f t="shared" si="1113"/>
        <v>#N/A</v>
      </c>
      <c r="I481" s="48">
        <v>1</v>
      </c>
      <c r="J481" s="39"/>
      <c r="K481" s="350">
        <v>1</v>
      </c>
      <c r="L481" s="34" t="e">
        <f t="shared" si="1093"/>
        <v>#N/A</v>
      </c>
      <c r="M481" s="38" t="e">
        <f>(HLOOKUP(J481,'Construction Times'!$B$3:$W$34,L481+2,FALSE)*HLOOKUP("hq modifier",'Construction Times'!$W$3:$W$34,BS481+2,FALSE))*(1-$H$9)</f>
        <v>#N/A</v>
      </c>
      <c r="N481" s="426" t="e">
        <f t="shared" si="1114"/>
        <v>#N/A</v>
      </c>
      <c r="O481" s="427"/>
      <c r="P481" s="430" t="e">
        <f t="shared" si="1115"/>
        <v>#N/A</v>
      </c>
      <c r="Q481" s="431"/>
      <c r="R481" s="103">
        <f t="shared" si="1142"/>
        <v>0</v>
      </c>
      <c r="S481" s="104">
        <f t="shared" si="1142"/>
        <v>0</v>
      </c>
      <c r="T481" s="104">
        <f t="shared" si="1143"/>
        <v>0</v>
      </c>
      <c r="U481" s="104">
        <f t="shared" si="1143"/>
        <v>0</v>
      </c>
      <c r="V481" s="104">
        <f t="shared" si="1143"/>
        <v>9.9999999999999995E-8</v>
      </c>
      <c r="W481" s="104">
        <f t="shared" si="1143"/>
        <v>0</v>
      </c>
      <c r="X481" s="104">
        <f t="shared" si="1089"/>
        <v>0</v>
      </c>
      <c r="Y481" s="104">
        <f t="shared" si="1089"/>
        <v>9.9999999999999995E-8</v>
      </c>
      <c r="Z481" s="104">
        <f t="shared" si="1089"/>
        <v>9.9999999999999995E-8</v>
      </c>
      <c r="AA481" s="105">
        <f t="shared" si="1089"/>
        <v>9.9999999999999995E-8</v>
      </c>
      <c r="AB481" s="101" t="e">
        <f>$DT481*HLOOKUP($J481,'Construction Costs (timber)'!$B$1:$V$32,'Construction Planner'!$L481+2,FALSE)</f>
        <v>#N/A</v>
      </c>
      <c r="AC481" s="14" t="e">
        <f>$DT481*HLOOKUP($J481,'Construction Costs (clay)'!$B$1:$V$32,'Construction Planner'!$L481+2,FALSE)</f>
        <v>#N/A</v>
      </c>
      <c r="AD481" s="14" t="e">
        <f>$DT481*HLOOKUP($J481,'Construction Costs (iron)'!$B$1:$V$32,'Construction Planner'!$L481+2,FALSE)</f>
        <v>#N/A</v>
      </c>
      <c r="AE481" s="34" t="e">
        <f t="shared" si="1155"/>
        <v>#N/A</v>
      </c>
      <c r="AF481" s="33" t="e">
        <f t="shared" si="1094"/>
        <v>#N/A</v>
      </c>
      <c r="AG481" s="14" t="e">
        <f t="shared" si="1095"/>
        <v>#N/A</v>
      </c>
      <c r="AH481" s="14" t="e">
        <f t="shared" si="1096"/>
        <v>#N/A</v>
      </c>
      <c r="AI481" s="34" t="e">
        <f t="shared" si="1156"/>
        <v>#N/A</v>
      </c>
      <c r="AJ481" s="49" t="e">
        <f t="shared" si="1116"/>
        <v>#N/A</v>
      </c>
      <c r="AK481" s="49" t="e">
        <f t="shared" si="1117"/>
        <v>#N/A</v>
      </c>
      <c r="AL481" s="49" t="e">
        <f t="shared" si="1118"/>
        <v>#N/A</v>
      </c>
      <c r="AM481" s="25">
        <f t="shared" si="1097"/>
        <v>30</v>
      </c>
      <c r="AN481" s="25">
        <f t="shared" si="1098"/>
        <v>30</v>
      </c>
      <c r="AO481" s="25">
        <f t="shared" si="1099"/>
        <v>30</v>
      </c>
      <c r="AP481" s="52" t="e">
        <f t="shared" si="1119"/>
        <v>#N/A</v>
      </c>
      <c r="AQ481" s="53" t="e">
        <f t="shared" si="1119"/>
        <v>#N/A</v>
      </c>
      <c r="AR481" s="54" t="e">
        <f t="shared" si="1119"/>
        <v>#N/A</v>
      </c>
      <c r="AS481" s="316">
        <f t="shared" si="1157"/>
        <v>0</v>
      </c>
      <c r="AT481" s="106">
        <f>_xlfn.IFNA($M481/VLOOKUP($BT481,'Unit information'!$A$2:$K$29,2,FALSE)*R481,0)*(1+$E$9)</f>
        <v>0</v>
      </c>
      <c r="AU481" s="107">
        <f>_xlfn.IFNA($M481/VLOOKUP($BT481,'Unit information'!$A$2:$K$29,3,FALSE)*S481,0)*(1+$E$9)</f>
        <v>0</v>
      </c>
      <c r="AV481" s="107">
        <f>_xlfn.IFNA($M481/VLOOKUP($BT481,'Unit information'!$A$2:$K$29,4,FALSE)*T481,0)*(1+$E$9)</f>
        <v>0</v>
      </c>
      <c r="AW481" s="107">
        <f>_xlfn.IFNA($M481/VLOOKUP($BT481,'Unit information'!$A$2:$K$29,5,FALSE)*U481,0)*(1+$E$9)</f>
        <v>0</v>
      </c>
      <c r="AX481" s="107">
        <f>_xlfn.IFNA($M481/VLOOKUP($BU481,'Unit information'!$A$2:$K$29,6,FALSE)*V481,0)*(1+$E$9)</f>
        <v>0</v>
      </c>
      <c r="AY481" s="107">
        <f>_xlfn.IFNA($M481/VLOOKUP($BU481,'Unit information'!$A$2:$K$29,7,FALSE)*W481,0)*(1+$E$9)</f>
        <v>0</v>
      </c>
      <c r="AZ481" s="107">
        <f>_xlfn.IFNA($M481/VLOOKUP($BU481,'Unit information'!$A$2:$K$29,8,FALSE)*X481,0)*(1+$E$9)</f>
        <v>0</v>
      </c>
      <c r="BA481" s="107">
        <f>_xlfn.IFNA($M481/VLOOKUP($BU481,'Unit information'!$A$2:$K$29,9,FALSE)*Y481,0)*(1+$E$9)</f>
        <v>0</v>
      </c>
      <c r="BB481" s="107">
        <f>_xlfn.IFNA($M481/VLOOKUP($BV481,'Unit information'!$A$2:$K$29,10,FALSE)*Z481,0)*(1+$E$9)</f>
        <v>0</v>
      </c>
      <c r="BC481" s="108">
        <f>_xlfn.IFNA($M481/VLOOKUP($BV481,'Unit information'!$A$2:$K$29,11,FALSE)*AA481,0)*(1+$E$9)</f>
        <v>0</v>
      </c>
      <c r="BD481" s="106">
        <f t="shared" si="1100"/>
        <v>0</v>
      </c>
      <c r="BE481" s="107">
        <f t="shared" si="1101"/>
        <v>0</v>
      </c>
      <c r="BF481" s="108">
        <f t="shared" si="1102"/>
        <v>0</v>
      </c>
      <c r="BG481" s="25" t="e">
        <f t="shared" si="1103"/>
        <v>#N/A</v>
      </c>
      <c r="BH481" s="25" t="e">
        <f t="shared" si="1104"/>
        <v>#N/A</v>
      </c>
      <c r="BI481" s="25" t="e">
        <f t="shared" si="1105"/>
        <v>#N/A</v>
      </c>
      <c r="BJ481" s="27" t="e">
        <f t="shared" si="1106"/>
        <v>#N/A</v>
      </c>
      <c r="BK481" s="18" t="e">
        <f t="shared" si="1107"/>
        <v>#N/A</v>
      </c>
      <c r="BL481" s="18" t="e">
        <f t="shared" si="1108"/>
        <v>#N/A</v>
      </c>
      <c r="BM481" s="28" t="e">
        <f t="shared" si="1158"/>
        <v>#N/A</v>
      </c>
      <c r="BN481" s="33">
        <f>HLOOKUP("maximum population",Miscelaneous!$C$1:$C$33,CH481+3,FALSE)</f>
        <v>240</v>
      </c>
      <c r="BO481" s="14">
        <f t="shared" si="1120"/>
        <v>32</v>
      </c>
      <c r="BP481" s="14">
        <f t="shared" si="1121"/>
        <v>0</v>
      </c>
      <c r="BQ481" s="14">
        <f t="shared" si="1122"/>
        <v>208</v>
      </c>
      <c r="BR481" s="34" t="e">
        <f>HLOOKUP(J481,Villagers!$B$1:$V$33,L481+3,FALSE)-HLOOKUP(J481,Villagers!$B$1:$V$33,L481+2,FALSE)</f>
        <v>#N/A</v>
      </c>
      <c r="BS481" s="49">
        <f t="shared" si="1173"/>
        <v>1</v>
      </c>
      <c r="BT481" s="50">
        <f t="shared" si="1173"/>
        <v>0</v>
      </c>
      <c r="BU481" s="50">
        <f t="shared" si="1173"/>
        <v>0</v>
      </c>
      <c r="BV481" s="50">
        <f t="shared" si="1173"/>
        <v>0</v>
      </c>
      <c r="BW481" s="50">
        <f t="shared" si="1162"/>
        <v>0</v>
      </c>
      <c r="BX481" s="50">
        <f t="shared" si="1163"/>
        <v>0</v>
      </c>
      <c r="BY481" s="50">
        <f t="shared" si="1163"/>
        <v>0</v>
      </c>
      <c r="BZ481" s="50">
        <f t="shared" si="1173"/>
        <v>0</v>
      </c>
      <c r="CA481" s="50">
        <f t="shared" si="1173"/>
        <v>0</v>
      </c>
      <c r="CB481" s="50">
        <f t="shared" si="1173"/>
        <v>1</v>
      </c>
      <c r="CC481" s="50">
        <f t="shared" si="1173"/>
        <v>0</v>
      </c>
      <c r="CD481" s="50">
        <f t="shared" si="1173"/>
        <v>0</v>
      </c>
      <c r="CE481" s="50">
        <f t="shared" si="1173"/>
        <v>1</v>
      </c>
      <c r="CF481" s="50">
        <f t="shared" si="1173"/>
        <v>1</v>
      </c>
      <c r="CG481" s="50">
        <f t="shared" si="1173"/>
        <v>1</v>
      </c>
      <c r="CH481" s="50">
        <f t="shared" si="1173"/>
        <v>1</v>
      </c>
      <c r="CI481" s="50">
        <f t="shared" si="1173"/>
        <v>1</v>
      </c>
      <c r="CJ481" s="50">
        <f t="shared" si="1173"/>
        <v>1</v>
      </c>
      <c r="CK481" s="50">
        <f t="shared" si="1174"/>
        <v>0</v>
      </c>
      <c r="CL481" s="50">
        <f t="shared" si="1174"/>
        <v>0</v>
      </c>
      <c r="CM481" s="51">
        <f t="shared" si="1173"/>
        <v>0</v>
      </c>
      <c r="CN481" s="33">
        <f>ROUND(IF(BS481=0,0,HLOOKUP(BS$14,Villagers!$B$1:$V$33,BS481+3,FALSE)),)</f>
        <v>5</v>
      </c>
      <c r="CO481" s="14">
        <f>ROUND(IF(BT481=0,0,HLOOKUP(BT$14,Villagers!$B$1:$V$33,BT481+3,FALSE)),)</f>
        <v>0</v>
      </c>
      <c r="CP481" s="14">
        <f>ROUND(IF(BU481=0,0,HLOOKUP(BU$14,Villagers!$B$1:$V$33,BU481+3,FALSE)),)</f>
        <v>0</v>
      </c>
      <c r="CQ481" s="14">
        <f>ROUND(IF(BV481=0,0,HLOOKUP(BV$14,Villagers!$B$1:$V$33,BV481+3,FALSE)),)</f>
        <v>0</v>
      </c>
      <c r="CR481" s="14">
        <f>ROUND(IF(BW481=0,0,HLOOKUP(BW$14,Villagers!$B$1:$V$33,BW481+3,FALSE)),)</f>
        <v>0</v>
      </c>
      <c r="CS481" s="14">
        <f>ROUND(IF(BX481=0,0,HLOOKUP(BX$14,Villagers!$B$1:$V$33,BX481+3,FALSE)),)</f>
        <v>0</v>
      </c>
      <c r="CT481" s="14">
        <f>ROUND(IF(BY481=0,0,HLOOKUP(BY$14,Villagers!$B$1:$V$33,BY481+3,FALSE)),)</f>
        <v>0</v>
      </c>
      <c r="CU481" s="14">
        <f>ROUND(IF(BZ481=0,0,HLOOKUP(BZ$14,Villagers!$B$1:$V$33,BZ481+3,FALSE)),)</f>
        <v>0</v>
      </c>
      <c r="CV481" s="14">
        <f>ROUND(IF(CA481=0,0,HLOOKUP(CA$14,Villagers!$B$1:$V$33,CA481+3,FALSE)),)</f>
        <v>0</v>
      </c>
      <c r="CW481" s="14">
        <f>ROUND(IF(CB481=0,0,HLOOKUP(CB$14,Villagers!$B$1:$V$33,CB481+3,FALSE)),)</f>
        <v>0</v>
      </c>
      <c r="CX481" s="14">
        <f>ROUND(IF(CC481=0,0,HLOOKUP(CC$14,Villagers!$B$1:$V$33,CC481+3,FALSE)),)</f>
        <v>0</v>
      </c>
      <c r="CY481" s="14">
        <f>ROUND(IF(CD481=0,0,HLOOKUP(CD$14,Villagers!$B$1:$V$33,CD481+3,FALSE)),)</f>
        <v>0</v>
      </c>
      <c r="CZ481" s="14">
        <f>ROUND(IF(CE481=0,0,HLOOKUP(CE$14,Villagers!$B$1:$V$33,CE481+3,FALSE)),)</f>
        <v>5</v>
      </c>
      <c r="DA481" s="14">
        <f>ROUND(IF(CF481=0,0,HLOOKUP(CF$14,Villagers!$B$1:$V$33,CF481+3,FALSE)),)</f>
        <v>10</v>
      </c>
      <c r="DB481" s="14">
        <f>ROUND(IF(CG481=0,0,HLOOKUP(CG$14,Villagers!$B$1:$V$33,CG481+3,FALSE)),)</f>
        <v>10</v>
      </c>
      <c r="DC481" s="14">
        <f>ROUND(IF(CH481=0,0,HLOOKUP(CH$14,Villagers!$B$1:$V$33,CH481+3,FALSE)),)</f>
        <v>0</v>
      </c>
      <c r="DD481" s="14">
        <f>ROUND(IF(CI481=0,0,HLOOKUP(CI$14,Villagers!$B$1:$V$33,CI481+3,FALSE)),)</f>
        <v>0</v>
      </c>
      <c r="DE481" s="14">
        <f>ROUND(IF(CJ481=0,0,HLOOKUP(CJ$14,Villagers!$B$1:$V$33,CJ481+3,FALSE)),)</f>
        <v>2</v>
      </c>
      <c r="DF481" s="370">
        <f>ROUND(IF(CK481=0,0,HLOOKUP(CK$14,Villagers!$B$1:$V$33,CK481+3,FALSE)),)</f>
        <v>0</v>
      </c>
      <c r="DG481" s="370">
        <f>ROUND(IF(CL481=0,0,HLOOKUP(CL$14,Villagers!$B$1:$V$33,CL481+3,FALSE)),)</f>
        <v>0</v>
      </c>
      <c r="DH481" s="34">
        <f>ROUND(IF(CM481=0,0,HLOOKUP(CM$14,Villagers!$B$1:$V$33,CM481+3,FALSE)),)</f>
        <v>0</v>
      </c>
      <c r="DI481" s="109">
        <f t="shared" si="1144"/>
        <v>0</v>
      </c>
      <c r="DJ481" s="50">
        <f t="shared" si="1145"/>
        <v>0</v>
      </c>
      <c r="DK481" s="50">
        <f t="shared" si="1146"/>
        <v>0</v>
      </c>
      <c r="DL481" s="50">
        <f t="shared" si="1147"/>
        <v>0</v>
      </c>
      <c r="DM481" s="50">
        <f t="shared" si="1148"/>
        <v>0</v>
      </c>
      <c r="DN481" s="50">
        <f t="shared" si="1149"/>
        <v>0</v>
      </c>
      <c r="DO481" s="50">
        <f t="shared" si="1150"/>
        <v>0</v>
      </c>
      <c r="DP481" s="50">
        <f t="shared" si="1151"/>
        <v>0</v>
      </c>
      <c r="DQ481" s="50">
        <f t="shared" si="1128"/>
        <v>0</v>
      </c>
      <c r="DR481" s="50">
        <f t="shared" si="1129"/>
        <v>0</v>
      </c>
      <c r="DS481" s="96">
        <f>Miscelaneous!$D$4*Miscelaneous!$D$2^($CI481-1)</f>
        <v>1000</v>
      </c>
      <c r="DT481" s="333">
        <f t="shared" si="1109"/>
        <v>1</v>
      </c>
      <c r="DU481" s="81">
        <v>1</v>
      </c>
      <c r="DV481" s="79">
        <f t="shared" si="1130"/>
        <v>0</v>
      </c>
      <c r="DW481" s="79">
        <f t="shared" si="1131"/>
        <v>0</v>
      </c>
      <c r="DX481" s="79">
        <f t="shared" si="1132"/>
        <v>0</v>
      </c>
      <c r="DY481" s="79">
        <v>1</v>
      </c>
      <c r="DZ481" s="79">
        <f t="shared" si="1133"/>
        <v>0</v>
      </c>
      <c r="EA481" s="79">
        <f t="shared" si="1134"/>
        <v>0</v>
      </c>
      <c r="EB481" s="79">
        <f t="shared" si="1135"/>
        <v>0</v>
      </c>
      <c r="EC481" s="79">
        <f t="shared" si="1136"/>
        <v>0</v>
      </c>
      <c r="ED481" s="79">
        <v>1</v>
      </c>
      <c r="EE481" s="79">
        <v>1</v>
      </c>
      <c r="EF481" s="79">
        <f t="shared" si="1137"/>
        <v>0</v>
      </c>
      <c r="EG481" s="79">
        <v>1</v>
      </c>
      <c r="EH481" s="79">
        <v>1</v>
      </c>
      <c r="EI481" s="79">
        <v>1</v>
      </c>
      <c r="EJ481" s="79">
        <v>1</v>
      </c>
      <c r="EK481" s="79">
        <v>1</v>
      </c>
      <c r="EL481" s="79">
        <v>1</v>
      </c>
      <c r="EM481" s="143">
        <f t="shared" si="1138"/>
        <v>0</v>
      </c>
      <c r="EN481" s="143">
        <f t="shared" si="1139"/>
        <v>0</v>
      </c>
      <c r="EO481" s="82">
        <f t="shared" si="1140"/>
        <v>0</v>
      </c>
    </row>
    <row r="482" spans="1:145" x14ac:dyDescent="0.25">
      <c r="A482">
        <v>468</v>
      </c>
      <c r="B482" s="172" t="e">
        <f t="shared" si="1110"/>
        <v>#N/A</v>
      </c>
      <c r="C482" s="121" t="e">
        <f t="shared" ref="C482:E482" si="1176">AJ482-SUM(AB482:AB486)</f>
        <v>#N/A</v>
      </c>
      <c r="D482" s="122" t="e">
        <f t="shared" si="1176"/>
        <v>#N/A</v>
      </c>
      <c r="E482" s="122" t="e">
        <f t="shared" si="1176"/>
        <v>#N/A</v>
      </c>
      <c r="F482" s="176" t="e">
        <f t="shared" si="1092"/>
        <v>#N/A</v>
      </c>
      <c r="G482" s="121">
        <f t="shared" si="1112"/>
        <v>208</v>
      </c>
      <c r="H482" s="176" t="e">
        <f t="shared" si="1113"/>
        <v>#N/A</v>
      </c>
      <c r="I482" s="48">
        <v>1</v>
      </c>
      <c r="J482" s="39"/>
      <c r="K482" s="350">
        <v>1</v>
      </c>
      <c r="L482" s="34" t="e">
        <f t="shared" si="1093"/>
        <v>#N/A</v>
      </c>
      <c r="M482" s="38" t="e">
        <f>(HLOOKUP(J482,'Construction Times'!$B$3:$W$34,L482+2,FALSE)*HLOOKUP("hq modifier",'Construction Times'!$W$3:$W$34,BS482+2,FALSE))*(1-$H$9)</f>
        <v>#N/A</v>
      </c>
      <c r="N482" s="426" t="e">
        <f t="shared" si="1114"/>
        <v>#N/A</v>
      </c>
      <c r="O482" s="427"/>
      <c r="P482" s="430" t="e">
        <f t="shared" si="1115"/>
        <v>#N/A</v>
      </c>
      <c r="Q482" s="431"/>
      <c r="R482" s="103">
        <f t="shared" si="1142"/>
        <v>0</v>
      </c>
      <c r="S482" s="104">
        <f t="shared" si="1142"/>
        <v>0</v>
      </c>
      <c r="T482" s="104">
        <f t="shared" si="1143"/>
        <v>0</v>
      </c>
      <c r="U482" s="104">
        <f t="shared" si="1143"/>
        <v>0</v>
      </c>
      <c r="V482" s="104">
        <f t="shared" si="1143"/>
        <v>9.9999999999999995E-8</v>
      </c>
      <c r="W482" s="104">
        <f t="shared" si="1143"/>
        <v>0</v>
      </c>
      <c r="X482" s="104">
        <f t="shared" si="1089"/>
        <v>0</v>
      </c>
      <c r="Y482" s="104">
        <f t="shared" si="1089"/>
        <v>9.9999999999999995E-8</v>
      </c>
      <c r="Z482" s="104">
        <f t="shared" si="1089"/>
        <v>9.9999999999999995E-8</v>
      </c>
      <c r="AA482" s="105">
        <f t="shared" si="1089"/>
        <v>9.9999999999999995E-8</v>
      </c>
      <c r="AB482" s="101" t="e">
        <f>$DT482*HLOOKUP($J482,'Construction Costs (timber)'!$B$1:$V$32,'Construction Planner'!$L482+2,FALSE)</f>
        <v>#N/A</v>
      </c>
      <c r="AC482" s="14" t="e">
        <f>$DT482*HLOOKUP($J482,'Construction Costs (clay)'!$B$1:$V$32,'Construction Planner'!$L482+2,FALSE)</f>
        <v>#N/A</v>
      </c>
      <c r="AD482" s="14" t="e">
        <f>$DT482*HLOOKUP($J482,'Construction Costs (iron)'!$B$1:$V$32,'Construction Planner'!$L482+2,FALSE)</f>
        <v>#N/A</v>
      </c>
      <c r="AE482" s="34" t="e">
        <f t="shared" si="1155"/>
        <v>#N/A</v>
      </c>
      <c r="AF482" s="33" t="e">
        <f t="shared" si="1094"/>
        <v>#N/A</v>
      </c>
      <c r="AG482" s="14" t="e">
        <f t="shared" si="1095"/>
        <v>#N/A</v>
      </c>
      <c r="AH482" s="14" t="e">
        <f t="shared" si="1096"/>
        <v>#N/A</v>
      </c>
      <c r="AI482" s="34" t="e">
        <f t="shared" si="1156"/>
        <v>#N/A</v>
      </c>
      <c r="AJ482" s="49" t="e">
        <f t="shared" si="1116"/>
        <v>#N/A</v>
      </c>
      <c r="AK482" s="49" t="e">
        <f t="shared" si="1117"/>
        <v>#N/A</v>
      </c>
      <c r="AL482" s="49" t="e">
        <f t="shared" si="1118"/>
        <v>#N/A</v>
      </c>
      <c r="AM482" s="25">
        <f t="shared" si="1097"/>
        <v>30</v>
      </c>
      <c r="AN482" s="25">
        <f t="shared" si="1098"/>
        <v>30</v>
      </c>
      <c r="AO482" s="25">
        <f t="shared" si="1099"/>
        <v>30</v>
      </c>
      <c r="AP482" s="52" t="e">
        <f t="shared" si="1119"/>
        <v>#N/A</v>
      </c>
      <c r="AQ482" s="53" t="e">
        <f t="shared" si="1119"/>
        <v>#N/A</v>
      </c>
      <c r="AR482" s="54" t="e">
        <f t="shared" si="1119"/>
        <v>#N/A</v>
      </c>
      <c r="AS482" s="316">
        <f t="shared" si="1157"/>
        <v>0</v>
      </c>
      <c r="AT482" s="106">
        <f>_xlfn.IFNA($M482/VLOOKUP($BT482,'Unit information'!$A$2:$K$29,2,FALSE)*R482,0)*(1+$E$9)</f>
        <v>0</v>
      </c>
      <c r="AU482" s="107">
        <f>_xlfn.IFNA($M482/VLOOKUP($BT482,'Unit information'!$A$2:$K$29,3,FALSE)*S482,0)*(1+$E$9)</f>
        <v>0</v>
      </c>
      <c r="AV482" s="107">
        <f>_xlfn.IFNA($M482/VLOOKUP($BT482,'Unit information'!$A$2:$K$29,4,FALSE)*T482,0)*(1+$E$9)</f>
        <v>0</v>
      </c>
      <c r="AW482" s="107">
        <f>_xlfn.IFNA($M482/VLOOKUP($BT482,'Unit information'!$A$2:$K$29,5,FALSE)*U482,0)*(1+$E$9)</f>
        <v>0</v>
      </c>
      <c r="AX482" s="107">
        <f>_xlfn.IFNA($M482/VLOOKUP($BU482,'Unit information'!$A$2:$K$29,6,FALSE)*V482,0)*(1+$E$9)</f>
        <v>0</v>
      </c>
      <c r="AY482" s="107">
        <f>_xlfn.IFNA($M482/VLOOKUP($BU482,'Unit information'!$A$2:$K$29,7,FALSE)*W482,0)*(1+$E$9)</f>
        <v>0</v>
      </c>
      <c r="AZ482" s="107">
        <f>_xlfn.IFNA($M482/VLOOKUP($BU482,'Unit information'!$A$2:$K$29,8,FALSE)*X482,0)*(1+$E$9)</f>
        <v>0</v>
      </c>
      <c r="BA482" s="107">
        <f>_xlfn.IFNA($M482/VLOOKUP($BU482,'Unit information'!$A$2:$K$29,9,FALSE)*Y482,0)*(1+$E$9)</f>
        <v>0</v>
      </c>
      <c r="BB482" s="107">
        <f>_xlfn.IFNA($M482/VLOOKUP($BV482,'Unit information'!$A$2:$K$29,10,FALSE)*Z482,0)*(1+$E$9)</f>
        <v>0</v>
      </c>
      <c r="BC482" s="108">
        <f>_xlfn.IFNA($M482/VLOOKUP($BV482,'Unit information'!$A$2:$K$29,11,FALSE)*AA482,0)*(1+$E$9)</f>
        <v>0</v>
      </c>
      <c r="BD482" s="106">
        <f t="shared" si="1100"/>
        <v>0</v>
      </c>
      <c r="BE482" s="107">
        <f t="shared" si="1101"/>
        <v>0</v>
      </c>
      <c r="BF482" s="108">
        <f t="shared" si="1102"/>
        <v>0</v>
      </c>
      <c r="BG482" s="25" t="e">
        <f t="shared" si="1103"/>
        <v>#N/A</v>
      </c>
      <c r="BH482" s="25" t="e">
        <f t="shared" si="1104"/>
        <v>#N/A</v>
      </c>
      <c r="BI482" s="25" t="e">
        <f t="shared" si="1105"/>
        <v>#N/A</v>
      </c>
      <c r="BJ482" s="27" t="e">
        <f t="shared" si="1106"/>
        <v>#N/A</v>
      </c>
      <c r="BK482" s="18" t="e">
        <f t="shared" si="1107"/>
        <v>#N/A</v>
      </c>
      <c r="BL482" s="18" t="e">
        <f t="shared" si="1108"/>
        <v>#N/A</v>
      </c>
      <c r="BM482" s="28" t="e">
        <f t="shared" si="1158"/>
        <v>#N/A</v>
      </c>
      <c r="BN482" s="33">
        <f>HLOOKUP("maximum population",Miscelaneous!$C$1:$C$33,CH482+3,FALSE)</f>
        <v>240</v>
      </c>
      <c r="BO482" s="14">
        <f t="shared" si="1120"/>
        <v>32</v>
      </c>
      <c r="BP482" s="14">
        <f t="shared" si="1121"/>
        <v>0</v>
      </c>
      <c r="BQ482" s="14">
        <f t="shared" si="1122"/>
        <v>208</v>
      </c>
      <c r="BR482" s="34" t="e">
        <f>HLOOKUP(J482,Villagers!$B$1:$V$33,L482+3,FALSE)-HLOOKUP(J482,Villagers!$B$1:$V$33,L482+2,FALSE)</f>
        <v>#N/A</v>
      </c>
      <c r="BS482" s="49">
        <f t="shared" si="1173"/>
        <v>1</v>
      </c>
      <c r="BT482" s="50">
        <f t="shared" si="1173"/>
        <v>0</v>
      </c>
      <c r="BU482" s="50">
        <f t="shared" si="1173"/>
        <v>0</v>
      </c>
      <c r="BV482" s="50">
        <f t="shared" si="1173"/>
        <v>0</v>
      </c>
      <c r="BW482" s="50">
        <f t="shared" si="1162"/>
        <v>0</v>
      </c>
      <c r="BX482" s="50">
        <f t="shared" si="1163"/>
        <v>0</v>
      </c>
      <c r="BY482" s="50">
        <f t="shared" si="1163"/>
        <v>0</v>
      </c>
      <c r="BZ482" s="50">
        <f t="shared" si="1173"/>
        <v>0</v>
      </c>
      <c r="CA482" s="50">
        <f t="shared" si="1173"/>
        <v>0</v>
      </c>
      <c r="CB482" s="50">
        <f t="shared" si="1173"/>
        <v>1</v>
      </c>
      <c r="CC482" s="50">
        <f t="shared" si="1173"/>
        <v>0</v>
      </c>
      <c r="CD482" s="50">
        <f t="shared" si="1173"/>
        <v>0</v>
      </c>
      <c r="CE482" s="50">
        <f t="shared" si="1173"/>
        <v>1</v>
      </c>
      <c r="CF482" s="50">
        <f t="shared" si="1173"/>
        <v>1</v>
      </c>
      <c r="CG482" s="50">
        <f t="shared" si="1173"/>
        <v>1</v>
      </c>
      <c r="CH482" s="50">
        <f t="shared" si="1173"/>
        <v>1</v>
      </c>
      <c r="CI482" s="50">
        <f t="shared" si="1173"/>
        <v>1</v>
      </c>
      <c r="CJ482" s="50">
        <f t="shared" si="1173"/>
        <v>1</v>
      </c>
      <c r="CK482" s="50">
        <f t="shared" si="1174"/>
        <v>0</v>
      </c>
      <c r="CL482" s="50">
        <f t="shared" si="1174"/>
        <v>0</v>
      </c>
      <c r="CM482" s="51">
        <f t="shared" si="1173"/>
        <v>0</v>
      </c>
      <c r="CN482" s="33">
        <f>ROUND(IF(BS482=0,0,HLOOKUP(BS$14,Villagers!$B$1:$V$33,BS482+3,FALSE)),)</f>
        <v>5</v>
      </c>
      <c r="CO482" s="14">
        <f>ROUND(IF(BT482=0,0,HLOOKUP(BT$14,Villagers!$B$1:$V$33,BT482+3,FALSE)),)</f>
        <v>0</v>
      </c>
      <c r="CP482" s="14">
        <f>ROUND(IF(BU482=0,0,HLOOKUP(BU$14,Villagers!$B$1:$V$33,BU482+3,FALSE)),)</f>
        <v>0</v>
      </c>
      <c r="CQ482" s="14">
        <f>ROUND(IF(BV482=0,0,HLOOKUP(BV$14,Villagers!$B$1:$V$33,BV482+3,FALSE)),)</f>
        <v>0</v>
      </c>
      <c r="CR482" s="14">
        <f>ROUND(IF(BW482=0,0,HLOOKUP(BW$14,Villagers!$B$1:$V$33,BW482+3,FALSE)),)</f>
        <v>0</v>
      </c>
      <c r="CS482" s="14">
        <f>ROUND(IF(BX482=0,0,HLOOKUP(BX$14,Villagers!$B$1:$V$33,BX482+3,FALSE)),)</f>
        <v>0</v>
      </c>
      <c r="CT482" s="14">
        <f>ROUND(IF(BY482=0,0,HLOOKUP(BY$14,Villagers!$B$1:$V$33,BY482+3,FALSE)),)</f>
        <v>0</v>
      </c>
      <c r="CU482" s="14">
        <f>ROUND(IF(BZ482=0,0,HLOOKUP(BZ$14,Villagers!$B$1:$V$33,BZ482+3,FALSE)),)</f>
        <v>0</v>
      </c>
      <c r="CV482" s="14">
        <f>ROUND(IF(CA482=0,0,HLOOKUP(CA$14,Villagers!$B$1:$V$33,CA482+3,FALSE)),)</f>
        <v>0</v>
      </c>
      <c r="CW482" s="14">
        <f>ROUND(IF(CB482=0,0,HLOOKUP(CB$14,Villagers!$B$1:$V$33,CB482+3,FALSE)),)</f>
        <v>0</v>
      </c>
      <c r="CX482" s="14">
        <f>ROUND(IF(CC482=0,0,HLOOKUP(CC$14,Villagers!$B$1:$V$33,CC482+3,FALSE)),)</f>
        <v>0</v>
      </c>
      <c r="CY482" s="14">
        <f>ROUND(IF(CD482=0,0,HLOOKUP(CD$14,Villagers!$B$1:$V$33,CD482+3,FALSE)),)</f>
        <v>0</v>
      </c>
      <c r="CZ482" s="14">
        <f>ROUND(IF(CE482=0,0,HLOOKUP(CE$14,Villagers!$B$1:$V$33,CE482+3,FALSE)),)</f>
        <v>5</v>
      </c>
      <c r="DA482" s="14">
        <f>ROUND(IF(CF482=0,0,HLOOKUP(CF$14,Villagers!$B$1:$V$33,CF482+3,FALSE)),)</f>
        <v>10</v>
      </c>
      <c r="DB482" s="14">
        <f>ROUND(IF(CG482=0,0,HLOOKUP(CG$14,Villagers!$B$1:$V$33,CG482+3,FALSE)),)</f>
        <v>10</v>
      </c>
      <c r="DC482" s="14">
        <f>ROUND(IF(CH482=0,0,HLOOKUP(CH$14,Villagers!$B$1:$V$33,CH482+3,FALSE)),)</f>
        <v>0</v>
      </c>
      <c r="DD482" s="14">
        <f>ROUND(IF(CI482=0,0,HLOOKUP(CI$14,Villagers!$B$1:$V$33,CI482+3,FALSE)),)</f>
        <v>0</v>
      </c>
      <c r="DE482" s="14">
        <f>ROUND(IF(CJ482=0,0,HLOOKUP(CJ$14,Villagers!$B$1:$V$33,CJ482+3,FALSE)),)</f>
        <v>2</v>
      </c>
      <c r="DF482" s="370">
        <f>ROUND(IF(CK482=0,0,HLOOKUP(CK$14,Villagers!$B$1:$V$33,CK482+3,FALSE)),)</f>
        <v>0</v>
      </c>
      <c r="DG482" s="370">
        <f>ROUND(IF(CL482=0,0,HLOOKUP(CL$14,Villagers!$B$1:$V$33,CL482+3,FALSE)),)</f>
        <v>0</v>
      </c>
      <c r="DH482" s="34">
        <f>ROUND(IF(CM482=0,0,HLOOKUP(CM$14,Villagers!$B$1:$V$33,CM482+3,FALSE)),)</f>
        <v>0</v>
      </c>
      <c r="DI482" s="109">
        <f t="shared" si="1144"/>
        <v>0</v>
      </c>
      <c r="DJ482" s="50">
        <f t="shared" si="1145"/>
        <v>0</v>
      </c>
      <c r="DK482" s="50">
        <f t="shared" si="1146"/>
        <v>0</v>
      </c>
      <c r="DL482" s="50">
        <f t="shared" si="1147"/>
        <v>0</v>
      </c>
      <c r="DM482" s="50">
        <f t="shared" si="1148"/>
        <v>0</v>
      </c>
      <c r="DN482" s="50">
        <f t="shared" si="1149"/>
        <v>0</v>
      </c>
      <c r="DO482" s="50">
        <f t="shared" si="1150"/>
        <v>0</v>
      </c>
      <c r="DP482" s="50">
        <f t="shared" si="1151"/>
        <v>0</v>
      </c>
      <c r="DQ482" s="50">
        <f t="shared" si="1128"/>
        <v>0</v>
      </c>
      <c r="DR482" s="50">
        <f t="shared" si="1129"/>
        <v>0</v>
      </c>
      <c r="DS482" s="96">
        <f>Miscelaneous!$D$4*Miscelaneous!$D$2^($CI482-1)</f>
        <v>1000</v>
      </c>
      <c r="DT482" s="333">
        <f t="shared" si="1109"/>
        <v>1</v>
      </c>
      <c r="DU482" s="81">
        <v>1</v>
      </c>
      <c r="DV482" s="79">
        <f t="shared" si="1130"/>
        <v>0</v>
      </c>
      <c r="DW482" s="79">
        <f t="shared" si="1131"/>
        <v>0</v>
      </c>
      <c r="DX482" s="79">
        <f t="shared" si="1132"/>
        <v>0</v>
      </c>
      <c r="DY482" s="79">
        <v>1</v>
      </c>
      <c r="DZ482" s="79">
        <f t="shared" si="1133"/>
        <v>0</v>
      </c>
      <c r="EA482" s="79">
        <f t="shared" si="1134"/>
        <v>0</v>
      </c>
      <c r="EB482" s="79">
        <f t="shared" si="1135"/>
        <v>0</v>
      </c>
      <c r="EC482" s="79">
        <f t="shared" si="1136"/>
        <v>0</v>
      </c>
      <c r="ED482" s="79">
        <v>1</v>
      </c>
      <c r="EE482" s="79">
        <v>1</v>
      </c>
      <c r="EF482" s="79">
        <f t="shared" si="1137"/>
        <v>0</v>
      </c>
      <c r="EG482" s="79">
        <v>1</v>
      </c>
      <c r="EH482" s="79">
        <v>1</v>
      </c>
      <c r="EI482" s="79">
        <v>1</v>
      </c>
      <c r="EJ482" s="79">
        <v>1</v>
      </c>
      <c r="EK482" s="79">
        <v>1</v>
      </c>
      <c r="EL482" s="79">
        <v>1</v>
      </c>
      <c r="EM482" s="143">
        <f t="shared" si="1138"/>
        <v>0</v>
      </c>
      <c r="EN482" s="143">
        <f t="shared" si="1139"/>
        <v>0</v>
      </c>
      <c r="EO482" s="82">
        <f t="shared" si="1140"/>
        <v>0</v>
      </c>
    </row>
    <row r="483" spans="1:145" x14ac:dyDescent="0.25">
      <c r="A483">
        <v>469</v>
      </c>
      <c r="B483" s="172" t="e">
        <f t="shared" si="1110"/>
        <v>#N/A</v>
      </c>
      <c r="C483" s="121" t="e">
        <f t="shared" ref="C483:E483" si="1177">AJ483-SUM(AB483:AB487)</f>
        <v>#N/A</v>
      </c>
      <c r="D483" s="122" t="e">
        <f t="shared" si="1177"/>
        <v>#N/A</v>
      </c>
      <c r="E483" s="122" t="e">
        <f t="shared" si="1177"/>
        <v>#N/A</v>
      </c>
      <c r="F483" s="176" t="e">
        <f t="shared" si="1092"/>
        <v>#N/A</v>
      </c>
      <c r="G483" s="121">
        <f t="shared" si="1112"/>
        <v>208</v>
      </c>
      <c r="H483" s="176" t="e">
        <f t="shared" si="1113"/>
        <v>#N/A</v>
      </c>
      <c r="I483" s="48">
        <v>1</v>
      </c>
      <c r="J483" s="39"/>
      <c r="K483" s="350">
        <v>1</v>
      </c>
      <c r="L483" s="34" t="e">
        <f t="shared" si="1093"/>
        <v>#N/A</v>
      </c>
      <c r="M483" s="38" t="e">
        <f>(HLOOKUP(J483,'Construction Times'!$B$3:$W$34,L483+2,FALSE)*HLOOKUP("hq modifier",'Construction Times'!$W$3:$W$34,BS483+2,FALSE))*(1-$H$9)</f>
        <v>#N/A</v>
      </c>
      <c r="N483" s="426" t="e">
        <f t="shared" si="1114"/>
        <v>#N/A</v>
      </c>
      <c r="O483" s="427"/>
      <c r="P483" s="430" t="e">
        <f t="shared" si="1115"/>
        <v>#N/A</v>
      </c>
      <c r="Q483" s="431"/>
      <c r="R483" s="103">
        <f t="shared" si="1142"/>
        <v>0</v>
      </c>
      <c r="S483" s="104">
        <f t="shared" si="1142"/>
        <v>0</v>
      </c>
      <c r="T483" s="104">
        <f t="shared" si="1143"/>
        <v>0</v>
      </c>
      <c r="U483" s="104">
        <f t="shared" si="1143"/>
        <v>0</v>
      </c>
      <c r="V483" s="104">
        <f t="shared" si="1143"/>
        <v>9.9999999999999995E-8</v>
      </c>
      <c r="W483" s="104">
        <f t="shared" si="1143"/>
        <v>0</v>
      </c>
      <c r="X483" s="104">
        <f t="shared" si="1089"/>
        <v>0</v>
      </c>
      <c r="Y483" s="104">
        <f t="shared" si="1089"/>
        <v>9.9999999999999995E-8</v>
      </c>
      <c r="Z483" s="104">
        <f t="shared" si="1089"/>
        <v>9.9999999999999995E-8</v>
      </c>
      <c r="AA483" s="105">
        <f t="shared" si="1089"/>
        <v>9.9999999999999995E-8</v>
      </c>
      <c r="AB483" s="101" t="e">
        <f>$DT483*HLOOKUP($J483,'Construction Costs (timber)'!$B$1:$V$32,'Construction Planner'!$L483+2,FALSE)</f>
        <v>#N/A</v>
      </c>
      <c r="AC483" s="14" t="e">
        <f>$DT483*HLOOKUP($J483,'Construction Costs (clay)'!$B$1:$V$32,'Construction Planner'!$L483+2,FALSE)</f>
        <v>#N/A</v>
      </c>
      <c r="AD483" s="14" t="e">
        <f>$DT483*HLOOKUP($J483,'Construction Costs (iron)'!$B$1:$V$32,'Construction Planner'!$L483+2,FALSE)</f>
        <v>#N/A</v>
      </c>
      <c r="AE483" s="34" t="e">
        <f t="shared" si="1155"/>
        <v>#N/A</v>
      </c>
      <c r="AF483" s="33" t="e">
        <f t="shared" si="1094"/>
        <v>#N/A</v>
      </c>
      <c r="AG483" s="14" t="e">
        <f t="shared" si="1095"/>
        <v>#N/A</v>
      </c>
      <c r="AH483" s="14" t="e">
        <f t="shared" si="1096"/>
        <v>#N/A</v>
      </c>
      <c r="AI483" s="34" t="e">
        <f t="shared" si="1156"/>
        <v>#N/A</v>
      </c>
      <c r="AJ483" s="49" t="e">
        <f t="shared" si="1116"/>
        <v>#N/A</v>
      </c>
      <c r="AK483" s="49" t="e">
        <f t="shared" si="1117"/>
        <v>#N/A</v>
      </c>
      <c r="AL483" s="49" t="e">
        <f t="shared" si="1118"/>
        <v>#N/A</v>
      </c>
      <c r="AM483" s="25">
        <f t="shared" si="1097"/>
        <v>30</v>
      </c>
      <c r="AN483" s="25">
        <f t="shared" si="1098"/>
        <v>30</v>
      </c>
      <c r="AO483" s="25">
        <f t="shared" si="1099"/>
        <v>30</v>
      </c>
      <c r="AP483" s="52" t="e">
        <f t="shared" si="1119"/>
        <v>#N/A</v>
      </c>
      <c r="AQ483" s="53" t="e">
        <f t="shared" si="1119"/>
        <v>#N/A</v>
      </c>
      <c r="AR483" s="54" t="e">
        <f t="shared" si="1119"/>
        <v>#N/A</v>
      </c>
      <c r="AS483" s="316">
        <f t="shared" si="1157"/>
        <v>0</v>
      </c>
      <c r="AT483" s="106">
        <f>_xlfn.IFNA($M483/VLOOKUP($BT483,'Unit information'!$A$2:$K$29,2,FALSE)*R483,0)*(1+$E$9)</f>
        <v>0</v>
      </c>
      <c r="AU483" s="107">
        <f>_xlfn.IFNA($M483/VLOOKUP($BT483,'Unit information'!$A$2:$K$29,3,FALSE)*S483,0)*(1+$E$9)</f>
        <v>0</v>
      </c>
      <c r="AV483" s="107">
        <f>_xlfn.IFNA($M483/VLOOKUP($BT483,'Unit information'!$A$2:$K$29,4,FALSE)*T483,0)*(1+$E$9)</f>
        <v>0</v>
      </c>
      <c r="AW483" s="107">
        <f>_xlfn.IFNA($M483/VLOOKUP($BT483,'Unit information'!$A$2:$K$29,5,FALSE)*U483,0)*(1+$E$9)</f>
        <v>0</v>
      </c>
      <c r="AX483" s="107">
        <f>_xlfn.IFNA($M483/VLOOKUP($BU483,'Unit information'!$A$2:$K$29,6,FALSE)*V483,0)*(1+$E$9)</f>
        <v>0</v>
      </c>
      <c r="AY483" s="107">
        <f>_xlfn.IFNA($M483/VLOOKUP($BU483,'Unit information'!$A$2:$K$29,7,FALSE)*W483,0)*(1+$E$9)</f>
        <v>0</v>
      </c>
      <c r="AZ483" s="107">
        <f>_xlfn.IFNA($M483/VLOOKUP($BU483,'Unit information'!$A$2:$K$29,8,FALSE)*X483,0)*(1+$E$9)</f>
        <v>0</v>
      </c>
      <c r="BA483" s="107">
        <f>_xlfn.IFNA($M483/VLOOKUP($BU483,'Unit information'!$A$2:$K$29,9,FALSE)*Y483,0)*(1+$E$9)</f>
        <v>0</v>
      </c>
      <c r="BB483" s="107">
        <f>_xlfn.IFNA($M483/VLOOKUP($BV483,'Unit information'!$A$2:$K$29,10,FALSE)*Z483,0)*(1+$E$9)</f>
        <v>0</v>
      </c>
      <c r="BC483" s="108">
        <f>_xlfn.IFNA($M483/VLOOKUP($BV483,'Unit information'!$A$2:$K$29,11,FALSE)*AA483,0)*(1+$E$9)</f>
        <v>0</v>
      </c>
      <c r="BD483" s="106">
        <f t="shared" si="1100"/>
        <v>0</v>
      </c>
      <c r="BE483" s="107">
        <f t="shared" si="1101"/>
        <v>0</v>
      </c>
      <c r="BF483" s="108">
        <f t="shared" si="1102"/>
        <v>0</v>
      </c>
      <c r="BG483" s="25" t="e">
        <f t="shared" si="1103"/>
        <v>#N/A</v>
      </c>
      <c r="BH483" s="25" t="e">
        <f t="shared" si="1104"/>
        <v>#N/A</v>
      </c>
      <c r="BI483" s="25" t="e">
        <f t="shared" si="1105"/>
        <v>#N/A</v>
      </c>
      <c r="BJ483" s="27" t="e">
        <f t="shared" si="1106"/>
        <v>#N/A</v>
      </c>
      <c r="BK483" s="18" t="e">
        <f t="shared" si="1107"/>
        <v>#N/A</v>
      </c>
      <c r="BL483" s="18" t="e">
        <f t="shared" si="1108"/>
        <v>#N/A</v>
      </c>
      <c r="BM483" s="28" t="e">
        <f t="shared" si="1158"/>
        <v>#N/A</v>
      </c>
      <c r="BN483" s="33">
        <f>HLOOKUP("maximum population",Miscelaneous!$C$1:$C$33,CH483+3,FALSE)</f>
        <v>240</v>
      </c>
      <c r="BO483" s="14">
        <f t="shared" si="1120"/>
        <v>32</v>
      </c>
      <c r="BP483" s="14">
        <f t="shared" si="1121"/>
        <v>0</v>
      </c>
      <c r="BQ483" s="14">
        <f t="shared" si="1122"/>
        <v>208</v>
      </c>
      <c r="BR483" s="34" t="e">
        <f>HLOOKUP(J483,Villagers!$B$1:$V$33,L483+3,FALSE)-HLOOKUP(J483,Villagers!$B$1:$V$33,L483+2,FALSE)</f>
        <v>#N/A</v>
      </c>
      <c r="BS483" s="49">
        <f t="shared" si="1173"/>
        <v>1</v>
      </c>
      <c r="BT483" s="50">
        <f t="shared" si="1173"/>
        <v>0</v>
      </c>
      <c r="BU483" s="50">
        <f t="shared" si="1173"/>
        <v>0</v>
      </c>
      <c r="BV483" s="50">
        <f t="shared" si="1173"/>
        <v>0</v>
      </c>
      <c r="BW483" s="50">
        <f t="shared" si="1162"/>
        <v>0</v>
      </c>
      <c r="BX483" s="50">
        <f t="shared" si="1163"/>
        <v>0</v>
      </c>
      <c r="BY483" s="50">
        <f t="shared" si="1163"/>
        <v>0</v>
      </c>
      <c r="BZ483" s="50">
        <f t="shared" si="1173"/>
        <v>0</v>
      </c>
      <c r="CA483" s="50">
        <f t="shared" si="1173"/>
        <v>0</v>
      </c>
      <c r="CB483" s="50">
        <f t="shared" si="1173"/>
        <v>1</v>
      </c>
      <c r="CC483" s="50">
        <f t="shared" si="1173"/>
        <v>0</v>
      </c>
      <c r="CD483" s="50">
        <f t="shared" si="1173"/>
        <v>0</v>
      </c>
      <c r="CE483" s="50">
        <f t="shared" si="1173"/>
        <v>1</v>
      </c>
      <c r="CF483" s="50">
        <f t="shared" si="1173"/>
        <v>1</v>
      </c>
      <c r="CG483" s="50">
        <f t="shared" si="1173"/>
        <v>1</v>
      </c>
      <c r="CH483" s="50">
        <f t="shared" si="1173"/>
        <v>1</v>
      </c>
      <c r="CI483" s="50">
        <f t="shared" si="1173"/>
        <v>1</v>
      </c>
      <c r="CJ483" s="50">
        <f t="shared" si="1173"/>
        <v>1</v>
      </c>
      <c r="CK483" s="50">
        <f t="shared" si="1174"/>
        <v>0</v>
      </c>
      <c r="CL483" s="50">
        <f t="shared" si="1174"/>
        <v>0</v>
      </c>
      <c r="CM483" s="51">
        <f t="shared" si="1173"/>
        <v>0</v>
      </c>
      <c r="CN483" s="33">
        <f>ROUND(IF(BS483=0,0,HLOOKUP(BS$14,Villagers!$B$1:$V$33,BS483+3,FALSE)),)</f>
        <v>5</v>
      </c>
      <c r="CO483" s="14">
        <f>ROUND(IF(BT483=0,0,HLOOKUP(BT$14,Villagers!$B$1:$V$33,BT483+3,FALSE)),)</f>
        <v>0</v>
      </c>
      <c r="CP483" s="14">
        <f>ROUND(IF(BU483=0,0,HLOOKUP(BU$14,Villagers!$B$1:$V$33,BU483+3,FALSE)),)</f>
        <v>0</v>
      </c>
      <c r="CQ483" s="14">
        <f>ROUND(IF(BV483=0,0,HLOOKUP(BV$14,Villagers!$B$1:$V$33,BV483+3,FALSE)),)</f>
        <v>0</v>
      </c>
      <c r="CR483" s="14">
        <f>ROUND(IF(BW483=0,0,HLOOKUP(BW$14,Villagers!$B$1:$V$33,BW483+3,FALSE)),)</f>
        <v>0</v>
      </c>
      <c r="CS483" s="14">
        <f>ROUND(IF(BX483=0,0,HLOOKUP(BX$14,Villagers!$B$1:$V$33,BX483+3,FALSE)),)</f>
        <v>0</v>
      </c>
      <c r="CT483" s="14">
        <f>ROUND(IF(BY483=0,0,HLOOKUP(BY$14,Villagers!$B$1:$V$33,BY483+3,FALSE)),)</f>
        <v>0</v>
      </c>
      <c r="CU483" s="14">
        <f>ROUND(IF(BZ483=0,0,HLOOKUP(BZ$14,Villagers!$B$1:$V$33,BZ483+3,FALSE)),)</f>
        <v>0</v>
      </c>
      <c r="CV483" s="14">
        <f>ROUND(IF(CA483=0,0,HLOOKUP(CA$14,Villagers!$B$1:$V$33,CA483+3,FALSE)),)</f>
        <v>0</v>
      </c>
      <c r="CW483" s="14">
        <f>ROUND(IF(CB483=0,0,HLOOKUP(CB$14,Villagers!$B$1:$V$33,CB483+3,FALSE)),)</f>
        <v>0</v>
      </c>
      <c r="CX483" s="14">
        <f>ROUND(IF(CC483=0,0,HLOOKUP(CC$14,Villagers!$B$1:$V$33,CC483+3,FALSE)),)</f>
        <v>0</v>
      </c>
      <c r="CY483" s="14">
        <f>ROUND(IF(CD483=0,0,HLOOKUP(CD$14,Villagers!$B$1:$V$33,CD483+3,FALSE)),)</f>
        <v>0</v>
      </c>
      <c r="CZ483" s="14">
        <f>ROUND(IF(CE483=0,0,HLOOKUP(CE$14,Villagers!$B$1:$V$33,CE483+3,FALSE)),)</f>
        <v>5</v>
      </c>
      <c r="DA483" s="14">
        <f>ROUND(IF(CF483=0,0,HLOOKUP(CF$14,Villagers!$B$1:$V$33,CF483+3,FALSE)),)</f>
        <v>10</v>
      </c>
      <c r="DB483" s="14">
        <f>ROUND(IF(CG483=0,0,HLOOKUP(CG$14,Villagers!$B$1:$V$33,CG483+3,FALSE)),)</f>
        <v>10</v>
      </c>
      <c r="DC483" s="14">
        <f>ROUND(IF(CH483=0,0,HLOOKUP(CH$14,Villagers!$B$1:$V$33,CH483+3,FALSE)),)</f>
        <v>0</v>
      </c>
      <c r="DD483" s="14">
        <f>ROUND(IF(CI483=0,0,HLOOKUP(CI$14,Villagers!$B$1:$V$33,CI483+3,FALSE)),)</f>
        <v>0</v>
      </c>
      <c r="DE483" s="14">
        <f>ROUND(IF(CJ483=0,0,HLOOKUP(CJ$14,Villagers!$B$1:$V$33,CJ483+3,FALSE)),)</f>
        <v>2</v>
      </c>
      <c r="DF483" s="370">
        <f>ROUND(IF(CK483=0,0,HLOOKUP(CK$14,Villagers!$B$1:$V$33,CK483+3,FALSE)),)</f>
        <v>0</v>
      </c>
      <c r="DG483" s="370">
        <f>ROUND(IF(CL483=0,0,HLOOKUP(CL$14,Villagers!$B$1:$V$33,CL483+3,FALSE)),)</f>
        <v>0</v>
      </c>
      <c r="DH483" s="34">
        <f>ROUND(IF(CM483=0,0,HLOOKUP(CM$14,Villagers!$B$1:$V$33,CM483+3,FALSE)),)</f>
        <v>0</v>
      </c>
      <c r="DI483" s="109">
        <f t="shared" si="1144"/>
        <v>0</v>
      </c>
      <c r="DJ483" s="50">
        <f t="shared" si="1145"/>
        <v>0</v>
      </c>
      <c r="DK483" s="50">
        <f t="shared" si="1146"/>
        <v>0</v>
      </c>
      <c r="DL483" s="50">
        <f t="shared" si="1147"/>
        <v>0</v>
      </c>
      <c r="DM483" s="50">
        <f t="shared" si="1148"/>
        <v>0</v>
      </c>
      <c r="DN483" s="50">
        <f t="shared" si="1149"/>
        <v>0</v>
      </c>
      <c r="DO483" s="50">
        <f t="shared" si="1150"/>
        <v>0</v>
      </c>
      <c r="DP483" s="50">
        <f t="shared" si="1151"/>
        <v>0</v>
      </c>
      <c r="DQ483" s="50">
        <f t="shared" si="1128"/>
        <v>0</v>
      </c>
      <c r="DR483" s="50">
        <f t="shared" si="1129"/>
        <v>0</v>
      </c>
      <c r="DS483" s="96">
        <f>Miscelaneous!$D$4*Miscelaneous!$D$2^($CI483-1)</f>
        <v>1000</v>
      </c>
      <c r="DT483" s="333">
        <f t="shared" si="1109"/>
        <v>1</v>
      </c>
      <c r="DU483" s="81">
        <v>1</v>
      </c>
      <c r="DV483" s="79">
        <f t="shared" si="1130"/>
        <v>0</v>
      </c>
      <c r="DW483" s="79">
        <f t="shared" si="1131"/>
        <v>0</v>
      </c>
      <c r="DX483" s="79">
        <f t="shared" si="1132"/>
        <v>0</v>
      </c>
      <c r="DY483" s="79">
        <v>1</v>
      </c>
      <c r="DZ483" s="79">
        <f t="shared" si="1133"/>
        <v>0</v>
      </c>
      <c r="EA483" s="79">
        <f t="shared" si="1134"/>
        <v>0</v>
      </c>
      <c r="EB483" s="79">
        <f t="shared" si="1135"/>
        <v>0</v>
      </c>
      <c r="EC483" s="79">
        <f t="shared" si="1136"/>
        <v>0</v>
      </c>
      <c r="ED483" s="79">
        <v>1</v>
      </c>
      <c r="EE483" s="79">
        <v>1</v>
      </c>
      <c r="EF483" s="79">
        <f t="shared" si="1137"/>
        <v>0</v>
      </c>
      <c r="EG483" s="79">
        <v>1</v>
      </c>
      <c r="EH483" s="79">
        <v>1</v>
      </c>
      <c r="EI483" s="79">
        <v>1</v>
      </c>
      <c r="EJ483" s="79">
        <v>1</v>
      </c>
      <c r="EK483" s="79">
        <v>1</v>
      </c>
      <c r="EL483" s="79">
        <v>1</v>
      </c>
      <c r="EM483" s="143">
        <f t="shared" si="1138"/>
        <v>0</v>
      </c>
      <c r="EN483" s="143">
        <f t="shared" si="1139"/>
        <v>0</v>
      </c>
      <c r="EO483" s="82">
        <f t="shared" si="1140"/>
        <v>0</v>
      </c>
    </row>
    <row r="484" spans="1:145" x14ac:dyDescent="0.25">
      <c r="A484">
        <v>470</v>
      </c>
      <c r="B484" s="172" t="e">
        <f t="shared" si="1110"/>
        <v>#N/A</v>
      </c>
      <c r="C484" s="121" t="e">
        <f t="shared" ref="C484:E484" si="1178">AJ484-SUM(AB484:AB488)</f>
        <v>#N/A</v>
      </c>
      <c r="D484" s="122" t="e">
        <f t="shared" si="1178"/>
        <v>#N/A</v>
      </c>
      <c r="E484" s="122" t="e">
        <f t="shared" si="1178"/>
        <v>#N/A</v>
      </c>
      <c r="F484" s="176" t="e">
        <f t="shared" si="1092"/>
        <v>#N/A</v>
      </c>
      <c r="G484" s="121">
        <f t="shared" si="1112"/>
        <v>208</v>
      </c>
      <c r="H484" s="176" t="e">
        <f t="shared" si="1113"/>
        <v>#N/A</v>
      </c>
      <c r="I484" s="48">
        <v>1</v>
      </c>
      <c r="J484" s="39"/>
      <c r="K484" s="350">
        <v>1</v>
      </c>
      <c r="L484" s="34" t="e">
        <f t="shared" si="1093"/>
        <v>#N/A</v>
      </c>
      <c r="M484" s="38" t="e">
        <f>(HLOOKUP(J484,'Construction Times'!$B$3:$W$34,L484+2,FALSE)*HLOOKUP("hq modifier",'Construction Times'!$W$3:$W$34,BS484+2,FALSE))*(1-$H$9)</f>
        <v>#N/A</v>
      </c>
      <c r="N484" s="426" t="e">
        <f t="shared" si="1114"/>
        <v>#N/A</v>
      </c>
      <c r="O484" s="427"/>
      <c r="P484" s="430" t="e">
        <f t="shared" si="1115"/>
        <v>#N/A</v>
      </c>
      <c r="Q484" s="431"/>
      <c r="R484" s="103">
        <f t="shared" si="1142"/>
        <v>0</v>
      </c>
      <c r="S484" s="104">
        <f t="shared" si="1142"/>
        <v>0</v>
      </c>
      <c r="T484" s="104">
        <f t="shared" si="1143"/>
        <v>0</v>
      </c>
      <c r="U484" s="104">
        <f t="shared" si="1143"/>
        <v>0</v>
      </c>
      <c r="V484" s="104">
        <f t="shared" si="1143"/>
        <v>9.9999999999999995E-8</v>
      </c>
      <c r="W484" s="104">
        <f t="shared" si="1143"/>
        <v>0</v>
      </c>
      <c r="X484" s="104">
        <f t="shared" si="1089"/>
        <v>0</v>
      </c>
      <c r="Y484" s="104">
        <f t="shared" si="1089"/>
        <v>9.9999999999999995E-8</v>
      </c>
      <c r="Z484" s="104">
        <f t="shared" si="1089"/>
        <v>9.9999999999999995E-8</v>
      </c>
      <c r="AA484" s="105">
        <f t="shared" si="1089"/>
        <v>9.9999999999999995E-8</v>
      </c>
      <c r="AB484" s="101" t="e">
        <f>$DT484*HLOOKUP($J484,'Construction Costs (timber)'!$B$1:$V$32,'Construction Planner'!$L484+2,FALSE)</f>
        <v>#N/A</v>
      </c>
      <c r="AC484" s="14" t="e">
        <f>$DT484*HLOOKUP($J484,'Construction Costs (clay)'!$B$1:$V$32,'Construction Planner'!$L484+2,FALSE)</f>
        <v>#N/A</v>
      </c>
      <c r="AD484" s="14" t="e">
        <f>$DT484*HLOOKUP($J484,'Construction Costs (iron)'!$B$1:$V$32,'Construction Planner'!$L484+2,FALSE)</f>
        <v>#N/A</v>
      </c>
      <c r="AE484" s="34" t="e">
        <f t="shared" si="1155"/>
        <v>#N/A</v>
      </c>
      <c r="AF484" s="33" t="e">
        <f t="shared" si="1094"/>
        <v>#N/A</v>
      </c>
      <c r="AG484" s="14" t="e">
        <f t="shared" si="1095"/>
        <v>#N/A</v>
      </c>
      <c r="AH484" s="14" t="e">
        <f t="shared" si="1096"/>
        <v>#N/A</v>
      </c>
      <c r="AI484" s="34" t="e">
        <f t="shared" si="1156"/>
        <v>#N/A</v>
      </c>
      <c r="AJ484" s="49" t="e">
        <f t="shared" si="1116"/>
        <v>#N/A</v>
      </c>
      <c r="AK484" s="49" t="e">
        <f t="shared" si="1117"/>
        <v>#N/A</v>
      </c>
      <c r="AL484" s="49" t="e">
        <f t="shared" si="1118"/>
        <v>#N/A</v>
      </c>
      <c r="AM484" s="25">
        <f t="shared" si="1097"/>
        <v>30</v>
      </c>
      <c r="AN484" s="25">
        <f t="shared" si="1098"/>
        <v>30</v>
      </c>
      <c r="AO484" s="25">
        <f t="shared" si="1099"/>
        <v>30</v>
      </c>
      <c r="AP484" s="52" t="e">
        <f t="shared" si="1119"/>
        <v>#N/A</v>
      </c>
      <c r="AQ484" s="53" t="e">
        <f t="shared" si="1119"/>
        <v>#N/A</v>
      </c>
      <c r="AR484" s="54" t="e">
        <f t="shared" si="1119"/>
        <v>#N/A</v>
      </c>
      <c r="AS484" s="316">
        <f t="shared" ref="AS484:AS499" si="1179">AS483</f>
        <v>0</v>
      </c>
      <c r="AT484" s="106">
        <f>_xlfn.IFNA($M484/VLOOKUP($BT484,'Unit information'!$A$2:$K$29,2,FALSE)*R484,0)*(1+$E$9)</f>
        <v>0</v>
      </c>
      <c r="AU484" s="107">
        <f>_xlfn.IFNA($M484/VLOOKUP($BT484,'Unit information'!$A$2:$K$29,3,FALSE)*S484,0)*(1+$E$9)</f>
        <v>0</v>
      </c>
      <c r="AV484" s="107">
        <f>_xlfn.IFNA($M484/VLOOKUP($BT484,'Unit information'!$A$2:$K$29,4,FALSE)*T484,0)*(1+$E$9)</f>
        <v>0</v>
      </c>
      <c r="AW484" s="107">
        <f>_xlfn.IFNA($M484/VLOOKUP($BT484,'Unit information'!$A$2:$K$29,5,FALSE)*U484,0)*(1+$E$9)</f>
        <v>0</v>
      </c>
      <c r="AX484" s="107">
        <f>_xlfn.IFNA($M484/VLOOKUP($BU484,'Unit information'!$A$2:$K$29,6,FALSE)*V484,0)*(1+$E$9)</f>
        <v>0</v>
      </c>
      <c r="AY484" s="107">
        <f>_xlfn.IFNA($M484/VLOOKUP($BU484,'Unit information'!$A$2:$K$29,7,FALSE)*W484,0)*(1+$E$9)</f>
        <v>0</v>
      </c>
      <c r="AZ484" s="107">
        <f>_xlfn.IFNA($M484/VLOOKUP($BU484,'Unit information'!$A$2:$K$29,8,FALSE)*X484,0)*(1+$E$9)</f>
        <v>0</v>
      </c>
      <c r="BA484" s="107">
        <f>_xlfn.IFNA($M484/VLOOKUP($BU484,'Unit information'!$A$2:$K$29,9,FALSE)*Y484,0)*(1+$E$9)</f>
        <v>0</v>
      </c>
      <c r="BB484" s="107">
        <f>_xlfn.IFNA($M484/VLOOKUP($BV484,'Unit information'!$A$2:$K$29,10,FALSE)*Z484,0)*(1+$E$9)</f>
        <v>0</v>
      </c>
      <c r="BC484" s="108">
        <f>_xlfn.IFNA($M484/VLOOKUP($BV484,'Unit information'!$A$2:$K$29,11,FALSE)*AA484,0)*(1+$E$9)</f>
        <v>0</v>
      </c>
      <c r="BD484" s="106">
        <f t="shared" si="1100"/>
        <v>0</v>
      </c>
      <c r="BE484" s="107">
        <f t="shared" si="1101"/>
        <v>0</v>
      </c>
      <c r="BF484" s="108">
        <f t="shared" si="1102"/>
        <v>0</v>
      </c>
      <c r="BG484" s="25" t="e">
        <f t="shared" si="1103"/>
        <v>#N/A</v>
      </c>
      <c r="BH484" s="25" t="e">
        <f t="shared" si="1104"/>
        <v>#N/A</v>
      </c>
      <c r="BI484" s="25" t="e">
        <f t="shared" si="1105"/>
        <v>#N/A</v>
      </c>
      <c r="BJ484" s="27" t="e">
        <f t="shared" si="1106"/>
        <v>#N/A</v>
      </c>
      <c r="BK484" s="18" t="e">
        <f t="shared" si="1107"/>
        <v>#N/A</v>
      </c>
      <c r="BL484" s="18" t="e">
        <f t="shared" si="1108"/>
        <v>#N/A</v>
      </c>
      <c r="BM484" s="28" t="e">
        <f t="shared" si="1158"/>
        <v>#N/A</v>
      </c>
      <c r="BN484" s="33">
        <f>HLOOKUP("maximum population",Miscelaneous!$C$1:$C$33,CH484+3,FALSE)</f>
        <v>240</v>
      </c>
      <c r="BO484" s="14">
        <f t="shared" si="1120"/>
        <v>32</v>
      </c>
      <c r="BP484" s="14">
        <f t="shared" si="1121"/>
        <v>0</v>
      </c>
      <c r="BQ484" s="14">
        <f t="shared" si="1122"/>
        <v>208</v>
      </c>
      <c r="BR484" s="34" t="e">
        <f>HLOOKUP(J484,Villagers!$B$1:$V$33,L484+3,FALSE)-HLOOKUP(J484,Villagers!$B$1:$V$33,L484+2,FALSE)</f>
        <v>#N/A</v>
      </c>
      <c r="BS484" s="49">
        <f t="shared" si="1173"/>
        <v>1</v>
      </c>
      <c r="BT484" s="50">
        <f t="shared" si="1173"/>
        <v>0</v>
      </c>
      <c r="BU484" s="50">
        <f t="shared" si="1173"/>
        <v>0</v>
      </c>
      <c r="BV484" s="50">
        <f t="shared" si="1173"/>
        <v>0</v>
      </c>
      <c r="BW484" s="50">
        <f t="shared" si="1162"/>
        <v>0</v>
      </c>
      <c r="BX484" s="50">
        <f t="shared" si="1163"/>
        <v>0</v>
      </c>
      <c r="BY484" s="50">
        <f t="shared" si="1163"/>
        <v>0</v>
      </c>
      <c r="BZ484" s="50">
        <f t="shared" si="1173"/>
        <v>0</v>
      </c>
      <c r="CA484" s="50">
        <f t="shared" si="1173"/>
        <v>0</v>
      </c>
      <c r="CB484" s="50">
        <f t="shared" si="1173"/>
        <v>1</v>
      </c>
      <c r="CC484" s="50">
        <f t="shared" si="1173"/>
        <v>0</v>
      </c>
      <c r="CD484" s="50">
        <f t="shared" si="1173"/>
        <v>0</v>
      </c>
      <c r="CE484" s="50">
        <f t="shared" si="1173"/>
        <v>1</v>
      </c>
      <c r="CF484" s="50">
        <f t="shared" si="1173"/>
        <v>1</v>
      </c>
      <c r="CG484" s="50">
        <f t="shared" si="1173"/>
        <v>1</v>
      </c>
      <c r="CH484" s="50">
        <f t="shared" si="1173"/>
        <v>1</v>
      </c>
      <c r="CI484" s="50">
        <f t="shared" si="1173"/>
        <v>1</v>
      </c>
      <c r="CJ484" s="50">
        <f t="shared" si="1173"/>
        <v>1</v>
      </c>
      <c r="CK484" s="50">
        <f t="shared" si="1174"/>
        <v>0</v>
      </c>
      <c r="CL484" s="50">
        <f t="shared" si="1174"/>
        <v>0</v>
      </c>
      <c r="CM484" s="51">
        <f t="shared" si="1173"/>
        <v>0</v>
      </c>
      <c r="CN484" s="33">
        <f>ROUND(IF(BS484=0,0,HLOOKUP(BS$14,Villagers!$B$1:$V$33,BS484+3,FALSE)),)</f>
        <v>5</v>
      </c>
      <c r="CO484" s="14">
        <f>ROUND(IF(BT484=0,0,HLOOKUP(BT$14,Villagers!$B$1:$V$33,BT484+3,FALSE)),)</f>
        <v>0</v>
      </c>
      <c r="CP484" s="14">
        <f>ROUND(IF(BU484=0,0,HLOOKUP(BU$14,Villagers!$B$1:$V$33,BU484+3,FALSE)),)</f>
        <v>0</v>
      </c>
      <c r="CQ484" s="14">
        <f>ROUND(IF(BV484=0,0,HLOOKUP(BV$14,Villagers!$B$1:$V$33,BV484+3,FALSE)),)</f>
        <v>0</v>
      </c>
      <c r="CR484" s="14">
        <f>ROUND(IF(BW484=0,0,HLOOKUP(BW$14,Villagers!$B$1:$V$33,BW484+3,FALSE)),)</f>
        <v>0</v>
      </c>
      <c r="CS484" s="14">
        <f>ROUND(IF(BX484=0,0,HLOOKUP(BX$14,Villagers!$B$1:$V$33,BX484+3,FALSE)),)</f>
        <v>0</v>
      </c>
      <c r="CT484" s="14">
        <f>ROUND(IF(BY484=0,0,HLOOKUP(BY$14,Villagers!$B$1:$V$33,BY484+3,FALSE)),)</f>
        <v>0</v>
      </c>
      <c r="CU484" s="14">
        <f>ROUND(IF(BZ484=0,0,HLOOKUP(BZ$14,Villagers!$B$1:$V$33,BZ484+3,FALSE)),)</f>
        <v>0</v>
      </c>
      <c r="CV484" s="14">
        <f>ROUND(IF(CA484=0,0,HLOOKUP(CA$14,Villagers!$B$1:$V$33,CA484+3,FALSE)),)</f>
        <v>0</v>
      </c>
      <c r="CW484" s="14">
        <f>ROUND(IF(CB484=0,0,HLOOKUP(CB$14,Villagers!$B$1:$V$33,CB484+3,FALSE)),)</f>
        <v>0</v>
      </c>
      <c r="CX484" s="14">
        <f>ROUND(IF(CC484=0,0,HLOOKUP(CC$14,Villagers!$B$1:$V$33,CC484+3,FALSE)),)</f>
        <v>0</v>
      </c>
      <c r="CY484" s="14">
        <f>ROUND(IF(CD484=0,0,HLOOKUP(CD$14,Villagers!$B$1:$V$33,CD484+3,FALSE)),)</f>
        <v>0</v>
      </c>
      <c r="CZ484" s="14">
        <f>ROUND(IF(CE484=0,0,HLOOKUP(CE$14,Villagers!$B$1:$V$33,CE484+3,FALSE)),)</f>
        <v>5</v>
      </c>
      <c r="DA484" s="14">
        <f>ROUND(IF(CF484=0,0,HLOOKUP(CF$14,Villagers!$B$1:$V$33,CF484+3,FALSE)),)</f>
        <v>10</v>
      </c>
      <c r="DB484" s="14">
        <f>ROUND(IF(CG484=0,0,HLOOKUP(CG$14,Villagers!$B$1:$V$33,CG484+3,FALSE)),)</f>
        <v>10</v>
      </c>
      <c r="DC484" s="14">
        <f>ROUND(IF(CH484=0,0,HLOOKUP(CH$14,Villagers!$B$1:$V$33,CH484+3,FALSE)),)</f>
        <v>0</v>
      </c>
      <c r="DD484" s="14">
        <f>ROUND(IF(CI484=0,0,HLOOKUP(CI$14,Villagers!$B$1:$V$33,CI484+3,FALSE)),)</f>
        <v>0</v>
      </c>
      <c r="DE484" s="14">
        <f>ROUND(IF(CJ484=0,0,HLOOKUP(CJ$14,Villagers!$B$1:$V$33,CJ484+3,FALSE)),)</f>
        <v>2</v>
      </c>
      <c r="DF484" s="370">
        <f>ROUND(IF(CK484=0,0,HLOOKUP(CK$14,Villagers!$B$1:$V$33,CK484+3,FALSE)),)</f>
        <v>0</v>
      </c>
      <c r="DG484" s="370">
        <f>ROUND(IF(CL484=0,0,HLOOKUP(CL$14,Villagers!$B$1:$V$33,CL484+3,FALSE)),)</f>
        <v>0</v>
      </c>
      <c r="DH484" s="34">
        <f>ROUND(IF(CM484=0,0,HLOOKUP(CM$14,Villagers!$B$1:$V$33,CM484+3,FALSE)),)</f>
        <v>0</v>
      </c>
      <c r="DI484" s="109">
        <f t="shared" si="1144"/>
        <v>0</v>
      </c>
      <c r="DJ484" s="50">
        <f t="shared" si="1145"/>
        <v>0</v>
      </c>
      <c r="DK484" s="50">
        <f t="shared" si="1146"/>
        <v>0</v>
      </c>
      <c r="DL484" s="50">
        <f t="shared" si="1147"/>
        <v>0</v>
      </c>
      <c r="DM484" s="50">
        <f t="shared" si="1148"/>
        <v>0</v>
      </c>
      <c r="DN484" s="50">
        <f t="shared" si="1149"/>
        <v>0</v>
      </c>
      <c r="DO484" s="50">
        <f t="shared" si="1150"/>
        <v>0</v>
      </c>
      <c r="DP484" s="50">
        <f t="shared" si="1151"/>
        <v>0</v>
      </c>
      <c r="DQ484" s="50">
        <f t="shared" si="1128"/>
        <v>0</v>
      </c>
      <c r="DR484" s="50">
        <f t="shared" si="1129"/>
        <v>0</v>
      </c>
      <c r="DS484" s="96">
        <f>Miscelaneous!$D$4*Miscelaneous!$D$2^($CI484-1)</f>
        <v>1000</v>
      </c>
      <c r="DT484" s="333">
        <f t="shared" si="1109"/>
        <v>1</v>
      </c>
      <c r="DU484" s="81">
        <v>1</v>
      </c>
      <c r="DV484" s="79">
        <f t="shared" si="1130"/>
        <v>0</v>
      </c>
      <c r="DW484" s="79">
        <f t="shared" si="1131"/>
        <v>0</v>
      </c>
      <c r="DX484" s="79">
        <f t="shared" si="1132"/>
        <v>0</v>
      </c>
      <c r="DY484" s="79">
        <v>1</v>
      </c>
      <c r="DZ484" s="79">
        <f t="shared" si="1133"/>
        <v>0</v>
      </c>
      <c r="EA484" s="79">
        <f t="shared" si="1134"/>
        <v>0</v>
      </c>
      <c r="EB484" s="79">
        <f t="shared" si="1135"/>
        <v>0</v>
      </c>
      <c r="EC484" s="79">
        <f t="shared" si="1136"/>
        <v>0</v>
      </c>
      <c r="ED484" s="79">
        <v>1</v>
      </c>
      <c r="EE484" s="79">
        <v>1</v>
      </c>
      <c r="EF484" s="79">
        <f t="shared" si="1137"/>
        <v>0</v>
      </c>
      <c r="EG484" s="79">
        <v>1</v>
      </c>
      <c r="EH484" s="79">
        <v>1</v>
      </c>
      <c r="EI484" s="79">
        <v>1</v>
      </c>
      <c r="EJ484" s="79">
        <v>1</v>
      </c>
      <c r="EK484" s="79">
        <v>1</v>
      </c>
      <c r="EL484" s="79">
        <v>1</v>
      </c>
      <c r="EM484" s="143">
        <f t="shared" si="1138"/>
        <v>0</v>
      </c>
      <c r="EN484" s="143">
        <f t="shared" si="1139"/>
        <v>0</v>
      </c>
      <c r="EO484" s="82">
        <f t="shared" si="1140"/>
        <v>0</v>
      </c>
    </row>
    <row r="485" spans="1:145" x14ac:dyDescent="0.25">
      <c r="A485">
        <v>471</v>
      </c>
      <c r="B485" s="172" t="e">
        <f t="shared" si="1110"/>
        <v>#N/A</v>
      </c>
      <c r="C485" s="121" t="e">
        <f t="shared" ref="C485:E485" si="1180">AJ485-SUM(AB485:AB489)</f>
        <v>#N/A</v>
      </c>
      <c r="D485" s="122" t="e">
        <f t="shared" si="1180"/>
        <v>#N/A</v>
      </c>
      <c r="E485" s="122" t="e">
        <f t="shared" si="1180"/>
        <v>#N/A</v>
      </c>
      <c r="F485" s="176" t="e">
        <f t="shared" si="1092"/>
        <v>#N/A</v>
      </c>
      <c r="G485" s="121">
        <f t="shared" si="1112"/>
        <v>208</v>
      </c>
      <c r="H485" s="176" t="e">
        <f t="shared" si="1113"/>
        <v>#N/A</v>
      </c>
      <c r="I485" s="48">
        <v>1</v>
      </c>
      <c r="J485" s="39"/>
      <c r="K485" s="350">
        <v>1</v>
      </c>
      <c r="L485" s="34" t="e">
        <f t="shared" si="1093"/>
        <v>#N/A</v>
      </c>
      <c r="M485" s="38" t="e">
        <f>(HLOOKUP(J485,'Construction Times'!$B$3:$W$34,L485+2,FALSE)*HLOOKUP("hq modifier",'Construction Times'!$W$3:$W$34,BS485+2,FALSE))*(1-$H$9)</f>
        <v>#N/A</v>
      </c>
      <c r="N485" s="426" t="e">
        <f t="shared" si="1114"/>
        <v>#N/A</v>
      </c>
      <c r="O485" s="427"/>
      <c r="P485" s="430" t="e">
        <f t="shared" si="1115"/>
        <v>#N/A</v>
      </c>
      <c r="Q485" s="431"/>
      <c r="R485" s="103">
        <f t="shared" si="1142"/>
        <v>0</v>
      </c>
      <c r="S485" s="104">
        <f t="shared" si="1142"/>
        <v>0</v>
      </c>
      <c r="T485" s="104">
        <f t="shared" si="1143"/>
        <v>0</v>
      </c>
      <c r="U485" s="104">
        <f t="shared" si="1143"/>
        <v>0</v>
      </c>
      <c r="V485" s="104">
        <f t="shared" si="1143"/>
        <v>9.9999999999999995E-8</v>
      </c>
      <c r="W485" s="104">
        <f t="shared" si="1143"/>
        <v>0</v>
      </c>
      <c r="X485" s="104">
        <f t="shared" si="1089"/>
        <v>0</v>
      </c>
      <c r="Y485" s="104">
        <f t="shared" si="1089"/>
        <v>9.9999999999999995E-8</v>
      </c>
      <c r="Z485" s="104">
        <f t="shared" si="1089"/>
        <v>9.9999999999999995E-8</v>
      </c>
      <c r="AA485" s="105">
        <f t="shared" si="1089"/>
        <v>9.9999999999999995E-8</v>
      </c>
      <c r="AB485" s="101" t="e">
        <f>$DT485*HLOOKUP($J485,'Construction Costs (timber)'!$B$1:$V$32,'Construction Planner'!$L485+2,FALSE)</f>
        <v>#N/A</v>
      </c>
      <c r="AC485" s="14" t="e">
        <f>$DT485*HLOOKUP($J485,'Construction Costs (clay)'!$B$1:$V$32,'Construction Planner'!$L485+2,FALSE)</f>
        <v>#N/A</v>
      </c>
      <c r="AD485" s="14" t="e">
        <f>$DT485*HLOOKUP($J485,'Construction Costs (iron)'!$B$1:$V$32,'Construction Planner'!$L485+2,FALSE)</f>
        <v>#N/A</v>
      </c>
      <c r="AE485" s="34" t="e">
        <f t="shared" si="1155"/>
        <v>#N/A</v>
      </c>
      <c r="AF485" s="33" t="e">
        <f t="shared" si="1094"/>
        <v>#N/A</v>
      </c>
      <c r="AG485" s="14" t="e">
        <f t="shared" si="1095"/>
        <v>#N/A</v>
      </c>
      <c r="AH485" s="14" t="e">
        <f t="shared" si="1096"/>
        <v>#N/A</v>
      </c>
      <c r="AI485" s="34" t="e">
        <f t="shared" si="1156"/>
        <v>#N/A</v>
      </c>
      <c r="AJ485" s="49" t="e">
        <f t="shared" si="1116"/>
        <v>#N/A</v>
      </c>
      <c r="AK485" s="49" t="e">
        <f t="shared" si="1117"/>
        <v>#N/A</v>
      </c>
      <c r="AL485" s="49" t="e">
        <f t="shared" si="1118"/>
        <v>#N/A</v>
      </c>
      <c r="AM485" s="25">
        <f t="shared" si="1097"/>
        <v>30</v>
      </c>
      <c r="AN485" s="25">
        <f t="shared" si="1098"/>
        <v>30</v>
      </c>
      <c r="AO485" s="25">
        <f t="shared" si="1099"/>
        <v>30</v>
      </c>
      <c r="AP485" s="52" t="e">
        <f t="shared" si="1119"/>
        <v>#N/A</v>
      </c>
      <c r="AQ485" s="53" t="e">
        <f t="shared" si="1119"/>
        <v>#N/A</v>
      </c>
      <c r="AR485" s="54" t="e">
        <f t="shared" si="1119"/>
        <v>#N/A</v>
      </c>
      <c r="AS485" s="316">
        <f t="shared" si="1179"/>
        <v>0</v>
      </c>
      <c r="AT485" s="106">
        <f>_xlfn.IFNA($M485/VLOOKUP($BT485,'Unit information'!$A$2:$K$29,2,FALSE)*R485,0)*(1+$E$9)</f>
        <v>0</v>
      </c>
      <c r="AU485" s="107">
        <f>_xlfn.IFNA($M485/VLOOKUP($BT485,'Unit information'!$A$2:$K$29,3,FALSE)*S485,0)*(1+$E$9)</f>
        <v>0</v>
      </c>
      <c r="AV485" s="107">
        <f>_xlfn.IFNA($M485/VLOOKUP($BT485,'Unit information'!$A$2:$K$29,4,FALSE)*T485,0)*(1+$E$9)</f>
        <v>0</v>
      </c>
      <c r="AW485" s="107">
        <f>_xlfn.IFNA($M485/VLOOKUP($BT485,'Unit information'!$A$2:$K$29,5,FALSE)*U485,0)*(1+$E$9)</f>
        <v>0</v>
      </c>
      <c r="AX485" s="107">
        <f>_xlfn.IFNA($M485/VLOOKUP($BU485,'Unit information'!$A$2:$K$29,6,FALSE)*V485,0)*(1+$E$9)</f>
        <v>0</v>
      </c>
      <c r="AY485" s="107">
        <f>_xlfn.IFNA($M485/VLOOKUP($BU485,'Unit information'!$A$2:$K$29,7,FALSE)*W485,0)*(1+$E$9)</f>
        <v>0</v>
      </c>
      <c r="AZ485" s="107">
        <f>_xlfn.IFNA($M485/VLOOKUP($BU485,'Unit information'!$A$2:$K$29,8,FALSE)*X485,0)*(1+$E$9)</f>
        <v>0</v>
      </c>
      <c r="BA485" s="107">
        <f>_xlfn.IFNA($M485/VLOOKUP($BU485,'Unit information'!$A$2:$K$29,9,FALSE)*Y485,0)*(1+$E$9)</f>
        <v>0</v>
      </c>
      <c r="BB485" s="107">
        <f>_xlfn.IFNA($M485/VLOOKUP($BV485,'Unit information'!$A$2:$K$29,10,FALSE)*Z485,0)*(1+$E$9)</f>
        <v>0</v>
      </c>
      <c r="BC485" s="108">
        <f>_xlfn.IFNA($M485/VLOOKUP($BV485,'Unit information'!$A$2:$K$29,11,FALSE)*AA485,0)*(1+$E$9)</f>
        <v>0</v>
      </c>
      <c r="BD485" s="106">
        <f t="shared" si="1100"/>
        <v>0</v>
      </c>
      <c r="BE485" s="107">
        <f t="shared" si="1101"/>
        <v>0</v>
      </c>
      <c r="BF485" s="108">
        <f t="shared" si="1102"/>
        <v>0</v>
      </c>
      <c r="BG485" s="25" t="e">
        <f t="shared" si="1103"/>
        <v>#N/A</v>
      </c>
      <c r="BH485" s="25" t="e">
        <f t="shared" si="1104"/>
        <v>#N/A</v>
      </c>
      <c r="BI485" s="25" t="e">
        <f t="shared" si="1105"/>
        <v>#N/A</v>
      </c>
      <c r="BJ485" s="27" t="e">
        <f t="shared" si="1106"/>
        <v>#N/A</v>
      </c>
      <c r="BK485" s="18" t="e">
        <f t="shared" si="1107"/>
        <v>#N/A</v>
      </c>
      <c r="BL485" s="18" t="e">
        <f t="shared" si="1108"/>
        <v>#N/A</v>
      </c>
      <c r="BM485" s="28" t="e">
        <f t="shared" si="1158"/>
        <v>#N/A</v>
      </c>
      <c r="BN485" s="33">
        <f>HLOOKUP("maximum population",Miscelaneous!$C$1:$C$33,CH485+3,FALSE)</f>
        <v>240</v>
      </c>
      <c r="BO485" s="14">
        <f t="shared" si="1120"/>
        <v>32</v>
      </c>
      <c r="BP485" s="14">
        <f t="shared" si="1121"/>
        <v>0</v>
      </c>
      <c r="BQ485" s="14">
        <f t="shared" si="1122"/>
        <v>208</v>
      </c>
      <c r="BR485" s="34" t="e">
        <f>HLOOKUP(J485,Villagers!$B$1:$V$33,L485+3,FALSE)-HLOOKUP(J485,Villagers!$B$1:$V$33,L485+2,FALSE)</f>
        <v>#N/A</v>
      </c>
      <c r="BS485" s="49">
        <f t="shared" si="1173"/>
        <v>1</v>
      </c>
      <c r="BT485" s="50">
        <f t="shared" si="1173"/>
        <v>0</v>
      </c>
      <c r="BU485" s="50">
        <f t="shared" si="1173"/>
        <v>0</v>
      </c>
      <c r="BV485" s="50">
        <f t="shared" si="1173"/>
        <v>0</v>
      </c>
      <c r="BW485" s="50">
        <f t="shared" si="1162"/>
        <v>0</v>
      </c>
      <c r="BX485" s="50">
        <f t="shared" si="1163"/>
        <v>0</v>
      </c>
      <c r="BY485" s="50">
        <f t="shared" si="1163"/>
        <v>0</v>
      </c>
      <c r="BZ485" s="50">
        <f t="shared" si="1173"/>
        <v>0</v>
      </c>
      <c r="CA485" s="50">
        <f t="shared" si="1173"/>
        <v>0</v>
      </c>
      <c r="CB485" s="50">
        <f t="shared" si="1173"/>
        <v>1</v>
      </c>
      <c r="CC485" s="50">
        <f t="shared" si="1173"/>
        <v>0</v>
      </c>
      <c r="CD485" s="50">
        <f t="shared" si="1173"/>
        <v>0</v>
      </c>
      <c r="CE485" s="50">
        <f t="shared" si="1173"/>
        <v>1</v>
      </c>
      <c r="CF485" s="50">
        <f t="shared" si="1173"/>
        <v>1</v>
      </c>
      <c r="CG485" s="50">
        <f t="shared" si="1173"/>
        <v>1</v>
      </c>
      <c r="CH485" s="50">
        <f t="shared" si="1173"/>
        <v>1</v>
      </c>
      <c r="CI485" s="50">
        <f t="shared" si="1173"/>
        <v>1</v>
      </c>
      <c r="CJ485" s="50">
        <f t="shared" si="1173"/>
        <v>1</v>
      </c>
      <c r="CK485" s="50">
        <f t="shared" si="1174"/>
        <v>0</v>
      </c>
      <c r="CL485" s="50">
        <f t="shared" si="1174"/>
        <v>0</v>
      </c>
      <c r="CM485" s="51">
        <f t="shared" si="1173"/>
        <v>0</v>
      </c>
      <c r="CN485" s="33">
        <f>ROUND(IF(BS485=0,0,HLOOKUP(BS$14,Villagers!$B$1:$V$33,BS485+3,FALSE)),)</f>
        <v>5</v>
      </c>
      <c r="CO485" s="14">
        <f>ROUND(IF(BT485=0,0,HLOOKUP(BT$14,Villagers!$B$1:$V$33,BT485+3,FALSE)),)</f>
        <v>0</v>
      </c>
      <c r="CP485" s="14">
        <f>ROUND(IF(BU485=0,0,HLOOKUP(BU$14,Villagers!$B$1:$V$33,BU485+3,FALSE)),)</f>
        <v>0</v>
      </c>
      <c r="CQ485" s="14">
        <f>ROUND(IF(BV485=0,0,HLOOKUP(BV$14,Villagers!$B$1:$V$33,BV485+3,FALSE)),)</f>
        <v>0</v>
      </c>
      <c r="CR485" s="14">
        <f>ROUND(IF(BW485=0,0,HLOOKUP(BW$14,Villagers!$B$1:$V$33,BW485+3,FALSE)),)</f>
        <v>0</v>
      </c>
      <c r="CS485" s="14">
        <f>ROUND(IF(BX485=0,0,HLOOKUP(BX$14,Villagers!$B$1:$V$33,BX485+3,FALSE)),)</f>
        <v>0</v>
      </c>
      <c r="CT485" s="14">
        <f>ROUND(IF(BY485=0,0,HLOOKUP(BY$14,Villagers!$B$1:$V$33,BY485+3,FALSE)),)</f>
        <v>0</v>
      </c>
      <c r="CU485" s="14">
        <f>ROUND(IF(BZ485=0,0,HLOOKUP(BZ$14,Villagers!$B$1:$V$33,BZ485+3,FALSE)),)</f>
        <v>0</v>
      </c>
      <c r="CV485" s="14">
        <f>ROUND(IF(CA485=0,0,HLOOKUP(CA$14,Villagers!$B$1:$V$33,CA485+3,FALSE)),)</f>
        <v>0</v>
      </c>
      <c r="CW485" s="14">
        <f>ROUND(IF(CB485=0,0,HLOOKUP(CB$14,Villagers!$B$1:$V$33,CB485+3,FALSE)),)</f>
        <v>0</v>
      </c>
      <c r="CX485" s="14">
        <f>ROUND(IF(CC485=0,0,HLOOKUP(CC$14,Villagers!$B$1:$V$33,CC485+3,FALSE)),)</f>
        <v>0</v>
      </c>
      <c r="CY485" s="14">
        <f>ROUND(IF(CD485=0,0,HLOOKUP(CD$14,Villagers!$B$1:$V$33,CD485+3,FALSE)),)</f>
        <v>0</v>
      </c>
      <c r="CZ485" s="14">
        <f>ROUND(IF(CE485=0,0,HLOOKUP(CE$14,Villagers!$B$1:$V$33,CE485+3,FALSE)),)</f>
        <v>5</v>
      </c>
      <c r="DA485" s="14">
        <f>ROUND(IF(CF485=0,0,HLOOKUP(CF$14,Villagers!$B$1:$V$33,CF485+3,FALSE)),)</f>
        <v>10</v>
      </c>
      <c r="DB485" s="14">
        <f>ROUND(IF(CG485=0,0,HLOOKUP(CG$14,Villagers!$B$1:$V$33,CG485+3,FALSE)),)</f>
        <v>10</v>
      </c>
      <c r="DC485" s="14">
        <f>ROUND(IF(CH485=0,0,HLOOKUP(CH$14,Villagers!$B$1:$V$33,CH485+3,FALSE)),)</f>
        <v>0</v>
      </c>
      <c r="DD485" s="14">
        <f>ROUND(IF(CI485=0,0,HLOOKUP(CI$14,Villagers!$B$1:$V$33,CI485+3,FALSE)),)</f>
        <v>0</v>
      </c>
      <c r="DE485" s="14">
        <f>ROUND(IF(CJ485=0,0,HLOOKUP(CJ$14,Villagers!$B$1:$V$33,CJ485+3,FALSE)),)</f>
        <v>2</v>
      </c>
      <c r="DF485" s="370">
        <f>ROUND(IF(CK485=0,0,HLOOKUP(CK$14,Villagers!$B$1:$V$33,CK485+3,FALSE)),)</f>
        <v>0</v>
      </c>
      <c r="DG485" s="370">
        <f>ROUND(IF(CL485=0,0,HLOOKUP(CL$14,Villagers!$B$1:$V$33,CL485+3,FALSE)),)</f>
        <v>0</v>
      </c>
      <c r="DH485" s="34">
        <f>ROUND(IF(CM485=0,0,HLOOKUP(CM$14,Villagers!$B$1:$V$33,CM485+3,FALSE)),)</f>
        <v>0</v>
      </c>
      <c r="DI485" s="109">
        <f t="shared" si="1144"/>
        <v>0</v>
      </c>
      <c r="DJ485" s="50">
        <f t="shared" si="1145"/>
        <v>0</v>
      </c>
      <c r="DK485" s="50">
        <f t="shared" si="1146"/>
        <v>0</v>
      </c>
      <c r="DL485" s="50">
        <f t="shared" si="1147"/>
        <v>0</v>
      </c>
      <c r="DM485" s="50">
        <f t="shared" si="1148"/>
        <v>0</v>
      </c>
      <c r="DN485" s="50">
        <f t="shared" si="1149"/>
        <v>0</v>
      </c>
      <c r="DO485" s="50">
        <f t="shared" si="1150"/>
        <v>0</v>
      </c>
      <c r="DP485" s="50">
        <f t="shared" si="1151"/>
        <v>0</v>
      </c>
      <c r="DQ485" s="50">
        <f t="shared" si="1128"/>
        <v>0</v>
      </c>
      <c r="DR485" s="50">
        <f t="shared" si="1129"/>
        <v>0</v>
      </c>
      <c r="DS485" s="96">
        <f>Miscelaneous!$D$4*Miscelaneous!$D$2^($CI485-1)</f>
        <v>1000</v>
      </c>
      <c r="DT485" s="333">
        <f t="shared" si="1109"/>
        <v>1</v>
      </c>
      <c r="DU485" s="81">
        <v>1</v>
      </c>
      <c r="DV485" s="79">
        <f t="shared" si="1130"/>
        <v>0</v>
      </c>
      <c r="DW485" s="79">
        <f t="shared" si="1131"/>
        <v>0</v>
      </c>
      <c r="DX485" s="79">
        <f t="shared" si="1132"/>
        <v>0</v>
      </c>
      <c r="DY485" s="79">
        <v>1</v>
      </c>
      <c r="DZ485" s="79">
        <f t="shared" si="1133"/>
        <v>0</v>
      </c>
      <c r="EA485" s="79">
        <f t="shared" si="1134"/>
        <v>0</v>
      </c>
      <c r="EB485" s="79">
        <f t="shared" si="1135"/>
        <v>0</v>
      </c>
      <c r="EC485" s="79">
        <f t="shared" si="1136"/>
        <v>0</v>
      </c>
      <c r="ED485" s="79">
        <v>1</v>
      </c>
      <c r="EE485" s="79">
        <v>1</v>
      </c>
      <c r="EF485" s="79">
        <f t="shared" si="1137"/>
        <v>0</v>
      </c>
      <c r="EG485" s="79">
        <v>1</v>
      </c>
      <c r="EH485" s="79">
        <v>1</v>
      </c>
      <c r="EI485" s="79">
        <v>1</v>
      </c>
      <c r="EJ485" s="79">
        <v>1</v>
      </c>
      <c r="EK485" s="79">
        <v>1</v>
      </c>
      <c r="EL485" s="79">
        <v>1</v>
      </c>
      <c r="EM485" s="143">
        <f t="shared" si="1138"/>
        <v>0</v>
      </c>
      <c r="EN485" s="143">
        <f t="shared" si="1139"/>
        <v>0</v>
      </c>
      <c r="EO485" s="82">
        <f t="shared" si="1140"/>
        <v>0</v>
      </c>
    </row>
    <row r="486" spans="1:145" x14ac:dyDescent="0.25">
      <c r="A486">
        <v>472</v>
      </c>
      <c r="B486" s="172" t="e">
        <f t="shared" si="1110"/>
        <v>#N/A</v>
      </c>
      <c r="C486" s="121" t="e">
        <f t="shared" ref="C486:E486" si="1181">AJ486-SUM(AB486:AB490)</f>
        <v>#N/A</v>
      </c>
      <c r="D486" s="122" t="e">
        <f t="shared" si="1181"/>
        <v>#N/A</v>
      </c>
      <c r="E486" s="122" t="e">
        <f t="shared" si="1181"/>
        <v>#N/A</v>
      </c>
      <c r="F486" s="176" t="e">
        <f t="shared" si="1092"/>
        <v>#N/A</v>
      </c>
      <c r="G486" s="121">
        <f t="shared" si="1112"/>
        <v>208</v>
      </c>
      <c r="H486" s="176" t="e">
        <f t="shared" si="1113"/>
        <v>#N/A</v>
      </c>
      <c r="I486" s="48">
        <v>1</v>
      </c>
      <c r="J486" s="39"/>
      <c r="K486" s="350">
        <v>1</v>
      </c>
      <c r="L486" s="34" t="e">
        <f t="shared" si="1093"/>
        <v>#N/A</v>
      </c>
      <c r="M486" s="38" t="e">
        <f>(HLOOKUP(J486,'Construction Times'!$B$3:$W$34,L486+2,FALSE)*HLOOKUP("hq modifier",'Construction Times'!$W$3:$W$34,BS486+2,FALSE))*(1-$H$9)</f>
        <v>#N/A</v>
      </c>
      <c r="N486" s="426" t="e">
        <f t="shared" si="1114"/>
        <v>#N/A</v>
      </c>
      <c r="O486" s="427"/>
      <c r="P486" s="430" t="e">
        <f t="shared" si="1115"/>
        <v>#N/A</v>
      </c>
      <c r="Q486" s="431"/>
      <c r="R486" s="103">
        <f t="shared" si="1142"/>
        <v>0</v>
      </c>
      <c r="S486" s="104">
        <f t="shared" si="1142"/>
        <v>0</v>
      </c>
      <c r="T486" s="104">
        <f t="shared" si="1143"/>
        <v>0</v>
      </c>
      <c r="U486" s="104">
        <f t="shared" si="1143"/>
        <v>0</v>
      </c>
      <c r="V486" s="104">
        <f t="shared" si="1143"/>
        <v>9.9999999999999995E-8</v>
      </c>
      <c r="W486" s="104">
        <f t="shared" si="1143"/>
        <v>0</v>
      </c>
      <c r="X486" s="104">
        <f t="shared" si="1089"/>
        <v>0</v>
      </c>
      <c r="Y486" s="104">
        <f t="shared" si="1089"/>
        <v>9.9999999999999995E-8</v>
      </c>
      <c r="Z486" s="104">
        <f t="shared" si="1089"/>
        <v>9.9999999999999995E-8</v>
      </c>
      <c r="AA486" s="105">
        <f t="shared" si="1089"/>
        <v>9.9999999999999995E-8</v>
      </c>
      <c r="AB486" s="101" t="e">
        <f>$DT486*HLOOKUP($J486,'Construction Costs (timber)'!$B$1:$V$32,'Construction Planner'!$L486+2,FALSE)</f>
        <v>#N/A</v>
      </c>
      <c r="AC486" s="14" t="e">
        <f>$DT486*HLOOKUP($J486,'Construction Costs (clay)'!$B$1:$V$32,'Construction Planner'!$L486+2,FALSE)</f>
        <v>#N/A</v>
      </c>
      <c r="AD486" s="14" t="e">
        <f>$DT486*HLOOKUP($J486,'Construction Costs (iron)'!$B$1:$V$32,'Construction Planner'!$L486+2,FALSE)</f>
        <v>#N/A</v>
      </c>
      <c r="AE486" s="34" t="e">
        <f t="shared" si="1155"/>
        <v>#N/A</v>
      </c>
      <c r="AF486" s="33" t="e">
        <f t="shared" si="1094"/>
        <v>#N/A</v>
      </c>
      <c r="AG486" s="14" t="e">
        <f t="shared" si="1095"/>
        <v>#N/A</v>
      </c>
      <c r="AH486" s="14" t="e">
        <f t="shared" si="1096"/>
        <v>#N/A</v>
      </c>
      <c r="AI486" s="34" t="e">
        <f t="shared" si="1156"/>
        <v>#N/A</v>
      </c>
      <c r="AJ486" s="49" t="e">
        <f t="shared" si="1116"/>
        <v>#N/A</v>
      </c>
      <c r="AK486" s="49" t="e">
        <f t="shared" si="1117"/>
        <v>#N/A</v>
      </c>
      <c r="AL486" s="49" t="e">
        <f t="shared" si="1118"/>
        <v>#N/A</v>
      </c>
      <c r="AM486" s="25">
        <f t="shared" si="1097"/>
        <v>30</v>
      </c>
      <c r="AN486" s="25">
        <f t="shared" si="1098"/>
        <v>30</v>
      </c>
      <c r="AO486" s="25">
        <f t="shared" si="1099"/>
        <v>30</v>
      </c>
      <c r="AP486" s="52" t="e">
        <f t="shared" si="1119"/>
        <v>#N/A</v>
      </c>
      <c r="AQ486" s="53" t="e">
        <f t="shared" si="1119"/>
        <v>#N/A</v>
      </c>
      <c r="AR486" s="54" t="e">
        <f t="shared" si="1119"/>
        <v>#N/A</v>
      </c>
      <c r="AS486" s="316">
        <f t="shared" si="1179"/>
        <v>0</v>
      </c>
      <c r="AT486" s="106">
        <f>_xlfn.IFNA($M486/VLOOKUP($BT486,'Unit information'!$A$2:$K$29,2,FALSE)*R486,0)*(1+$E$9)</f>
        <v>0</v>
      </c>
      <c r="AU486" s="107">
        <f>_xlfn.IFNA($M486/VLOOKUP($BT486,'Unit information'!$A$2:$K$29,3,FALSE)*S486,0)*(1+$E$9)</f>
        <v>0</v>
      </c>
      <c r="AV486" s="107">
        <f>_xlfn.IFNA($M486/VLOOKUP($BT486,'Unit information'!$A$2:$K$29,4,FALSE)*T486,0)*(1+$E$9)</f>
        <v>0</v>
      </c>
      <c r="AW486" s="107">
        <f>_xlfn.IFNA($M486/VLOOKUP($BT486,'Unit information'!$A$2:$K$29,5,FALSE)*U486,0)*(1+$E$9)</f>
        <v>0</v>
      </c>
      <c r="AX486" s="107">
        <f>_xlfn.IFNA($M486/VLOOKUP($BU486,'Unit information'!$A$2:$K$29,6,FALSE)*V486,0)*(1+$E$9)</f>
        <v>0</v>
      </c>
      <c r="AY486" s="107">
        <f>_xlfn.IFNA($M486/VLOOKUP($BU486,'Unit information'!$A$2:$K$29,7,FALSE)*W486,0)*(1+$E$9)</f>
        <v>0</v>
      </c>
      <c r="AZ486" s="107">
        <f>_xlfn.IFNA($M486/VLOOKUP($BU486,'Unit information'!$A$2:$K$29,8,FALSE)*X486,0)*(1+$E$9)</f>
        <v>0</v>
      </c>
      <c r="BA486" s="107">
        <f>_xlfn.IFNA($M486/VLOOKUP($BU486,'Unit information'!$A$2:$K$29,9,FALSE)*Y486,0)*(1+$E$9)</f>
        <v>0</v>
      </c>
      <c r="BB486" s="107">
        <f>_xlfn.IFNA($M486/VLOOKUP($BV486,'Unit information'!$A$2:$K$29,10,FALSE)*Z486,0)*(1+$E$9)</f>
        <v>0</v>
      </c>
      <c r="BC486" s="108">
        <f>_xlfn.IFNA($M486/VLOOKUP($BV486,'Unit information'!$A$2:$K$29,11,FALSE)*AA486,0)*(1+$E$9)</f>
        <v>0</v>
      </c>
      <c r="BD486" s="106">
        <f t="shared" si="1100"/>
        <v>0</v>
      </c>
      <c r="BE486" s="107">
        <f t="shared" si="1101"/>
        <v>0</v>
      </c>
      <c r="BF486" s="108">
        <f t="shared" si="1102"/>
        <v>0</v>
      </c>
      <c r="BG486" s="25" t="e">
        <f t="shared" si="1103"/>
        <v>#N/A</v>
      </c>
      <c r="BH486" s="25" t="e">
        <f t="shared" si="1104"/>
        <v>#N/A</v>
      </c>
      <c r="BI486" s="25" t="e">
        <f t="shared" si="1105"/>
        <v>#N/A</v>
      </c>
      <c r="BJ486" s="27" t="e">
        <f t="shared" si="1106"/>
        <v>#N/A</v>
      </c>
      <c r="BK486" s="18" t="e">
        <f t="shared" si="1107"/>
        <v>#N/A</v>
      </c>
      <c r="BL486" s="18" t="e">
        <f t="shared" si="1108"/>
        <v>#N/A</v>
      </c>
      <c r="BM486" s="28" t="e">
        <f t="shared" si="1158"/>
        <v>#N/A</v>
      </c>
      <c r="BN486" s="33">
        <f>HLOOKUP("maximum population",Miscelaneous!$C$1:$C$33,CH486+3,FALSE)</f>
        <v>240</v>
      </c>
      <c r="BO486" s="14">
        <f t="shared" si="1120"/>
        <v>32</v>
      </c>
      <c r="BP486" s="14">
        <f t="shared" si="1121"/>
        <v>0</v>
      </c>
      <c r="BQ486" s="14">
        <f t="shared" si="1122"/>
        <v>208</v>
      </c>
      <c r="BR486" s="34" t="e">
        <f>HLOOKUP(J486,Villagers!$B$1:$V$33,L486+3,FALSE)-HLOOKUP(J486,Villagers!$B$1:$V$33,L486+2,FALSE)</f>
        <v>#N/A</v>
      </c>
      <c r="BS486" s="49">
        <f t="shared" si="1173"/>
        <v>1</v>
      </c>
      <c r="BT486" s="50">
        <f t="shared" si="1173"/>
        <v>0</v>
      </c>
      <c r="BU486" s="50">
        <f t="shared" si="1173"/>
        <v>0</v>
      </c>
      <c r="BV486" s="50">
        <f t="shared" si="1173"/>
        <v>0</v>
      </c>
      <c r="BW486" s="50">
        <f t="shared" si="1162"/>
        <v>0</v>
      </c>
      <c r="BX486" s="50">
        <f t="shared" si="1163"/>
        <v>0</v>
      </c>
      <c r="BY486" s="50">
        <f t="shared" si="1163"/>
        <v>0</v>
      </c>
      <c r="BZ486" s="50">
        <f t="shared" si="1173"/>
        <v>0</v>
      </c>
      <c r="CA486" s="50">
        <f t="shared" si="1173"/>
        <v>0</v>
      </c>
      <c r="CB486" s="50">
        <f t="shared" si="1173"/>
        <v>1</v>
      </c>
      <c r="CC486" s="50">
        <f t="shared" si="1173"/>
        <v>0</v>
      </c>
      <c r="CD486" s="50">
        <f t="shared" si="1173"/>
        <v>0</v>
      </c>
      <c r="CE486" s="50">
        <f t="shared" si="1173"/>
        <v>1</v>
      </c>
      <c r="CF486" s="50">
        <f t="shared" si="1173"/>
        <v>1</v>
      </c>
      <c r="CG486" s="50">
        <f t="shared" si="1173"/>
        <v>1</v>
      </c>
      <c r="CH486" s="50">
        <f t="shared" si="1173"/>
        <v>1</v>
      </c>
      <c r="CI486" s="50">
        <f t="shared" si="1173"/>
        <v>1</v>
      </c>
      <c r="CJ486" s="50">
        <f t="shared" si="1173"/>
        <v>1</v>
      </c>
      <c r="CK486" s="50">
        <f t="shared" si="1174"/>
        <v>0</v>
      </c>
      <c r="CL486" s="50">
        <f t="shared" si="1174"/>
        <v>0</v>
      </c>
      <c r="CM486" s="51">
        <f t="shared" si="1173"/>
        <v>0</v>
      </c>
      <c r="CN486" s="33">
        <f>ROUND(IF(BS486=0,0,HLOOKUP(BS$14,Villagers!$B$1:$V$33,BS486+3,FALSE)),)</f>
        <v>5</v>
      </c>
      <c r="CO486" s="14">
        <f>ROUND(IF(BT486=0,0,HLOOKUP(BT$14,Villagers!$B$1:$V$33,BT486+3,FALSE)),)</f>
        <v>0</v>
      </c>
      <c r="CP486" s="14">
        <f>ROUND(IF(BU486=0,0,HLOOKUP(BU$14,Villagers!$B$1:$V$33,BU486+3,FALSE)),)</f>
        <v>0</v>
      </c>
      <c r="CQ486" s="14">
        <f>ROUND(IF(BV486=0,0,HLOOKUP(BV$14,Villagers!$B$1:$V$33,BV486+3,FALSE)),)</f>
        <v>0</v>
      </c>
      <c r="CR486" s="14">
        <f>ROUND(IF(BW486=0,0,HLOOKUP(BW$14,Villagers!$B$1:$V$33,BW486+3,FALSE)),)</f>
        <v>0</v>
      </c>
      <c r="CS486" s="14">
        <f>ROUND(IF(BX486=0,0,HLOOKUP(BX$14,Villagers!$B$1:$V$33,BX486+3,FALSE)),)</f>
        <v>0</v>
      </c>
      <c r="CT486" s="14">
        <f>ROUND(IF(BY486=0,0,HLOOKUP(BY$14,Villagers!$B$1:$V$33,BY486+3,FALSE)),)</f>
        <v>0</v>
      </c>
      <c r="CU486" s="14">
        <f>ROUND(IF(BZ486=0,0,HLOOKUP(BZ$14,Villagers!$B$1:$V$33,BZ486+3,FALSE)),)</f>
        <v>0</v>
      </c>
      <c r="CV486" s="14">
        <f>ROUND(IF(CA486=0,0,HLOOKUP(CA$14,Villagers!$B$1:$V$33,CA486+3,FALSE)),)</f>
        <v>0</v>
      </c>
      <c r="CW486" s="14">
        <f>ROUND(IF(CB486=0,0,HLOOKUP(CB$14,Villagers!$B$1:$V$33,CB486+3,FALSE)),)</f>
        <v>0</v>
      </c>
      <c r="CX486" s="14">
        <f>ROUND(IF(CC486=0,0,HLOOKUP(CC$14,Villagers!$B$1:$V$33,CC486+3,FALSE)),)</f>
        <v>0</v>
      </c>
      <c r="CY486" s="14">
        <f>ROUND(IF(CD486=0,0,HLOOKUP(CD$14,Villagers!$B$1:$V$33,CD486+3,FALSE)),)</f>
        <v>0</v>
      </c>
      <c r="CZ486" s="14">
        <f>ROUND(IF(CE486=0,0,HLOOKUP(CE$14,Villagers!$B$1:$V$33,CE486+3,FALSE)),)</f>
        <v>5</v>
      </c>
      <c r="DA486" s="14">
        <f>ROUND(IF(CF486=0,0,HLOOKUP(CF$14,Villagers!$B$1:$V$33,CF486+3,FALSE)),)</f>
        <v>10</v>
      </c>
      <c r="DB486" s="14">
        <f>ROUND(IF(CG486=0,0,HLOOKUP(CG$14,Villagers!$B$1:$V$33,CG486+3,FALSE)),)</f>
        <v>10</v>
      </c>
      <c r="DC486" s="14">
        <f>ROUND(IF(CH486=0,0,HLOOKUP(CH$14,Villagers!$B$1:$V$33,CH486+3,FALSE)),)</f>
        <v>0</v>
      </c>
      <c r="DD486" s="14">
        <f>ROUND(IF(CI486=0,0,HLOOKUP(CI$14,Villagers!$B$1:$V$33,CI486+3,FALSE)),)</f>
        <v>0</v>
      </c>
      <c r="DE486" s="14">
        <f>ROUND(IF(CJ486=0,0,HLOOKUP(CJ$14,Villagers!$B$1:$V$33,CJ486+3,FALSE)),)</f>
        <v>2</v>
      </c>
      <c r="DF486" s="370">
        <f>ROUND(IF(CK486=0,0,HLOOKUP(CK$14,Villagers!$B$1:$V$33,CK486+3,FALSE)),)</f>
        <v>0</v>
      </c>
      <c r="DG486" s="370">
        <f>ROUND(IF(CL486=0,0,HLOOKUP(CL$14,Villagers!$B$1:$V$33,CL486+3,FALSE)),)</f>
        <v>0</v>
      </c>
      <c r="DH486" s="34">
        <f>ROUND(IF(CM486=0,0,HLOOKUP(CM$14,Villagers!$B$1:$V$33,CM486+3,FALSE)),)</f>
        <v>0</v>
      </c>
      <c r="DI486" s="109">
        <f t="shared" si="1144"/>
        <v>0</v>
      </c>
      <c r="DJ486" s="50">
        <f t="shared" si="1145"/>
        <v>0</v>
      </c>
      <c r="DK486" s="50">
        <f t="shared" si="1146"/>
        <v>0</v>
      </c>
      <c r="DL486" s="50">
        <f t="shared" si="1147"/>
        <v>0</v>
      </c>
      <c r="DM486" s="50">
        <f t="shared" si="1148"/>
        <v>0</v>
      </c>
      <c r="DN486" s="50">
        <f t="shared" si="1149"/>
        <v>0</v>
      </c>
      <c r="DO486" s="50">
        <f t="shared" si="1150"/>
        <v>0</v>
      </c>
      <c r="DP486" s="50">
        <f t="shared" si="1151"/>
        <v>0</v>
      </c>
      <c r="DQ486" s="50">
        <f t="shared" si="1128"/>
        <v>0</v>
      </c>
      <c r="DR486" s="50">
        <f t="shared" si="1129"/>
        <v>0</v>
      </c>
      <c r="DS486" s="96">
        <f>Miscelaneous!$D$4*Miscelaneous!$D$2^($CI486-1)</f>
        <v>1000</v>
      </c>
      <c r="DT486" s="333">
        <f t="shared" si="1109"/>
        <v>1</v>
      </c>
      <c r="DU486" s="81">
        <v>1</v>
      </c>
      <c r="DV486" s="79">
        <f t="shared" si="1130"/>
        <v>0</v>
      </c>
      <c r="DW486" s="79">
        <f t="shared" si="1131"/>
        <v>0</v>
      </c>
      <c r="DX486" s="79">
        <f t="shared" si="1132"/>
        <v>0</v>
      </c>
      <c r="DY486" s="79">
        <v>1</v>
      </c>
      <c r="DZ486" s="79">
        <f t="shared" si="1133"/>
        <v>0</v>
      </c>
      <c r="EA486" s="79">
        <f t="shared" si="1134"/>
        <v>0</v>
      </c>
      <c r="EB486" s="79">
        <f t="shared" si="1135"/>
        <v>0</v>
      </c>
      <c r="EC486" s="79">
        <f t="shared" si="1136"/>
        <v>0</v>
      </c>
      <c r="ED486" s="79">
        <v>1</v>
      </c>
      <c r="EE486" s="79">
        <v>1</v>
      </c>
      <c r="EF486" s="79">
        <f t="shared" si="1137"/>
        <v>0</v>
      </c>
      <c r="EG486" s="79">
        <v>1</v>
      </c>
      <c r="EH486" s="79">
        <v>1</v>
      </c>
      <c r="EI486" s="79">
        <v>1</v>
      </c>
      <c r="EJ486" s="79">
        <v>1</v>
      </c>
      <c r="EK486" s="79">
        <v>1</v>
      </c>
      <c r="EL486" s="79">
        <v>1</v>
      </c>
      <c r="EM486" s="143">
        <f t="shared" si="1138"/>
        <v>0</v>
      </c>
      <c r="EN486" s="143">
        <f t="shared" si="1139"/>
        <v>0</v>
      </c>
      <c r="EO486" s="82">
        <f t="shared" si="1140"/>
        <v>0</v>
      </c>
    </row>
    <row r="487" spans="1:145" x14ac:dyDescent="0.25">
      <c r="A487">
        <v>473</v>
      </c>
      <c r="B487" s="172" t="e">
        <f t="shared" si="1110"/>
        <v>#N/A</v>
      </c>
      <c r="C487" s="121" t="e">
        <f t="shared" ref="C487:E487" si="1182">AJ487-SUM(AB487:AB491)</f>
        <v>#N/A</v>
      </c>
      <c r="D487" s="122" t="e">
        <f t="shared" si="1182"/>
        <v>#N/A</v>
      </c>
      <c r="E487" s="122" t="e">
        <f t="shared" si="1182"/>
        <v>#N/A</v>
      </c>
      <c r="F487" s="176" t="e">
        <f t="shared" si="1092"/>
        <v>#N/A</v>
      </c>
      <c r="G487" s="121">
        <f t="shared" si="1112"/>
        <v>208</v>
      </c>
      <c r="H487" s="176" t="e">
        <f t="shared" si="1113"/>
        <v>#N/A</v>
      </c>
      <c r="I487" s="48">
        <v>1</v>
      </c>
      <c r="J487" s="39"/>
      <c r="K487" s="350">
        <v>1</v>
      </c>
      <c r="L487" s="34" t="e">
        <f t="shared" si="1093"/>
        <v>#N/A</v>
      </c>
      <c r="M487" s="38" t="e">
        <f>(HLOOKUP(J487,'Construction Times'!$B$3:$W$34,L487+2,FALSE)*HLOOKUP("hq modifier",'Construction Times'!$W$3:$W$34,BS487+2,FALSE))*(1-$H$9)</f>
        <v>#N/A</v>
      </c>
      <c r="N487" s="426" t="e">
        <f t="shared" si="1114"/>
        <v>#N/A</v>
      </c>
      <c r="O487" s="427"/>
      <c r="P487" s="430" t="e">
        <f t="shared" si="1115"/>
        <v>#N/A</v>
      </c>
      <c r="Q487" s="431"/>
      <c r="R487" s="103">
        <f t="shared" si="1142"/>
        <v>0</v>
      </c>
      <c r="S487" s="104">
        <f t="shared" si="1142"/>
        <v>0</v>
      </c>
      <c r="T487" s="104">
        <f t="shared" si="1143"/>
        <v>0</v>
      </c>
      <c r="U487" s="104">
        <f t="shared" si="1143"/>
        <v>0</v>
      </c>
      <c r="V487" s="104">
        <f t="shared" si="1143"/>
        <v>9.9999999999999995E-8</v>
      </c>
      <c r="W487" s="104">
        <f t="shared" si="1143"/>
        <v>0</v>
      </c>
      <c r="X487" s="104">
        <f t="shared" si="1089"/>
        <v>0</v>
      </c>
      <c r="Y487" s="104">
        <f t="shared" si="1089"/>
        <v>9.9999999999999995E-8</v>
      </c>
      <c r="Z487" s="104">
        <f t="shared" si="1089"/>
        <v>9.9999999999999995E-8</v>
      </c>
      <c r="AA487" s="105">
        <f t="shared" si="1089"/>
        <v>9.9999999999999995E-8</v>
      </c>
      <c r="AB487" s="101" t="e">
        <f>$DT487*HLOOKUP($J487,'Construction Costs (timber)'!$B$1:$V$32,'Construction Planner'!$L487+2,FALSE)</f>
        <v>#N/A</v>
      </c>
      <c r="AC487" s="14" t="e">
        <f>$DT487*HLOOKUP($J487,'Construction Costs (clay)'!$B$1:$V$32,'Construction Planner'!$L487+2,FALSE)</f>
        <v>#N/A</v>
      </c>
      <c r="AD487" s="14" t="e">
        <f>$DT487*HLOOKUP($J487,'Construction Costs (iron)'!$B$1:$V$32,'Construction Planner'!$L487+2,FALSE)</f>
        <v>#N/A</v>
      </c>
      <c r="AE487" s="34" t="e">
        <f t="shared" si="1155"/>
        <v>#N/A</v>
      </c>
      <c r="AF487" s="33" t="e">
        <f t="shared" si="1094"/>
        <v>#N/A</v>
      </c>
      <c r="AG487" s="14" t="e">
        <f t="shared" si="1095"/>
        <v>#N/A</v>
      </c>
      <c r="AH487" s="14" t="e">
        <f t="shared" si="1096"/>
        <v>#N/A</v>
      </c>
      <c r="AI487" s="34" t="e">
        <f t="shared" si="1156"/>
        <v>#N/A</v>
      </c>
      <c r="AJ487" s="49" t="e">
        <f t="shared" si="1116"/>
        <v>#N/A</v>
      </c>
      <c r="AK487" s="49" t="e">
        <f t="shared" si="1117"/>
        <v>#N/A</v>
      </c>
      <c r="AL487" s="49" t="e">
        <f t="shared" si="1118"/>
        <v>#N/A</v>
      </c>
      <c r="AM487" s="25">
        <f t="shared" si="1097"/>
        <v>30</v>
      </c>
      <c r="AN487" s="25">
        <f t="shared" si="1098"/>
        <v>30</v>
      </c>
      <c r="AO487" s="25">
        <f t="shared" si="1099"/>
        <v>30</v>
      </c>
      <c r="AP487" s="52" t="e">
        <f t="shared" si="1119"/>
        <v>#N/A</v>
      </c>
      <c r="AQ487" s="53" t="e">
        <f t="shared" si="1119"/>
        <v>#N/A</v>
      </c>
      <c r="AR487" s="54" t="e">
        <f t="shared" si="1119"/>
        <v>#N/A</v>
      </c>
      <c r="AS487" s="316">
        <f t="shared" si="1179"/>
        <v>0</v>
      </c>
      <c r="AT487" s="106">
        <f>_xlfn.IFNA($M487/VLOOKUP($BT487,'Unit information'!$A$2:$K$29,2,FALSE)*R487,0)*(1+$E$9)</f>
        <v>0</v>
      </c>
      <c r="AU487" s="107">
        <f>_xlfn.IFNA($M487/VLOOKUP($BT487,'Unit information'!$A$2:$K$29,3,FALSE)*S487,0)*(1+$E$9)</f>
        <v>0</v>
      </c>
      <c r="AV487" s="107">
        <f>_xlfn.IFNA($M487/VLOOKUP($BT487,'Unit information'!$A$2:$K$29,4,FALSE)*T487,0)*(1+$E$9)</f>
        <v>0</v>
      </c>
      <c r="AW487" s="107">
        <f>_xlfn.IFNA($M487/VLOOKUP($BT487,'Unit information'!$A$2:$K$29,5,FALSE)*U487,0)*(1+$E$9)</f>
        <v>0</v>
      </c>
      <c r="AX487" s="107">
        <f>_xlfn.IFNA($M487/VLOOKUP($BU487,'Unit information'!$A$2:$K$29,6,FALSE)*V487,0)*(1+$E$9)</f>
        <v>0</v>
      </c>
      <c r="AY487" s="107">
        <f>_xlfn.IFNA($M487/VLOOKUP($BU487,'Unit information'!$A$2:$K$29,7,FALSE)*W487,0)*(1+$E$9)</f>
        <v>0</v>
      </c>
      <c r="AZ487" s="107">
        <f>_xlfn.IFNA($M487/VLOOKUP($BU487,'Unit information'!$A$2:$K$29,8,FALSE)*X487,0)*(1+$E$9)</f>
        <v>0</v>
      </c>
      <c r="BA487" s="107">
        <f>_xlfn.IFNA($M487/VLOOKUP($BU487,'Unit information'!$A$2:$K$29,9,FALSE)*Y487,0)*(1+$E$9)</f>
        <v>0</v>
      </c>
      <c r="BB487" s="107">
        <f>_xlfn.IFNA($M487/VLOOKUP($BV487,'Unit information'!$A$2:$K$29,10,FALSE)*Z487,0)*(1+$E$9)</f>
        <v>0</v>
      </c>
      <c r="BC487" s="108">
        <f>_xlfn.IFNA($M487/VLOOKUP($BV487,'Unit information'!$A$2:$K$29,11,FALSE)*AA487,0)*(1+$E$9)</f>
        <v>0</v>
      </c>
      <c r="BD487" s="106">
        <f t="shared" si="1100"/>
        <v>0</v>
      </c>
      <c r="BE487" s="107">
        <f t="shared" si="1101"/>
        <v>0</v>
      </c>
      <c r="BF487" s="108">
        <f t="shared" si="1102"/>
        <v>0</v>
      </c>
      <c r="BG487" s="25" t="e">
        <f t="shared" si="1103"/>
        <v>#N/A</v>
      </c>
      <c r="BH487" s="25" t="e">
        <f t="shared" si="1104"/>
        <v>#N/A</v>
      </c>
      <c r="BI487" s="25" t="e">
        <f t="shared" si="1105"/>
        <v>#N/A</v>
      </c>
      <c r="BJ487" s="27" t="e">
        <f t="shared" si="1106"/>
        <v>#N/A</v>
      </c>
      <c r="BK487" s="18" t="e">
        <f t="shared" si="1107"/>
        <v>#N/A</v>
      </c>
      <c r="BL487" s="18" t="e">
        <f t="shared" si="1108"/>
        <v>#N/A</v>
      </c>
      <c r="BM487" s="28" t="e">
        <f t="shared" si="1158"/>
        <v>#N/A</v>
      </c>
      <c r="BN487" s="33">
        <f>HLOOKUP("maximum population",Miscelaneous!$C$1:$C$33,CH487+3,FALSE)</f>
        <v>240</v>
      </c>
      <c r="BO487" s="14">
        <f t="shared" si="1120"/>
        <v>32</v>
      </c>
      <c r="BP487" s="14">
        <f t="shared" si="1121"/>
        <v>0</v>
      </c>
      <c r="BQ487" s="14">
        <f t="shared" si="1122"/>
        <v>208</v>
      </c>
      <c r="BR487" s="34" t="e">
        <f>HLOOKUP(J487,Villagers!$B$1:$V$33,L487+3,FALSE)-HLOOKUP(J487,Villagers!$B$1:$V$33,L487+2,FALSE)</f>
        <v>#N/A</v>
      </c>
      <c r="BS487" s="49">
        <f t="shared" si="1173"/>
        <v>1</v>
      </c>
      <c r="BT487" s="50">
        <f t="shared" si="1173"/>
        <v>0</v>
      </c>
      <c r="BU487" s="50">
        <f t="shared" si="1173"/>
        <v>0</v>
      </c>
      <c r="BV487" s="50">
        <f t="shared" si="1173"/>
        <v>0</v>
      </c>
      <c r="BW487" s="50">
        <f t="shared" si="1162"/>
        <v>0</v>
      </c>
      <c r="BX487" s="50">
        <f t="shared" si="1163"/>
        <v>0</v>
      </c>
      <c r="BY487" s="50">
        <f t="shared" si="1163"/>
        <v>0</v>
      </c>
      <c r="BZ487" s="50">
        <f t="shared" si="1173"/>
        <v>0</v>
      </c>
      <c r="CA487" s="50">
        <f t="shared" si="1173"/>
        <v>0</v>
      </c>
      <c r="CB487" s="50">
        <f t="shared" si="1173"/>
        <v>1</v>
      </c>
      <c r="CC487" s="50">
        <f t="shared" si="1173"/>
        <v>0</v>
      </c>
      <c r="CD487" s="50">
        <f t="shared" si="1173"/>
        <v>0</v>
      </c>
      <c r="CE487" s="50">
        <f t="shared" si="1173"/>
        <v>1</v>
      </c>
      <c r="CF487" s="50">
        <f t="shared" si="1173"/>
        <v>1</v>
      </c>
      <c r="CG487" s="50">
        <f t="shared" si="1173"/>
        <v>1</v>
      </c>
      <c r="CH487" s="50">
        <f t="shared" si="1173"/>
        <v>1</v>
      </c>
      <c r="CI487" s="50">
        <f t="shared" si="1173"/>
        <v>1</v>
      </c>
      <c r="CJ487" s="50">
        <f t="shared" si="1173"/>
        <v>1</v>
      </c>
      <c r="CK487" s="50">
        <f t="shared" si="1174"/>
        <v>0</v>
      </c>
      <c r="CL487" s="50">
        <f t="shared" si="1174"/>
        <v>0</v>
      </c>
      <c r="CM487" s="51">
        <f t="shared" si="1173"/>
        <v>0</v>
      </c>
      <c r="CN487" s="33">
        <f>ROUND(IF(BS487=0,0,HLOOKUP(BS$14,Villagers!$B$1:$V$33,BS487+3,FALSE)),)</f>
        <v>5</v>
      </c>
      <c r="CO487" s="14">
        <f>ROUND(IF(BT487=0,0,HLOOKUP(BT$14,Villagers!$B$1:$V$33,BT487+3,FALSE)),)</f>
        <v>0</v>
      </c>
      <c r="CP487" s="14">
        <f>ROUND(IF(BU487=0,0,HLOOKUP(BU$14,Villagers!$B$1:$V$33,BU487+3,FALSE)),)</f>
        <v>0</v>
      </c>
      <c r="CQ487" s="14">
        <f>ROUND(IF(BV487=0,0,HLOOKUP(BV$14,Villagers!$B$1:$V$33,BV487+3,FALSE)),)</f>
        <v>0</v>
      </c>
      <c r="CR487" s="14">
        <f>ROUND(IF(BW487=0,0,HLOOKUP(BW$14,Villagers!$B$1:$V$33,BW487+3,FALSE)),)</f>
        <v>0</v>
      </c>
      <c r="CS487" s="14">
        <f>ROUND(IF(BX487=0,0,HLOOKUP(BX$14,Villagers!$B$1:$V$33,BX487+3,FALSE)),)</f>
        <v>0</v>
      </c>
      <c r="CT487" s="14">
        <f>ROUND(IF(BY487=0,0,HLOOKUP(BY$14,Villagers!$B$1:$V$33,BY487+3,FALSE)),)</f>
        <v>0</v>
      </c>
      <c r="CU487" s="14">
        <f>ROUND(IF(BZ487=0,0,HLOOKUP(BZ$14,Villagers!$B$1:$V$33,BZ487+3,FALSE)),)</f>
        <v>0</v>
      </c>
      <c r="CV487" s="14">
        <f>ROUND(IF(CA487=0,0,HLOOKUP(CA$14,Villagers!$B$1:$V$33,CA487+3,FALSE)),)</f>
        <v>0</v>
      </c>
      <c r="CW487" s="14">
        <f>ROUND(IF(CB487=0,0,HLOOKUP(CB$14,Villagers!$B$1:$V$33,CB487+3,FALSE)),)</f>
        <v>0</v>
      </c>
      <c r="CX487" s="14">
        <f>ROUND(IF(CC487=0,0,HLOOKUP(CC$14,Villagers!$B$1:$V$33,CC487+3,FALSE)),)</f>
        <v>0</v>
      </c>
      <c r="CY487" s="14">
        <f>ROUND(IF(CD487=0,0,HLOOKUP(CD$14,Villagers!$B$1:$V$33,CD487+3,FALSE)),)</f>
        <v>0</v>
      </c>
      <c r="CZ487" s="14">
        <f>ROUND(IF(CE487=0,0,HLOOKUP(CE$14,Villagers!$B$1:$V$33,CE487+3,FALSE)),)</f>
        <v>5</v>
      </c>
      <c r="DA487" s="14">
        <f>ROUND(IF(CF487=0,0,HLOOKUP(CF$14,Villagers!$B$1:$V$33,CF487+3,FALSE)),)</f>
        <v>10</v>
      </c>
      <c r="DB487" s="14">
        <f>ROUND(IF(CG487=0,0,HLOOKUP(CG$14,Villagers!$B$1:$V$33,CG487+3,FALSE)),)</f>
        <v>10</v>
      </c>
      <c r="DC487" s="14">
        <f>ROUND(IF(CH487=0,0,HLOOKUP(CH$14,Villagers!$B$1:$V$33,CH487+3,FALSE)),)</f>
        <v>0</v>
      </c>
      <c r="DD487" s="14">
        <f>ROUND(IF(CI487=0,0,HLOOKUP(CI$14,Villagers!$B$1:$V$33,CI487+3,FALSE)),)</f>
        <v>0</v>
      </c>
      <c r="DE487" s="14">
        <f>ROUND(IF(CJ487=0,0,HLOOKUP(CJ$14,Villagers!$B$1:$V$33,CJ487+3,FALSE)),)</f>
        <v>2</v>
      </c>
      <c r="DF487" s="370">
        <f>ROUND(IF(CK487=0,0,HLOOKUP(CK$14,Villagers!$B$1:$V$33,CK487+3,FALSE)),)</f>
        <v>0</v>
      </c>
      <c r="DG487" s="370">
        <f>ROUND(IF(CL487=0,0,HLOOKUP(CL$14,Villagers!$B$1:$V$33,CL487+3,FALSE)),)</f>
        <v>0</v>
      </c>
      <c r="DH487" s="34">
        <f>ROUND(IF(CM487=0,0,HLOOKUP(CM$14,Villagers!$B$1:$V$33,CM487+3,FALSE)),)</f>
        <v>0</v>
      </c>
      <c r="DI487" s="109">
        <f t="shared" si="1144"/>
        <v>0</v>
      </c>
      <c r="DJ487" s="50">
        <f t="shared" si="1145"/>
        <v>0</v>
      </c>
      <c r="DK487" s="50">
        <f t="shared" si="1146"/>
        <v>0</v>
      </c>
      <c r="DL487" s="50">
        <f t="shared" si="1147"/>
        <v>0</v>
      </c>
      <c r="DM487" s="50">
        <f t="shared" si="1148"/>
        <v>0</v>
      </c>
      <c r="DN487" s="50">
        <f t="shared" si="1149"/>
        <v>0</v>
      </c>
      <c r="DO487" s="50">
        <f t="shared" si="1150"/>
        <v>0</v>
      </c>
      <c r="DP487" s="50">
        <f t="shared" si="1151"/>
        <v>0</v>
      </c>
      <c r="DQ487" s="50">
        <f t="shared" si="1128"/>
        <v>0</v>
      </c>
      <c r="DR487" s="50">
        <f t="shared" si="1129"/>
        <v>0</v>
      </c>
      <c r="DS487" s="96">
        <f>Miscelaneous!$D$4*Miscelaneous!$D$2^($CI487-1)</f>
        <v>1000</v>
      </c>
      <c r="DT487" s="333">
        <f t="shared" si="1109"/>
        <v>1</v>
      </c>
      <c r="DU487" s="81">
        <v>1</v>
      </c>
      <c r="DV487" s="79">
        <f t="shared" si="1130"/>
        <v>0</v>
      </c>
      <c r="DW487" s="79">
        <f t="shared" si="1131"/>
        <v>0</v>
      </c>
      <c r="DX487" s="79">
        <f t="shared" si="1132"/>
        <v>0</v>
      </c>
      <c r="DY487" s="79">
        <v>1</v>
      </c>
      <c r="DZ487" s="79">
        <f t="shared" si="1133"/>
        <v>0</v>
      </c>
      <c r="EA487" s="79">
        <f t="shared" si="1134"/>
        <v>0</v>
      </c>
      <c r="EB487" s="79">
        <f t="shared" si="1135"/>
        <v>0</v>
      </c>
      <c r="EC487" s="79">
        <f t="shared" si="1136"/>
        <v>0</v>
      </c>
      <c r="ED487" s="79">
        <v>1</v>
      </c>
      <c r="EE487" s="79">
        <v>1</v>
      </c>
      <c r="EF487" s="79">
        <f t="shared" si="1137"/>
        <v>0</v>
      </c>
      <c r="EG487" s="79">
        <v>1</v>
      </c>
      <c r="EH487" s="79">
        <v>1</v>
      </c>
      <c r="EI487" s="79">
        <v>1</v>
      </c>
      <c r="EJ487" s="79">
        <v>1</v>
      </c>
      <c r="EK487" s="79">
        <v>1</v>
      </c>
      <c r="EL487" s="79">
        <v>1</v>
      </c>
      <c r="EM487" s="143">
        <f t="shared" si="1138"/>
        <v>0</v>
      </c>
      <c r="EN487" s="143">
        <f t="shared" si="1139"/>
        <v>0</v>
      </c>
      <c r="EO487" s="82">
        <f t="shared" si="1140"/>
        <v>0</v>
      </c>
    </row>
    <row r="488" spans="1:145" x14ac:dyDescent="0.25">
      <c r="A488">
        <v>474</v>
      </c>
      <c r="B488" s="172" t="e">
        <f t="shared" si="1110"/>
        <v>#N/A</v>
      </c>
      <c r="C488" s="121" t="e">
        <f t="shared" ref="C488:E488" si="1183">AJ488-SUM(AB488:AB492)</f>
        <v>#N/A</v>
      </c>
      <c r="D488" s="122" t="e">
        <f t="shared" si="1183"/>
        <v>#N/A</v>
      </c>
      <c r="E488" s="122" t="e">
        <f t="shared" si="1183"/>
        <v>#N/A</v>
      </c>
      <c r="F488" s="176" t="e">
        <f t="shared" si="1092"/>
        <v>#N/A</v>
      </c>
      <c r="G488" s="121">
        <f t="shared" si="1112"/>
        <v>208</v>
      </c>
      <c r="H488" s="176" t="e">
        <f t="shared" si="1113"/>
        <v>#N/A</v>
      </c>
      <c r="I488" s="48">
        <v>1</v>
      </c>
      <c r="J488" s="39"/>
      <c r="K488" s="350">
        <v>1</v>
      </c>
      <c r="L488" s="34" t="e">
        <f t="shared" si="1093"/>
        <v>#N/A</v>
      </c>
      <c r="M488" s="38" t="e">
        <f>(HLOOKUP(J488,'Construction Times'!$B$3:$W$34,L488+2,FALSE)*HLOOKUP("hq modifier",'Construction Times'!$W$3:$W$34,BS488+2,FALSE))*(1-$H$9)</f>
        <v>#N/A</v>
      </c>
      <c r="N488" s="426" t="e">
        <f t="shared" si="1114"/>
        <v>#N/A</v>
      </c>
      <c r="O488" s="427"/>
      <c r="P488" s="430" t="e">
        <f t="shared" si="1115"/>
        <v>#N/A</v>
      </c>
      <c r="Q488" s="431"/>
      <c r="R488" s="103">
        <f t="shared" si="1142"/>
        <v>0</v>
      </c>
      <c r="S488" s="104">
        <f t="shared" si="1142"/>
        <v>0</v>
      </c>
      <c r="T488" s="104">
        <f t="shared" si="1143"/>
        <v>0</v>
      </c>
      <c r="U488" s="104">
        <f t="shared" si="1143"/>
        <v>0</v>
      </c>
      <c r="V488" s="104">
        <f t="shared" si="1143"/>
        <v>9.9999999999999995E-8</v>
      </c>
      <c r="W488" s="104">
        <f t="shared" si="1143"/>
        <v>0</v>
      </c>
      <c r="X488" s="104">
        <f t="shared" si="1089"/>
        <v>0</v>
      </c>
      <c r="Y488" s="104">
        <f t="shared" si="1089"/>
        <v>9.9999999999999995E-8</v>
      </c>
      <c r="Z488" s="104">
        <f t="shared" si="1089"/>
        <v>9.9999999999999995E-8</v>
      </c>
      <c r="AA488" s="105">
        <f t="shared" si="1089"/>
        <v>9.9999999999999995E-8</v>
      </c>
      <c r="AB488" s="101" t="e">
        <f>$DT488*HLOOKUP($J488,'Construction Costs (timber)'!$B$1:$V$32,'Construction Planner'!$L488+2,FALSE)</f>
        <v>#N/A</v>
      </c>
      <c r="AC488" s="14" t="e">
        <f>$DT488*HLOOKUP($J488,'Construction Costs (clay)'!$B$1:$V$32,'Construction Planner'!$L488+2,FALSE)</f>
        <v>#N/A</v>
      </c>
      <c r="AD488" s="14" t="e">
        <f>$DT488*HLOOKUP($J488,'Construction Costs (iron)'!$B$1:$V$32,'Construction Planner'!$L488+2,FALSE)</f>
        <v>#N/A</v>
      </c>
      <c r="AE488" s="34" t="e">
        <f t="shared" si="1155"/>
        <v>#N/A</v>
      </c>
      <c r="AF488" s="33" t="e">
        <f t="shared" si="1094"/>
        <v>#N/A</v>
      </c>
      <c r="AG488" s="14" t="e">
        <f t="shared" si="1095"/>
        <v>#N/A</v>
      </c>
      <c r="AH488" s="14" t="e">
        <f t="shared" si="1096"/>
        <v>#N/A</v>
      </c>
      <c r="AI488" s="34" t="e">
        <f t="shared" si="1156"/>
        <v>#N/A</v>
      </c>
      <c r="AJ488" s="49" t="e">
        <f t="shared" si="1116"/>
        <v>#N/A</v>
      </c>
      <c r="AK488" s="49" t="e">
        <f t="shared" si="1117"/>
        <v>#N/A</v>
      </c>
      <c r="AL488" s="49" t="e">
        <f t="shared" si="1118"/>
        <v>#N/A</v>
      </c>
      <c r="AM488" s="25">
        <f t="shared" si="1097"/>
        <v>30</v>
      </c>
      <c r="AN488" s="25">
        <f t="shared" si="1098"/>
        <v>30</v>
      </c>
      <c r="AO488" s="25">
        <f t="shared" si="1099"/>
        <v>30</v>
      </c>
      <c r="AP488" s="52" t="e">
        <f t="shared" si="1119"/>
        <v>#N/A</v>
      </c>
      <c r="AQ488" s="53" t="e">
        <f t="shared" si="1119"/>
        <v>#N/A</v>
      </c>
      <c r="AR488" s="54" t="e">
        <f t="shared" si="1119"/>
        <v>#N/A</v>
      </c>
      <c r="AS488" s="316">
        <f t="shared" si="1179"/>
        <v>0</v>
      </c>
      <c r="AT488" s="106">
        <f>_xlfn.IFNA($M488/VLOOKUP($BT488,'Unit information'!$A$2:$K$29,2,FALSE)*R488,0)*(1+$E$9)</f>
        <v>0</v>
      </c>
      <c r="AU488" s="107">
        <f>_xlfn.IFNA($M488/VLOOKUP($BT488,'Unit information'!$A$2:$K$29,3,FALSE)*S488,0)*(1+$E$9)</f>
        <v>0</v>
      </c>
      <c r="AV488" s="107">
        <f>_xlfn.IFNA($M488/VLOOKUP($BT488,'Unit information'!$A$2:$K$29,4,FALSE)*T488,0)*(1+$E$9)</f>
        <v>0</v>
      </c>
      <c r="AW488" s="107">
        <f>_xlfn.IFNA($M488/VLOOKUP($BT488,'Unit information'!$A$2:$K$29,5,FALSE)*U488,0)*(1+$E$9)</f>
        <v>0</v>
      </c>
      <c r="AX488" s="107">
        <f>_xlfn.IFNA($M488/VLOOKUP($BU488,'Unit information'!$A$2:$K$29,6,FALSE)*V488,0)*(1+$E$9)</f>
        <v>0</v>
      </c>
      <c r="AY488" s="107">
        <f>_xlfn.IFNA($M488/VLOOKUP($BU488,'Unit information'!$A$2:$K$29,7,FALSE)*W488,0)*(1+$E$9)</f>
        <v>0</v>
      </c>
      <c r="AZ488" s="107">
        <f>_xlfn.IFNA($M488/VLOOKUP($BU488,'Unit information'!$A$2:$K$29,8,FALSE)*X488,0)*(1+$E$9)</f>
        <v>0</v>
      </c>
      <c r="BA488" s="107">
        <f>_xlfn.IFNA($M488/VLOOKUP($BU488,'Unit information'!$A$2:$K$29,9,FALSE)*Y488,0)*(1+$E$9)</f>
        <v>0</v>
      </c>
      <c r="BB488" s="107">
        <f>_xlfn.IFNA($M488/VLOOKUP($BV488,'Unit information'!$A$2:$K$29,10,FALSE)*Z488,0)*(1+$E$9)</f>
        <v>0</v>
      </c>
      <c r="BC488" s="108">
        <f>_xlfn.IFNA($M488/VLOOKUP($BV488,'Unit information'!$A$2:$K$29,11,FALSE)*AA488,0)*(1+$E$9)</f>
        <v>0</v>
      </c>
      <c r="BD488" s="106">
        <f t="shared" si="1100"/>
        <v>0</v>
      </c>
      <c r="BE488" s="107">
        <f t="shared" si="1101"/>
        <v>0</v>
      </c>
      <c r="BF488" s="108">
        <f t="shared" si="1102"/>
        <v>0</v>
      </c>
      <c r="BG488" s="25" t="e">
        <f t="shared" si="1103"/>
        <v>#N/A</v>
      </c>
      <c r="BH488" s="25" t="e">
        <f t="shared" si="1104"/>
        <v>#N/A</v>
      </c>
      <c r="BI488" s="25" t="e">
        <f t="shared" si="1105"/>
        <v>#N/A</v>
      </c>
      <c r="BJ488" s="27" t="e">
        <f t="shared" si="1106"/>
        <v>#N/A</v>
      </c>
      <c r="BK488" s="18" t="e">
        <f t="shared" si="1107"/>
        <v>#N/A</v>
      </c>
      <c r="BL488" s="18" t="e">
        <f t="shared" si="1108"/>
        <v>#N/A</v>
      </c>
      <c r="BM488" s="28" t="e">
        <f t="shared" si="1158"/>
        <v>#N/A</v>
      </c>
      <c r="BN488" s="33">
        <f>HLOOKUP("maximum population",Miscelaneous!$C$1:$C$33,CH488+3,FALSE)</f>
        <v>240</v>
      </c>
      <c r="BO488" s="14">
        <f t="shared" si="1120"/>
        <v>32</v>
      </c>
      <c r="BP488" s="14">
        <f t="shared" si="1121"/>
        <v>0</v>
      </c>
      <c r="BQ488" s="14">
        <f t="shared" si="1122"/>
        <v>208</v>
      </c>
      <c r="BR488" s="34" t="e">
        <f>HLOOKUP(J488,Villagers!$B$1:$V$33,L488+3,FALSE)-HLOOKUP(J488,Villagers!$B$1:$V$33,L488+2,FALSE)</f>
        <v>#N/A</v>
      </c>
      <c r="BS488" s="49">
        <f t="shared" si="1173"/>
        <v>1</v>
      </c>
      <c r="BT488" s="50">
        <f t="shared" si="1173"/>
        <v>0</v>
      </c>
      <c r="BU488" s="50">
        <f t="shared" si="1173"/>
        <v>0</v>
      </c>
      <c r="BV488" s="50">
        <f t="shared" si="1173"/>
        <v>0</v>
      </c>
      <c r="BW488" s="50">
        <f t="shared" si="1162"/>
        <v>0</v>
      </c>
      <c r="BX488" s="50">
        <f t="shared" si="1163"/>
        <v>0</v>
      </c>
      <c r="BY488" s="50">
        <f t="shared" si="1163"/>
        <v>0</v>
      </c>
      <c r="BZ488" s="50">
        <f t="shared" si="1173"/>
        <v>0</v>
      </c>
      <c r="CA488" s="50">
        <f t="shared" si="1173"/>
        <v>0</v>
      </c>
      <c r="CB488" s="50">
        <f t="shared" si="1173"/>
        <v>1</v>
      </c>
      <c r="CC488" s="50">
        <f t="shared" si="1173"/>
        <v>0</v>
      </c>
      <c r="CD488" s="50">
        <f t="shared" si="1173"/>
        <v>0</v>
      </c>
      <c r="CE488" s="50">
        <f t="shared" si="1173"/>
        <v>1</v>
      </c>
      <c r="CF488" s="50">
        <f t="shared" si="1173"/>
        <v>1</v>
      </c>
      <c r="CG488" s="50">
        <f t="shared" si="1173"/>
        <v>1</v>
      </c>
      <c r="CH488" s="50">
        <f t="shared" si="1173"/>
        <v>1</v>
      </c>
      <c r="CI488" s="50">
        <f t="shared" si="1173"/>
        <v>1</v>
      </c>
      <c r="CJ488" s="50">
        <f t="shared" si="1173"/>
        <v>1</v>
      </c>
      <c r="CK488" s="50">
        <f t="shared" si="1174"/>
        <v>0</v>
      </c>
      <c r="CL488" s="50">
        <f t="shared" si="1174"/>
        <v>0</v>
      </c>
      <c r="CM488" s="51">
        <f t="shared" si="1173"/>
        <v>0</v>
      </c>
      <c r="CN488" s="33">
        <f>ROUND(IF(BS488=0,0,HLOOKUP(BS$14,Villagers!$B$1:$V$33,BS488+3,FALSE)),)</f>
        <v>5</v>
      </c>
      <c r="CO488" s="14">
        <f>ROUND(IF(BT488=0,0,HLOOKUP(BT$14,Villagers!$B$1:$V$33,BT488+3,FALSE)),)</f>
        <v>0</v>
      </c>
      <c r="CP488" s="14">
        <f>ROUND(IF(BU488=0,0,HLOOKUP(BU$14,Villagers!$B$1:$V$33,BU488+3,FALSE)),)</f>
        <v>0</v>
      </c>
      <c r="CQ488" s="14">
        <f>ROUND(IF(BV488=0,0,HLOOKUP(BV$14,Villagers!$B$1:$V$33,BV488+3,FALSE)),)</f>
        <v>0</v>
      </c>
      <c r="CR488" s="14">
        <f>ROUND(IF(BW488=0,0,HLOOKUP(BW$14,Villagers!$B$1:$V$33,BW488+3,FALSE)),)</f>
        <v>0</v>
      </c>
      <c r="CS488" s="14">
        <f>ROUND(IF(BX488=0,0,HLOOKUP(BX$14,Villagers!$B$1:$V$33,BX488+3,FALSE)),)</f>
        <v>0</v>
      </c>
      <c r="CT488" s="14">
        <f>ROUND(IF(BY488=0,0,HLOOKUP(BY$14,Villagers!$B$1:$V$33,BY488+3,FALSE)),)</f>
        <v>0</v>
      </c>
      <c r="CU488" s="14">
        <f>ROUND(IF(BZ488=0,0,HLOOKUP(BZ$14,Villagers!$B$1:$V$33,BZ488+3,FALSE)),)</f>
        <v>0</v>
      </c>
      <c r="CV488" s="14">
        <f>ROUND(IF(CA488=0,0,HLOOKUP(CA$14,Villagers!$B$1:$V$33,CA488+3,FALSE)),)</f>
        <v>0</v>
      </c>
      <c r="CW488" s="14">
        <f>ROUND(IF(CB488=0,0,HLOOKUP(CB$14,Villagers!$B$1:$V$33,CB488+3,FALSE)),)</f>
        <v>0</v>
      </c>
      <c r="CX488" s="14">
        <f>ROUND(IF(CC488=0,0,HLOOKUP(CC$14,Villagers!$B$1:$V$33,CC488+3,FALSE)),)</f>
        <v>0</v>
      </c>
      <c r="CY488" s="14">
        <f>ROUND(IF(CD488=0,0,HLOOKUP(CD$14,Villagers!$B$1:$V$33,CD488+3,FALSE)),)</f>
        <v>0</v>
      </c>
      <c r="CZ488" s="14">
        <f>ROUND(IF(CE488=0,0,HLOOKUP(CE$14,Villagers!$B$1:$V$33,CE488+3,FALSE)),)</f>
        <v>5</v>
      </c>
      <c r="DA488" s="14">
        <f>ROUND(IF(CF488=0,0,HLOOKUP(CF$14,Villagers!$B$1:$V$33,CF488+3,FALSE)),)</f>
        <v>10</v>
      </c>
      <c r="DB488" s="14">
        <f>ROUND(IF(CG488=0,0,HLOOKUP(CG$14,Villagers!$B$1:$V$33,CG488+3,FALSE)),)</f>
        <v>10</v>
      </c>
      <c r="DC488" s="14">
        <f>ROUND(IF(CH488=0,0,HLOOKUP(CH$14,Villagers!$B$1:$V$33,CH488+3,FALSE)),)</f>
        <v>0</v>
      </c>
      <c r="DD488" s="14">
        <f>ROUND(IF(CI488=0,0,HLOOKUP(CI$14,Villagers!$B$1:$V$33,CI488+3,FALSE)),)</f>
        <v>0</v>
      </c>
      <c r="DE488" s="14">
        <f>ROUND(IF(CJ488=0,0,HLOOKUP(CJ$14,Villagers!$B$1:$V$33,CJ488+3,FALSE)),)</f>
        <v>2</v>
      </c>
      <c r="DF488" s="370">
        <f>ROUND(IF(CK488=0,0,HLOOKUP(CK$14,Villagers!$B$1:$V$33,CK488+3,FALSE)),)</f>
        <v>0</v>
      </c>
      <c r="DG488" s="370">
        <f>ROUND(IF(CL488=0,0,HLOOKUP(CL$14,Villagers!$B$1:$V$33,CL488+3,FALSE)),)</f>
        <v>0</v>
      </c>
      <c r="DH488" s="34">
        <f>ROUND(IF(CM488=0,0,HLOOKUP(CM$14,Villagers!$B$1:$V$33,CM488+3,FALSE)),)</f>
        <v>0</v>
      </c>
      <c r="DI488" s="109">
        <f t="shared" si="1144"/>
        <v>0</v>
      </c>
      <c r="DJ488" s="50">
        <f t="shared" si="1145"/>
        <v>0</v>
      </c>
      <c r="DK488" s="50">
        <f t="shared" si="1146"/>
        <v>0</v>
      </c>
      <c r="DL488" s="50">
        <f t="shared" si="1147"/>
        <v>0</v>
      </c>
      <c r="DM488" s="50">
        <f t="shared" si="1148"/>
        <v>0</v>
      </c>
      <c r="DN488" s="50">
        <f t="shared" si="1149"/>
        <v>0</v>
      </c>
      <c r="DO488" s="50">
        <f t="shared" si="1150"/>
        <v>0</v>
      </c>
      <c r="DP488" s="50">
        <f t="shared" si="1151"/>
        <v>0</v>
      </c>
      <c r="DQ488" s="50">
        <f t="shared" si="1128"/>
        <v>0</v>
      </c>
      <c r="DR488" s="50">
        <f t="shared" si="1129"/>
        <v>0</v>
      </c>
      <c r="DS488" s="96">
        <f>Miscelaneous!$D$4*Miscelaneous!$D$2^($CI488-1)</f>
        <v>1000</v>
      </c>
      <c r="DT488" s="333">
        <f t="shared" si="1109"/>
        <v>1</v>
      </c>
      <c r="DU488" s="81">
        <v>1</v>
      </c>
      <c r="DV488" s="79">
        <f t="shared" si="1130"/>
        <v>0</v>
      </c>
      <c r="DW488" s="79">
        <f t="shared" si="1131"/>
        <v>0</v>
      </c>
      <c r="DX488" s="79">
        <f t="shared" si="1132"/>
        <v>0</v>
      </c>
      <c r="DY488" s="79">
        <v>1</v>
      </c>
      <c r="DZ488" s="79">
        <f t="shared" si="1133"/>
        <v>0</v>
      </c>
      <c r="EA488" s="79">
        <f t="shared" si="1134"/>
        <v>0</v>
      </c>
      <c r="EB488" s="79">
        <f t="shared" si="1135"/>
        <v>0</v>
      </c>
      <c r="EC488" s="79">
        <f t="shared" si="1136"/>
        <v>0</v>
      </c>
      <c r="ED488" s="79">
        <v>1</v>
      </c>
      <c r="EE488" s="79">
        <v>1</v>
      </c>
      <c r="EF488" s="79">
        <f t="shared" si="1137"/>
        <v>0</v>
      </c>
      <c r="EG488" s="79">
        <v>1</v>
      </c>
      <c r="EH488" s="79">
        <v>1</v>
      </c>
      <c r="EI488" s="79">
        <v>1</v>
      </c>
      <c r="EJ488" s="79">
        <v>1</v>
      </c>
      <c r="EK488" s="79">
        <v>1</v>
      </c>
      <c r="EL488" s="79">
        <v>1</v>
      </c>
      <c r="EM488" s="143">
        <f t="shared" si="1138"/>
        <v>0</v>
      </c>
      <c r="EN488" s="143">
        <f t="shared" si="1139"/>
        <v>0</v>
      </c>
      <c r="EO488" s="82">
        <f t="shared" si="1140"/>
        <v>0</v>
      </c>
    </row>
    <row r="489" spans="1:145" x14ac:dyDescent="0.25">
      <c r="A489">
        <v>475</v>
      </c>
      <c r="B489" s="172" t="e">
        <f t="shared" si="1110"/>
        <v>#N/A</v>
      </c>
      <c r="C489" s="121" t="e">
        <f t="shared" ref="C489:E489" si="1184">AJ489-SUM(AB489:AB493)</f>
        <v>#N/A</v>
      </c>
      <c r="D489" s="122" t="e">
        <f t="shared" si="1184"/>
        <v>#N/A</v>
      </c>
      <c r="E489" s="122" t="e">
        <f t="shared" si="1184"/>
        <v>#N/A</v>
      </c>
      <c r="F489" s="176" t="e">
        <f t="shared" si="1092"/>
        <v>#N/A</v>
      </c>
      <c r="G489" s="121">
        <f t="shared" si="1112"/>
        <v>208</v>
      </c>
      <c r="H489" s="176" t="e">
        <f t="shared" si="1113"/>
        <v>#N/A</v>
      </c>
      <c r="I489" s="48">
        <v>1</v>
      </c>
      <c r="J489" s="39"/>
      <c r="K489" s="350">
        <v>1</v>
      </c>
      <c r="L489" s="34" t="e">
        <f t="shared" si="1093"/>
        <v>#N/A</v>
      </c>
      <c r="M489" s="38" t="e">
        <f>(HLOOKUP(J489,'Construction Times'!$B$3:$W$34,L489+2,FALSE)*HLOOKUP("hq modifier",'Construction Times'!$W$3:$W$34,BS489+2,FALSE))*(1-$H$9)</f>
        <v>#N/A</v>
      </c>
      <c r="N489" s="426" t="e">
        <f t="shared" si="1114"/>
        <v>#N/A</v>
      </c>
      <c r="O489" s="427"/>
      <c r="P489" s="430" t="e">
        <f t="shared" si="1115"/>
        <v>#N/A</v>
      </c>
      <c r="Q489" s="431"/>
      <c r="R489" s="103">
        <f t="shared" si="1142"/>
        <v>0</v>
      </c>
      <c r="S489" s="104">
        <f t="shared" si="1142"/>
        <v>0</v>
      </c>
      <c r="T489" s="104">
        <f t="shared" si="1143"/>
        <v>0</v>
      </c>
      <c r="U489" s="104">
        <f t="shared" si="1143"/>
        <v>0</v>
      </c>
      <c r="V489" s="104">
        <f t="shared" si="1143"/>
        <v>9.9999999999999995E-8</v>
      </c>
      <c r="W489" s="104">
        <f t="shared" si="1143"/>
        <v>0</v>
      </c>
      <c r="X489" s="104">
        <f t="shared" si="1089"/>
        <v>0</v>
      </c>
      <c r="Y489" s="104">
        <f t="shared" si="1089"/>
        <v>9.9999999999999995E-8</v>
      </c>
      <c r="Z489" s="104">
        <f t="shared" si="1089"/>
        <v>9.9999999999999995E-8</v>
      </c>
      <c r="AA489" s="105">
        <f t="shared" si="1089"/>
        <v>9.9999999999999995E-8</v>
      </c>
      <c r="AB489" s="101" t="e">
        <f>$DT489*HLOOKUP($J489,'Construction Costs (timber)'!$B$1:$V$32,'Construction Planner'!$L489+2,FALSE)</f>
        <v>#N/A</v>
      </c>
      <c r="AC489" s="14" t="e">
        <f>$DT489*HLOOKUP($J489,'Construction Costs (clay)'!$B$1:$V$32,'Construction Planner'!$L489+2,FALSE)</f>
        <v>#N/A</v>
      </c>
      <c r="AD489" s="14" t="e">
        <f>$DT489*HLOOKUP($J489,'Construction Costs (iron)'!$B$1:$V$32,'Construction Planner'!$L489+2,FALSE)</f>
        <v>#N/A</v>
      </c>
      <c r="AE489" s="34" t="e">
        <f t="shared" si="1155"/>
        <v>#N/A</v>
      </c>
      <c r="AF489" s="33" t="e">
        <f t="shared" si="1094"/>
        <v>#N/A</v>
      </c>
      <c r="AG489" s="14" t="e">
        <f t="shared" si="1095"/>
        <v>#N/A</v>
      </c>
      <c r="AH489" s="14" t="e">
        <f t="shared" si="1096"/>
        <v>#N/A</v>
      </c>
      <c r="AI489" s="34" t="e">
        <f t="shared" si="1156"/>
        <v>#N/A</v>
      </c>
      <c r="AJ489" s="49" t="e">
        <f t="shared" si="1116"/>
        <v>#N/A</v>
      </c>
      <c r="AK489" s="49" t="e">
        <f t="shared" si="1117"/>
        <v>#N/A</v>
      </c>
      <c r="AL489" s="49" t="e">
        <f t="shared" si="1118"/>
        <v>#N/A</v>
      </c>
      <c r="AM489" s="25">
        <f t="shared" si="1097"/>
        <v>30</v>
      </c>
      <c r="AN489" s="25">
        <f t="shared" si="1098"/>
        <v>30</v>
      </c>
      <c r="AO489" s="25">
        <f t="shared" si="1099"/>
        <v>30</v>
      </c>
      <c r="AP489" s="52" t="e">
        <f t="shared" si="1119"/>
        <v>#N/A</v>
      </c>
      <c r="AQ489" s="53" t="e">
        <f t="shared" si="1119"/>
        <v>#N/A</v>
      </c>
      <c r="AR489" s="54" t="e">
        <f t="shared" si="1119"/>
        <v>#N/A</v>
      </c>
      <c r="AS489" s="316">
        <f t="shared" si="1179"/>
        <v>0</v>
      </c>
      <c r="AT489" s="106">
        <f>_xlfn.IFNA($M489/VLOOKUP($BT489,'Unit information'!$A$2:$K$29,2,FALSE)*R489,0)*(1+$E$9)</f>
        <v>0</v>
      </c>
      <c r="AU489" s="107">
        <f>_xlfn.IFNA($M489/VLOOKUP($BT489,'Unit information'!$A$2:$K$29,3,FALSE)*S489,0)*(1+$E$9)</f>
        <v>0</v>
      </c>
      <c r="AV489" s="107">
        <f>_xlfn.IFNA($M489/VLOOKUP($BT489,'Unit information'!$A$2:$K$29,4,FALSE)*T489,0)*(1+$E$9)</f>
        <v>0</v>
      </c>
      <c r="AW489" s="107">
        <f>_xlfn.IFNA($M489/VLOOKUP($BT489,'Unit information'!$A$2:$K$29,5,FALSE)*U489,0)*(1+$E$9)</f>
        <v>0</v>
      </c>
      <c r="AX489" s="107">
        <f>_xlfn.IFNA($M489/VLOOKUP($BU489,'Unit information'!$A$2:$K$29,6,FALSE)*V489,0)*(1+$E$9)</f>
        <v>0</v>
      </c>
      <c r="AY489" s="107">
        <f>_xlfn.IFNA($M489/VLOOKUP($BU489,'Unit information'!$A$2:$K$29,7,FALSE)*W489,0)*(1+$E$9)</f>
        <v>0</v>
      </c>
      <c r="AZ489" s="107">
        <f>_xlfn.IFNA($M489/VLOOKUP($BU489,'Unit information'!$A$2:$K$29,8,FALSE)*X489,0)*(1+$E$9)</f>
        <v>0</v>
      </c>
      <c r="BA489" s="107">
        <f>_xlfn.IFNA($M489/VLOOKUP($BU489,'Unit information'!$A$2:$K$29,9,FALSE)*Y489,0)*(1+$E$9)</f>
        <v>0</v>
      </c>
      <c r="BB489" s="107">
        <f>_xlfn.IFNA($M489/VLOOKUP($BV489,'Unit information'!$A$2:$K$29,10,FALSE)*Z489,0)*(1+$E$9)</f>
        <v>0</v>
      </c>
      <c r="BC489" s="108">
        <f>_xlfn.IFNA($M489/VLOOKUP($BV489,'Unit information'!$A$2:$K$29,11,FALSE)*AA489,0)*(1+$E$9)</f>
        <v>0</v>
      </c>
      <c r="BD489" s="106">
        <f t="shared" si="1100"/>
        <v>0</v>
      </c>
      <c r="BE489" s="107">
        <f t="shared" si="1101"/>
        <v>0</v>
      </c>
      <c r="BF489" s="108">
        <f t="shared" si="1102"/>
        <v>0</v>
      </c>
      <c r="BG489" s="25" t="e">
        <f t="shared" si="1103"/>
        <v>#N/A</v>
      </c>
      <c r="BH489" s="25" t="e">
        <f t="shared" si="1104"/>
        <v>#N/A</v>
      </c>
      <c r="BI489" s="25" t="e">
        <f t="shared" si="1105"/>
        <v>#N/A</v>
      </c>
      <c r="BJ489" s="27" t="e">
        <f t="shared" si="1106"/>
        <v>#N/A</v>
      </c>
      <c r="BK489" s="18" t="e">
        <f t="shared" si="1107"/>
        <v>#N/A</v>
      </c>
      <c r="BL489" s="18" t="e">
        <f t="shared" si="1108"/>
        <v>#N/A</v>
      </c>
      <c r="BM489" s="28" t="e">
        <f t="shared" si="1158"/>
        <v>#N/A</v>
      </c>
      <c r="BN489" s="33">
        <f>HLOOKUP("maximum population",Miscelaneous!$C$1:$C$33,CH489+3,FALSE)</f>
        <v>240</v>
      </c>
      <c r="BO489" s="14">
        <f t="shared" si="1120"/>
        <v>32</v>
      </c>
      <c r="BP489" s="14">
        <f t="shared" si="1121"/>
        <v>0</v>
      </c>
      <c r="BQ489" s="14">
        <f t="shared" si="1122"/>
        <v>208</v>
      </c>
      <c r="BR489" s="34" t="e">
        <f>HLOOKUP(J489,Villagers!$B$1:$V$33,L489+3,FALSE)-HLOOKUP(J489,Villagers!$B$1:$V$33,L489+2,FALSE)</f>
        <v>#N/A</v>
      </c>
      <c r="BS489" s="49">
        <f t="shared" si="1173"/>
        <v>1</v>
      </c>
      <c r="BT489" s="50">
        <f t="shared" si="1173"/>
        <v>0</v>
      </c>
      <c r="BU489" s="50">
        <f t="shared" si="1173"/>
        <v>0</v>
      </c>
      <c r="BV489" s="50">
        <f t="shared" si="1173"/>
        <v>0</v>
      </c>
      <c r="BW489" s="50">
        <f t="shared" si="1162"/>
        <v>0</v>
      </c>
      <c r="BX489" s="50">
        <f t="shared" si="1163"/>
        <v>0</v>
      </c>
      <c r="BY489" s="50">
        <f t="shared" si="1163"/>
        <v>0</v>
      </c>
      <c r="BZ489" s="50">
        <f t="shared" si="1173"/>
        <v>0</v>
      </c>
      <c r="CA489" s="50">
        <f t="shared" si="1173"/>
        <v>0</v>
      </c>
      <c r="CB489" s="50">
        <f t="shared" si="1173"/>
        <v>1</v>
      </c>
      <c r="CC489" s="50">
        <f t="shared" si="1173"/>
        <v>0</v>
      </c>
      <c r="CD489" s="50">
        <f t="shared" si="1173"/>
        <v>0</v>
      </c>
      <c r="CE489" s="50">
        <f t="shared" si="1173"/>
        <v>1</v>
      </c>
      <c r="CF489" s="50">
        <f t="shared" si="1173"/>
        <v>1</v>
      </c>
      <c r="CG489" s="50">
        <f t="shared" si="1173"/>
        <v>1</v>
      </c>
      <c r="CH489" s="50">
        <f t="shared" si="1173"/>
        <v>1</v>
      </c>
      <c r="CI489" s="50">
        <f t="shared" si="1173"/>
        <v>1</v>
      </c>
      <c r="CJ489" s="50">
        <f t="shared" si="1173"/>
        <v>1</v>
      </c>
      <c r="CK489" s="50">
        <f t="shared" si="1174"/>
        <v>0</v>
      </c>
      <c r="CL489" s="50">
        <f t="shared" si="1174"/>
        <v>0</v>
      </c>
      <c r="CM489" s="51">
        <f t="shared" si="1173"/>
        <v>0</v>
      </c>
      <c r="CN489" s="33">
        <f>ROUND(IF(BS489=0,0,HLOOKUP(BS$14,Villagers!$B$1:$V$33,BS489+3,FALSE)),)</f>
        <v>5</v>
      </c>
      <c r="CO489" s="14">
        <f>ROUND(IF(BT489=0,0,HLOOKUP(BT$14,Villagers!$B$1:$V$33,BT489+3,FALSE)),)</f>
        <v>0</v>
      </c>
      <c r="CP489" s="14">
        <f>ROUND(IF(BU489=0,0,HLOOKUP(BU$14,Villagers!$B$1:$V$33,BU489+3,FALSE)),)</f>
        <v>0</v>
      </c>
      <c r="CQ489" s="14">
        <f>ROUND(IF(BV489=0,0,HLOOKUP(BV$14,Villagers!$B$1:$V$33,BV489+3,FALSE)),)</f>
        <v>0</v>
      </c>
      <c r="CR489" s="14">
        <f>ROUND(IF(BW489=0,0,HLOOKUP(BW$14,Villagers!$B$1:$V$33,BW489+3,FALSE)),)</f>
        <v>0</v>
      </c>
      <c r="CS489" s="14">
        <f>ROUND(IF(BX489=0,0,HLOOKUP(BX$14,Villagers!$B$1:$V$33,BX489+3,FALSE)),)</f>
        <v>0</v>
      </c>
      <c r="CT489" s="14">
        <f>ROUND(IF(BY489=0,0,HLOOKUP(BY$14,Villagers!$B$1:$V$33,BY489+3,FALSE)),)</f>
        <v>0</v>
      </c>
      <c r="CU489" s="14">
        <f>ROUND(IF(BZ489=0,0,HLOOKUP(BZ$14,Villagers!$B$1:$V$33,BZ489+3,FALSE)),)</f>
        <v>0</v>
      </c>
      <c r="CV489" s="14">
        <f>ROUND(IF(CA489=0,0,HLOOKUP(CA$14,Villagers!$B$1:$V$33,CA489+3,FALSE)),)</f>
        <v>0</v>
      </c>
      <c r="CW489" s="14">
        <f>ROUND(IF(CB489=0,0,HLOOKUP(CB$14,Villagers!$B$1:$V$33,CB489+3,FALSE)),)</f>
        <v>0</v>
      </c>
      <c r="CX489" s="14">
        <f>ROUND(IF(CC489=0,0,HLOOKUP(CC$14,Villagers!$B$1:$V$33,CC489+3,FALSE)),)</f>
        <v>0</v>
      </c>
      <c r="CY489" s="14">
        <f>ROUND(IF(CD489=0,0,HLOOKUP(CD$14,Villagers!$B$1:$V$33,CD489+3,FALSE)),)</f>
        <v>0</v>
      </c>
      <c r="CZ489" s="14">
        <f>ROUND(IF(CE489=0,0,HLOOKUP(CE$14,Villagers!$B$1:$V$33,CE489+3,FALSE)),)</f>
        <v>5</v>
      </c>
      <c r="DA489" s="14">
        <f>ROUND(IF(CF489=0,0,HLOOKUP(CF$14,Villagers!$B$1:$V$33,CF489+3,FALSE)),)</f>
        <v>10</v>
      </c>
      <c r="DB489" s="14">
        <f>ROUND(IF(CG489=0,0,HLOOKUP(CG$14,Villagers!$B$1:$V$33,CG489+3,FALSE)),)</f>
        <v>10</v>
      </c>
      <c r="DC489" s="14">
        <f>ROUND(IF(CH489=0,0,HLOOKUP(CH$14,Villagers!$B$1:$V$33,CH489+3,FALSE)),)</f>
        <v>0</v>
      </c>
      <c r="DD489" s="14">
        <f>ROUND(IF(CI489=0,0,HLOOKUP(CI$14,Villagers!$B$1:$V$33,CI489+3,FALSE)),)</f>
        <v>0</v>
      </c>
      <c r="DE489" s="14">
        <f>ROUND(IF(CJ489=0,0,HLOOKUP(CJ$14,Villagers!$B$1:$V$33,CJ489+3,FALSE)),)</f>
        <v>2</v>
      </c>
      <c r="DF489" s="370">
        <f>ROUND(IF(CK489=0,0,HLOOKUP(CK$14,Villagers!$B$1:$V$33,CK489+3,FALSE)),)</f>
        <v>0</v>
      </c>
      <c r="DG489" s="370">
        <f>ROUND(IF(CL489=0,0,HLOOKUP(CL$14,Villagers!$B$1:$V$33,CL489+3,FALSE)),)</f>
        <v>0</v>
      </c>
      <c r="DH489" s="34">
        <f>ROUND(IF(CM489=0,0,HLOOKUP(CM$14,Villagers!$B$1:$V$33,CM489+3,FALSE)),)</f>
        <v>0</v>
      </c>
      <c r="DI489" s="109">
        <f t="shared" si="1144"/>
        <v>0</v>
      </c>
      <c r="DJ489" s="50">
        <f t="shared" si="1145"/>
        <v>0</v>
      </c>
      <c r="DK489" s="50">
        <f t="shared" si="1146"/>
        <v>0</v>
      </c>
      <c r="DL489" s="50">
        <f t="shared" si="1147"/>
        <v>0</v>
      </c>
      <c r="DM489" s="50">
        <f t="shared" si="1148"/>
        <v>0</v>
      </c>
      <c r="DN489" s="50">
        <f t="shared" si="1149"/>
        <v>0</v>
      </c>
      <c r="DO489" s="50">
        <f t="shared" si="1150"/>
        <v>0</v>
      </c>
      <c r="DP489" s="50">
        <f t="shared" si="1151"/>
        <v>0</v>
      </c>
      <c r="DQ489" s="50">
        <f t="shared" si="1128"/>
        <v>0</v>
      </c>
      <c r="DR489" s="50">
        <f t="shared" si="1129"/>
        <v>0</v>
      </c>
      <c r="DS489" s="96">
        <f>Miscelaneous!$D$4*Miscelaneous!$D$2^($CI489-1)</f>
        <v>1000</v>
      </c>
      <c r="DT489" s="333">
        <f t="shared" si="1109"/>
        <v>1</v>
      </c>
      <c r="DU489" s="81">
        <v>1</v>
      </c>
      <c r="DV489" s="79">
        <f t="shared" si="1130"/>
        <v>0</v>
      </c>
      <c r="DW489" s="79">
        <f t="shared" si="1131"/>
        <v>0</v>
      </c>
      <c r="DX489" s="79">
        <f t="shared" si="1132"/>
        <v>0</v>
      </c>
      <c r="DY489" s="79">
        <v>1</v>
      </c>
      <c r="DZ489" s="79">
        <f t="shared" si="1133"/>
        <v>0</v>
      </c>
      <c r="EA489" s="79">
        <f t="shared" si="1134"/>
        <v>0</v>
      </c>
      <c r="EB489" s="79">
        <f t="shared" si="1135"/>
        <v>0</v>
      </c>
      <c r="EC489" s="79">
        <f t="shared" si="1136"/>
        <v>0</v>
      </c>
      <c r="ED489" s="79">
        <v>1</v>
      </c>
      <c r="EE489" s="79">
        <v>1</v>
      </c>
      <c r="EF489" s="79">
        <f t="shared" si="1137"/>
        <v>0</v>
      </c>
      <c r="EG489" s="79">
        <v>1</v>
      </c>
      <c r="EH489" s="79">
        <v>1</v>
      </c>
      <c r="EI489" s="79">
        <v>1</v>
      </c>
      <c r="EJ489" s="79">
        <v>1</v>
      </c>
      <c r="EK489" s="79">
        <v>1</v>
      </c>
      <c r="EL489" s="79">
        <v>1</v>
      </c>
      <c r="EM489" s="143">
        <f t="shared" si="1138"/>
        <v>0</v>
      </c>
      <c r="EN489" s="143">
        <f t="shared" si="1139"/>
        <v>0</v>
      </c>
      <c r="EO489" s="82">
        <f t="shared" si="1140"/>
        <v>0</v>
      </c>
    </row>
    <row r="490" spans="1:145" x14ac:dyDescent="0.25">
      <c r="A490">
        <v>476</v>
      </c>
      <c r="B490" s="172" t="e">
        <f t="shared" si="1110"/>
        <v>#N/A</v>
      </c>
      <c r="C490" s="121" t="e">
        <f t="shared" ref="C490:E490" si="1185">AJ490-SUM(AB490:AB494)</f>
        <v>#N/A</v>
      </c>
      <c r="D490" s="122" t="e">
        <f t="shared" si="1185"/>
        <v>#N/A</v>
      </c>
      <c r="E490" s="122" t="e">
        <f t="shared" si="1185"/>
        <v>#N/A</v>
      </c>
      <c r="F490" s="176" t="e">
        <f t="shared" si="1092"/>
        <v>#N/A</v>
      </c>
      <c r="G490" s="121">
        <f t="shared" si="1112"/>
        <v>208</v>
      </c>
      <c r="H490" s="176" t="e">
        <f t="shared" si="1113"/>
        <v>#N/A</v>
      </c>
      <c r="I490" s="48">
        <v>1</v>
      </c>
      <c r="J490" s="39"/>
      <c r="K490" s="350">
        <v>1</v>
      </c>
      <c r="L490" s="34" t="e">
        <f t="shared" si="1093"/>
        <v>#N/A</v>
      </c>
      <c r="M490" s="38" t="e">
        <f>(HLOOKUP(J490,'Construction Times'!$B$3:$W$34,L490+2,FALSE)*HLOOKUP("hq modifier",'Construction Times'!$W$3:$W$34,BS490+2,FALSE))*(1-$H$9)</f>
        <v>#N/A</v>
      </c>
      <c r="N490" s="426" t="e">
        <f t="shared" si="1114"/>
        <v>#N/A</v>
      </c>
      <c r="O490" s="427"/>
      <c r="P490" s="430" t="e">
        <f t="shared" si="1115"/>
        <v>#N/A</v>
      </c>
      <c r="Q490" s="431"/>
      <c r="R490" s="103">
        <f t="shared" si="1142"/>
        <v>0</v>
      </c>
      <c r="S490" s="104">
        <f t="shared" si="1142"/>
        <v>0</v>
      </c>
      <c r="T490" s="104">
        <f t="shared" si="1143"/>
        <v>0</v>
      </c>
      <c r="U490" s="104">
        <f t="shared" si="1143"/>
        <v>0</v>
      </c>
      <c r="V490" s="104">
        <f t="shared" si="1143"/>
        <v>9.9999999999999995E-8</v>
      </c>
      <c r="W490" s="104">
        <f t="shared" si="1143"/>
        <v>0</v>
      </c>
      <c r="X490" s="104">
        <f t="shared" si="1089"/>
        <v>0</v>
      </c>
      <c r="Y490" s="104">
        <f t="shared" si="1089"/>
        <v>9.9999999999999995E-8</v>
      </c>
      <c r="Z490" s="104">
        <f t="shared" si="1089"/>
        <v>9.9999999999999995E-8</v>
      </c>
      <c r="AA490" s="105">
        <f t="shared" si="1089"/>
        <v>9.9999999999999995E-8</v>
      </c>
      <c r="AB490" s="101" t="e">
        <f>$DT490*HLOOKUP($J490,'Construction Costs (timber)'!$B$1:$V$32,'Construction Planner'!$L490+2,FALSE)</f>
        <v>#N/A</v>
      </c>
      <c r="AC490" s="14" t="e">
        <f>$DT490*HLOOKUP($J490,'Construction Costs (clay)'!$B$1:$V$32,'Construction Planner'!$L490+2,FALSE)</f>
        <v>#N/A</v>
      </c>
      <c r="AD490" s="14" t="e">
        <f>$DT490*HLOOKUP($J490,'Construction Costs (iron)'!$B$1:$V$32,'Construction Planner'!$L490+2,FALSE)</f>
        <v>#N/A</v>
      </c>
      <c r="AE490" s="34" t="e">
        <f t="shared" si="1155"/>
        <v>#N/A</v>
      </c>
      <c r="AF490" s="33" t="e">
        <f t="shared" si="1094"/>
        <v>#N/A</v>
      </c>
      <c r="AG490" s="14" t="e">
        <f t="shared" si="1095"/>
        <v>#N/A</v>
      </c>
      <c r="AH490" s="14" t="e">
        <f t="shared" si="1096"/>
        <v>#N/A</v>
      </c>
      <c r="AI490" s="34" t="e">
        <f t="shared" si="1156"/>
        <v>#N/A</v>
      </c>
      <c r="AJ490" s="49" t="e">
        <f t="shared" si="1116"/>
        <v>#N/A</v>
      </c>
      <c r="AK490" s="49" t="e">
        <f t="shared" si="1117"/>
        <v>#N/A</v>
      </c>
      <c r="AL490" s="49" t="e">
        <f t="shared" si="1118"/>
        <v>#N/A</v>
      </c>
      <c r="AM490" s="25">
        <f t="shared" si="1097"/>
        <v>30</v>
      </c>
      <c r="AN490" s="25">
        <f t="shared" si="1098"/>
        <v>30</v>
      </c>
      <c r="AO490" s="25">
        <f t="shared" si="1099"/>
        <v>30</v>
      </c>
      <c r="AP490" s="52" t="e">
        <f t="shared" si="1119"/>
        <v>#N/A</v>
      </c>
      <c r="AQ490" s="53" t="e">
        <f t="shared" si="1119"/>
        <v>#N/A</v>
      </c>
      <c r="AR490" s="54" t="e">
        <f t="shared" si="1119"/>
        <v>#N/A</v>
      </c>
      <c r="AS490" s="316">
        <f t="shared" si="1179"/>
        <v>0</v>
      </c>
      <c r="AT490" s="106">
        <f>_xlfn.IFNA($M490/VLOOKUP($BT490,'Unit information'!$A$2:$K$29,2,FALSE)*R490,0)*(1+$E$9)</f>
        <v>0</v>
      </c>
      <c r="AU490" s="107">
        <f>_xlfn.IFNA($M490/VLOOKUP($BT490,'Unit information'!$A$2:$K$29,3,FALSE)*S490,0)*(1+$E$9)</f>
        <v>0</v>
      </c>
      <c r="AV490" s="107">
        <f>_xlfn.IFNA($M490/VLOOKUP($BT490,'Unit information'!$A$2:$K$29,4,FALSE)*T490,0)*(1+$E$9)</f>
        <v>0</v>
      </c>
      <c r="AW490" s="107">
        <f>_xlfn.IFNA($M490/VLOOKUP($BT490,'Unit information'!$A$2:$K$29,5,FALSE)*U490,0)*(1+$E$9)</f>
        <v>0</v>
      </c>
      <c r="AX490" s="107">
        <f>_xlfn.IFNA($M490/VLOOKUP($BU490,'Unit information'!$A$2:$K$29,6,FALSE)*V490,0)*(1+$E$9)</f>
        <v>0</v>
      </c>
      <c r="AY490" s="107">
        <f>_xlfn.IFNA($M490/VLOOKUP($BU490,'Unit information'!$A$2:$K$29,7,FALSE)*W490,0)*(1+$E$9)</f>
        <v>0</v>
      </c>
      <c r="AZ490" s="107">
        <f>_xlfn.IFNA($M490/VLOOKUP($BU490,'Unit information'!$A$2:$K$29,8,FALSE)*X490,0)*(1+$E$9)</f>
        <v>0</v>
      </c>
      <c r="BA490" s="107">
        <f>_xlfn.IFNA($M490/VLOOKUP($BU490,'Unit information'!$A$2:$K$29,9,FALSE)*Y490,0)*(1+$E$9)</f>
        <v>0</v>
      </c>
      <c r="BB490" s="107">
        <f>_xlfn.IFNA($M490/VLOOKUP($BV490,'Unit information'!$A$2:$K$29,10,FALSE)*Z490,0)*(1+$E$9)</f>
        <v>0</v>
      </c>
      <c r="BC490" s="108">
        <f>_xlfn.IFNA($M490/VLOOKUP($BV490,'Unit information'!$A$2:$K$29,11,FALSE)*AA490,0)*(1+$E$9)</f>
        <v>0</v>
      </c>
      <c r="BD490" s="106">
        <f t="shared" si="1100"/>
        <v>0</v>
      </c>
      <c r="BE490" s="107">
        <f t="shared" si="1101"/>
        <v>0</v>
      </c>
      <c r="BF490" s="108">
        <f t="shared" si="1102"/>
        <v>0</v>
      </c>
      <c r="BG490" s="25" t="e">
        <f t="shared" si="1103"/>
        <v>#N/A</v>
      </c>
      <c r="BH490" s="25" t="e">
        <f t="shared" si="1104"/>
        <v>#N/A</v>
      </c>
      <c r="BI490" s="25" t="e">
        <f t="shared" si="1105"/>
        <v>#N/A</v>
      </c>
      <c r="BJ490" s="27" t="e">
        <f t="shared" si="1106"/>
        <v>#N/A</v>
      </c>
      <c r="BK490" s="18" t="e">
        <f t="shared" si="1107"/>
        <v>#N/A</v>
      </c>
      <c r="BL490" s="18" t="e">
        <f t="shared" si="1108"/>
        <v>#N/A</v>
      </c>
      <c r="BM490" s="28" t="e">
        <f t="shared" si="1158"/>
        <v>#N/A</v>
      </c>
      <c r="BN490" s="33">
        <f>HLOOKUP("maximum population",Miscelaneous!$C$1:$C$33,CH490+3,FALSE)</f>
        <v>240</v>
      </c>
      <c r="BO490" s="14">
        <f t="shared" si="1120"/>
        <v>32</v>
      </c>
      <c r="BP490" s="14">
        <f t="shared" si="1121"/>
        <v>0</v>
      </c>
      <c r="BQ490" s="14">
        <f t="shared" si="1122"/>
        <v>208</v>
      </c>
      <c r="BR490" s="34" t="e">
        <f>HLOOKUP(J490,Villagers!$B$1:$V$33,L490+3,FALSE)-HLOOKUP(J490,Villagers!$B$1:$V$33,L490+2,FALSE)</f>
        <v>#N/A</v>
      </c>
      <c r="BS490" s="49">
        <f t="shared" si="1173"/>
        <v>1</v>
      </c>
      <c r="BT490" s="50">
        <f t="shared" si="1173"/>
        <v>0</v>
      </c>
      <c r="BU490" s="50">
        <f t="shared" si="1173"/>
        <v>0</v>
      </c>
      <c r="BV490" s="50">
        <f t="shared" si="1173"/>
        <v>0</v>
      </c>
      <c r="BW490" s="50">
        <f t="shared" si="1162"/>
        <v>0</v>
      </c>
      <c r="BX490" s="50">
        <f t="shared" si="1163"/>
        <v>0</v>
      </c>
      <c r="BY490" s="50">
        <f t="shared" si="1163"/>
        <v>0</v>
      </c>
      <c r="BZ490" s="50">
        <f t="shared" si="1173"/>
        <v>0</v>
      </c>
      <c r="CA490" s="50">
        <f t="shared" si="1173"/>
        <v>0</v>
      </c>
      <c r="CB490" s="50">
        <f t="shared" si="1173"/>
        <v>1</v>
      </c>
      <c r="CC490" s="50">
        <f t="shared" si="1173"/>
        <v>0</v>
      </c>
      <c r="CD490" s="50">
        <f t="shared" si="1173"/>
        <v>0</v>
      </c>
      <c r="CE490" s="50">
        <f t="shared" si="1173"/>
        <v>1</v>
      </c>
      <c r="CF490" s="50">
        <f t="shared" si="1173"/>
        <v>1</v>
      </c>
      <c r="CG490" s="50">
        <f t="shared" si="1173"/>
        <v>1</v>
      </c>
      <c r="CH490" s="50">
        <f t="shared" si="1173"/>
        <v>1</v>
      </c>
      <c r="CI490" s="50">
        <f t="shared" si="1173"/>
        <v>1</v>
      </c>
      <c r="CJ490" s="50">
        <f t="shared" si="1173"/>
        <v>1</v>
      </c>
      <c r="CK490" s="50">
        <f t="shared" si="1174"/>
        <v>0</v>
      </c>
      <c r="CL490" s="50">
        <f t="shared" si="1174"/>
        <v>0</v>
      </c>
      <c r="CM490" s="51">
        <f t="shared" si="1173"/>
        <v>0</v>
      </c>
      <c r="CN490" s="33">
        <f>ROUND(IF(BS490=0,0,HLOOKUP(BS$14,Villagers!$B$1:$V$33,BS490+3,FALSE)),)</f>
        <v>5</v>
      </c>
      <c r="CO490" s="14">
        <f>ROUND(IF(BT490=0,0,HLOOKUP(BT$14,Villagers!$B$1:$V$33,BT490+3,FALSE)),)</f>
        <v>0</v>
      </c>
      <c r="CP490" s="14">
        <f>ROUND(IF(BU490=0,0,HLOOKUP(BU$14,Villagers!$B$1:$V$33,BU490+3,FALSE)),)</f>
        <v>0</v>
      </c>
      <c r="CQ490" s="14">
        <f>ROUND(IF(BV490=0,0,HLOOKUP(BV$14,Villagers!$B$1:$V$33,BV490+3,FALSE)),)</f>
        <v>0</v>
      </c>
      <c r="CR490" s="14">
        <f>ROUND(IF(BW490=0,0,HLOOKUP(BW$14,Villagers!$B$1:$V$33,BW490+3,FALSE)),)</f>
        <v>0</v>
      </c>
      <c r="CS490" s="14">
        <f>ROUND(IF(BX490=0,0,HLOOKUP(BX$14,Villagers!$B$1:$V$33,BX490+3,FALSE)),)</f>
        <v>0</v>
      </c>
      <c r="CT490" s="14">
        <f>ROUND(IF(BY490=0,0,HLOOKUP(BY$14,Villagers!$B$1:$V$33,BY490+3,FALSE)),)</f>
        <v>0</v>
      </c>
      <c r="CU490" s="14">
        <f>ROUND(IF(BZ490=0,0,HLOOKUP(BZ$14,Villagers!$B$1:$V$33,BZ490+3,FALSE)),)</f>
        <v>0</v>
      </c>
      <c r="CV490" s="14">
        <f>ROUND(IF(CA490=0,0,HLOOKUP(CA$14,Villagers!$B$1:$V$33,CA490+3,FALSE)),)</f>
        <v>0</v>
      </c>
      <c r="CW490" s="14">
        <f>ROUND(IF(CB490=0,0,HLOOKUP(CB$14,Villagers!$B$1:$V$33,CB490+3,FALSE)),)</f>
        <v>0</v>
      </c>
      <c r="CX490" s="14">
        <f>ROUND(IF(CC490=0,0,HLOOKUP(CC$14,Villagers!$B$1:$V$33,CC490+3,FALSE)),)</f>
        <v>0</v>
      </c>
      <c r="CY490" s="14">
        <f>ROUND(IF(CD490=0,0,HLOOKUP(CD$14,Villagers!$B$1:$V$33,CD490+3,FALSE)),)</f>
        <v>0</v>
      </c>
      <c r="CZ490" s="14">
        <f>ROUND(IF(CE490=0,0,HLOOKUP(CE$14,Villagers!$B$1:$V$33,CE490+3,FALSE)),)</f>
        <v>5</v>
      </c>
      <c r="DA490" s="14">
        <f>ROUND(IF(CF490=0,0,HLOOKUP(CF$14,Villagers!$B$1:$V$33,CF490+3,FALSE)),)</f>
        <v>10</v>
      </c>
      <c r="DB490" s="14">
        <f>ROUND(IF(CG490=0,0,HLOOKUP(CG$14,Villagers!$B$1:$V$33,CG490+3,FALSE)),)</f>
        <v>10</v>
      </c>
      <c r="DC490" s="14">
        <f>ROUND(IF(CH490=0,0,HLOOKUP(CH$14,Villagers!$B$1:$V$33,CH490+3,FALSE)),)</f>
        <v>0</v>
      </c>
      <c r="DD490" s="14">
        <f>ROUND(IF(CI490=0,0,HLOOKUP(CI$14,Villagers!$B$1:$V$33,CI490+3,FALSE)),)</f>
        <v>0</v>
      </c>
      <c r="DE490" s="14">
        <f>ROUND(IF(CJ490=0,0,HLOOKUP(CJ$14,Villagers!$B$1:$V$33,CJ490+3,FALSE)),)</f>
        <v>2</v>
      </c>
      <c r="DF490" s="370">
        <f>ROUND(IF(CK490=0,0,HLOOKUP(CK$14,Villagers!$B$1:$V$33,CK490+3,FALSE)),)</f>
        <v>0</v>
      </c>
      <c r="DG490" s="370">
        <f>ROUND(IF(CL490=0,0,HLOOKUP(CL$14,Villagers!$B$1:$V$33,CL490+3,FALSE)),)</f>
        <v>0</v>
      </c>
      <c r="DH490" s="34">
        <f>ROUND(IF(CM490=0,0,HLOOKUP(CM$14,Villagers!$B$1:$V$33,CM490+3,FALSE)),)</f>
        <v>0</v>
      </c>
      <c r="DI490" s="109">
        <f t="shared" si="1144"/>
        <v>0</v>
      </c>
      <c r="DJ490" s="50">
        <f t="shared" si="1145"/>
        <v>0</v>
      </c>
      <c r="DK490" s="50">
        <f t="shared" si="1146"/>
        <v>0</v>
      </c>
      <c r="DL490" s="50">
        <f t="shared" si="1147"/>
        <v>0</v>
      </c>
      <c r="DM490" s="50">
        <f t="shared" si="1148"/>
        <v>0</v>
      </c>
      <c r="DN490" s="50">
        <f t="shared" si="1149"/>
        <v>0</v>
      </c>
      <c r="DO490" s="50">
        <f t="shared" si="1150"/>
        <v>0</v>
      </c>
      <c r="DP490" s="50">
        <f t="shared" si="1151"/>
        <v>0</v>
      </c>
      <c r="DQ490" s="50">
        <f t="shared" si="1128"/>
        <v>0</v>
      </c>
      <c r="DR490" s="50">
        <f t="shared" si="1129"/>
        <v>0</v>
      </c>
      <c r="DS490" s="96">
        <f>Miscelaneous!$D$4*Miscelaneous!$D$2^($CI490-1)</f>
        <v>1000</v>
      </c>
      <c r="DT490" s="333">
        <f t="shared" si="1109"/>
        <v>1</v>
      </c>
      <c r="DU490" s="81">
        <v>1</v>
      </c>
      <c r="DV490" s="79">
        <f t="shared" si="1130"/>
        <v>0</v>
      </c>
      <c r="DW490" s="79">
        <f t="shared" si="1131"/>
        <v>0</v>
      </c>
      <c r="DX490" s="79">
        <f t="shared" si="1132"/>
        <v>0</v>
      </c>
      <c r="DY490" s="79">
        <v>1</v>
      </c>
      <c r="DZ490" s="79">
        <f t="shared" si="1133"/>
        <v>0</v>
      </c>
      <c r="EA490" s="79">
        <f t="shared" si="1134"/>
        <v>0</v>
      </c>
      <c r="EB490" s="79">
        <f t="shared" si="1135"/>
        <v>0</v>
      </c>
      <c r="EC490" s="79">
        <f t="shared" si="1136"/>
        <v>0</v>
      </c>
      <c r="ED490" s="79">
        <v>1</v>
      </c>
      <c r="EE490" s="79">
        <v>1</v>
      </c>
      <c r="EF490" s="79">
        <f t="shared" si="1137"/>
        <v>0</v>
      </c>
      <c r="EG490" s="79">
        <v>1</v>
      </c>
      <c r="EH490" s="79">
        <v>1</v>
      </c>
      <c r="EI490" s="79">
        <v>1</v>
      </c>
      <c r="EJ490" s="79">
        <v>1</v>
      </c>
      <c r="EK490" s="79">
        <v>1</v>
      </c>
      <c r="EL490" s="79">
        <v>1</v>
      </c>
      <c r="EM490" s="143">
        <f t="shared" si="1138"/>
        <v>0</v>
      </c>
      <c r="EN490" s="143">
        <f t="shared" si="1139"/>
        <v>0</v>
      </c>
      <c r="EO490" s="82">
        <f t="shared" si="1140"/>
        <v>0</v>
      </c>
    </row>
    <row r="491" spans="1:145" x14ac:dyDescent="0.25">
      <c r="A491">
        <v>477</v>
      </c>
      <c r="B491" s="172" t="e">
        <f t="shared" si="1110"/>
        <v>#N/A</v>
      </c>
      <c r="C491" s="121" t="e">
        <f t="shared" ref="C491:E491" si="1186">AJ491-SUM(AB491:AB495)</f>
        <v>#N/A</v>
      </c>
      <c r="D491" s="122" t="e">
        <f t="shared" si="1186"/>
        <v>#N/A</v>
      </c>
      <c r="E491" s="122" t="e">
        <f t="shared" si="1186"/>
        <v>#N/A</v>
      </c>
      <c r="F491" s="176" t="e">
        <f t="shared" si="1092"/>
        <v>#N/A</v>
      </c>
      <c r="G491" s="121">
        <f t="shared" si="1112"/>
        <v>208</v>
      </c>
      <c r="H491" s="176" t="e">
        <f t="shared" si="1113"/>
        <v>#N/A</v>
      </c>
      <c r="I491" s="48">
        <v>1</v>
      </c>
      <c r="J491" s="39"/>
      <c r="K491" s="350">
        <v>1</v>
      </c>
      <c r="L491" s="34" t="e">
        <f t="shared" si="1093"/>
        <v>#N/A</v>
      </c>
      <c r="M491" s="38" t="e">
        <f>(HLOOKUP(J491,'Construction Times'!$B$3:$W$34,L491+2,FALSE)*HLOOKUP("hq modifier",'Construction Times'!$W$3:$W$34,BS491+2,FALSE))*(1-$H$9)</f>
        <v>#N/A</v>
      </c>
      <c r="N491" s="426" t="e">
        <f t="shared" si="1114"/>
        <v>#N/A</v>
      </c>
      <c r="O491" s="427"/>
      <c r="P491" s="430" t="e">
        <f t="shared" si="1115"/>
        <v>#N/A</v>
      </c>
      <c r="Q491" s="431"/>
      <c r="R491" s="103">
        <f t="shared" si="1142"/>
        <v>0</v>
      </c>
      <c r="S491" s="104">
        <f t="shared" si="1142"/>
        <v>0</v>
      </c>
      <c r="T491" s="104">
        <f t="shared" si="1143"/>
        <v>0</v>
      </c>
      <c r="U491" s="104">
        <f t="shared" si="1143"/>
        <v>0</v>
      </c>
      <c r="V491" s="104">
        <f t="shared" si="1143"/>
        <v>9.9999999999999995E-8</v>
      </c>
      <c r="W491" s="104">
        <f t="shared" si="1143"/>
        <v>0</v>
      </c>
      <c r="X491" s="104">
        <f t="shared" si="1089"/>
        <v>0</v>
      </c>
      <c r="Y491" s="104">
        <f t="shared" si="1089"/>
        <v>9.9999999999999995E-8</v>
      </c>
      <c r="Z491" s="104">
        <f t="shared" si="1089"/>
        <v>9.9999999999999995E-8</v>
      </c>
      <c r="AA491" s="105">
        <f t="shared" si="1089"/>
        <v>9.9999999999999995E-8</v>
      </c>
      <c r="AB491" s="101" t="e">
        <f>$DT491*HLOOKUP($J491,'Construction Costs (timber)'!$B$1:$V$32,'Construction Planner'!$L491+2,FALSE)</f>
        <v>#N/A</v>
      </c>
      <c r="AC491" s="14" t="e">
        <f>$DT491*HLOOKUP($J491,'Construction Costs (clay)'!$B$1:$V$32,'Construction Planner'!$L491+2,FALSE)</f>
        <v>#N/A</v>
      </c>
      <c r="AD491" s="14" t="e">
        <f>$DT491*HLOOKUP($J491,'Construction Costs (iron)'!$B$1:$V$32,'Construction Planner'!$L491+2,FALSE)</f>
        <v>#N/A</v>
      </c>
      <c r="AE491" s="34" t="e">
        <f t="shared" si="1155"/>
        <v>#N/A</v>
      </c>
      <c r="AF491" s="33" t="e">
        <f t="shared" si="1094"/>
        <v>#N/A</v>
      </c>
      <c r="AG491" s="14" t="e">
        <f t="shared" si="1095"/>
        <v>#N/A</v>
      </c>
      <c r="AH491" s="14" t="e">
        <f t="shared" si="1096"/>
        <v>#N/A</v>
      </c>
      <c r="AI491" s="34" t="e">
        <f t="shared" si="1156"/>
        <v>#N/A</v>
      </c>
      <c r="AJ491" s="49" t="e">
        <f t="shared" si="1116"/>
        <v>#N/A</v>
      </c>
      <c r="AK491" s="49" t="e">
        <f t="shared" si="1117"/>
        <v>#N/A</v>
      </c>
      <c r="AL491" s="49" t="e">
        <f t="shared" si="1118"/>
        <v>#N/A</v>
      </c>
      <c r="AM491" s="25">
        <f t="shared" si="1097"/>
        <v>30</v>
      </c>
      <c r="AN491" s="25">
        <f t="shared" si="1098"/>
        <v>30</v>
      </c>
      <c r="AO491" s="25">
        <f t="shared" si="1099"/>
        <v>30</v>
      </c>
      <c r="AP491" s="52" t="e">
        <f t="shared" si="1119"/>
        <v>#N/A</v>
      </c>
      <c r="AQ491" s="53" t="e">
        <f t="shared" si="1119"/>
        <v>#N/A</v>
      </c>
      <c r="AR491" s="54" t="e">
        <f t="shared" si="1119"/>
        <v>#N/A</v>
      </c>
      <c r="AS491" s="316">
        <f t="shared" si="1179"/>
        <v>0</v>
      </c>
      <c r="AT491" s="106">
        <f>_xlfn.IFNA($M491/VLOOKUP($BT491,'Unit information'!$A$2:$K$29,2,FALSE)*R491,0)*(1+$E$9)</f>
        <v>0</v>
      </c>
      <c r="AU491" s="107">
        <f>_xlfn.IFNA($M491/VLOOKUP($BT491,'Unit information'!$A$2:$K$29,3,FALSE)*S491,0)*(1+$E$9)</f>
        <v>0</v>
      </c>
      <c r="AV491" s="107">
        <f>_xlfn.IFNA($M491/VLOOKUP($BT491,'Unit information'!$A$2:$K$29,4,FALSE)*T491,0)*(1+$E$9)</f>
        <v>0</v>
      </c>
      <c r="AW491" s="107">
        <f>_xlfn.IFNA($M491/VLOOKUP($BT491,'Unit information'!$A$2:$K$29,5,FALSE)*U491,0)*(1+$E$9)</f>
        <v>0</v>
      </c>
      <c r="AX491" s="107">
        <f>_xlfn.IFNA($M491/VLOOKUP($BU491,'Unit information'!$A$2:$K$29,6,FALSE)*V491,0)*(1+$E$9)</f>
        <v>0</v>
      </c>
      <c r="AY491" s="107">
        <f>_xlfn.IFNA($M491/VLOOKUP($BU491,'Unit information'!$A$2:$K$29,7,FALSE)*W491,0)*(1+$E$9)</f>
        <v>0</v>
      </c>
      <c r="AZ491" s="107">
        <f>_xlfn.IFNA($M491/VLOOKUP($BU491,'Unit information'!$A$2:$K$29,8,FALSE)*X491,0)*(1+$E$9)</f>
        <v>0</v>
      </c>
      <c r="BA491" s="107">
        <f>_xlfn.IFNA($M491/VLOOKUP($BU491,'Unit information'!$A$2:$K$29,9,FALSE)*Y491,0)*(1+$E$9)</f>
        <v>0</v>
      </c>
      <c r="BB491" s="107">
        <f>_xlfn.IFNA($M491/VLOOKUP($BV491,'Unit information'!$A$2:$K$29,10,FALSE)*Z491,0)*(1+$E$9)</f>
        <v>0</v>
      </c>
      <c r="BC491" s="108">
        <f>_xlfn.IFNA($M491/VLOOKUP($BV491,'Unit information'!$A$2:$K$29,11,FALSE)*AA491,0)*(1+$E$9)</f>
        <v>0</v>
      </c>
      <c r="BD491" s="106">
        <f t="shared" si="1100"/>
        <v>0</v>
      </c>
      <c r="BE491" s="107">
        <f t="shared" si="1101"/>
        <v>0</v>
      </c>
      <c r="BF491" s="108">
        <f t="shared" si="1102"/>
        <v>0</v>
      </c>
      <c r="BG491" s="25" t="e">
        <f t="shared" si="1103"/>
        <v>#N/A</v>
      </c>
      <c r="BH491" s="25" t="e">
        <f t="shared" si="1104"/>
        <v>#N/A</v>
      </c>
      <c r="BI491" s="25" t="e">
        <f t="shared" si="1105"/>
        <v>#N/A</v>
      </c>
      <c r="BJ491" s="27" t="e">
        <f t="shared" si="1106"/>
        <v>#N/A</v>
      </c>
      <c r="BK491" s="18" t="e">
        <f t="shared" si="1107"/>
        <v>#N/A</v>
      </c>
      <c r="BL491" s="18" t="e">
        <f t="shared" si="1108"/>
        <v>#N/A</v>
      </c>
      <c r="BM491" s="28" t="e">
        <f t="shared" si="1158"/>
        <v>#N/A</v>
      </c>
      <c r="BN491" s="33">
        <f>HLOOKUP("maximum population",Miscelaneous!$C$1:$C$33,CH491+3,FALSE)</f>
        <v>240</v>
      </c>
      <c r="BO491" s="14">
        <f t="shared" si="1120"/>
        <v>32</v>
      </c>
      <c r="BP491" s="14">
        <f t="shared" si="1121"/>
        <v>0</v>
      </c>
      <c r="BQ491" s="14">
        <f t="shared" si="1122"/>
        <v>208</v>
      </c>
      <c r="BR491" s="34" t="e">
        <f>HLOOKUP(J491,Villagers!$B$1:$V$33,L491+3,FALSE)-HLOOKUP(J491,Villagers!$B$1:$V$33,L491+2,FALSE)</f>
        <v>#N/A</v>
      </c>
      <c r="BS491" s="49">
        <f t="shared" si="1173"/>
        <v>1</v>
      </c>
      <c r="BT491" s="50">
        <f t="shared" si="1173"/>
        <v>0</v>
      </c>
      <c r="BU491" s="50">
        <f t="shared" si="1173"/>
        <v>0</v>
      </c>
      <c r="BV491" s="50">
        <f t="shared" si="1173"/>
        <v>0</v>
      </c>
      <c r="BW491" s="50">
        <f t="shared" si="1162"/>
        <v>0</v>
      </c>
      <c r="BX491" s="50">
        <f t="shared" si="1163"/>
        <v>0</v>
      </c>
      <c r="BY491" s="50">
        <f t="shared" si="1163"/>
        <v>0</v>
      </c>
      <c r="BZ491" s="50">
        <f t="shared" si="1173"/>
        <v>0</v>
      </c>
      <c r="CA491" s="50">
        <f t="shared" si="1173"/>
        <v>0</v>
      </c>
      <c r="CB491" s="50">
        <f t="shared" si="1173"/>
        <v>1</v>
      </c>
      <c r="CC491" s="50">
        <f t="shared" si="1173"/>
        <v>0</v>
      </c>
      <c r="CD491" s="50">
        <f t="shared" si="1173"/>
        <v>0</v>
      </c>
      <c r="CE491" s="50">
        <f t="shared" si="1173"/>
        <v>1</v>
      </c>
      <c r="CF491" s="50">
        <f t="shared" si="1173"/>
        <v>1</v>
      </c>
      <c r="CG491" s="50">
        <f t="shared" si="1173"/>
        <v>1</v>
      </c>
      <c r="CH491" s="50">
        <f t="shared" si="1173"/>
        <v>1</v>
      </c>
      <c r="CI491" s="50">
        <f t="shared" si="1173"/>
        <v>1</v>
      </c>
      <c r="CJ491" s="50">
        <f t="shared" si="1173"/>
        <v>1</v>
      </c>
      <c r="CK491" s="50">
        <f t="shared" si="1174"/>
        <v>0</v>
      </c>
      <c r="CL491" s="50">
        <f t="shared" si="1174"/>
        <v>0</v>
      </c>
      <c r="CM491" s="51">
        <f t="shared" si="1173"/>
        <v>0</v>
      </c>
      <c r="CN491" s="33">
        <f>ROUND(IF(BS491=0,0,HLOOKUP(BS$14,Villagers!$B$1:$V$33,BS491+3,FALSE)),)</f>
        <v>5</v>
      </c>
      <c r="CO491" s="14">
        <f>ROUND(IF(BT491=0,0,HLOOKUP(BT$14,Villagers!$B$1:$V$33,BT491+3,FALSE)),)</f>
        <v>0</v>
      </c>
      <c r="CP491" s="14">
        <f>ROUND(IF(BU491=0,0,HLOOKUP(BU$14,Villagers!$B$1:$V$33,BU491+3,FALSE)),)</f>
        <v>0</v>
      </c>
      <c r="CQ491" s="14">
        <f>ROUND(IF(BV491=0,0,HLOOKUP(BV$14,Villagers!$B$1:$V$33,BV491+3,FALSE)),)</f>
        <v>0</v>
      </c>
      <c r="CR491" s="14">
        <f>ROUND(IF(BW491=0,0,HLOOKUP(BW$14,Villagers!$B$1:$V$33,BW491+3,FALSE)),)</f>
        <v>0</v>
      </c>
      <c r="CS491" s="14">
        <f>ROUND(IF(BX491=0,0,HLOOKUP(BX$14,Villagers!$B$1:$V$33,BX491+3,FALSE)),)</f>
        <v>0</v>
      </c>
      <c r="CT491" s="14">
        <f>ROUND(IF(BY491=0,0,HLOOKUP(BY$14,Villagers!$B$1:$V$33,BY491+3,FALSE)),)</f>
        <v>0</v>
      </c>
      <c r="CU491" s="14">
        <f>ROUND(IF(BZ491=0,0,HLOOKUP(BZ$14,Villagers!$B$1:$V$33,BZ491+3,FALSE)),)</f>
        <v>0</v>
      </c>
      <c r="CV491" s="14">
        <f>ROUND(IF(CA491=0,0,HLOOKUP(CA$14,Villagers!$B$1:$V$33,CA491+3,FALSE)),)</f>
        <v>0</v>
      </c>
      <c r="CW491" s="14">
        <f>ROUND(IF(CB491=0,0,HLOOKUP(CB$14,Villagers!$B$1:$V$33,CB491+3,FALSE)),)</f>
        <v>0</v>
      </c>
      <c r="CX491" s="14">
        <f>ROUND(IF(CC491=0,0,HLOOKUP(CC$14,Villagers!$B$1:$V$33,CC491+3,FALSE)),)</f>
        <v>0</v>
      </c>
      <c r="CY491" s="14">
        <f>ROUND(IF(CD491=0,0,HLOOKUP(CD$14,Villagers!$B$1:$V$33,CD491+3,FALSE)),)</f>
        <v>0</v>
      </c>
      <c r="CZ491" s="14">
        <f>ROUND(IF(CE491=0,0,HLOOKUP(CE$14,Villagers!$B$1:$V$33,CE491+3,FALSE)),)</f>
        <v>5</v>
      </c>
      <c r="DA491" s="14">
        <f>ROUND(IF(CF491=0,0,HLOOKUP(CF$14,Villagers!$B$1:$V$33,CF491+3,FALSE)),)</f>
        <v>10</v>
      </c>
      <c r="DB491" s="14">
        <f>ROUND(IF(CG491=0,0,HLOOKUP(CG$14,Villagers!$B$1:$V$33,CG491+3,FALSE)),)</f>
        <v>10</v>
      </c>
      <c r="DC491" s="14">
        <f>ROUND(IF(CH491=0,0,HLOOKUP(CH$14,Villagers!$B$1:$V$33,CH491+3,FALSE)),)</f>
        <v>0</v>
      </c>
      <c r="DD491" s="14">
        <f>ROUND(IF(CI491=0,0,HLOOKUP(CI$14,Villagers!$B$1:$V$33,CI491+3,FALSE)),)</f>
        <v>0</v>
      </c>
      <c r="DE491" s="14">
        <f>ROUND(IF(CJ491=0,0,HLOOKUP(CJ$14,Villagers!$B$1:$V$33,CJ491+3,FALSE)),)</f>
        <v>2</v>
      </c>
      <c r="DF491" s="370">
        <f>ROUND(IF(CK491=0,0,HLOOKUP(CK$14,Villagers!$B$1:$V$33,CK491+3,FALSE)),)</f>
        <v>0</v>
      </c>
      <c r="DG491" s="370">
        <f>ROUND(IF(CL491=0,0,HLOOKUP(CL$14,Villagers!$B$1:$V$33,CL491+3,FALSE)),)</f>
        <v>0</v>
      </c>
      <c r="DH491" s="34">
        <f>ROUND(IF(CM491=0,0,HLOOKUP(CM$14,Villagers!$B$1:$V$33,CM491+3,FALSE)),)</f>
        <v>0</v>
      </c>
      <c r="DI491" s="109">
        <f t="shared" si="1144"/>
        <v>0</v>
      </c>
      <c r="DJ491" s="50">
        <f t="shared" si="1145"/>
        <v>0</v>
      </c>
      <c r="DK491" s="50">
        <f t="shared" si="1146"/>
        <v>0</v>
      </c>
      <c r="DL491" s="50">
        <f t="shared" si="1147"/>
        <v>0</v>
      </c>
      <c r="DM491" s="50">
        <f t="shared" si="1148"/>
        <v>0</v>
      </c>
      <c r="DN491" s="50">
        <f t="shared" si="1149"/>
        <v>0</v>
      </c>
      <c r="DO491" s="50">
        <f t="shared" si="1150"/>
        <v>0</v>
      </c>
      <c r="DP491" s="50">
        <f t="shared" si="1151"/>
        <v>0</v>
      </c>
      <c r="DQ491" s="50">
        <f t="shared" si="1128"/>
        <v>0</v>
      </c>
      <c r="DR491" s="50">
        <f t="shared" si="1129"/>
        <v>0</v>
      </c>
      <c r="DS491" s="96">
        <f>Miscelaneous!$D$4*Miscelaneous!$D$2^($CI491-1)</f>
        <v>1000</v>
      </c>
      <c r="DT491" s="333">
        <f t="shared" si="1109"/>
        <v>1</v>
      </c>
      <c r="DU491" s="81">
        <v>1</v>
      </c>
      <c r="DV491" s="79">
        <f t="shared" si="1130"/>
        <v>0</v>
      </c>
      <c r="DW491" s="79">
        <f t="shared" si="1131"/>
        <v>0</v>
      </c>
      <c r="DX491" s="79">
        <f t="shared" si="1132"/>
        <v>0</v>
      </c>
      <c r="DY491" s="79">
        <v>1</v>
      </c>
      <c r="DZ491" s="79">
        <f t="shared" si="1133"/>
        <v>0</v>
      </c>
      <c r="EA491" s="79">
        <f t="shared" si="1134"/>
        <v>0</v>
      </c>
      <c r="EB491" s="79">
        <f t="shared" si="1135"/>
        <v>0</v>
      </c>
      <c r="EC491" s="79">
        <f t="shared" si="1136"/>
        <v>0</v>
      </c>
      <c r="ED491" s="79">
        <v>1</v>
      </c>
      <c r="EE491" s="79">
        <v>1</v>
      </c>
      <c r="EF491" s="79">
        <f t="shared" si="1137"/>
        <v>0</v>
      </c>
      <c r="EG491" s="79">
        <v>1</v>
      </c>
      <c r="EH491" s="79">
        <v>1</v>
      </c>
      <c r="EI491" s="79">
        <v>1</v>
      </c>
      <c r="EJ491" s="79">
        <v>1</v>
      </c>
      <c r="EK491" s="79">
        <v>1</v>
      </c>
      <c r="EL491" s="79">
        <v>1</v>
      </c>
      <c r="EM491" s="143">
        <f t="shared" si="1138"/>
        <v>0</v>
      </c>
      <c r="EN491" s="143">
        <f t="shared" si="1139"/>
        <v>0</v>
      </c>
      <c r="EO491" s="82">
        <f t="shared" si="1140"/>
        <v>0</v>
      </c>
    </row>
    <row r="492" spans="1:145" x14ac:dyDescent="0.25">
      <c r="A492">
        <v>478</v>
      </c>
      <c r="B492" s="172" t="e">
        <f t="shared" si="1110"/>
        <v>#N/A</v>
      </c>
      <c r="C492" s="121" t="e">
        <f t="shared" ref="C492:E492" si="1187">AJ492-SUM(AB492:AB496)</f>
        <v>#N/A</v>
      </c>
      <c r="D492" s="122" t="e">
        <f t="shared" si="1187"/>
        <v>#N/A</v>
      </c>
      <c r="E492" s="122" t="e">
        <f t="shared" si="1187"/>
        <v>#N/A</v>
      </c>
      <c r="F492" s="176" t="e">
        <f t="shared" si="1092"/>
        <v>#N/A</v>
      </c>
      <c r="G492" s="121">
        <f t="shared" si="1112"/>
        <v>208</v>
      </c>
      <c r="H492" s="176" t="e">
        <f t="shared" si="1113"/>
        <v>#N/A</v>
      </c>
      <c r="I492" s="48">
        <v>1</v>
      </c>
      <c r="J492" s="39"/>
      <c r="K492" s="350">
        <v>1</v>
      </c>
      <c r="L492" s="34" t="e">
        <f t="shared" si="1093"/>
        <v>#N/A</v>
      </c>
      <c r="M492" s="38" t="e">
        <f>(HLOOKUP(J492,'Construction Times'!$B$3:$W$34,L492+2,FALSE)*HLOOKUP("hq modifier",'Construction Times'!$W$3:$W$34,BS492+2,FALSE))*(1-$H$9)</f>
        <v>#N/A</v>
      </c>
      <c r="N492" s="426" t="e">
        <f t="shared" si="1114"/>
        <v>#N/A</v>
      </c>
      <c r="O492" s="427"/>
      <c r="P492" s="430" t="e">
        <f t="shared" si="1115"/>
        <v>#N/A</v>
      </c>
      <c r="Q492" s="431"/>
      <c r="R492" s="103">
        <f t="shared" si="1142"/>
        <v>0</v>
      </c>
      <c r="S492" s="104">
        <f t="shared" si="1142"/>
        <v>0</v>
      </c>
      <c r="T492" s="104">
        <f t="shared" si="1143"/>
        <v>0</v>
      </c>
      <c r="U492" s="104">
        <f t="shared" si="1143"/>
        <v>0</v>
      </c>
      <c r="V492" s="104">
        <f t="shared" si="1143"/>
        <v>9.9999999999999995E-8</v>
      </c>
      <c r="W492" s="104">
        <f t="shared" si="1143"/>
        <v>0</v>
      </c>
      <c r="X492" s="104">
        <f t="shared" si="1089"/>
        <v>0</v>
      </c>
      <c r="Y492" s="104">
        <f t="shared" si="1089"/>
        <v>9.9999999999999995E-8</v>
      </c>
      <c r="Z492" s="104">
        <f t="shared" si="1089"/>
        <v>9.9999999999999995E-8</v>
      </c>
      <c r="AA492" s="105">
        <f t="shared" si="1089"/>
        <v>9.9999999999999995E-8</v>
      </c>
      <c r="AB492" s="101" t="e">
        <f>$DT492*HLOOKUP($J492,'Construction Costs (timber)'!$B$1:$V$32,'Construction Planner'!$L492+2,FALSE)</f>
        <v>#N/A</v>
      </c>
      <c r="AC492" s="14" t="e">
        <f>$DT492*HLOOKUP($J492,'Construction Costs (clay)'!$B$1:$V$32,'Construction Planner'!$L492+2,FALSE)</f>
        <v>#N/A</v>
      </c>
      <c r="AD492" s="14" t="e">
        <f>$DT492*HLOOKUP($J492,'Construction Costs (iron)'!$B$1:$V$32,'Construction Planner'!$L492+2,FALSE)</f>
        <v>#N/A</v>
      </c>
      <c r="AE492" s="34" t="e">
        <f t="shared" si="1155"/>
        <v>#N/A</v>
      </c>
      <c r="AF492" s="33" t="e">
        <f t="shared" si="1094"/>
        <v>#N/A</v>
      </c>
      <c r="AG492" s="14" t="e">
        <f t="shared" si="1095"/>
        <v>#N/A</v>
      </c>
      <c r="AH492" s="14" t="e">
        <f t="shared" si="1096"/>
        <v>#N/A</v>
      </c>
      <c r="AI492" s="34" t="e">
        <f t="shared" si="1156"/>
        <v>#N/A</v>
      </c>
      <c r="AJ492" s="49" t="e">
        <f t="shared" si="1116"/>
        <v>#N/A</v>
      </c>
      <c r="AK492" s="49" t="e">
        <f t="shared" si="1117"/>
        <v>#N/A</v>
      </c>
      <c r="AL492" s="49" t="e">
        <f t="shared" si="1118"/>
        <v>#N/A</v>
      </c>
      <c r="AM492" s="25">
        <f t="shared" si="1097"/>
        <v>30</v>
      </c>
      <c r="AN492" s="25">
        <f t="shared" si="1098"/>
        <v>30</v>
      </c>
      <c r="AO492" s="25">
        <f t="shared" si="1099"/>
        <v>30</v>
      </c>
      <c r="AP492" s="52" t="e">
        <f t="shared" si="1119"/>
        <v>#N/A</v>
      </c>
      <c r="AQ492" s="53" t="e">
        <f t="shared" si="1119"/>
        <v>#N/A</v>
      </c>
      <c r="AR492" s="54" t="e">
        <f t="shared" si="1119"/>
        <v>#N/A</v>
      </c>
      <c r="AS492" s="316">
        <f t="shared" si="1179"/>
        <v>0</v>
      </c>
      <c r="AT492" s="106">
        <f>_xlfn.IFNA($M492/VLOOKUP($BT492,'Unit information'!$A$2:$K$29,2,FALSE)*R492,0)*(1+$E$9)</f>
        <v>0</v>
      </c>
      <c r="AU492" s="107">
        <f>_xlfn.IFNA($M492/VLOOKUP($BT492,'Unit information'!$A$2:$K$29,3,FALSE)*S492,0)*(1+$E$9)</f>
        <v>0</v>
      </c>
      <c r="AV492" s="107">
        <f>_xlfn.IFNA($M492/VLOOKUP($BT492,'Unit information'!$A$2:$K$29,4,FALSE)*T492,0)*(1+$E$9)</f>
        <v>0</v>
      </c>
      <c r="AW492" s="107">
        <f>_xlfn.IFNA($M492/VLOOKUP($BT492,'Unit information'!$A$2:$K$29,5,FALSE)*U492,0)*(1+$E$9)</f>
        <v>0</v>
      </c>
      <c r="AX492" s="107">
        <f>_xlfn.IFNA($M492/VLOOKUP($BU492,'Unit information'!$A$2:$K$29,6,FALSE)*V492,0)*(1+$E$9)</f>
        <v>0</v>
      </c>
      <c r="AY492" s="107">
        <f>_xlfn.IFNA($M492/VLOOKUP($BU492,'Unit information'!$A$2:$K$29,7,FALSE)*W492,0)*(1+$E$9)</f>
        <v>0</v>
      </c>
      <c r="AZ492" s="107">
        <f>_xlfn.IFNA($M492/VLOOKUP($BU492,'Unit information'!$A$2:$K$29,8,FALSE)*X492,0)*(1+$E$9)</f>
        <v>0</v>
      </c>
      <c r="BA492" s="107">
        <f>_xlfn.IFNA($M492/VLOOKUP($BU492,'Unit information'!$A$2:$K$29,9,FALSE)*Y492,0)*(1+$E$9)</f>
        <v>0</v>
      </c>
      <c r="BB492" s="107">
        <f>_xlfn.IFNA($M492/VLOOKUP($BV492,'Unit information'!$A$2:$K$29,10,FALSE)*Z492,0)*(1+$E$9)</f>
        <v>0</v>
      </c>
      <c r="BC492" s="108">
        <f>_xlfn.IFNA($M492/VLOOKUP($BV492,'Unit information'!$A$2:$K$29,11,FALSE)*AA492,0)*(1+$E$9)</f>
        <v>0</v>
      </c>
      <c r="BD492" s="106">
        <f t="shared" si="1100"/>
        <v>0</v>
      </c>
      <c r="BE492" s="107">
        <f t="shared" si="1101"/>
        <v>0</v>
      </c>
      <c r="BF492" s="108">
        <f t="shared" si="1102"/>
        <v>0</v>
      </c>
      <c r="BG492" s="25" t="e">
        <f t="shared" si="1103"/>
        <v>#N/A</v>
      </c>
      <c r="BH492" s="25" t="e">
        <f t="shared" si="1104"/>
        <v>#N/A</v>
      </c>
      <c r="BI492" s="25" t="e">
        <f t="shared" si="1105"/>
        <v>#N/A</v>
      </c>
      <c r="BJ492" s="27" t="e">
        <f t="shared" si="1106"/>
        <v>#N/A</v>
      </c>
      <c r="BK492" s="18" t="e">
        <f t="shared" si="1107"/>
        <v>#N/A</v>
      </c>
      <c r="BL492" s="18" t="e">
        <f t="shared" si="1108"/>
        <v>#N/A</v>
      </c>
      <c r="BM492" s="28" t="e">
        <f t="shared" si="1158"/>
        <v>#N/A</v>
      </c>
      <c r="BN492" s="33">
        <f>HLOOKUP("maximum population",Miscelaneous!$C$1:$C$33,CH492+3,FALSE)</f>
        <v>240</v>
      </c>
      <c r="BO492" s="14">
        <f t="shared" si="1120"/>
        <v>32</v>
      </c>
      <c r="BP492" s="14">
        <f t="shared" si="1121"/>
        <v>0</v>
      </c>
      <c r="BQ492" s="14">
        <f t="shared" si="1122"/>
        <v>208</v>
      </c>
      <c r="BR492" s="34" t="e">
        <f>HLOOKUP(J492,Villagers!$B$1:$V$33,L492+3,FALSE)-HLOOKUP(J492,Villagers!$B$1:$V$33,L492+2,FALSE)</f>
        <v>#N/A</v>
      </c>
      <c r="BS492" s="49">
        <f t="shared" si="1173"/>
        <v>1</v>
      </c>
      <c r="BT492" s="50">
        <f t="shared" si="1173"/>
        <v>0</v>
      </c>
      <c r="BU492" s="50">
        <f t="shared" si="1173"/>
        <v>0</v>
      </c>
      <c r="BV492" s="50">
        <f t="shared" si="1173"/>
        <v>0</v>
      </c>
      <c r="BW492" s="50">
        <f t="shared" si="1162"/>
        <v>0</v>
      </c>
      <c r="BX492" s="50">
        <f t="shared" si="1163"/>
        <v>0</v>
      </c>
      <c r="BY492" s="50">
        <f t="shared" si="1163"/>
        <v>0</v>
      </c>
      <c r="BZ492" s="50">
        <f t="shared" si="1173"/>
        <v>0</v>
      </c>
      <c r="CA492" s="50">
        <f t="shared" si="1173"/>
        <v>0</v>
      </c>
      <c r="CB492" s="50">
        <f t="shared" si="1173"/>
        <v>1</v>
      </c>
      <c r="CC492" s="50">
        <f t="shared" si="1173"/>
        <v>0</v>
      </c>
      <c r="CD492" s="50">
        <f t="shared" si="1173"/>
        <v>0</v>
      </c>
      <c r="CE492" s="50">
        <f t="shared" si="1173"/>
        <v>1</v>
      </c>
      <c r="CF492" s="50">
        <f t="shared" si="1173"/>
        <v>1</v>
      </c>
      <c r="CG492" s="50">
        <f t="shared" si="1173"/>
        <v>1</v>
      </c>
      <c r="CH492" s="50">
        <f t="shared" si="1173"/>
        <v>1</v>
      </c>
      <c r="CI492" s="50">
        <f t="shared" si="1173"/>
        <v>1</v>
      </c>
      <c r="CJ492" s="50">
        <f t="shared" si="1173"/>
        <v>1</v>
      </c>
      <c r="CK492" s="50">
        <f t="shared" si="1174"/>
        <v>0</v>
      </c>
      <c r="CL492" s="50">
        <f t="shared" si="1174"/>
        <v>0</v>
      </c>
      <c r="CM492" s="51">
        <f t="shared" si="1173"/>
        <v>0</v>
      </c>
      <c r="CN492" s="33">
        <f>ROUND(IF(BS492=0,0,HLOOKUP(BS$14,Villagers!$B$1:$V$33,BS492+3,FALSE)),)</f>
        <v>5</v>
      </c>
      <c r="CO492" s="14">
        <f>ROUND(IF(BT492=0,0,HLOOKUP(BT$14,Villagers!$B$1:$V$33,BT492+3,FALSE)),)</f>
        <v>0</v>
      </c>
      <c r="CP492" s="14">
        <f>ROUND(IF(BU492=0,0,HLOOKUP(BU$14,Villagers!$B$1:$V$33,BU492+3,FALSE)),)</f>
        <v>0</v>
      </c>
      <c r="CQ492" s="14">
        <f>ROUND(IF(BV492=0,0,HLOOKUP(BV$14,Villagers!$B$1:$V$33,BV492+3,FALSE)),)</f>
        <v>0</v>
      </c>
      <c r="CR492" s="14">
        <f>ROUND(IF(BW492=0,0,HLOOKUP(BW$14,Villagers!$B$1:$V$33,BW492+3,FALSE)),)</f>
        <v>0</v>
      </c>
      <c r="CS492" s="14">
        <f>ROUND(IF(BX492=0,0,HLOOKUP(BX$14,Villagers!$B$1:$V$33,BX492+3,FALSE)),)</f>
        <v>0</v>
      </c>
      <c r="CT492" s="14">
        <f>ROUND(IF(BY492=0,0,HLOOKUP(BY$14,Villagers!$B$1:$V$33,BY492+3,FALSE)),)</f>
        <v>0</v>
      </c>
      <c r="CU492" s="14">
        <f>ROUND(IF(BZ492=0,0,HLOOKUP(BZ$14,Villagers!$B$1:$V$33,BZ492+3,FALSE)),)</f>
        <v>0</v>
      </c>
      <c r="CV492" s="14">
        <f>ROUND(IF(CA492=0,0,HLOOKUP(CA$14,Villagers!$B$1:$V$33,CA492+3,FALSE)),)</f>
        <v>0</v>
      </c>
      <c r="CW492" s="14">
        <f>ROUND(IF(CB492=0,0,HLOOKUP(CB$14,Villagers!$B$1:$V$33,CB492+3,FALSE)),)</f>
        <v>0</v>
      </c>
      <c r="CX492" s="14">
        <f>ROUND(IF(CC492=0,0,HLOOKUP(CC$14,Villagers!$B$1:$V$33,CC492+3,FALSE)),)</f>
        <v>0</v>
      </c>
      <c r="CY492" s="14">
        <f>ROUND(IF(CD492=0,0,HLOOKUP(CD$14,Villagers!$B$1:$V$33,CD492+3,FALSE)),)</f>
        <v>0</v>
      </c>
      <c r="CZ492" s="14">
        <f>ROUND(IF(CE492=0,0,HLOOKUP(CE$14,Villagers!$B$1:$V$33,CE492+3,FALSE)),)</f>
        <v>5</v>
      </c>
      <c r="DA492" s="14">
        <f>ROUND(IF(CF492=0,0,HLOOKUP(CF$14,Villagers!$B$1:$V$33,CF492+3,FALSE)),)</f>
        <v>10</v>
      </c>
      <c r="DB492" s="14">
        <f>ROUND(IF(CG492=0,0,HLOOKUP(CG$14,Villagers!$B$1:$V$33,CG492+3,FALSE)),)</f>
        <v>10</v>
      </c>
      <c r="DC492" s="14">
        <f>ROUND(IF(CH492=0,0,HLOOKUP(CH$14,Villagers!$B$1:$V$33,CH492+3,FALSE)),)</f>
        <v>0</v>
      </c>
      <c r="DD492" s="14">
        <f>ROUND(IF(CI492=0,0,HLOOKUP(CI$14,Villagers!$B$1:$V$33,CI492+3,FALSE)),)</f>
        <v>0</v>
      </c>
      <c r="DE492" s="14">
        <f>ROUND(IF(CJ492=0,0,HLOOKUP(CJ$14,Villagers!$B$1:$V$33,CJ492+3,FALSE)),)</f>
        <v>2</v>
      </c>
      <c r="DF492" s="370">
        <f>ROUND(IF(CK492=0,0,HLOOKUP(CK$14,Villagers!$B$1:$V$33,CK492+3,FALSE)),)</f>
        <v>0</v>
      </c>
      <c r="DG492" s="370">
        <f>ROUND(IF(CL492=0,0,HLOOKUP(CL$14,Villagers!$B$1:$V$33,CL492+3,FALSE)),)</f>
        <v>0</v>
      </c>
      <c r="DH492" s="34">
        <f>ROUND(IF(CM492=0,0,HLOOKUP(CM$14,Villagers!$B$1:$V$33,CM492+3,FALSE)),)</f>
        <v>0</v>
      </c>
      <c r="DI492" s="109">
        <f t="shared" si="1144"/>
        <v>0</v>
      </c>
      <c r="DJ492" s="50">
        <f t="shared" si="1145"/>
        <v>0</v>
      </c>
      <c r="DK492" s="50">
        <f t="shared" si="1146"/>
        <v>0</v>
      </c>
      <c r="DL492" s="50">
        <f t="shared" si="1147"/>
        <v>0</v>
      </c>
      <c r="DM492" s="50">
        <f t="shared" si="1148"/>
        <v>0</v>
      </c>
      <c r="DN492" s="50">
        <f t="shared" si="1149"/>
        <v>0</v>
      </c>
      <c r="DO492" s="50">
        <f t="shared" si="1150"/>
        <v>0</v>
      </c>
      <c r="DP492" s="50">
        <f t="shared" si="1151"/>
        <v>0</v>
      </c>
      <c r="DQ492" s="50">
        <f t="shared" si="1128"/>
        <v>0</v>
      </c>
      <c r="DR492" s="50">
        <f t="shared" si="1129"/>
        <v>0</v>
      </c>
      <c r="DS492" s="96">
        <f>Miscelaneous!$D$4*Miscelaneous!$D$2^($CI492-1)</f>
        <v>1000</v>
      </c>
      <c r="DT492" s="333">
        <f t="shared" si="1109"/>
        <v>1</v>
      </c>
      <c r="DU492" s="81">
        <v>1</v>
      </c>
      <c r="DV492" s="79">
        <f t="shared" si="1130"/>
        <v>0</v>
      </c>
      <c r="DW492" s="79">
        <f t="shared" si="1131"/>
        <v>0</v>
      </c>
      <c r="DX492" s="79">
        <f t="shared" si="1132"/>
        <v>0</v>
      </c>
      <c r="DY492" s="79">
        <v>1</v>
      </c>
      <c r="DZ492" s="79">
        <f t="shared" si="1133"/>
        <v>0</v>
      </c>
      <c r="EA492" s="79">
        <f t="shared" si="1134"/>
        <v>0</v>
      </c>
      <c r="EB492" s="79">
        <f t="shared" si="1135"/>
        <v>0</v>
      </c>
      <c r="EC492" s="79">
        <f t="shared" si="1136"/>
        <v>0</v>
      </c>
      <c r="ED492" s="79">
        <v>1</v>
      </c>
      <c r="EE492" s="79">
        <v>1</v>
      </c>
      <c r="EF492" s="79">
        <f t="shared" si="1137"/>
        <v>0</v>
      </c>
      <c r="EG492" s="79">
        <v>1</v>
      </c>
      <c r="EH492" s="79">
        <v>1</v>
      </c>
      <c r="EI492" s="79">
        <v>1</v>
      </c>
      <c r="EJ492" s="79">
        <v>1</v>
      </c>
      <c r="EK492" s="79">
        <v>1</v>
      </c>
      <c r="EL492" s="79">
        <v>1</v>
      </c>
      <c r="EM492" s="143">
        <f t="shared" si="1138"/>
        <v>0</v>
      </c>
      <c r="EN492" s="143">
        <f t="shared" si="1139"/>
        <v>0</v>
      </c>
      <c r="EO492" s="82">
        <f t="shared" si="1140"/>
        <v>0</v>
      </c>
    </row>
    <row r="493" spans="1:145" x14ac:dyDescent="0.25">
      <c r="A493">
        <v>479</v>
      </c>
      <c r="B493" s="172" t="e">
        <f t="shared" si="1110"/>
        <v>#N/A</v>
      </c>
      <c r="C493" s="121" t="e">
        <f t="shared" ref="C493:E493" si="1188">AJ493-SUM(AB493:AB497)</f>
        <v>#N/A</v>
      </c>
      <c r="D493" s="122" t="e">
        <f t="shared" si="1188"/>
        <v>#N/A</v>
      </c>
      <c r="E493" s="122" t="e">
        <f t="shared" si="1188"/>
        <v>#N/A</v>
      </c>
      <c r="F493" s="176" t="e">
        <f t="shared" si="1092"/>
        <v>#N/A</v>
      </c>
      <c r="G493" s="121">
        <f t="shared" si="1112"/>
        <v>208</v>
      </c>
      <c r="H493" s="176" t="e">
        <f t="shared" si="1113"/>
        <v>#N/A</v>
      </c>
      <c r="I493" s="48">
        <v>1</v>
      </c>
      <c r="J493" s="39"/>
      <c r="K493" s="350">
        <v>1</v>
      </c>
      <c r="L493" s="34" t="e">
        <f t="shared" si="1093"/>
        <v>#N/A</v>
      </c>
      <c r="M493" s="38" t="e">
        <f>(HLOOKUP(J493,'Construction Times'!$B$3:$W$34,L493+2,FALSE)*HLOOKUP("hq modifier",'Construction Times'!$W$3:$W$34,BS493+2,FALSE))*(1-$H$9)</f>
        <v>#N/A</v>
      </c>
      <c r="N493" s="426" t="e">
        <f t="shared" si="1114"/>
        <v>#N/A</v>
      </c>
      <c r="O493" s="427"/>
      <c r="P493" s="430" t="e">
        <f t="shared" si="1115"/>
        <v>#N/A</v>
      </c>
      <c r="Q493" s="431"/>
      <c r="R493" s="103">
        <f t="shared" si="1142"/>
        <v>0</v>
      </c>
      <c r="S493" s="104">
        <f t="shared" si="1142"/>
        <v>0</v>
      </c>
      <c r="T493" s="104">
        <f t="shared" si="1143"/>
        <v>0</v>
      </c>
      <c r="U493" s="104">
        <f t="shared" si="1143"/>
        <v>0</v>
      </c>
      <c r="V493" s="104">
        <f t="shared" si="1143"/>
        <v>9.9999999999999995E-8</v>
      </c>
      <c r="W493" s="104">
        <f t="shared" si="1143"/>
        <v>0</v>
      </c>
      <c r="X493" s="104">
        <f t="shared" ref="X493:AA509" si="1189">X492</f>
        <v>0</v>
      </c>
      <c r="Y493" s="104">
        <f t="shared" si="1189"/>
        <v>9.9999999999999995E-8</v>
      </c>
      <c r="Z493" s="104">
        <f t="shared" si="1189"/>
        <v>9.9999999999999995E-8</v>
      </c>
      <c r="AA493" s="105">
        <f t="shared" si="1189"/>
        <v>9.9999999999999995E-8</v>
      </c>
      <c r="AB493" s="101" t="e">
        <f>$DT493*HLOOKUP($J493,'Construction Costs (timber)'!$B$1:$V$32,'Construction Planner'!$L493+2,FALSE)</f>
        <v>#N/A</v>
      </c>
      <c r="AC493" s="14" t="e">
        <f>$DT493*HLOOKUP($J493,'Construction Costs (clay)'!$B$1:$V$32,'Construction Planner'!$L493+2,FALSE)</f>
        <v>#N/A</v>
      </c>
      <c r="AD493" s="14" t="e">
        <f>$DT493*HLOOKUP($J493,'Construction Costs (iron)'!$B$1:$V$32,'Construction Planner'!$L493+2,FALSE)</f>
        <v>#N/A</v>
      </c>
      <c r="AE493" s="34" t="e">
        <f t="shared" si="1155"/>
        <v>#N/A</v>
      </c>
      <c r="AF493" s="33" t="e">
        <f t="shared" si="1094"/>
        <v>#N/A</v>
      </c>
      <c r="AG493" s="14" t="e">
        <f t="shared" si="1095"/>
        <v>#N/A</v>
      </c>
      <c r="AH493" s="14" t="e">
        <f t="shared" si="1096"/>
        <v>#N/A</v>
      </c>
      <c r="AI493" s="34" t="e">
        <f t="shared" si="1156"/>
        <v>#N/A</v>
      </c>
      <c r="AJ493" s="49" t="e">
        <f t="shared" si="1116"/>
        <v>#N/A</v>
      </c>
      <c r="AK493" s="49" t="e">
        <f t="shared" si="1117"/>
        <v>#N/A</v>
      </c>
      <c r="AL493" s="49" t="e">
        <f t="shared" si="1118"/>
        <v>#N/A</v>
      </c>
      <c r="AM493" s="25">
        <f t="shared" si="1097"/>
        <v>30</v>
      </c>
      <c r="AN493" s="25">
        <f t="shared" si="1098"/>
        <v>30</v>
      </c>
      <c r="AO493" s="25">
        <f t="shared" si="1099"/>
        <v>30</v>
      </c>
      <c r="AP493" s="52" t="e">
        <f t="shared" si="1119"/>
        <v>#N/A</v>
      </c>
      <c r="AQ493" s="53" t="e">
        <f t="shared" si="1119"/>
        <v>#N/A</v>
      </c>
      <c r="AR493" s="54" t="e">
        <f t="shared" si="1119"/>
        <v>#N/A</v>
      </c>
      <c r="AS493" s="316">
        <f t="shared" si="1179"/>
        <v>0</v>
      </c>
      <c r="AT493" s="106">
        <f>_xlfn.IFNA($M493/VLOOKUP($BT493,'Unit information'!$A$2:$K$29,2,FALSE)*R493,0)*(1+$E$9)</f>
        <v>0</v>
      </c>
      <c r="AU493" s="107">
        <f>_xlfn.IFNA($M493/VLOOKUP($BT493,'Unit information'!$A$2:$K$29,3,FALSE)*S493,0)*(1+$E$9)</f>
        <v>0</v>
      </c>
      <c r="AV493" s="107">
        <f>_xlfn.IFNA($M493/VLOOKUP($BT493,'Unit information'!$A$2:$K$29,4,FALSE)*T493,0)*(1+$E$9)</f>
        <v>0</v>
      </c>
      <c r="AW493" s="107">
        <f>_xlfn.IFNA($M493/VLOOKUP($BT493,'Unit information'!$A$2:$K$29,5,FALSE)*U493,0)*(1+$E$9)</f>
        <v>0</v>
      </c>
      <c r="AX493" s="107">
        <f>_xlfn.IFNA($M493/VLOOKUP($BU493,'Unit information'!$A$2:$K$29,6,FALSE)*V493,0)*(1+$E$9)</f>
        <v>0</v>
      </c>
      <c r="AY493" s="107">
        <f>_xlfn.IFNA($M493/VLOOKUP($BU493,'Unit information'!$A$2:$K$29,7,FALSE)*W493,0)*(1+$E$9)</f>
        <v>0</v>
      </c>
      <c r="AZ493" s="107">
        <f>_xlfn.IFNA($M493/VLOOKUP($BU493,'Unit information'!$A$2:$K$29,8,FALSE)*X493,0)*(1+$E$9)</f>
        <v>0</v>
      </c>
      <c r="BA493" s="107">
        <f>_xlfn.IFNA($M493/VLOOKUP($BU493,'Unit information'!$A$2:$K$29,9,FALSE)*Y493,0)*(1+$E$9)</f>
        <v>0</v>
      </c>
      <c r="BB493" s="107">
        <f>_xlfn.IFNA($M493/VLOOKUP($BV493,'Unit information'!$A$2:$K$29,10,FALSE)*Z493,0)*(1+$E$9)</f>
        <v>0</v>
      </c>
      <c r="BC493" s="108">
        <f>_xlfn.IFNA($M493/VLOOKUP($BV493,'Unit information'!$A$2:$K$29,11,FALSE)*AA493,0)*(1+$E$9)</f>
        <v>0</v>
      </c>
      <c r="BD493" s="106">
        <f t="shared" si="1100"/>
        <v>0</v>
      </c>
      <c r="BE493" s="107">
        <f t="shared" si="1101"/>
        <v>0</v>
      </c>
      <c r="BF493" s="108">
        <f t="shared" si="1102"/>
        <v>0</v>
      </c>
      <c r="BG493" s="25" t="e">
        <f t="shared" si="1103"/>
        <v>#N/A</v>
      </c>
      <c r="BH493" s="25" t="e">
        <f t="shared" si="1104"/>
        <v>#N/A</v>
      </c>
      <c r="BI493" s="25" t="e">
        <f t="shared" si="1105"/>
        <v>#N/A</v>
      </c>
      <c r="BJ493" s="27" t="e">
        <f t="shared" si="1106"/>
        <v>#N/A</v>
      </c>
      <c r="BK493" s="18" t="e">
        <f t="shared" si="1107"/>
        <v>#N/A</v>
      </c>
      <c r="BL493" s="18" t="e">
        <f t="shared" si="1108"/>
        <v>#N/A</v>
      </c>
      <c r="BM493" s="28" t="e">
        <f t="shared" si="1158"/>
        <v>#N/A</v>
      </c>
      <c r="BN493" s="33">
        <f>HLOOKUP("maximum population",Miscelaneous!$C$1:$C$33,CH493+3,FALSE)</f>
        <v>240</v>
      </c>
      <c r="BO493" s="14">
        <f t="shared" si="1120"/>
        <v>32</v>
      </c>
      <c r="BP493" s="14">
        <f t="shared" si="1121"/>
        <v>0</v>
      </c>
      <c r="BQ493" s="14">
        <f t="shared" si="1122"/>
        <v>208</v>
      </c>
      <c r="BR493" s="34" t="e">
        <f>HLOOKUP(J493,Villagers!$B$1:$V$33,L493+3,FALSE)-HLOOKUP(J493,Villagers!$B$1:$V$33,L493+2,FALSE)</f>
        <v>#N/A</v>
      </c>
      <c r="BS493" s="49">
        <f t="shared" si="1173"/>
        <v>1</v>
      </c>
      <c r="BT493" s="50">
        <f t="shared" si="1173"/>
        <v>0</v>
      </c>
      <c r="BU493" s="50">
        <f t="shared" si="1173"/>
        <v>0</v>
      </c>
      <c r="BV493" s="50">
        <f t="shared" si="1173"/>
        <v>0</v>
      </c>
      <c r="BW493" s="50">
        <f t="shared" si="1162"/>
        <v>0</v>
      </c>
      <c r="BX493" s="50">
        <f t="shared" si="1163"/>
        <v>0</v>
      </c>
      <c r="BY493" s="50">
        <f t="shared" si="1163"/>
        <v>0</v>
      </c>
      <c r="BZ493" s="50">
        <f t="shared" si="1173"/>
        <v>0</v>
      </c>
      <c r="CA493" s="50">
        <f t="shared" si="1173"/>
        <v>0</v>
      </c>
      <c r="CB493" s="50">
        <f t="shared" si="1173"/>
        <v>1</v>
      </c>
      <c r="CC493" s="50">
        <f t="shared" si="1173"/>
        <v>0</v>
      </c>
      <c r="CD493" s="50">
        <f t="shared" si="1173"/>
        <v>0</v>
      </c>
      <c r="CE493" s="50">
        <f t="shared" si="1173"/>
        <v>1</v>
      </c>
      <c r="CF493" s="50">
        <f t="shared" si="1173"/>
        <v>1</v>
      </c>
      <c r="CG493" s="50">
        <f t="shared" si="1173"/>
        <v>1</v>
      </c>
      <c r="CH493" s="50">
        <f t="shared" si="1173"/>
        <v>1</v>
      </c>
      <c r="CI493" s="50">
        <f t="shared" si="1173"/>
        <v>1</v>
      </c>
      <c r="CJ493" s="50">
        <f t="shared" si="1173"/>
        <v>1</v>
      </c>
      <c r="CK493" s="50">
        <f t="shared" si="1174"/>
        <v>0</v>
      </c>
      <c r="CL493" s="50">
        <f t="shared" si="1174"/>
        <v>0</v>
      </c>
      <c r="CM493" s="51">
        <f t="shared" si="1173"/>
        <v>0</v>
      </c>
      <c r="CN493" s="33">
        <f>ROUND(IF(BS493=0,0,HLOOKUP(BS$14,Villagers!$B$1:$V$33,BS493+3,FALSE)),)</f>
        <v>5</v>
      </c>
      <c r="CO493" s="14">
        <f>ROUND(IF(BT493=0,0,HLOOKUP(BT$14,Villagers!$B$1:$V$33,BT493+3,FALSE)),)</f>
        <v>0</v>
      </c>
      <c r="CP493" s="14">
        <f>ROUND(IF(BU493=0,0,HLOOKUP(BU$14,Villagers!$B$1:$V$33,BU493+3,FALSE)),)</f>
        <v>0</v>
      </c>
      <c r="CQ493" s="14">
        <f>ROUND(IF(BV493=0,0,HLOOKUP(BV$14,Villagers!$B$1:$V$33,BV493+3,FALSE)),)</f>
        <v>0</v>
      </c>
      <c r="CR493" s="14">
        <f>ROUND(IF(BW493=0,0,HLOOKUP(BW$14,Villagers!$B$1:$V$33,BW493+3,FALSE)),)</f>
        <v>0</v>
      </c>
      <c r="CS493" s="14">
        <f>ROUND(IF(BX493=0,0,HLOOKUP(BX$14,Villagers!$B$1:$V$33,BX493+3,FALSE)),)</f>
        <v>0</v>
      </c>
      <c r="CT493" s="14">
        <f>ROUND(IF(BY493=0,0,HLOOKUP(BY$14,Villagers!$B$1:$V$33,BY493+3,FALSE)),)</f>
        <v>0</v>
      </c>
      <c r="CU493" s="14">
        <f>ROUND(IF(BZ493=0,0,HLOOKUP(BZ$14,Villagers!$B$1:$V$33,BZ493+3,FALSE)),)</f>
        <v>0</v>
      </c>
      <c r="CV493" s="14">
        <f>ROUND(IF(CA493=0,0,HLOOKUP(CA$14,Villagers!$B$1:$V$33,CA493+3,FALSE)),)</f>
        <v>0</v>
      </c>
      <c r="CW493" s="14">
        <f>ROUND(IF(CB493=0,0,HLOOKUP(CB$14,Villagers!$B$1:$V$33,CB493+3,FALSE)),)</f>
        <v>0</v>
      </c>
      <c r="CX493" s="14">
        <f>ROUND(IF(CC493=0,0,HLOOKUP(CC$14,Villagers!$B$1:$V$33,CC493+3,FALSE)),)</f>
        <v>0</v>
      </c>
      <c r="CY493" s="14">
        <f>ROUND(IF(CD493=0,0,HLOOKUP(CD$14,Villagers!$B$1:$V$33,CD493+3,FALSE)),)</f>
        <v>0</v>
      </c>
      <c r="CZ493" s="14">
        <f>ROUND(IF(CE493=0,0,HLOOKUP(CE$14,Villagers!$B$1:$V$33,CE493+3,FALSE)),)</f>
        <v>5</v>
      </c>
      <c r="DA493" s="14">
        <f>ROUND(IF(CF493=0,0,HLOOKUP(CF$14,Villagers!$B$1:$V$33,CF493+3,FALSE)),)</f>
        <v>10</v>
      </c>
      <c r="DB493" s="14">
        <f>ROUND(IF(CG493=0,0,HLOOKUP(CG$14,Villagers!$B$1:$V$33,CG493+3,FALSE)),)</f>
        <v>10</v>
      </c>
      <c r="DC493" s="14">
        <f>ROUND(IF(CH493=0,0,HLOOKUP(CH$14,Villagers!$B$1:$V$33,CH493+3,FALSE)),)</f>
        <v>0</v>
      </c>
      <c r="DD493" s="14">
        <f>ROUND(IF(CI493=0,0,HLOOKUP(CI$14,Villagers!$B$1:$V$33,CI493+3,FALSE)),)</f>
        <v>0</v>
      </c>
      <c r="DE493" s="14">
        <f>ROUND(IF(CJ493=0,0,HLOOKUP(CJ$14,Villagers!$B$1:$V$33,CJ493+3,FALSE)),)</f>
        <v>2</v>
      </c>
      <c r="DF493" s="370">
        <f>ROUND(IF(CK493=0,0,HLOOKUP(CK$14,Villagers!$B$1:$V$33,CK493+3,FALSE)),)</f>
        <v>0</v>
      </c>
      <c r="DG493" s="370">
        <f>ROUND(IF(CL493=0,0,HLOOKUP(CL$14,Villagers!$B$1:$V$33,CL493+3,FALSE)),)</f>
        <v>0</v>
      </c>
      <c r="DH493" s="34">
        <f>ROUND(IF(CM493=0,0,HLOOKUP(CM$14,Villagers!$B$1:$V$33,CM493+3,FALSE)),)</f>
        <v>0</v>
      </c>
      <c r="DI493" s="109">
        <f t="shared" si="1144"/>
        <v>0</v>
      </c>
      <c r="DJ493" s="50">
        <f t="shared" si="1145"/>
        <v>0</v>
      </c>
      <c r="DK493" s="50">
        <f t="shared" si="1146"/>
        <v>0</v>
      </c>
      <c r="DL493" s="50">
        <f t="shared" si="1147"/>
        <v>0</v>
      </c>
      <c r="DM493" s="50">
        <f t="shared" si="1148"/>
        <v>0</v>
      </c>
      <c r="DN493" s="50">
        <f t="shared" si="1149"/>
        <v>0</v>
      </c>
      <c r="DO493" s="50">
        <f t="shared" si="1150"/>
        <v>0</v>
      </c>
      <c r="DP493" s="50">
        <f t="shared" si="1151"/>
        <v>0</v>
      </c>
      <c r="DQ493" s="50">
        <f t="shared" si="1128"/>
        <v>0</v>
      </c>
      <c r="DR493" s="50">
        <f t="shared" si="1129"/>
        <v>0</v>
      </c>
      <c r="DS493" s="96">
        <f>Miscelaneous!$D$4*Miscelaneous!$D$2^($CI493-1)</f>
        <v>1000</v>
      </c>
      <c r="DT493" s="333">
        <f t="shared" si="1109"/>
        <v>1</v>
      </c>
      <c r="DU493" s="81">
        <v>1</v>
      </c>
      <c r="DV493" s="79">
        <f t="shared" si="1130"/>
        <v>0</v>
      </c>
      <c r="DW493" s="79">
        <f t="shared" si="1131"/>
        <v>0</v>
      </c>
      <c r="DX493" s="79">
        <f t="shared" si="1132"/>
        <v>0</v>
      </c>
      <c r="DY493" s="79">
        <v>1</v>
      </c>
      <c r="DZ493" s="79">
        <f t="shared" si="1133"/>
        <v>0</v>
      </c>
      <c r="EA493" s="79">
        <f t="shared" si="1134"/>
        <v>0</v>
      </c>
      <c r="EB493" s="79">
        <f t="shared" si="1135"/>
        <v>0</v>
      </c>
      <c r="EC493" s="79">
        <f t="shared" si="1136"/>
        <v>0</v>
      </c>
      <c r="ED493" s="79">
        <v>1</v>
      </c>
      <c r="EE493" s="79">
        <v>1</v>
      </c>
      <c r="EF493" s="79">
        <f t="shared" si="1137"/>
        <v>0</v>
      </c>
      <c r="EG493" s="79">
        <v>1</v>
      </c>
      <c r="EH493" s="79">
        <v>1</v>
      </c>
      <c r="EI493" s="79">
        <v>1</v>
      </c>
      <c r="EJ493" s="79">
        <v>1</v>
      </c>
      <c r="EK493" s="79">
        <v>1</v>
      </c>
      <c r="EL493" s="79">
        <v>1</v>
      </c>
      <c r="EM493" s="143">
        <f t="shared" si="1138"/>
        <v>0</v>
      </c>
      <c r="EN493" s="143">
        <f t="shared" si="1139"/>
        <v>0</v>
      </c>
      <c r="EO493" s="82">
        <f t="shared" si="1140"/>
        <v>0</v>
      </c>
    </row>
    <row r="494" spans="1:145" x14ac:dyDescent="0.25">
      <c r="A494">
        <v>480</v>
      </c>
      <c r="B494" s="172" t="e">
        <f t="shared" si="1110"/>
        <v>#N/A</v>
      </c>
      <c r="C494" s="121" t="e">
        <f t="shared" ref="C494:E494" si="1190">AJ494-SUM(AB494:AB498)</f>
        <v>#N/A</v>
      </c>
      <c r="D494" s="122" t="e">
        <f t="shared" si="1190"/>
        <v>#N/A</v>
      </c>
      <c r="E494" s="122" t="e">
        <f t="shared" si="1190"/>
        <v>#N/A</v>
      </c>
      <c r="F494" s="176" t="e">
        <f t="shared" si="1092"/>
        <v>#N/A</v>
      </c>
      <c r="G494" s="121">
        <f t="shared" si="1112"/>
        <v>208</v>
      </c>
      <c r="H494" s="176" t="e">
        <f t="shared" si="1113"/>
        <v>#N/A</v>
      </c>
      <c r="I494" s="48">
        <v>1</v>
      </c>
      <c r="J494" s="39"/>
      <c r="K494" s="350">
        <v>1</v>
      </c>
      <c r="L494" s="34" t="e">
        <f t="shared" si="1093"/>
        <v>#N/A</v>
      </c>
      <c r="M494" s="38" t="e">
        <f>(HLOOKUP(J494,'Construction Times'!$B$3:$W$34,L494+2,FALSE)*HLOOKUP("hq modifier",'Construction Times'!$W$3:$W$34,BS494+2,FALSE))*(1-$H$9)</f>
        <v>#N/A</v>
      </c>
      <c r="N494" s="426" t="e">
        <f t="shared" si="1114"/>
        <v>#N/A</v>
      </c>
      <c r="O494" s="427"/>
      <c r="P494" s="430" t="e">
        <f t="shared" si="1115"/>
        <v>#N/A</v>
      </c>
      <c r="Q494" s="431"/>
      <c r="R494" s="103">
        <f t="shared" si="1142"/>
        <v>0</v>
      </c>
      <c r="S494" s="104">
        <f t="shared" si="1142"/>
        <v>0</v>
      </c>
      <c r="T494" s="104">
        <f t="shared" si="1143"/>
        <v>0</v>
      </c>
      <c r="U494" s="104">
        <f t="shared" si="1143"/>
        <v>0</v>
      </c>
      <c r="V494" s="104">
        <f t="shared" si="1143"/>
        <v>9.9999999999999995E-8</v>
      </c>
      <c r="W494" s="104">
        <f t="shared" si="1143"/>
        <v>0</v>
      </c>
      <c r="X494" s="104">
        <f t="shared" si="1189"/>
        <v>0</v>
      </c>
      <c r="Y494" s="104">
        <f t="shared" si="1189"/>
        <v>9.9999999999999995E-8</v>
      </c>
      <c r="Z494" s="104">
        <f t="shared" si="1189"/>
        <v>9.9999999999999995E-8</v>
      </c>
      <c r="AA494" s="105">
        <f t="shared" si="1189"/>
        <v>9.9999999999999995E-8</v>
      </c>
      <c r="AB494" s="101" t="e">
        <f>$DT494*HLOOKUP($J494,'Construction Costs (timber)'!$B$1:$V$32,'Construction Planner'!$L494+2,FALSE)</f>
        <v>#N/A</v>
      </c>
      <c r="AC494" s="14" t="e">
        <f>$DT494*HLOOKUP($J494,'Construction Costs (clay)'!$B$1:$V$32,'Construction Planner'!$L494+2,FALSE)</f>
        <v>#N/A</v>
      </c>
      <c r="AD494" s="14" t="e">
        <f>$DT494*HLOOKUP($J494,'Construction Costs (iron)'!$B$1:$V$32,'Construction Planner'!$L494+2,FALSE)</f>
        <v>#N/A</v>
      </c>
      <c r="AE494" s="34" t="e">
        <f t="shared" si="1155"/>
        <v>#N/A</v>
      </c>
      <c r="AF494" s="33" t="e">
        <f t="shared" si="1094"/>
        <v>#N/A</v>
      </c>
      <c r="AG494" s="14" t="e">
        <f t="shared" si="1095"/>
        <v>#N/A</v>
      </c>
      <c r="AH494" s="14" t="e">
        <f t="shared" si="1096"/>
        <v>#N/A</v>
      </c>
      <c r="AI494" s="34" t="e">
        <f t="shared" si="1156"/>
        <v>#N/A</v>
      </c>
      <c r="AJ494" s="49" t="e">
        <f t="shared" si="1116"/>
        <v>#N/A</v>
      </c>
      <c r="AK494" s="49" t="e">
        <f t="shared" si="1117"/>
        <v>#N/A</v>
      </c>
      <c r="AL494" s="49" t="e">
        <f t="shared" si="1118"/>
        <v>#N/A</v>
      </c>
      <c r="AM494" s="25">
        <f t="shared" si="1097"/>
        <v>30</v>
      </c>
      <c r="AN494" s="25">
        <f t="shared" si="1098"/>
        <v>30</v>
      </c>
      <c r="AO494" s="25">
        <f t="shared" si="1099"/>
        <v>30</v>
      </c>
      <c r="AP494" s="52" t="e">
        <f t="shared" si="1119"/>
        <v>#N/A</v>
      </c>
      <c r="AQ494" s="53" t="e">
        <f t="shared" si="1119"/>
        <v>#N/A</v>
      </c>
      <c r="AR494" s="54" t="e">
        <f t="shared" si="1119"/>
        <v>#N/A</v>
      </c>
      <c r="AS494" s="316">
        <f t="shared" si="1179"/>
        <v>0</v>
      </c>
      <c r="AT494" s="106">
        <f>_xlfn.IFNA($M494/VLOOKUP($BT494,'Unit information'!$A$2:$K$29,2,FALSE)*R494,0)*(1+$E$9)</f>
        <v>0</v>
      </c>
      <c r="AU494" s="107">
        <f>_xlfn.IFNA($M494/VLOOKUP($BT494,'Unit information'!$A$2:$K$29,3,FALSE)*S494,0)*(1+$E$9)</f>
        <v>0</v>
      </c>
      <c r="AV494" s="107">
        <f>_xlfn.IFNA($M494/VLOOKUP($BT494,'Unit information'!$A$2:$K$29,4,FALSE)*T494,0)*(1+$E$9)</f>
        <v>0</v>
      </c>
      <c r="AW494" s="107">
        <f>_xlfn.IFNA($M494/VLOOKUP($BT494,'Unit information'!$A$2:$K$29,5,FALSE)*U494,0)*(1+$E$9)</f>
        <v>0</v>
      </c>
      <c r="AX494" s="107">
        <f>_xlfn.IFNA($M494/VLOOKUP($BU494,'Unit information'!$A$2:$K$29,6,FALSE)*V494,0)*(1+$E$9)</f>
        <v>0</v>
      </c>
      <c r="AY494" s="107">
        <f>_xlfn.IFNA($M494/VLOOKUP($BU494,'Unit information'!$A$2:$K$29,7,FALSE)*W494,0)*(1+$E$9)</f>
        <v>0</v>
      </c>
      <c r="AZ494" s="107">
        <f>_xlfn.IFNA($M494/VLOOKUP($BU494,'Unit information'!$A$2:$K$29,8,FALSE)*X494,0)*(1+$E$9)</f>
        <v>0</v>
      </c>
      <c r="BA494" s="107">
        <f>_xlfn.IFNA($M494/VLOOKUP($BU494,'Unit information'!$A$2:$K$29,9,FALSE)*Y494,0)*(1+$E$9)</f>
        <v>0</v>
      </c>
      <c r="BB494" s="107">
        <f>_xlfn.IFNA($M494/VLOOKUP($BV494,'Unit information'!$A$2:$K$29,10,FALSE)*Z494,0)*(1+$E$9)</f>
        <v>0</v>
      </c>
      <c r="BC494" s="108">
        <f>_xlfn.IFNA($M494/VLOOKUP($BV494,'Unit information'!$A$2:$K$29,11,FALSE)*AA494,0)*(1+$E$9)</f>
        <v>0</v>
      </c>
      <c r="BD494" s="106">
        <f t="shared" si="1100"/>
        <v>0</v>
      </c>
      <c r="BE494" s="107">
        <f t="shared" si="1101"/>
        <v>0</v>
      </c>
      <c r="BF494" s="108">
        <f t="shared" si="1102"/>
        <v>0</v>
      </c>
      <c r="BG494" s="25" t="e">
        <f t="shared" si="1103"/>
        <v>#N/A</v>
      </c>
      <c r="BH494" s="25" t="e">
        <f t="shared" si="1104"/>
        <v>#N/A</v>
      </c>
      <c r="BI494" s="25" t="e">
        <f t="shared" si="1105"/>
        <v>#N/A</v>
      </c>
      <c r="BJ494" s="27" t="e">
        <f t="shared" si="1106"/>
        <v>#N/A</v>
      </c>
      <c r="BK494" s="18" t="e">
        <f t="shared" si="1107"/>
        <v>#N/A</v>
      </c>
      <c r="BL494" s="18" t="e">
        <f t="shared" si="1108"/>
        <v>#N/A</v>
      </c>
      <c r="BM494" s="28" t="e">
        <f t="shared" si="1158"/>
        <v>#N/A</v>
      </c>
      <c r="BN494" s="33">
        <f>HLOOKUP("maximum population",Miscelaneous!$C$1:$C$33,CH494+3,FALSE)</f>
        <v>240</v>
      </c>
      <c r="BO494" s="14">
        <f t="shared" si="1120"/>
        <v>32</v>
      </c>
      <c r="BP494" s="14">
        <f t="shared" si="1121"/>
        <v>0</v>
      </c>
      <c r="BQ494" s="14">
        <f t="shared" si="1122"/>
        <v>208</v>
      </c>
      <c r="BR494" s="34" t="e">
        <f>HLOOKUP(J494,Villagers!$B$1:$V$33,L494+3,FALSE)-HLOOKUP(J494,Villagers!$B$1:$V$33,L494+2,FALSE)</f>
        <v>#N/A</v>
      </c>
      <c r="BS494" s="49">
        <f t="shared" si="1173"/>
        <v>1</v>
      </c>
      <c r="BT494" s="50">
        <f t="shared" si="1173"/>
        <v>0</v>
      </c>
      <c r="BU494" s="50">
        <f t="shared" si="1173"/>
        <v>0</v>
      </c>
      <c r="BV494" s="50">
        <f t="shared" si="1173"/>
        <v>0</v>
      </c>
      <c r="BW494" s="50">
        <f t="shared" si="1162"/>
        <v>0</v>
      </c>
      <c r="BX494" s="50">
        <f t="shared" si="1163"/>
        <v>0</v>
      </c>
      <c r="BY494" s="50">
        <f t="shared" si="1163"/>
        <v>0</v>
      </c>
      <c r="BZ494" s="50">
        <f t="shared" si="1173"/>
        <v>0</v>
      </c>
      <c r="CA494" s="50">
        <f t="shared" si="1173"/>
        <v>0</v>
      </c>
      <c r="CB494" s="50">
        <f t="shared" si="1173"/>
        <v>1</v>
      </c>
      <c r="CC494" s="50">
        <f t="shared" si="1173"/>
        <v>0</v>
      </c>
      <c r="CD494" s="50">
        <f t="shared" si="1173"/>
        <v>0</v>
      </c>
      <c r="CE494" s="50">
        <f t="shared" si="1173"/>
        <v>1</v>
      </c>
      <c r="CF494" s="50">
        <f t="shared" si="1173"/>
        <v>1</v>
      </c>
      <c r="CG494" s="50">
        <f t="shared" si="1173"/>
        <v>1</v>
      </c>
      <c r="CH494" s="50">
        <f t="shared" si="1173"/>
        <v>1</v>
      </c>
      <c r="CI494" s="50">
        <f t="shared" si="1173"/>
        <v>1</v>
      </c>
      <c r="CJ494" s="50">
        <f t="shared" si="1173"/>
        <v>1</v>
      </c>
      <c r="CK494" s="50">
        <f t="shared" si="1174"/>
        <v>0</v>
      </c>
      <c r="CL494" s="50">
        <f t="shared" si="1174"/>
        <v>0</v>
      </c>
      <c r="CM494" s="51">
        <f t="shared" si="1173"/>
        <v>0</v>
      </c>
      <c r="CN494" s="33">
        <f>ROUND(IF(BS494=0,0,HLOOKUP(BS$14,Villagers!$B$1:$V$33,BS494+3,FALSE)),)</f>
        <v>5</v>
      </c>
      <c r="CO494" s="14">
        <f>ROUND(IF(BT494=0,0,HLOOKUP(BT$14,Villagers!$B$1:$V$33,BT494+3,FALSE)),)</f>
        <v>0</v>
      </c>
      <c r="CP494" s="14">
        <f>ROUND(IF(BU494=0,0,HLOOKUP(BU$14,Villagers!$B$1:$V$33,BU494+3,FALSE)),)</f>
        <v>0</v>
      </c>
      <c r="CQ494" s="14">
        <f>ROUND(IF(BV494=0,0,HLOOKUP(BV$14,Villagers!$B$1:$V$33,BV494+3,FALSE)),)</f>
        <v>0</v>
      </c>
      <c r="CR494" s="14">
        <f>ROUND(IF(BW494=0,0,HLOOKUP(BW$14,Villagers!$B$1:$V$33,BW494+3,FALSE)),)</f>
        <v>0</v>
      </c>
      <c r="CS494" s="14">
        <f>ROUND(IF(BX494=0,0,HLOOKUP(BX$14,Villagers!$B$1:$V$33,BX494+3,FALSE)),)</f>
        <v>0</v>
      </c>
      <c r="CT494" s="14">
        <f>ROUND(IF(BY494=0,0,HLOOKUP(BY$14,Villagers!$B$1:$V$33,BY494+3,FALSE)),)</f>
        <v>0</v>
      </c>
      <c r="CU494" s="14">
        <f>ROUND(IF(BZ494=0,0,HLOOKUP(BZ$14,Villagers!$B$1:$V$33,BZ494+3,FALSE)),)</f>
        <v>0</v>
      </c>
      <c r="CV494" s="14">
        <f>ROUND(IF(CA494=0,0,HLOOKUP(CA$14,Villagers!$B$1:$V$33,CA494+3,FALSE)),)</f>
        <v>0</v>
      </c>
      <c r="CW494" s="14">
        <f>ROUND(IF(CB494=0,0,HLOOKUP(CB$14,Villagers!$B$1:$V$33,CB494+3,FALSE)),)</f>
        <v>0</v>
      </c>
      <c r="CX494" s="14">
        <f>ROUND(IF(CC494=0,0,HLOOKUP(CC$14,Villagers!$B$1:$V$33,CC494+3,FALSE)),)</f>
        <v>0</v>
      </c>
      <c r="CY494" s="14">
        <f>ROUND(IF(CD494=0,0,HLOOKUP(CD$14,Villagers!$B$1:$V$33,CD494+3,FALSE)),)</f>
        <v>0</v>
      </c>
      <c r="CZ494" s="14">
        <f>ROUND(IF(CE494=0,0,HLOOKUP(CE$14,Villagers!$B$1:$V$33,CE494+3,FALSE)),)</f>
        <v>5</v>
      </c>
      <c r="DA494" s="14">
        <f>ROUND(IF(CF494=0,0,HLOOKUP(CF$14,Villagers!$B$1:$V$33,CF494+3,FALSE)),)</f>
        <v>10</v>
      </c>
      <c r="DB494" s="14">
        <f>ROUND(IF(CG494=0,0,HLOOKUP(CG$14,Villagers!$B$1:$V$33,CG494+3,FALSE)),)</f>
        <v>10</v>
      </c>
      <c r="DC494" s="14">
        <f>ROUND(IF(CH494=0,0,HLOOKUP(CH$14,Villagers!$B$1:$V$33,CH494+3,FALSE)),)</f>
        <v>0</v>
      </c>
      <c r="DD494" s="14">
        <f>ROUND(IF(CI494=0,0,HLOOKUP(CI$14,Villagers!$B$1:$V$33,CI494+3,FALSE)),)</f>
        <v>0</v>
      </c>
      <c r="DE494" s="14">
        <f>ROUND(IF(CJ494=0,0,HLOOKUP(CJ$14,Villagers!$B$1:$V$33,CJ494+3,FALSE)),)</f>
        <v>2</v>
      </c>
      <c r="DF494" s="370">
        <f>ROUND(IF(CK494=0,0,HLOOKUP(CK$14,Villagers!$B$1:$V$33,CK494+3,FALSE)),)</f>
        <v>0</v>
      </c>
      <c r="DG494" s="370">
        <f>ROUND(IF(CL494=0,0,HLOOKUP(CL$14,Villagers!$B$1:$V$33,CL494+3,FALSE)),)</f>
        <v>0</v>
      </c>
      <c r="DH494" s="34">
        <f>ROUND(IF(CM494=0,0,HLOOKUP(CM$14,Villagers!$B$1:$V$33,CM494+3,FALSE)),)</f>
        <v>0</v>
      </c>
      <c r="DI494" s="109">
        <f t="shared" si="1144"/>
        <v>0</v>
      </c>
      <c r="DJ494" s="50">
        <f t="shared" si="1145"/>
        <v>0</v>
      </c>
      <c r="DK494" s="50">
        <f t="shared" si="1146"/>
        <v>0</v>
      </c>
      <c r="DL494" s="50">
        <f t="shared" si="1147"/>
        <v>0</v>
      </c>
      <c r="DM494" s="50">
        <f t="shared" si="1148"/>
        <v>0</v>
      </c>
      <c r="DN494" s="50">
        <f t="shared" si="1149"/>
        <v>0</v>
      </c>
      <c r="DO494" s="50">
        <f t="shared" si="1150"/>
        <v>0</v>
      </c>
      <c r="DP494" s="50">
        <f t="shared" si="1151"/>
        <v>0</v>
      </c>
      <c r="DQ494" s="50">
        <f t="shared" si="1128"/>
        <v>0</v>
      </c>
      <c r="DR494" s="50">
        <f t="shared" si="1129"/>
        <v>0</v>
      </c>
      <c r="DS494" s="96">
        <f>Miscelaneous!$D$4*Miscelaneous!$D$2^($CI494-1)</f>
        <v>1000</v>
      </c>
      <c r="DT494" s="333">
        <f t="shared" si="1109"/>
        <v>1</v>
      </c>
      <c r="DU494" s="81">
        <v>1</v>
      </c>
      <c r="DV494" s="79">
        <f t="shared" si="1130"/>
        <v>0</v>
      </c>
      <c r="DW494" s="79">
        <f t="shared" si="1131"/>
        <v>0</v>
      </c>
      <c r="DX494" s="79">
        <f t="shared" si="1132"/>
        <v>0</v>
      </c>
      <c r="DY494" s="79">
        <v>1</v>
      </c>
      <c r="DZ494" s="79">
        <f t="shared" si="1133"/>
        <v>0</v>
      </c>
      <c r="EA494" s="79">
        <f t="shared" si="1134"/>
        <v>0</v>
      </c>
      <c r="EB494" s="79">
        <f t="shared" si="1135"/>
        <v>0</v>
      </c>
      <c r="EC494" s="79">
        <f t="shared" si="1136"/>
        <v>0</v>
      </c>
      <c r="ED494" s="79">
        <v>1</v>
      </c>
      <c r="EE494" s="79">
        <v>1</v>
      </c>
      <c r="EF494" s="79">
        <f t="shared" si="1137"/>
        <v>0</v>
      </c>
      <c r="EG494" s="79">
        <v>1</v>
      </c>
      <c r="EH494" s="79">
        <v>1</v>
      </c>
      <c r="EI494" s="79">
        <v>1</v>
      </c>
      <c r="EJ494" s="79">
        <v>1</v>
      </c>
      <c r="EK494" s="79">
        <v>1</v>
      </c>
      <c r="EL494" s="79">
        <v>1</v>
      </c>
      <c r="EM494" s="143">
        <f t="shared" si="1138"/>
        <v>0</v>
      </c>
      <c r="EN494" s="143">
        <f t="shared" si="1139"/>
        <v>0</v>
      </c>
      <c r="EO494" s="82">
        <f t="shared" si="1140"/>
        <v>0</v>
      </c>
    </row>
    <row r="495" spans="1:145" x14ac:dyDescent="0.25">
      <c r="A495">
        <v>481</v>
      </c>
      <c r="B495" s="172" t="e">
        <f t="shared" si="1110"/>
        <v>#N/A</v>
      </c>
      <c r="C495" s="121" t="e">
        <f t="shared" ref="C495:E495" si="1191">AJ495-SUM(AB495:AB499)</f>
        <v>#N/A</v>
      </c>
      <c r="D495" s="122" t="e">
        <f t="shared" si="1191"/>
        <v>#N/A</v>
      </c>
      <c r="E495" s="122" t="e">
        <f t="shared" si="1191"/>
        <v>#N/A</v>
      </c>
      <c r="F495" s="176" t="e">
        <f t="shared" si="1092"/>
        <v>#N/A</v>
      </c>
      <c r="G495" s="121">
        <f t="shared" si="1112"/>
        <v>208</v>
      </c>
      <c r="H495" s="176" t="e">
        <f t="shared" si="1113"/>
        <v>#N/A</v>
      </c>
      <c r="I495" s="48">
        <v>1</v>
      </c>
      <c r="J495" s="39"/>
      <c r="K495" s="350">
        <v>1</v>
      </c>
      <c r="L495" s="34" t="e">
        <f t="shared" si="1093"/>
        <v>#N/A</v>
      </c>
      <c r="M495" s="38" t="e">
        <f>(HLOOKUP(J495,'Construction Times'!$B$3:$W$34,L495+2,FALSE)*HLOOKUP("hq modifier",'Construction Times'!$W$3:$W$34,BS495+2,FALSE))*(1-$H$9)</f>
        <v>#N/A</v>
      </c>
      <c r="N495" s="426" t="e">
        <f t="shared" si="1114"/>
        <v>#N/A</v>
      </c>
      <c r="O495" s="427"/>
      <c r="P495" s="430" t="e">
        <f t="shared" si="1115"/>
        <v>#N/A</v>
      </c>
      <c r="Q495" s="431"/>
      <c r="R495" s="103">
        <f t="shared" si="1142"/>
        <v>0</v>
      </c>
      <c r="S495" s="104">
        <f t="shared" si="1142"/>
        <v>0</v>
      </c>
      <c r="T495" s="104">
        <f t="shared" si="1143"/>
        <v>0</v>
      </c>
      <c r="U495" s="104">
        <f t="shared" si="1143"/>
        <v>0</v>
      </c>
      <c r="V495" s="104">
        <f t="shared" si="1143"/>
        <v>9.9999999999999995E-8</v>
      </c>
      <c r="W495" s="104">
        <f t="shared" si="1143"/>
        <v>0</v>
      </c>
      <c r="X495" s="104">
        <f t="shared" si="1189"/>
        <v>0</v>
      </c>
      <c r="Y495" s="104">
        <f t="shared" si="1189"/>
        <v>9.9999999999999995E-8</v>
      </c>
      <c r="Z495" s="104">
        <f t="shared" si="1189"/>
        <v>9.9999999999999995E-8</v>
      </c>
      <c r="AA495" s="105">
        <f t="shared" si="1189"/>
        <v>9.9999999999999995E-8</v>
      </c>
      <c r="AB495" s="101" t="e">
        <f>$DT495*HLOOKUP($J495,'Construction Costs (timber)'!$B$1:$V$32,'Construction Planner'!$L495+2,FALSE)</f>
        <v>#N/A</v>
      </c>
      <c r="AC495" s="14" t="e">
        <f>$DT495*HLOOKUP($J495,'Construction Costs (clay)'!$B$1:$V$32,'Construction Planner'!$L495+2,FALSE)</f>
        <v>#N/A</v>
      </c>
      <c r="AD495" s="14" t="e">
        <f>$DT495*HLOOKUP($J495,'Construction Costs (iron)'!$B$1:$V$32,'Construction Planner'!$L495+2,FALSE)</f>
        <v>#N/A</v>
      </c>
      <c r="AE495" s="34" t="e">
        <f t="shared" si="1155"/>
        <v>#N/A</v>
      </c>
      <c r="AF495" s="33" t="e">
        <f t="shared" si="1094"/>
        <v>#N/A</v>
      </c>
      <c r="AG495" s="14" t="e">
        <f t="shared" si="1095"/>
        <v>#N/A</v>
      </c>
      <c r="AH495" s="14" t="e">
        <f t="shared" si="1096"/>
        <v>#N/A</v>
      </c>
      <c r="AI495" s="34" t="e">
        <f t="shared" si="1156"/>
        <v>#N/A</v>
      </c>
      <c r="AJ495" s="49" t="e">
        <f t="shared" si="1116"/>
        <v>#N/A</v>
      </c>
      <c r="AK495" s="49" t="e">
        <f t="shared" si="1117"/>
        <v>#N/A</v>
      </c>
      <c r="AL495" s="49" t="e">
        <f t="shared" si="1118"/>
        <v>#N/A</v>
      </c>
      <c r="AM495" s="25">
        <f t="shared" si="1097"/>
        <v>30</v>
      </c>
      <c r="AN495" s="25">
        <f t="shared" si="1098"/>
        <v>30</v>
      </c>
      <c r="AO495" s="25">
        <f t="shared" si="1099"/>
        <v>30</v>
      </c>
      <c r="AP495" s="52" t="e">
        <f t="shared" si="1119"/>
        <v>#N/A</v>
      </c>
      <c r="AQ495" s="53" t="e">
        <f t="shared" si="1119"/>
        <v>#N/A</v>
      </c>
      <c r="AR495" s="54" t="e">
        <f t="shared" si="1119"/>
        <v>#N/A</v>
      </c>
      <c r="AS495" s="316">
        <f t="shared" si="1179"/>
        <v>0</v>
      </c>
      <c r="AT495" s="106">
        <f>_xlfn.IFNA($M495/VLOOKUP($BT495,'Unit information'!$A$2:$K$29,2,FALSE)*R495,0)*(1+$E$9)</f>
        <v>0</v>
      </c>
      <c r="AU495" s="107">
        <f>_xlfn.IFNA($M495/VLOOKUP($BT495,'Unit information'!$A$2:$K$29,3,FALSE)*S495,0)*(1+$E$9)</f>
        <v>0</v>
      </c>
      <c r="AV495" s="107">
        <f>_xlfn.IFNA($M495/VLOOKUP($BT495,'Unit information'!$A$2:$K$29,4,FALSE)*T495,0)*(1+$E$9)</f>
        <v>0</v>
      </c>
      <c r="AW495" s="107">
        <f>_xlfn.IFNA($M495/VLOOKUP($BT495,'Unit information'!$A$2:$K$29,5,FALSE)*U495,0)*(1+$E$9)</f>
        <v>0</v>
      </c>
      <c r="AX495" s="107">
        <f>_xlfn.IFNA($M495/VLOOKUP($BU495,'Unit information'!$A$2:$K$29,6,FALSE)*V495,0)*(1+$E$9)</f>
        <v>0</v>
      </c>
      <c r="AY495" s="107">
        <f>_xlfn.IFNA($M495/VLOOKUP($BU495,'Unit information'!$A$2:$K$29,7,FALSE)*W495,0)*(1+$E$9)</f>
        <v>0</v>
      </c>
      <c r="AZ495" s="107">
        <f>_xlfn.IFNA($M495/VLOOKUP($BU495,'Unit information'!$A$2:$K$29,8,FALSE)*X495,0)*(1+$E$9)</f>
        <v>0</v>
      </c>
      <c r="BA495" s="107">
        <f>_xlfn.IFNA($M495/VLOOKUP($BU495,'Unit information'!$A$2:$K$29,9,FALSE)*Y495,0)*(1+$E$9)</f>
        <v>0</v>
      </c>
      <c r="BB495" s="107">
        <f>_xlfn.IFNA($M495/VLOOKUP($BV495,'Unit information'!$A$2:$K$29,10,FALSE)*Z495,0)*(1+$E$9)</f>
        <v>0</v>
      </c>
      <c r="BC495" s="108">
        <f>_xlfn.IFNA($M495/VLOOKUP($BV495,'Unit information'!$A$2:$K$29,11,FALSE)*AA495,0)*(1+$E$9)</f>
        <v>0</v>
      </c>
      <c r="BD495" s="106">
        <f t="shared" si="1100"/>
        <v>0</v>
      </c>
      <c r="BE495" s="107">
        <f t="shared" si="1101"/>
        <v>0</v>
      </c>
      <c r="BF495" s="108">
        <f t="shared" si="1102"/>
        <v>0</v>
      </c>
      <c r="BG495" s="25" t="e">
        <f t="shared" si="1103"/>
        <v>#N/A</v>
      </c>
      <c r="BH495" s="25" t="e">
        <f t="shared" si="1104"/>
        <v>#N/A</v>
      </c>
      <c r="BI495" s="25" t="e">
        <f t="shared" si="1105"/>
        <v>#N/A</v>
      </c>
      <c r="BJ495" s="27" t="e">
        <f t="shared" si="1106"/>
        <v>#N/A</v>
      </c>
      <c r="BK495" s="18" t="e">
        <f t="shared" si="1107"/>
        <v>#N/A</v>
      </c>
      <c r="BL495" s="18" t="e">
        <f t="shared" si="1108"/>
        <v>#N/A</v>
      </c>
      <c r="BM495" s="28" t="e">
        <f t="shared" si="1158"/>
        <v>#N/A</v>
      </c>
      <c r="BN495" s="33">
        <f>HLOOKUP("maximum population",Miscelaneous!$C$1:$C$33,CH495+3,FALSE)</f>
        <v>240</v>
      </c>
      <c r="BO495" s="14">
        <f t="shared" si="1120"/>
        <v>32</v>
      </c>
      <c r="BP495" s="14">
        <f t="shared" si="1121"/>
        <v>0</v>
      </c>
      <c r="BQ495" s="14">
        <f t="shared" si="1122"/>
        <v>208</v>
      </c>
      <c r="BR495" s="34" t="e">
        <f>HLOOKUP(J495,Villagers!$B$1:$V$33,L495+3,FALSE)-HLOOKUP(J495,Villagers!$B$1:$V$33,L495+2,FALSE)</f>
        <v>#N/A</v>
      </c>
      <c r="BS495" s="49">
        <f t="shared" si="1173"/>
        <v>1</v>
      </c>
      <c r="BT495" s="50">
        <f t="shared" si="1173"/>
        <v>0</v>
      </c>
      <c r="BU495" s="50">
        <f t="shared" si="1173"/>
        <v>0</v>
      </c>
      <c r="BV495" s="50">
        <f t="shared" si="1173"/>
        <v>0</v>
      </c>
      <c r="BW495" s="50">
        <f t="shared" si="1162"/>
        <v>0</v>
      </c>
      <c r="BX495" s="50">
        <f t="shared" si="1163"/>
        <v>0</v>
      </c>
      <c r="BY495" s="50">
        <f t="shared" si="1163"/>
        <v>0</v>
      </c>
      <c r="BZ495" s="50">
        <f t="shared" si="1173"/>
        <v>0</v>
      </c>
      <c r="CA495" s="50">
        <f t="shared" si="1173"/>
        <v>0</v>
      </c>
      <c r="CB495" s="50">
        <f t="shared" si="1173"/>
        <v>1</v>
      </c>
      <c r="CC495" s="50">
        <f t="shared" si="1173"/>
        <v>0</v>
      </c>
      <c r="CD495" s="50">
        <f t="shared" si="1173"/>
        <v>0</v>
      </c>
      <c r="CE495" s="50">
        <f t="shared" si="1173"/>
        <v>1</v>
      </c>
      <c r="CF495" s="50">
        <f t="shared" si="1173"/>
        <v>1</v>
      </c>
      <c r="CG495" s="50">
        <f t="shared" si="1173"/>
        <v>1</v>
      </c>
      <c r="CH495" s="50">
        <f t="shared" si="1173"/>
        <v>1</v>
      </c>
      <c r="CI495" s="50">
        <f t="shared" si="1173"/>
        <v>1</v>
      </c>
      <c r="CJ495" s="50">
        <f t="shared" si="1173"/>
        <v>1</v>
      </c>
      <c r="CK495" s="50">
        <f t="shared" si="1174"/>
        <v>0</v>
      </c>
      <c r="CL495" s="50">
        <f t="shared" si="1174"/>
        <v>0</v>
      </c>
      <c r="CM495" s="51">
        <f t="shared" ref="CM495:CM509" si="1192">IF($J494=CM$14,$L494,CM494)</f>
        <v>0</v>
      </c>
      <c r="CN495" s="33">
        <f>ROUND(IF(BS495=0,0,HLOOKUP(BS$14,Villagers!$B$1:$V$33,BS495+3,FALSE)),)</f>
        <v>5</v>
      </c>
      <c r="CO495" s="14">
        <f>ROUND(IF(BT495=0,0,HLOOKUP(BT$14,Villagers!$B$1:$V$33,BT495+3,FALSE)),)</f>
        <v>0</v>
      </c>
      <c r="CP495" s="14">
        <f>ROUND(IF(BU495=0,0,HLOOKUP(BU$14,Villagers!$B$1:$V$33,BU495+3,FALSE)),)</f>
        <v>0</v>
      </c>
      <c r="CQ495" s="14">
        <f>ROUND(IF(BV495=0,0,HLOOKUP(BV$14,Villagers!$B$1:$V$33,BV495+3,FALSE)),)</f>
        <v>0</v>
      </c>
      <c r="CR495" s="14">
        <f>ROUND(IF(BW495=0,0,HLOOKUP(BW$14,Villagers!$B$1:$V$33,BW495+3,FALSE)),)</f>
        <v>0</v>
      </c>
      <c r="CS495" s="14">
        <f>ROUND(IF(BX495=0,0,HLOOKUP(BX$14,Villagers!$B$1:$V$33,BX495+3,FALSE)),)</f>
        <v>0</v>
      </c>
      <c r="CT495" s="14">
        <f>ROUND(IF(BY495=0,0,HLOOKUP(BY$14,Villagers!$B$1:$V$33,BY495+3,FALSE)),)</f>
        <v>0</v>
      </c>
      <c r="CU495" s="14">
        <f>ROUND(IF(BZ495=0,0,HLOOKUP(BZ$14,Villagers!$B$1:$V$33,BZ495+3,FALSE)),)</f>
        <v>0</v>
      </c>
      <c r="CV495" s="14">
        <f>ROUND(IF(CA495=0,0,HLOOKUP(CA$14,Villagers!$B$1:$V$33,CA495+3,FALSE)),)</f>
        <v>0</v>
      </c>
      <c r="CW495" s="14">
        <f>ROUND(IF(CB495=0,0,HLOOKUP(CB$14,Villagers!$B$1:$V$33,CB495+3,FALSE)),)</f>
        <v>0</v>
      </c>
      <c r="CX495" s="14">
        <f>ROUND(IF(CC495=0,0,HLOOKUP(CC$14,Villagers!$B$1:$V$33,CC495+3,FALSE)),)</f>
        <v>0</v>
      </c>
      <c r="CY495" s="14">
        <f>ROUND(IF(CD495=0,0,HLOOKUP(CD$14,Villagers!$B$1:$V$33,CD495+3,FALSE)),)</f>
        <v>0</v>
      </c>
      <c r="CZ495" s="14">
        <f>ROUND(IF(CE495=0,0,HLOOKUP(CE$14,Villagers!$B$1:$V$33,CE495+3,FALSE)),)</f>
        <v>5</v>
      </c>
      <c r="DA495" s="14">
        <f>ROUND(IF(CF495=0,0,HLOOKUP(CF$14,Villagers!$B$1:$V$33,CF495+3,FALSE)),)</f>
        <v>10</v>
      </c>
      <c r="DB495" s="14">
        <f>ROUND(IF(CG495=0,0,HLOOKUP(CG$14,Villagers!$B$1:$V$33,CG495+3,FALSE)),)</f>
        <v>10</v>
      </c>
      <c r="DC495" s="14">
        <f>ROUND(IF(CH495=0,0,HLOOKUP(CH$14,Villagers!$B$1:$V$33,CH495+3,FALSE)),)</f>
        <v>0</v>
      </c>
      <c r="DD495" s="14">
        <f>ROUND(IF(CI495=0,0,HLOOKUP(CI$14,Villagers!$B$1:$V$33,CI495+3,FALSE)),)</f>
        <v>0</v>
      </c>
      <c r="DE495" s="14">
        <f>ROUND(IF(CJ495=0,0,HLOOKUP(CJ$14,Villagers!$B$1:$V$33,CJ495+3,FALSE)),)</f>
        <v>2</v>
      </c>
      <c r="DF495" s="370">
        <f>ROUND(IF(CK495=0,0,HLOOKUP(CK$14,Villagers!$B$1:$V$33,CK495+3,FALSE)),)</f>
        <v>0</v>
      </c>
      <c r="DG495" s="370">
        <f>ROUND(IF(CL495=0,0,HLOOKUP(CL$14,Villagers!$B$1:$V$33,CL495+3,FALSE)),)</f>
        <v>0</v>
      </c>
      <c r="DH495" s="34">
        <f>ROUND(IF(CM495=0,0,HLOOKUP(CM$14,Villagers!$B$1:$V$33,CM495+3,FALSE)),)</f>
        <v>0</v>
      </c>
      <c r="DI495" s="109">
        <f t="shared" si="1144"/>
        <v>0</v>
      </c>
      <c r="DJ495" s="50">
        <f t="shared" si="1145"/>
        <v>0</v>
      </c>
      <c r="DK495" s="50">
        <f t="shared" si="1146"/>
        <v>0</v>
      </c>
      <c r="DL495" s="50">
        <f t="shared" si="1147"/>
        <v>0</v>
      </c>
      <c r="DM495" s="50">
        <f t="shared" si="1148"/>
        <v>0</v>
      </c>
      <c r="DN495" s="50">
        <f t="shared" si="1149"/>
        <v>0</v>
      </c>
      <c r="DO495" s="50">
        <f t="shared" si="1150"/>
        <v>0</v>
      </c>
      <c r="DP495" s="50">
        <f t="shared" si="1151"/>
        <v>0</v>
      </c>
      <c r="DQ495" s="50">
        <f t="shared" si="1128"/>
        <v>0</v>
      </c>
      <c r="DR495" s="50">
        <f t="shared" si="1129"/>
        <v>0</v>
      </c>
      <c r="DS495" s="96">
        <f>Miscelaneous!$D$4*Miscelaneous!$D$2^($CI495-1)</f>
        <v>1000</v>
      </c>
      <c r="DT495" s="333">
        <f t="shared" si="1109"/>
        <v>1</v>
      </c>
      <c r="DU495" s="81">
        <v>1</v>
      </c>
      <c r="DV495" s="79">
        <f t="shared" si="1130"/>
        <v>0</v>
      </c>
      <c r="DW495" s="79">
        <f t="shared" si="1131"/>
        <v>0</v>
      </c>
      <c r="DX495" s="79">
        <f t="shared" si="1132"/>
        <v>0</v>
      </c>
      <c r="DY495" s="79">
        <v>1</v>
      </c>
      <c r="DZ495" s="79">
        <f t="shared" si="1133"/>
        <v>0</v>
      </c>
      <c r="EA495" s="79">
        <f t="shared" si="1134"/>
        <v>0</v>
      </c>
      <c r="EB495" s="79">
        <f t="shared" si="1135"/>
        <v>0</v>
      </c>
      <c r="EC495" s="79">
        <f t="shared" si="1136"/>
        <v>0</v>
      </c>
      <c r="ED495" s="79">
        <v>1</v>
      </c>
      <c r="EE495" s="79">
        <v>1</v>
      </c>
      <c r="EF495" s="79">
        <f t="shared" si="1137"/>
        <v>0</v>
      </c>
      <c r="EG495" s="79">
        <v>1</v>
      </c>
      <c r="EH495" s="79">
        <v>1</v>
      </c>
      <c r="EI495" s="79">
        <v>1</v>
      </c>
      <c r="EJ495" s="79">
        <v>1</v>
      </c>
      <c r="EK495" s="79">
        <v>1</v>
      </c>
      <c r="EL495" s="79">
        <v>1</v>
      </c>
      <c r="EM495" s="143">
        <f t="shared" si="1138"/>
        <v>0</v>
      </c>
      <c r="EN495" s="143">
        <f t="shared" si="1139"/>
        <v>0</v>
      </c>
      <c r="EO495" s="82">
        <f t="shared" si="1140"/>
        <v>0</v>
      </c>
    </row>
    <row r="496" spans="1:145" x14ac:dyDescent="0.25">
      <c r="A496">
        <v>482</v>
      </c>
      <c r="B496" s="172" t="e">
        <f t="shared" si="1110"/>
        <v>#N/A</v>
      </c>
      <c r="C496" s="121" t="e">
        <f t="shared" ref="C496:E496" si="1193">AJ496-SUM(AB496:AB500)</f>
        <v>#N/A</v>
      </c>
      <c r="D496" s="122" t="e">
        <f t="shared" si="1193"/>
        <v>#N/A</v>
      </c>
      <c r="E496" s="122" t="e">
        <f t="shared" si="1193"/>
        <v>#N/A</v>
      </c>
      <c r="F496" s="176" t="e">
        <f t="shared" si="1092"/>
        <v>#N/A</v>
      </c>
      <c r="G496" s="121">
        <f t="shared" si="1112"/>
        <v>208</v>
      </c>
      <c r="H496" s="176" t="e">
        <f t="shared" si="1113"/>
        <v>#N/A</v>
      </c>
      <c r="I496" s="48">
        <v>1</v>
      </c>
      <c r="J496" s="39"/>
      <c r="K496" s="350">
        <v>1</v>
      </c>
      <c r="L496" s="34" t="e">
        <f t="shared" si="1093"/>
        <v>#N/A</v>
      </c>
      <c r="M496" s="38" t="e">
        <f>(HLOOKUP(J496,'Construction Times'!$B$3:$W$34,L496+2,FALSE)*HLOOKUP("hq modifier",'Construction Times'!$W$3:$W$34,BS496+2,FALSE))*(1-$H$9)</f>
        <v>#N/A</v>
      </c>
      <c r="N496" s="426" t="e">
        <f t="shared" si="1114"/>
        <v>#N/A</v>
      </c>
      <c r="O496" s="427"/>
      <c r="P496" s="430" t="e">
        <f t="shared" si="1115"/>
        <v>#N/A</v>
      </c>
      <c r="Q496" s="431"/>
      <c r="R496" s="103">
        <f t="shared" si="1142"/>
        <v>0</v>
      </c>
      <c r="S496" s="104">
        <f t="shared" si="1142"/>
        <v>0</v>
      </c>
      <c r="T496" s="104">
        <f t="shared" si="1143"/>
        <v>0</v>
      </c>
      <c r="U496" s="104">
        <f t="shared" si="1143"/>
        <v>0</v>
      </c>
      <c r="V496" s="104">
        <f t="shared" si="1143"/>
        <v>9.9999999999999995E-8</v>
      </c>
      <c r="W496" s="104">
        <f t="shared" si="1143"/>
        <v>0</v>
      </c>
      <c r="X496" s="104">
        <f t="shared" si="1189"/>
        <v>0</v>
      </c>
      <c r="Y496" s="104">
        <f t="shared" si="1189"/>
        <v>9.9999999999999995E-8</v>
      </c>
      <c r="Z496" s="104">
        <f t="shared" si="1189"/>
        <v>9.9999999999999995E-8</v>
      </c>
      <c r="AA496" s="105">
        <f t="shared" si="1189"/>
        <v>9.9999999999999995E-8</v>
      </c>
      <c r="AB496" s="101" t="e">
        <f>$DT496*HLOOKUP($J496,'Construction Costs (timber)'!$B$1:$V$32,'Construction Planner'!$L496+2,FALSE)</f>
        <v>#N/A</v>
      </c>
      <c r="AC496" s="14" t="e">
        <f>$DT496*HLOOKUP($J496,'Construction Costs (clay)'!$B$1:$V$32,'Construction Planner'!$L496+2,FALSE)</f>
        <v>#N/A</v>
      </c>
      <c r="AD496" s="14" t="e">
        <f>$DT496*HLOOKUP($J496,'Construction Costs (iron)'!$B$1:$V$32,'Construction Planner'!$L496+2,FALSE)</f>
        <v>#N/A</v>
      </c>
      <c r="AE496" s="34" t="e">
        <f t="shared" si="1155"/>
        <v>#N/A</v>
      </c>
      <c r="AF496" s="33" t="e">
        <f t="shared" si="1094"/>
        <v>#N/A</v>
      </c>
      <c r="AG496" s="14" t="e">
        <f t="shared" si="1095"/>
        <v>#N/A</v>
      </c>
      <c r="AH496" s="14" t="e">
        <f t="shared" si="1096"/>
        <v>#N/A</v>
      </c>
      <c r="AI496" s="34" t="e">
        <f t="shared" si="1156"/>
        <v>#N/A</v>
      </c>
      <c r="AJ496" s="49" t="e">
        <f t="shared" si="1116"/>
        <v>#N/A</v>
      </c>
      <c r="AK496" s="49" t="e">
        <f t="shared" si="1117"/>
        <v>#N/A</v>
      </c>
      <c r="AL496" s="49" t="e">
        <f t="shared" si="1118"/>
        <v>#N/A</v>
      </c>
      <c r="AM496" s="25">
        <f t="shared" si="1097"/>
        <v>30</v>
      </c>
      <c r="AN496" s="25">
        <f t="shared" si="1098"/>
        <v>30</v>
      </c>
      <c r="AO496" s="25">
        <f t="shared" si="1099"/>
        <v>30</v>
      </c>
      <c r="AP496" s="52" t="e">
        <f t="shared" si="1119"/>
        <v>#N/A</v>
      </c>
      <c r="AQ496" s="53" t="e">
        <f t="shared" si="1119"/>
        <v>#N/A</v>
      </c>
      <c r="AR496" s="54" t="e">
        <f t="shared" si="1119"/>
        <v>#N/A</v>
      </c>
      <c r="AS496" s="316">
        <f t="shared" si="1179"/>
        <v>0</v>
      </c>
      <c r="AT496" s="106">
        <f>_xlfn.IFNA($M496/VLOOKUP($BT496,'Unit information'!$A$2:$K$29,2,FALSE)*R496,0)*(1+$E$9)</f>
        <v>0</v>
      </c>
      <c r="AU496" s="107">
        <f>_xlfn.IFNA($M496/VLOOKUP($BT496,'Unit information'!$A$2:$K$29,3,FALSE)*S496,0)*(1+$E$9)</f>
        <v>0</v>
      </c>
      <c r="AV496" s="107">
        <f>_xlfn.IFNA($M496/VLOOKUP($BT496,'Unit information'!$A$2:$K$29,4,FALSE)*T496,0)*(1+$E$9)</f>
        <v>0</v>
      </c>
      <c r="AW496" s="107">
        <f>_xlfn.IFNA($M496/VLOOKUP($BT496,'Unit information'!$A$2:$K$29,5,FALSE)*U496,0)*(1+$E$9)</f>
        <v>0</v>
      </c>
      <c r="AX496" s="107">
        <f>_xlfn.IFNA($M496/VLOOKUP($BU496,'Unit information'!$A$2:$K$29,6,FALSE)*V496,0)*(1+$E$9)</f>
        <v>0</v>
      </c>
      <c r="AY496" s="107">
        <f>_xlfn.IFNA($M496/VLOOKUP($BU496,'Unit information'!$A$2:$K$29,7,FALSE)*W496,0)*(1+$E$9)</f>
        <v>0</v>
      </c>
      <c r="AZ496" s="107">
        <f>_xlfn.IFNA($M496/VLOOKUP($BU496,'Unit information'!$A$2:$K$29,8,FALSE)*X496,0)*(1+$E$9)</f>
        <v>0</v>
      </c>
      <c r="BA496" s="107">
        <f>_xlfn.IFNA($M496/VLOOKUP($BU496,'Unit information'!$A$2:$K$29,9,FALSE)*Y496,0)*(1+$E$9)</f>
        <v>0</v>
      </c>
      <c r="BB496" s="107">
        <f>_xlfn.IFNA($M496/VLOOKUP($BV496,'Unit information'!$A$2:$K$29,10,FALSE)*Z496,0)*(1+$E$9)</f>
        <v>0</v>
      </c>
      <c r="BC496" s="108">
        <f>_xlfn.IFNA($M496/VLOOKUP($BV496,'Unit information'!$A$2:$K$29,11,FALSE)*AA496,0)*(1+$E$9)</f>
        <v>0</v>
      </c>
      <c r="BD496" s="106">
        <f t="shared" si="1100"/>
        <v>0</v>
      </c>
      <c r="BE496" s="107">
        <f t="shared" si="1101"/>
        <v>0</v>
      </c>
      <c r="BF496" s="108">
        <f t="shared" si="1102"/>
        <v>0</v>
      </c>
      <c r="BG496" s="25" t="e">
        <f t="shared" si="1103"/>
        <v>#N/A</v>
      </c>
      <c r="BH496" s="25" t="e">
        <f t="shared" si="1104"/>
        <v>#N/A</v>
      </c>
      <c r="BI496" s="25" t="e">
        <f t="shared" si="1105"/>
        <v>#N/A</v>
      </c>
      <c r="BJ496" s="27" t="e">
        <f t="shared" si="1106"/>
        <v>#N/A</v>
      </c>
      <c r="BK496" s="18" t="e">
        <f t="shared" si="1107"/>
        <v>#N/A</v>
      </c>
      <c r="BL496" s="18" t="e">
        <f t="shared" si="1108"/>
        <v>#N/A</v>
      </c>
      <c r="BM496" s="28" t="e">
        <f t="shared" si="1158"/>
        <v>#N/A</v>
      </c>
      <c r="BN496" s="33">
        <f>HLOOKUP("maximum population",Miscelaneous!$C$1:$C$33,CH496+3,FALSE)</f>
        <v>240</v>
      </c>
      <c r="BO496" s="14">
        <f t="shared" si="1120"/>
        <v>32</v>
      </c>
      <c r="BP496" s="14">
        <f t="shared" si="1121"/>
        <v>0</v>
      </c>
      <c r="BQ496" s="14">
        <f t="shared" si="1122"/>
        <v>208</v>
      </c>
      <c r="BR496" s="34" t="e">
        <f>HLOOKUP(J496,Villagers!$B$1:$V$33,L496+3,FALSE)-HLOOKUP(J496,Villagers!$B$1:$V$33,L496+2,FALSE)</f>
        <v>#N/A</v>
      </c>
      <c r="BS496" s="49">
        <f t="shared" ref="BS496:CJ509" si="1194">IF($J495=BS$14,$L495,BS495)</f>
        <v>1</v>
      </c>
      <c r="BT496" s="50">
        <f t="shared" si="1194"/>
        <v>0</v>
      </c>
      <c r="BU496" s="50">
        <f t="shared" si="1194"/>
        <v>0</v>
      </c>
      <c r="BV496" s="50">
        <f t="shared" si="1194"/>
        <v>0</v>
      </c>
      <c r="BW496" s="50">
        <f t="shared" si="1194"/>
        <v>0</v>
      </c>
      <c r="BX496" s="50">
        <f t="shared" si="1194"/>
        <v>0</v>
      </c>
      <c r="BY496" s="50">
        <f t="shared" si="1194"/>
        <v>0</v>
      </c>
      <c r="BZ496" s="50">
        <f t="shared" si="1194"/>
        <v>0</v>
      </c>
      <c r="CA496" s="50">
        <f t="shared" si="1194"/>
        <v>0</v>
      </c>
      <c r="CB496" s="50">
        <f t="shared" si="1194"/>
        <v>1</v>
      </c>
      <c r="CC496" s="50">
        <f t="shared" si="1194"/>
        <v>0</v>
      </c>
      <c r="CD496" s="50">
        <f t="shared" si="1194"/>
        <v>0</v>
      </c>
      <c r="CE496" s="50">
        <f t="shared" si="1194"/>
        <v>1</v>
      </c>
      <c r="CF496" s="50">
        <f t="shared" si="1194"/>
        <v>1</v>
      </c>
      <c r="CG496" s="50">
        <f t="shared" si="1194"/>
        <v>1</v>
      </c>
      <c r="CH496" s="50">
        <f t="shared" si="1194"/>
        <v>1</v>
      </c>
      <c r="CI496" s="50">
        <f t="shared" si="1194"/>
        <v>1</v>
      </c>
      <c r="CJ496" s="50">
        <f t="shared" si="1194"/>
        <v>1</v>
      </c>
      <c r="CK496" s="50">
        <f t="shared" ref="CK496:CK509" si="1195">IF($J495=CK$14,$L495,CK495)</f>
        <v>0</v>
      </c>
      <c r="CL496" s="50">
        <f t="shared" ref="CL496:CL509" si="1196">IF($J495=CL$14,$L495,CL495)</f>
        <v>0</v>
      </c>
      <c r="CM496" s="51">
        <f t="shared" si="1192"/>
        <v>0</v>
      </c>
      <c r="CN496" s="33">
        <f>ROUND(IF(BS496=0,0,HLOOKUP(BS$14,Villagers!$B$1:$V$33,BS496+3,FALSE)),)</f>
        <v>5</v>
      </c>
      <c r="CO496" s="14">
        <f>ROUND(IF(BT496=0,0,HLOOKUP(BT$14,Villagers!$B$1:$V$33,BT496+3,FALSE)),)</f>
        <v>0</v>
      </c>
      <c r="CP496" s="14">
        <f>ROUND(IF(BU496=0,0,HLOOKUP(BU$14,Villagers!$B$1:$V$33,BU496+3,FALSE)),)</f>
        <v>0</v>
      </c>
      <c r="CQ496" s="14">
        <f>ROUND(IF(BV496=0,0,HLOOKUP(BV$14,Villagers!$B$1:$V$33,BV496+3,FALSE)),)</f>
        <v>0</v>
      </c>
      <c r="CR496" s="14">
        <f>ROUND(IF(BW496=0,0,HLOOKUP(BW$14,Villagers!$B$1:$V$33,BW496+3,FALSE)),)</f>
        <v>0</v>
      </c>
      <c r="CS496" s="14">
        <f>ROUND(IF(BX496=0,0,HLOOKUP(BX$14,Villagers!$B$1:$V$33,BX496+3,FALSE)),)</f>
        <v>0</v>
      </c>
      <c r="CT496" s="14">
        <f>ROUND(IF(BY496=0,0,HLOOKUP(BY$14,Villagers!$B$1:$V$33,BY496+3,FALSE)),)</f>
        <v>0</v>
      </c>
      <c r="CU496" s="14">
        <f>ROUND(IF(BZ496=0,0,HLOOKUP(BZ$14,Villagers!$B$1:$V$33,BZ496+3,FALSE)),)</f>
        <v>0</v>
      </c>
      <c r="CV496" s="14">
        <f>ROUND(IF(CA496=0,0,HLOOKUP(CA$14,Villagers!$B$1:$V$33,CA496+3,FALSE)),)</f>
        <v>0</v>
      </c>
      <c r="CW496" s="14">
        <f>ROUND(IF(CB496=0,0,HLOOKUP(CB$14,Villagers!$B$1:$V$33,CB496+3,FALSE)),)</f>
        <v>0</v>
      </c>
      <c r="CX496" s="14">
        <f>ROUND(IF(CC496=0,0,HLOOKUP(CC$14,Villagers!$B$1:$V$33,CC496+3,FALSE)),)</f>
        <v>0</v>
      </c>
      <c r="CY496" s="14">
        <f>ROUND(IF(CD496=0,0,HLOOKUP(CD$14,Villagers!$B$1:$V$33,CD496+3,FALSE)),)</f>
        <v>0</v>
      </c>
      <c r="CZ496" s="14">
        <f>ROUND(IF(CE496=0,0,HLOOKUP(CE$14,Villagers!$B$1:$V$33,CE496+3,FALSE)),)</f>
        <v>5</v>
      </c>
      <c r="DA496" s="14">
        <f>ROUND(IF(CF496=0,0,HLOOKUP(CF$14,Villagers!$B$1:$V$33,CF496+3,FALSE)),)</f>
        <v>10</v>
      </c>
      <c r="DB496" s="14">
        <f>ROUND(IF(CG496=0,0,HLOOKUP(CG$14,Villagers!$B$1:$V$33,CG496+3,FALSE)),)</f>
        <v>10</v>
      </c>
      <c r="DC496" s="14">
        <f>ROUND(IF(CH496=0,0,HLOOKUP(CH$14,Villagers!$B$1:$V$33,CH496+3,FALSE)),)</f>
        <v>0</v>
      </c>
      <c r="DD496" s="14">
        <f>ROUND(IF(CI496=0,0,HLOOKUP(CI$14,Villagers!$B$1:$V$33,CI496+3,FALSE)),)</f>
        <v>0</v>
      </c>
      <c r="DE496" s="14">
        <f>ROUND(IF(CJ496=0,0,HLOOKUP(CJ$14,Villagers!$B$1:$V$33,CJ496+3,FALSE)),)</f>
        <v>2</v>
      </c>
      <c r="DF496" s="370">
        <f>ROUND(IF(CK496=0,0,HLOOKUP(CK$14,Villagers!$B$1:$V$33,CK496+3,FALSE)),)</f>
        <v>0</v>
      </c>
      <c r="DG496" s="370">
        <f>ROUND(IF(CL496=0,0,HLOOKUP(CL$14,Villagers!$B$1:$V$33,CL496+3,FALSE)),)</f>
        <v>0</v>
      </c>
      <c r="DH496" s="34">
        <f>ROUND(IF(CM496=0,0,HLOOKUP(CM$14,Villagers!$B$1:$V$33,CM496+3,FALSE)),)</f>
        <v>0</v>
      </c>
      <c r="DI496" s="109">
        <f t="shared" si="1144"/>
        <v>0</v>
      </c>
      <c r="DJ496" s="50">
        <f t="shared" si="1145"/>
        <v>0</v>
      </c>
      <c r="DK496" s="50">
        <f t="shared" si="1146"/>
        <v>0</v>
      </c>
      <c r="DL496" s="50">
        <f t="shared" si="1147"/>
        <v>0</v>
      </c>
      <c r="DM496" s="50">
        <f t="shared" si="1148"/>
        <v>0</v>
      </c>
      <c r="DN496" s="50">
        <f t="shared" si="1149"/>
        <v>0</v>
      </c>
      <c r="DO496" s="50">
        <f t="shared" si="1150"/>
        <v>0</v>
      </c>
      <c r="DP496" s="50">
        <f t="shared" si="1151"/>
        <v>0</v>
      </c>
      <c r="DQ496" s="50">
        <f t="shared" si="1128"/>
        <v>0</v>
      </c>
      <c r="DR496" s="50">
        <f t="shared" si="1129"/>
        <v>0</v>
      </c>
      <c r="DS496" s="96">
        <f>Miscelaneous!$D$4*Miscelaneous!$D$2^($CI496-1)</f>
        <v>1000</v>
      </c>
      <c r="DT496" s="333">
        <f t="shared" si="1109"/>
        <v>1</v>
      </c>
      <c r="DU496" s="81">
        <v>1</v>
      </c>
      <c r="DV496" s="79">
        <f t="shared" si="1130"/>
        <v>0</v>
      </c>
      <c r="DW496" s="79">
        <f t="shared" si="1131"/>
        <v>0</v>
      </c>
      <c r="DX496" s="79">
        <f t="shared" si="1132"/>
        <v>0</v>
      </c>
      <c r="DY496" s="79">
        <v>1</v>
      </c>
      <c r="DZ496" s="79">
        <f t="shared" si="1133"/>
        <v>0</v>
      </c>
      <c r="EA496" s="79">
        <f t="shared" si="1134"/>
        <v>0</v>
      </c>
      <c r="EB496" s="79">
        <f t="shared" si="1135"/>
        <v>0</v>
      </c>
      <c r="EC496" s="79">
        <f t="shared" si="1136"/>
        <v>0</v>
      </c>
      <c r="ED496" s="79">
        <v>1</v>
      </c>
      <c r="EE496" s="79">
        <v>1</v>
      </c>
      <c r="EF496" s="79">
        <f t="shared" si="1137"/>
        <v>0</v>
      </c>
      <c r="EG496" s="79">
        <v>1</v>
      </c>
      <c r="EH496" s="79">
        <v>1</v>
      </c>
      <c r="EI496" s="79">
        <v>1</v>
      </c>
      <c r="EJ496" s="79">
        <v>1</v>
      </c>
      <c r="EK496" s="79">
        <v>1</v>
      </c>
      <c r="EL496" s="79">
        <v>1</v>
      </c>
      <c r="EM496" s="143">
        <f t="shared" si="1138"/>
        <v>0</v>
      </c>
      <c r="EN496" s="143">
        <f t="shared" si="1139"/>
        <v>0</v>
      </c>
      <c r="EO496" s="82">
        <f t="shared" si="1140"/>
        <v>0</v>
      </c>
    </row>
    <row r="497" spans="1:145" x14ac:dyDescent="0.25">
      <c r="A497">
        <v>483</v>
      </c>
      <c r="B497" s="172" t="e">
        <f t="shared" si="1110"/>
        <v>#N/A</v>
      </c>
      <c r="C497" s="121" t="e">
        <f t="shared" ref="C497:E497" si="1197">AJ497-SUM(AB497:AB501)</f>
        <v>#N/A</v>
      </c>
      <c r="D497" s="122" t="e">
        <f t="shared" si="1197"/>
        <v>#N/A</v>
      </c>
      <c r="E497" s="122" t="e">
        <f t="shared" si="1197"/>
        <v>#N/A</v>
      </c>
      <c r="F497" s="176" t="e">
        <f t="shared" si="1092"/>
        <v>#N/A</v>
      </c>
      <c r="G497" s="121">
        <f t="shared" si="1112"/>
        <v>208</v>
      </c>
      <c r="H497" s="176" t="e">
        <f t="shared" si="1113"/>
        <v>#N/A</v>
      </c>
      <c r="I497" s="48">
        <v>1</v>
      </c>
      <c r="J497" s="39"/>
      <c r="K497" s="350">
        <v>1</v>
      </c>
      <c r="L497" s="34" t="e">
        <f t="shared" si="1093"/>
        <v>#N/A</v>
      </c>
      <c r="M497" s="38" t="e">
        <f>(HLOOKUP(J497,'Construction Times'!$B$3:$W$34,L497+2,FALSE)*HLOOKUP("hq modifier",'Construction Times'!$W$3:$W$34,BS497+2,FALSE))*(1-$H$9)</f>
        <v>#N/A</v>
      </c>
      <c r="N497" s="426" t="e">
        <f t="shared" si="1114"/>
        <v>#N/A</v>
      </c>
      <c r="O497" s="427"/>
      <c r="P497" s="430" t="e">
        <f t="shared" si="1115"/>
        <v>#N/A</v>
      </c>
      <c r="Q497" s="431"/>
      <c r="R497" s="103">
        <f t="shared" si="1142"/>
        <v>0</v>
      </c>
      <c r="S497" s="104">
        <f t="shared" si="1142"/>
        <v>0</v>
      </c>
      <c r="T497" s="104">
        <f t="shared" si="1143"/>
        <v>0</v>
      </c>
      <c r="U497" s="104">
        <f t="shared" si="1143"/>
        <v>0</v>
      </c>
      <c r="V497" s="104">
        <f t="shared" si="1143"/>
        <v>9.9999999999999995E-8</v>
      </c>
      <c r="W497" s="104">
        <f t="shared" si="1143"/>
        <v>0</v>
      </c>
      <c r="X497" s="104">
        <f t="shared" si="1189"/>
        <v>0</v>
      </c>
      <c r="Y497" s="104">
        <f t="shared" si="1189"/>
        <v>9.9999999999999995E-8</v>
      </c>
      <c r="Z497" s="104">
        <f t="shared" si="1189"/>
        <v>9.9999999999999995E-8</v>
      </c>
      <c r="AA497" s="105">
        <f t="shared" si="1189"/>
        <v>9.9999999999999995E-8</v>
      </c>
      <c r="AB497" s="101" t="e">
        <f>$DT497*HLOOKUP($J497,'Construction Costs (timber)'!$B$1:$V$32,'Construction Planner'!$L497+2,FALSE)</f>
        <v>#N/A</v>
      </c>
      <c r="AC497" s="14" t="e">
        <f>$DT497*HLOOKUP($J497,'Construction Costs (clay)'!$B$1:$V$32,'Construction Planner'!$L497+2,FALSE)</f>
        <v>#N/A</v>
      </c>
      <c r="AD497" s="14" t="e">
        <f>$DT497*HLOOKUP($J497,'Construction Costs (iron)'!$B$1:$V$32,'Construction Planner'!$L497+2,FALSE)</f>
        <v>#N/A</v>
      </c>
      <c r="AE497" s="34" t="e">
        <f t="shared" si="1155"/>
        <v>#N/A</v>
      </c>
      <c r="AF497" s="33" t="e">
        <f t="shared" si="1094"/>
        <v>#N/A</v>
      </c>
      <c r="AG497" s="14" t="e">
        <f t="shared" si="1095"/>
        <v>#N/A</v>
      </c>
      <c r="AH497" s="14" t="e">
        <f t="shared" si="1096"/>
        <v>#N/A</v>
      </c>
      <c r="AI497" s="34" t="e">
        <f t="shared" si="1156"/>
        <v>#N/A</v>
      </c>
      <c r="AJ497" s="49" t="e">
        <f t="shared" si="1116"/>
        <v>#N/A</v>
      </c>
      <c r="AK497" s="49" t="e">
        <f t="shared" si="1117"/>
        <v>#N/A</v>
      </c>
      <c r="AL497" s="49" t="e">
        <f t="shared" si="1118"/>
        <v>#N/A</v>
      </c>
      <c r="AM497" s="25">
        <f t="shared" si="1097"/>
        <v>30</v>
      </c>
      <c r="AN497" s="25">
        <f t="shared" si="1098"/>
        <v>30</v>
      </c>
      <c r="AO497" s="25">
        <f t="shared" si="1099"/>
        <v>30</v>
      </c>
      <c r="AP497" s="52" t="e">
        <f t="shared" si="1119"/>
        <v>#N/A</v>
      </c>
      <c r="AQ497" s="53" t="e">
        <f t="shared" si="1119"/>
        <v>#N/A</v>
      </c>
      <c r="AR497" s="54" t="e">
        <f t="shared" si="1119"/>
        <v>#N/A</v>
      </c>
      <c r="AS497" s="316">
        <f t="shared" si="1179"/>
        <v>0</v>
      </c>
      <c r="AT497" s="106">
        <f>_xlfn.IFNA($M497/VLOOKUP($BT497,'Unit information'!$A$2:$K$29,2,FALSE)*R497,0)*(1+$E$9)</f>
        <v>0</v>
      </c>
      <c r="AU497" s="107">
        <f>_xlfn.IFNA($M497/VLOOKUP($BT497,'Unit information'!$A$2:$K$29,3,FALSE)*S497,0)*(1+$E$9)</f>
        <v>0</v>
      </c>
      <c r="AV497" s="107">
        <f>_xlfn.IFNA($M497/VLOOKUP($BT497,'Unit information'!$A$2:$K$29,4,FALSE)*T497,0)*(1+$E$9)</f>
        <v>0</v>
      </c>
      <c r="AW497" s="107">
        <f>_xlfn.IFNA($M497/VLOOKUP($BT497,'Unit information'!$A$2:$K$29,5,FALSE)*U497,0)*(1+$E$9)</f>
        <v>0</v>
      </c>
      <c r="AX497" s="107">
        <f>_xlfn.IFNA($M497/VLOOKUP($BU497,'Unit information'!$A$2:$K$29,6,FALSE)*V497,0)*(1+$E$9)</f>
        <v>0</v>
      </c>
      <c r="AY497" s="107">
        <f>_xlfn.IFNA($M497/VLOOKUP($BU497,'Unit information'!$A$2:$K$29,7,FALSE)*W497,0)*(1+$E$9)</f>
        <v>0</v>
      </c>
      <c r="AZ497" s="107">
        <f>_xlfn.IFNA($M497/VLOOKUP($BU497,'Unit information'!$A$2:$K$29,8,FALSE)*X497,0)*(1+$E$9)</f>
        <v>0</v>
      </c>
      <c r="BA497" s="107">
        <f>_xlfn.IFNA($M497/VLOOKUP($BU497,'Unit information'!$A$2:$K$29,9,FALSE)*Y497,0)*(1+$E$9)</f>
        <v>0</v>
      </c>
      <c r="BB497" s="107">
        <f>_xlfn.IFNA($M497/VLOOKUP($BV497,'Unit information'!$A$2:$K$29,10,FALSE)*Z497,0)*(1+$E$9)</f>
        <v>0</v>
      </c>
      <c r="BC497" s="108">
        <f>_xlfn.IFNA($M497/VLOOKUP($BV497,'Unit information'!$A$2:$K$29,11,FALSE)*AA497,0)*(1+$E$9)</f>
        <v>0</v>
      </c>
      <c r="BD497" s="106">
        <f t="shared" si="1100"/>
        <v>0</v>
      </c>
      <c r="BE497" s="107">
        <f t="shared" si="1101"/>
        <v>0</v>
      </c>
      <c r="BF497" s="108">
        <f t="shared" si="1102"/>
        <v>0</v>
      </c>
      <c r="BG497" s="25" t="e">
        <f t="shared" si="1103"/>
        <v>#N/A</v>
      </c>
      <c r="BH497" s="25" t="e">
        <f t="shared" si="1104"/>
        <v>#N/A</v>
      </c>
      <c r="BI497" s="25" t="e">
        <f t="shared" si="1105"/>
        <v>#N/A</v>
      </c>
      <c r="BJ497" s="27" t="e">
        <f t="shared" si="1106"/>
        <v>#N/A</v>
      </c>
      <c r="BK497" s="18" t="e">
        <f t="shared" si="1107"/>
        <v>#N/A</v>
      </c>
      <c r="BL497" s="18" t="e">
        <f t="shared" si="1108"/>
        <v>#N/A</v>
      </c>
      <c r="BM497" s="28" t="e">
        <f t="shared" si="1158"/>
        <v>#N/A</v>
      </c>
      <c r="BN497" s="33">
        <f>HLOOKUP("maximum population",Miscelaneous!$C$1:$C$33,CH497+3,FALSE)</f>
        <v>240</v>
      </c>
      <c r="BO497" s="14">
        <f t="shared" si="1120"/>
        <v>32</v>
      </c>
      <c r="BP497" s="14">
        <f t="shared" si="1121"/>
        <v>0</v>
      </c>
      <c r="BQ497" s="14">
        <f t="shared" si="1122"/>
        <v>208</v>
      </c>
      <c r="BR497" s="34" t="e">
        <f>HLOOKUP(J497,Villagers!$B$1:$V$33,L497+3,FALSE)-HLOOKUP(J497,Villagers!$B$1:$V$33,L497+2,FALSE)</f>
        <v>#N/A</v>
      </c>
      <c r="BS497" s="49">
        <f t="shared" si="1194"/>
        <v>1</v>
      </c>
      <c r="BT497" s="50">
        <f t="shared" si="1194"/>
        <v>0</v>
      </c>
      <c r="BU497" s="50">
        <f t="shared" si="1194"/>
        <v>0</v>
      </c>
      <c r="BV497" s="50">
        <f t="shared" si="1194"/>
        <v>0</v>
      </c>
      <c r="BW497" s="50">
        <f t="shared" si="1194"/>
        <v>0</v>
      </c>
      <c r="BX497" s="50">
        <f t="shared" si="1194"/>
        <v>0</v>
      </c>
      <c r="BY497" s="50">
        <f t="shared" si="1194"/>
        <v>0</v>
      </c>
      <c r="BZ497" s="50">
        <f t="shared" si="1194"/>
        <v>0</v>
      </c>
      <c r="CA497" s="50">
        <f t="shared" si="1194"/>
        <v>0</v>
      </c>
      <c r="CB497" s="50">
        <f t="shared" si="1194"/>
        <v>1</v>
      </c>
      <c r="CC497" s="50">
        <f t="shared" si="1194"/>
        <v>0</v>
      </c>
      <c r="CD497" s="50">
        <f t="shared" si="1194"/>
        <v>0</v>
      </c>
      <c r="CE497" s="50">
        <f t="shared" si="1194"/>
        <v>1</v>
      </c>
      <c r="CF497" s="50">
        <f t="shared" si="1194"/>
        <v>1</v>
      </c>
      <c r="CG497" s="50">
        <f t="shared" si="1194"/>
        <v>1</v>
      </c>
      <c r="CH497" s="50">
        <f t="shared" si="1194"/>
        <v>1</v>
      </c>
      <c r="CI497" s="50">
        <f t="shared" si="1194"/>
        <v>1</v>
      </c>
      <c r="CJ497" s="50">
        <f t="shared" si="1194"/>
        <v>1</v>
      </c>
      <c r="CK497" s="50">
        <f t="shared" si="1195"/>
        <v>0</v>
      </c>
      <c r="CL497" s="50">
        <f t="shared" si="1196"/>
        <v>0</v>
      </c>
      <c r="CM497" s="51">
        <f t="shared" si="1192"/>
        <v>0</v>
      </c>
      <c r="CN497" s="33">
        <f>ROUND(IF(BS497=0,0,HLOOKUP(BS$14,Villagers!$B$1:$V$33,BS497+3,FALSE)),)</f>
        <v>5</v>
      </c>
      <c r="CO497" s="14">
        <f>ROUND(IF(BT497=0,0,HLOOKUP(BT$14,Villagers!$B$1:$V$33,BT497+3,FALSE)),)</f>
        <v>0</v>
      </c>
      <c r="CP497" s="14">
        <f>ROUND(IF(BU497=0,0,HLOOKUP(BU$14,Villagers!$B$1:$V$33,BU497+3,FALSE)),)</f>
        <v>0</v>
      </c>
      <c r="CQ497" s="14">
        <f>ROUND(IF(BV497=0,0,HLOOKUP(BV$14,Villagers!$B$1:$V$33,BV497+3,FALSE)),)</f>
        <v>0</v>
      </c>
      <c r="CR497" s="14">
        <f>ROUND(IF(BW497=0,0,HLOOKUP(BW$14,Villagers!$B$1:$V$33,BW497+3,FALSE)),)</f>
        <v>0</v>
      </c>
      <c r="CS497" s="14">
        <f>ROUND(IF(BX497=0,0,HLOOKUP(BX$14,Villagers!$B$1:$V$33,BX497+3,FALSE)),)</f>
        <v>0</v>
      </c>
      <c r="CT497" s="14">
        <f>ROUND(IF(BY497=0,0,HLOOKUP(BY$14,Villagers!$B$1:$V$33,BY497+3,FALSE)),)</f>
        <v>0</v>
      </c>
      <c r="CU497" s="14">
        <f>ROUND(IF(BZ497=0,0,HLOOKUP(BZ$14,Villagers!$B$1:$V$33,BZ497+3,FALSE)),)</f>
        <v>0</v>
      </c>
      <c r="CV497" s="14">
        <f>ROUND(IF(CA497=0,0,HLOOKUP(CA$14,Villagers!$B$1:$V$33,CA497+3,FALSE)),)</f>
        <v>0</v>
      </c>
      <c r="CW497" s="14">
        <f>ROUND(IF(CB497=0,0,HLOOKUP(CB$14,Villagers!$B$1:$V$33,CB497+3,FALSE)),)</f>
        <v>0</v>
      </c>
      <c r="CX497" s="14">
        <f>ROUND(IF(CC497=0,0,HLOOKUP(CC$14,Villagers!$B$1:$V$33,CC497+3,FALSE)),)</f>
        <v>0</v>
      </c>
      <c r="CY497" s="14">
        <f>ROUND(IF(CD497=0,0,HLOOKUP(CD$14,Villagers!$B$1:$V$33,CD497+3,FALSE)),)</f>
        <v>0</v>
      </c>
      <c r="CZ497" s="14">
        <f>ROUND(IF(CE497=0,0,HLOOKUP(CE$14,Villagers!$B$1:$V$33,CE497+3,FALSE)),)</f>
        <v>5</v>
      </c>
      <c r="DA497" s="14">
        <f>ROUND(IF(CF497=0,0,HLOOKUP(CF$14,Villagers!$B$1:$V$33,CF497+3,FALSE)),)</f>
        <v>10</v>
      </c>
      <c r="DB497" s="14">
        <f>ROUND(IF(CG497=0,0,HLOOKUP(CG$14,Villagers!$B$1:$V$33,CG497+3,FALSE)),)</f>
        <v>10</v>
      </c>
      <c r="DC497" s="14">
        <f>ROUND(IF(CH497=0,0,HLOOKUP(CH$14,Villagers!$B$1:$V$33,CH497+3,FALSE)),)</f>
        <v>0</v>
      </c>
      <c r="DD497" s="14">
        <f>ROUND(IF(CI497=0,0,HLOOKUP(CI$14,Villagers!$B$1:$V$33,CI497+3,FALSE)),)</f>
        <v>0</v>
      </c>
      <c r="DE497" s="14">
        <f>ROUND(IF(CJ497=0,0,HLOOKUP(CJ$14,Villagers!$B$1:$V$33,CJ497+3,FALSE)),)</f>
        <v>2</v>
      </c>
      <c r="DF497" s="370">
        <f>ROUND(IF(CK497=0,0,HLOOKUP(CK$14,Villagers!$B$1:$V$33,CK497+3,FALSE)),)</f>
        <v>0</v>
      </c>
      <c r="DG497" s="370">
        <f>ROUND(IF(CL497=0,0,HLOOKUP(CL$14,Villagers!$B$1:$V$33,CL497+3,FALSE)),)</f>
        <v>0</v>
      </c>
      <c r="DH497" s="34">
        <f>ROUND(IF(CM497=0,0,HLOOKUP(CM$14,Villagers!$B$1:$V$33,CM497+3,FALSE)),)</f>
        <v>0</v>
      </c>
      <c r="DI497" s="109">
        <f t="shared" si="1144"/>
        <v>0</v>
      </c>
      <c r="DJ497" s="50">
        <f t="shared" si="1145"/>
        <v>0</v>
      </c>
      <c r="DK497" s="50">
        <f t="shared" si="1146"/>
        <v>0</v>
      </c>
      <c r="DL497" s="50">
        <f t="shared" si="1147"/>
        <v>0</v>
      </c>
      <c r="DM497" s="50">
        <f t="shared" si="1148"/>
        <v>0</v>
      </c>
      <c r="DN497" s="50">
        <f t="shared" si="1149"/>
        <v>0</v>
      </c>
      <c r="DO497" s="50">
        <f t="shared" si="1150"/>
        <v>0</v>
      </c>
      <c r="DP497" s="50">
        <f t="shared" si="1151"/>
        <v>0</v>
      </c>
      <c r="DQ497" s="50">
        <f t="shared" si="1128"/>
        <v>0</v>
      </c>
      <c r="DR497" s="50">
        <f t="shared" si="1129"/>
        <v>0</v>
      </c>
      <c r="DS497" s="96">
        <f>Miscelaneous!$D$4*Miscelaneous!$D$2^($CI497-1)</f>
        <v>1000</v>
      </c>
      <c r="DT497" s="333">
        <f t="shared" si="1109"/>
        <v>1</v>
      </c>
      <c r="DU497" s="81">
        <v>1</v>
      </c>
      <c r="DV497" s="79">
        <f t="shared" si="1130"/>
        <v>0</v>
      </c>
      <c r="DW497" s="79">
        <f t="shared" si="1131"/>
        <v>0</v>
      </c>
      <c r="DX497" s="79">
        <f t="shared" si="1132"/>
        <v>0</v>
      </c>
      <c r="DY497" s="79">
        <v>1</v>
      </c>
      <c r="DZ497" s="79">
        <f t="shared" si="1133"/>
        <v>0</v>
      </c>
      <c r="EA497" s="79">
        <f t="shared" si="1134"/>
        <v>0</v>
      </c>
      <c r="EB497" s="79">
        <f t="shared" si="1135"/>
        <v>0</v>
      </c>
      <c r="EC497" s="79">
        <f t="shared" si="1136"/>
        <v>0</v>
      </c>
      <c r="ED497" s="79">
        <v>1</v>
      </c>
      <c r="EE497" s="79">
        <v>1</v>
      </c>
      <c r="EF497" s="79">
        <f t="shared" si="1137"/>
        <v>0</v>
      </c>
      <c r="EG497" s="79">
        <v>1</v>
      </c>
      <c r="EH497" s="79">
        <v>1</v>
      </c>
      <c r="EI497" s="79">
        <v>1</v>
      </c>
      <c r="EJ497" s="79">
        <v>1</v>
      </c>
      <c r="EK497" s="79">
        <v>1</v>
      </c>
      <c r="EL497" s="79">
        <v>1</v>
      </c>
      <c r="EM497" s="143">
        <f t="shared" si="1138"/>
        <v>0</v>
      </c>
      <c r="EN497" s="143">
        <f t="shared" si="1139"/>
        <v>0</v>
      </c>
      <c r="EO497" s="82">
        <f t="shared" si="1140"/>
        <v>0</v>
      </c>
    </row>
    <row r="498" spans="1:145" x14ac:dyDescent="0.25">
      <c r="A498">
        <v>484</v>
      </c>
      <c r="B498" s="172" t="e">
        <f t="shared" si="1110"/>
        <v>#N/A</v>
      </c>
      <c r="C498" s="121" t="e">
        <f t="shared" ref="C498:E498" si="1198">AJ498-SUM(AB498:AB502)</f>
        <v>#N/A</v>
      </c>
      <c r="D498" s="122" t="e">
        <f t="shared" si="1198"/>
        <v>#N/A</v>
      </c>
      <c r="E498" s="122" t="e">
        <f t="shared" si="1198"/>
        <v>#N/A</v>
      </c>
      <c r="F498" s="176" t="e">
        <f t="shared" si="1092"/>
        <v>#N/A</v>
      </c>
      <c r="G498" s="121">
        <f t="shared" si="1112"/>
        <v>208</v>
      </c>
      <c r="H498" s="176" t="e">
        <f t="shared" si="1113"/>
        <v>#N/A</v>
      </c>
      <c r="I498" s="48">
        <v>1</v>
      </c>
      <c r="J498" s="39"/>
      <c r="K498" s="350">
        <v>1</v>
      </c>
      <c r="L498" s="34" t="e">
        <f t="shared" si="1093"/>
        <v>#N/A</v>
      </c>
      <c r="M498" s="38" t="e">
        <f>(HLOOKUP(J498,'Construction Times'!$B$3:$W$34,L498+2,FALSE)*HLOOKUP("hq modifier",'Construction Times'!$W$3:$W$34,BS498+2,FALSE))*(1-$H$9)</f>
        <v>#N/A</v>
      </c>
      <c r="N498" s="426" t="e">
        <f t="shared" si="1114"/>
        <v>#N/A</v>
      </c>
      <c r="O498" s="427"/>
      <c r="P498" s="430" t="e">
        <f t="shared" si="1115"/>
        <v>#N/A</v>
      </c>
      <c r="Q498" s="431"/>
      <c r="R498" s="103">
        <f t="shared" si="1142"/>
        <v>0</v>
      </c>
      <c r="S498" s="104">
        <f t="shared" si="1142"/>
        <v>0</v>
      </c>
      <c r="T498" s="104">
        <f t="shared" si="1143"/>
        <v>0</v>
      </c>
      <c r="U498" s="104">
        <f t="shared" si="1143"/>
        <v>0</v>
      </c>
      <c r="V498" s="104">
        <f t="shared" si="1143"/>
        <v>9.9999999999999995E-8</v>
      </c>
      <c r="W498" s="104">
        <f t="shared" si="1143"/>
        <v>0</v>
      </c>
      <c r="X498" s="104">
        <f t="shared" si="1189"/>
        <v>0</v>
      </c>
      <c r="Y498" s="104">
        <f t="shared" si="1189"/>
        <v>9.9999999999999995E-8</v>
      </c>
      <c r="Z498" s="104">
        <f t="shared" si="1189"/>
        <v>9.9999999999999995E-8</v>
      </c>
      <c r="AA498" s="105">
        <f t="shared" si="1189"/>
        <v>9.9999999999999995E-8</v>
      </c>
      <c r="AB498" s="101" t="e">
        <f>$DT498*HLOOKUP($J498,'Construction Costs (timber)'!$B$1:$V$32,'Construction Planner'!$L498+2,FALSE)</f>
        <v>#N/A</v>
      </c>
      <c r="AC498" s="14" t="e">
        <f>$DT498*HLOOKUP($J498,'Construction Costs (clay)'!$B$1:$V$32,'Construction Planner'!$L498+2,FALSE)</f>
        <v>#N/A</v>
      </c>
      <c r="AD498" s="14" t="e">
        <f>$DT498*HLOOKUP($J498,'Construction Costs (iron)'!$B$1:$V$32,'Construction Planner'!$L498+2,FALSE)</f>
        <v>#N/A</v>
      </c>
      <c r="AE498" s="34" t="e">
        <f t="shared" si="1155"/>
        <v>#N/A</v>
      </c>
      <c r="AF498" s="33" t="e">
        <f t="shared" si="1094"/>
        <v>#N/A</v>
      </c>
      <c r="AG498" s="14" t="e">
        <f t="shared" si="1095"/>
        <v>#N/A</v>
      </c>
      <c r="AH498" s="14" t="e">
        <f t="shared" si="1096"/>
        <v>#N/A</v>
      </c>
      <c r="AI498" s="34" t="e">
        <f t="shared" si="1156"/>
        <v>#N/A</v>
      </c>
      <c r="AJ498" s="49" t="e">
        <f t="shared" si="1116"/>
        <v>#N/A</v>
      </c>
      <c r="AK498" s="49" t="e">
        <f t="shared" si="1117"/>
        <v>#N/A</v>
      </c>
      <c r="AL498" s="49" t="e">
        <f t="shared" si="1118"/>
        <v>#N/A</v>
      </c>
      <c r="AM498" s="25">
        <f t="shared" si="1097"/>
        <v>30</v>
      </c>
      <c r="AN498" s="25">
        <f t="shared" si="1098"/>
        <v>30</v>
      </c>
      <c r="AO498" s="25">
        <f t="shared" si="1099"/>
        <v>30</v>
      </c>
      <c r="AP498" s="52" t="e">
        <f t="shared" si="1119"/>
        <v>#N/A</v>
      </c>
      <c r="AQ498" s="53" t="e">
        <f t="shared" si="1119"/>
        <v>#N/A</v>
      </c>
      <c r="AR498" s="54" t="e">
        <f t="shared" si="1119"/>
        <v>#N/A</v>
      </c>
      <c r="AS498" s="316">
        <f t="shared" si="1179"/>
        <v>0</v>
      </c>
      <c r="AT498" s="106">
        <f>_xlfn.IFNA($M498/VLOOKUP($BT498,'Unit information'!$A$2:$K$29,2,FALSE)*R498,0)*(1+$E$9)</f>
        <v>0</v>
      </c>
      <c r="AU498" s="107">
        <f>_xlfn.IFNA($M498/VLOOKUP($BT498,'Unit information'!$A$2:$K$29,3,FALSE)*S498,0)*(1+$E$9)</f>
        <v>0</v>
      </c>
      <c r="AV498" s="107">
        <f>_xlfn.IFNA($M498/VLOOKUP($BT498,'Unit information'!$A$2:$K$29,4,FALSE)*T498,0)*(1+$E$9)</f>
        <v>0</v>
      </c>
      <c r="AW498" s="107">
        <f>_xlfn.IFNA($M498/VLOOKUP($BT498,'Unit information'!$A$2:$K$29,5,FALSE)*U498,0)*(1+$E$9)</f>
        <v>0</v>
      </c>
      <c r="AX498" s="107">
        <f>_xlfn.IFNA($M498/VLOOKUP($BU498,'Unit information'!$A$2:$K$29,6,FALSE)*V498,0)*(1+$E$9)</f>
        <v>0</v>
      </c>
      <c r="AY498" s="107">
        <f>_xlfn.IFNA($M498/VLOOKUP($BU498,'Unit information'!$A$2:$K$29,7,FALSE)*W498,0)*(1+$E$9)</f>
        <v>0</v>
      </c>
      <c r="AZ498" s="107">
        <f>_xlfn.IFNA($M498/VLOOKUP($BU498,'Unit information'!$A$2:$K$29,8,FALSE)*X498,0)*(1+$E$9)</f>
        <v>0</v>
      </c>
      <c r="BA498" s="107">
        <f>_xlfn.IFNA($M498/VLOOKUP($BU498,'Unit information'!$A$2:$K$29,9,FALSE)*Y498,0)*(1+$E$9)</f>
        <v>0</v>
      </c>
      <c r="BB498" s="107">
        <f>_xlfn.IFNA($M498/VLOOKUP($BV498,'Unit information'!$A$2:$K$29,10,FALSE)*Z498,0)*(1+$E$9)</f>
        <v>0</v>
      </c>
      <c r="BC498" s="108">
        <f>_xlfn.IFNA($M498/VLOOKUP($BV498,'Unit information'!$A$2:$K$29,11,FALSE)*AA498,0)*(1+$E$9)</f>
        <v>0</v>
      </c>
      <c r="BD498" s="106">
        <f t="shared" si="1100"/>
        <v>0</v>
      </c>
      <c r="BE498" s="107">
        <f t="shared" si="1101"/>
        <v>0</v>
      </c>
      <c r="BF498" s="108">
        <f t="shared" si="1102"/>
        <v>0</v>
      </c>
      <c r="BG498" s="25" t="e">
        <f t="shared" si="1103"/>
        <v>#N/A</v>
      </c>
      <c r="BH498" s="25" t="e">
        <f t="shared" si="1104"/>
        <v>#N/A</v>
      </c>
      <c r="BI498" s="25" t="e">
        <f t="shared" si="1105"/>
        <v>#N/A</v>
      </c>
      <c r="BJ498" s="27" t="e">
        <f t="shared" si="1106"/>
        <v>#N/A</v>
      </c>
      <c r="BK498" s="18" t="e">
        <f t="shared" si="1107"/>
        <v>#N/A</v>
      </c>
      <c r="BL498" s="18" t="e">
        <f t="shared" si="1108"/>
        <v>#N/A</v>
      </c>
      <c r="BM498" s="28" t="e">
        <f t="shared" si="1158"/>
        <v>#N/A</v>
      </c>
      <c r="BN498" s="33">
        <f>HLOOKUP("maximum population",Miscelaneous!$C$1:$C$33,CH498+3,FALSE)</f>
        <v>240</v>
      </c>
      <c r="BO498" s="14">
        <f t="shared" si="1120"/>
        <v>32</v>
      </c>
      <c r="BP498" s="14">
        <f t="shared" si="1121"/>
        <v>0</v>
      </c>
      <c r="BQ498" s="14">
        <f t="shared" si="1122"/>
        <v>208</v>
      </c>
      <c r="BR498" s="34" t="e">
        <f>HLOOKUP(J498,Villagers!$B$1:$V$33,L498+3,FALSE)-HLOOKUP(J498,Villagers!$B$1:$V$33,L498+2,FALSE)</f>
        <v>#N/A</v>
      </c>
      <c r="BS498" s="49">
        <f t="shared" si="1194"/>
        <v>1</v>
      </c>
      <c r="BT498" s="50">
        <f t="shared" si="1194"/>
        <v>0</v>
      </c>
      <c r="BU498" s="50">
        <f t="shared" si="1194"/>
        <v>0</v>
      </c>
      <c r="BV498" s="50">
        <f t="shared" si="1194"/>
        <v>0</v>
      </c>
      <c r="BW498" s="50">
        <f t="shared" si="1194"/>
        <v>0</v>
      </c>
      <c r="BX498" s="50">
        <f t="shared" si="1194"/>
        <v>0</v>
      </c>
      <c r="BY498" s="50">
        <f t="shared" si="1194"/>
        <v>0</v>
      </c>
      <c r="BZ498" s="50">
        <f t="shared" si="1194"/>
        <v>0</v>
      </c>
      <c r="CA498" s="50">
        <f t="shared" si="1194"/>
        <v>0</v>
      </c>
      <c r="CB498" s="50">
        <f t="shared" si="1194"/>
        <v>1</v>
      </c>
      <c r="CC498" s="50">
        <f t="shared" si="1194"/>
        <v>0</v>
      </c>
      <c r="CD498" s="50">
        <f t="shared" si="1194"/>
        <v>0</v>
      </c>
      <c r="CE498" s="50">
        <f t="shared" si="1194"/>
        <v>1</v>
      </c>
      <c r="CF498" s="50">
        <f t="shared" si="1194"/>
        <v>1</v>
      </c>
      <c r="CG498" s="50">
        <f t="shared" si="1194"/>
        <v>1</v>
      </c>
      <c r="CH498" s="50">
        <f t="shared" si="1194"/>
        <v>1</v>
      </c>
      <c r="CI498" s="50">
        <f t="shared" si="1194"/>
        <v>1</v>
      </c>
      <c r="CJ498" s="50">
        <f t="shared" si="1194"/>
        <v>1</v>
      </c>
      <c r="CK498" s="50">
        <f t="shared" si="1195"/>
        <v>0</v>
      </c>
      <c r="CL498" s="50">
        <f t="shared" si="1196"/>
        <v>0</v>
      </c>
      <c r="CM498" s="51">
        <f t="shared" si="1192"/>
        <v>0</v>
      </c>
      <c r="CN498" s="33">
        <f>ROUND(IF(BS498=0,0,HLOOKUP(BS$14,Villagers!$B$1:$V$33,BS498+3,FALSE)),)</f>
        <v>5</v>
      </c>
      <c r="CO498" s="14">
        <f>ROUND(IF(BT498=0,0,HLOOKUP(BT$14,Villagers!$B$1:$V$33,BT498+3,FALSE)),)</f>
        <v>0</v>
      </c>
      <c r="CP498" s="14">
        <f>ROUND(IF(BU498=0,0,HLOOKUP(BU$14,Villagers!$B$1:$V$33,BU498+3,FALSE)),)</f>
        <v>0</v>
      </c>
      <c r="CQ498" s="14">
        <f>ROUND(IF(BV498=0,0,HLOOKUP(BV$14,Villagers!$B$1:$V$33,BV498+3,FALSE)),)</f>
        <v>0</v>
      </c>
      <c r="CR498" s="14">
        <f>ROUND(IF(BW498=0,0,HLOOKUP(BW$14,Villagers!$B$1:$V$33,BW498+3,FALSE)),)</f>
        <v>0</v>
      </c>
      <c r="CS498" s="14">
        <f>ROUND(IF(BX498=0,0,HLOOKUP(BX$14,Villagers!$B$1:$V$33,BX498+3,FALSE)),)</f>
        <v>0</v>
      </c>
      <c r="CT498" s="14">
        <f>ROUND(IF(BY498=0,0,HLOOKUP(BY$14,Villagers!$B$1:$V$33,BY498+3,FALSE)),)</f>
        <v>0</v>
      </c>
      <c r="CU498" s="14">
        <f>ROUND(IF(BZ498=0,0,HLOOKUP(BZ$14,Villagers!$B$1:$V$33,BZ498+3,FALSE)),)</f>
        <v>0</v>
      </c>
      <c r="CV498" s="14">
        <f>ROUND(IF(CA498=0,0,HLOOKUP(CA$14,Villagers!$B$1:$V$33,CA498+3,FALSE)),)</f>
        <v>0</v>
      </c>
      <c r="CW498" s="14">
        <f>ROUND(IF(CB498=0,0,HLOOKUP(CB$14,Villagers!$B$1:$V$33,CB498+3,FALSE)),)</f>
        <v>0</v>
      </c>
      <c r="CX498" s="14">
        <f>ROUND(IF(CC498=0,0,HLOOKUP(CC$14,Villagers!$B$1:$V$33,CC498+3,FALSE)),)</f>
        <v>0</v>
      </c>
      <c r="CY498" s="14">
        <f>ROUND(IF(CD498=0,0,HLOOKUP(CD$14,Villagers!$B$1:$V$33,CD498+3,FALSE)),)</f>
        <v>0</v>
      </c>
      <c r="CZ498" s="14">
        <f>ROUND(IF(CE498=0,0,HLOOKUP(CE$14,Villagers!$B$1:$V$33,CE498+3,FALSE)),)</f>
        <v>5</v>
      </c>
      <c r="DA498" s="14">
        <f>ROUND(IF(CF498=0,0,HLOOKUP(CF$14,Villagers!$B$1:$V$33,CF498+3,FALSE)),)</f>
        <v>10</v>
      </c>
      <c r="DB498" s="14">
        <f>ROUND(IF(CG498=0,0,HLOOKUP(CG$14,Villagers!$B$1:$V$33,CG498+3,FALSE)),)</f>
        <v>10</v>
      </c>
      <c r="DC498" s="14">
        <f>ROUND(IF(CH498=0,0,HLOOKUP(CH$14,Villagers!$B$1:$V$33,CH498+3,FALSE)),)</f>
        <v>0</v>
      </c>
      <c r="DD498" s="14">
        <f>ROUND(IF(CI498=0,0,HLOOKUP(CI$14,Villagers!$B$1:$V$33,CI498+3,FALSE)),)</f>
        <v>0</v>
      </c>
      <c r="DE498" s="14">
        <f>ROUND(IF(CJ498=0,0,HLOOKUP(CJ$14,Villagers!$B$1:$V$33,CJ498+3,FALSE)),)</f>
        <v>2</v>
      </c>
      <c r="DF498" s="370">
        <f>ROUND(IF(CK498=0,0,HLOOKUP(CK$14,Villagers!$B$1:$V$33,CK498+3,FALSE)),)</f>
        <v>0</v>
      </c>
      <c r="DG498" s="370">
        <f>ROUND(IF(CL498=0,0,HLOOKUP(CL$14,Villagers!$B$1:$V$33,CL498+3,FALSE)),)</f>
        <v>0</v>
      </c>
      <c r="DH498" s="34">
        <f>ROUND(IF(CM498=0,0,HLOOKUP(CM$14,Villagers!$B$1:$V$33,CM498+3,FALSE)),)</f>
        <v>0</v>
      </c>
      <c r="DI498" s="109">
        <f t="shared" si="1144"/>
        <v>0</v>
      </c>
      <c r="DJ498" s="50">
        <f t="shared" si="1145"/>
        <v>0</v>
      </c>
      <c r="DK498" s="50">
        <f t="shared" si="1146"/>
        <v>0</v>
      </c>
      <c r="DL498" s="50">
        <f t="shared" si="1147"/>
        <v>0</v>
      </c>
      <c r="DM498" s="50">
        <f t="shared" si="1148"/>
        <v>0</v>
      </c>
      <c r="DN498" s="50">
        <f t="shared" si="1149"/>
        <v>0</v>
      </c>
      <c r="DO498" s="50">
        <f t="shared" si="1150"/>
        <v>0</v>
      </c>
      <c r="DP498" s="50">
        <f t="shared" si="1151"/>
        <v>0</v>
      </c>
      <c r="DQ498" s="50">
        <f t="shared" si="1128"/>
        <v>0</v>
      </c>
      <c r="DR498" s="50">
        <f t="shared" si="1129"/>
        <v>0</v>
      </c>
      <c r="DS498" s="96">
        <f>Miscelaneous!$D$4*Miscelaneous!$D$2^($CI498-1)</f>
        <v>1000</v>
      </c>
      <c r="DT498" s="333">
        <f t="shared" si="1109"/>
        <v>1</v>
      </c>
      <c r="DU498" s="81">
        <v>1</v>
      </c>
      <c r="DV498" s="79">
        <f t="shared" si="1130"/>
        <v>0</v>
      </c>
      <c r="DW498" s="79">
        <f t="shared" si="1131"/>
        <v>0</v>
      </c>
      <c r="DX498" s="79">
        <f t="shared" si="1132"/>
        <v>0</v>
      </c>
      <c r="DY498" s="79">
        <v>1</v>
      </c>
      <c r="DZ498" s="79">
        <f t="shared" si="1133"/>
        <v>0</v>
      </c>
      <c r="EA498" s="79">
        <f t="shared" si="1134"/>
        <v>0</v>
      </c>
      <c r="EB498" s="79">
        <f t="shared" si="1135"/>
        <v>0</v>
      </c>
      <c r="EC498" s="79">
        <f t="shared" si="1136"/>
        <v>0</v>
      </c>
      <c r="ED498" s="79">
        <v>1</v>
      </c>
      <c r="EE498" s="79">
        <v>1</v>
      </c>
      <c r="EF498" s="79">
        <f t="shared" si="1137"/>
        <v>0</v>
      </c>
      <c r="EG498" s="79">
        <v>1</v>
      </c>
      <c r="EH498" s="79">
        <v>1</v>
      </c>
      <c r="EI498" s="79">
        <v>1</v>
      </c>
      <c r="EJ498" s="79">
        <v>1</v>
      </c>
      <c r="EK498" s="79">
        <v>1</v>
      </c>
      <c r="EL498" s="79">
        <v>1</v>
      </c>
      <c r="EM498" s="143">
        <f t="shared" si="1138"/>
        <v>0</v>
      </c>
      <c r="EN498" s="143">
        <f t="shared" si="1139"/>
        <v>0</v>
      </c>
      <c r="EO498" s="82">
        <f t="shared" si="1140"/>
        <v>0</v>
      </c>
    </row>
    <row r="499" spans="1:145" x14ac:dyDescent="0.25">
      <c r="A499">
        <v>485</v>
      </c>
      <c r="B499" s="172" t="e">
        <f t="shared" si="1110"/>
        <v>#N/A</v>
      </c>
      <c r="C499" s="121" t="e">
        <f t="shared" ref="C499:E499" si="1199">AJ499-SUM(AB499:AB503)</f>
        <v>#N/A</v>
      </c>
      <c r="D499" s="122" t="e">
        <f t="shared" si="1199"/>
        <v>#N/A</v>
      </c>
      <c r="E499" s="122" t="e">
        <f t="shared" si="1199"/>
        <v>#N/A</v>
      </c>
      <c r="F499" s="176" t="e">
        <f t="shared" si="1092"/>
        <v>#N/A</v>
      </c>
      <c r="G499" s="121">
        <f t="shared" si="1112"/>
        <v>208</v>
      </c>
      <c r="H499" s="176" t="e">
        <f t="shared" si="1113"/>
        <v>#N/A</v>
      </c>
      <c r="I499" s="48">
        <v>1</v>
      </c>
      <c r="J499" s="39"/>
      <c r="K499" s="350">
        <v>1</v>
      </c>
      <c r="L499" s="34" t="e">
        <f t="shared" si="1093"/>
        <v>#N/A</v>
      </c>
      <c r="M499" s="38" t="e">
        <f>(HLOOKUP(J499,'Construction Times'!$B$3:$W$34,L499+2,FALSE)*HLOOKUP("hq modifier",'Construction Times'!$W$3:$W$34,BS499+2,FALSE))*(1-$H$9)</f>
        <v>#N/A</v>
      </c>
      <c r="N499" s="426" t="e">
        <f t="shared" si="1114"/>
        <v>#N/A</v>
      </c>
      <c r="O499" s="427"/>
      <c r="P499" s="430" t="e">
        <f t="shared" si="1115"/>
        <v>#N/A</v>
      </c>
      <c r="Q499" s="431"/>
      <c r="R499" s="103">
        <f t="shared" si="1142"/>
        <v>0</v>
      </c>
      <c r="S499" s="104">
        <f t="shared" si="1142"/>
        <v>0</v>
      </c>
      <c r="T499" s="104">
        <f t="shared" si="1143"/>
        <v>0</v>
      </c>
      <c r="U499" s="104">
        <f t="shared" si="1143"/>
        <v>0</v>
      </c>
      <c r="V499" s="104">
        <f t="shared" si="1143"/>
        <v>9.9999999999999995E-8</v>
      </c>
      <c r="W499" s="104">
        <f t="shared" si="1143"/>
        <v>0</v>
      </c>
      <c r="X499" s="104">
        <f t="shared" si="1189"/>
        <v>0</v>
      </c>
      <c r="Y499" s="104">
        <f t="shared" si="1189"/>
        <v>9.9999999999999995E-8</v>
      </c>
      <c r="Z499" s="104">
        <f t="shared" si="1189"/>
        <v>9.9999999999999995E-8</v>
      </c>
      <c r="AA499" s="105">
        <f t="shared" si="1189"/>
        <v>9.9999999999999995E-8</v>
      </c>
      <c r="AB499" s="101" t="e">
        <f>$DT499*HLOOKUP($J499,'Construction Costs (timber)'!$B$1:$V$32,'Construction Planner'!$L499+2,FALSE)</f>
        <v>#N/A</v>
      </c>
      <c r="AC499" s="14" t="e">
        <f>$DT499*HLOOKUP($J499,'Construction Costs (clay)'!$B$1:$V$32,'Construction Planner'!$L499+2,FALSE)</f>
        <v>#N/A</v>
      </c>
      <c r="AD499" s="14" t="e">
        <f>$DT499*HLOOKUP($J499,'Construction Costs (iron)'!$B$1:$V$32,'Construction Planner'!$L499+2,FALSE)</f>
        <v>#N/A</v>
      </c>
      <c r="AE499" s="34" t="e">
        <f t="shared" si="1155"/>
        <v>#N/A</v>
      </c>
      <c r="AF499" s="33" t="e">
        <f t="shared" si="1094"/>
        <v>#N/A</v>
      </c>
      <c r="AG499" s="14" t="e">
        <f t="shared" si="1095"/>
        <v>#N/A</v>
      </c>
      <c r="AH499" s="14" t="e">
        <f t="shared" si="1096"/>
        <v>#N/A</v>
      </c>
      <c r="AI499" s="34" t="e">
        <f t="shared" si="1156"/>
        <v>#N/A</v>
      </c>
      <c r="AJ499" s="49" t="e">
        <f t="shared" si="1116"/>
        <v>#N/A</v>
      </c>
      <c r="AK499" s="49" t="e">
        <f t="shared" si="1117"/>
        <v>#N/A</v>
      </c>
      <c r="AL499" s="49" t="e">
        <f t="shared" si="1118"/>
        <v>#N/A</v>
      </c>
      <c r="AM499" s="25">
        <f t="shared" si="1097"/>
        <v>30</v>
      </c>
      <c r="AN499" s="25">
        <f t="shared" si="1098"/>
        <v>30</v>
      </c>
      <c r="AO499" s="25">
        <f t="shared" si="1099"/>
        <v>30</v>
      </c>
      <c r="AP499" s="52" t="e">
        <f t="shared" si="1119"/>
        <v>#N/A</v>
      </c>
      <c r="AQ499" s="53" t="e">
        <f t="shared" si="1119"/>
        <v>#N/A</v>
      </c>
      <c r="AR499" s="54" t="e">
        <f t="shared" si="1119"/>
        <v>#N/A</v>
      </c>
      <c r="AS499" s="316">
        <f t="shared" si="1179"/>
        <v>0</v>
      </c>
      <c r="AT499" s="106">
        <f>_xlfn.IFNA($M499/VLOOKUP($BT499,'Unit information'!$A$2:$K$29,2,FALSE)*R499,0)*(1+$E$9)</f>
        <v>0</v>
      </c>
      <c r="AU499" s="107">
        <f>_xlfn.IFNA($M499/VLOOKUP($BT499,'Unit information'!$A$2:$K$29,3,FALSE)*S499,0)*(1+$E$9)</f>
        <v>0</v>
      </c>
      <c r="AV499" s="107">
        <f>_xlfn.IFNA($M499/VLOOKUP($BT499,'Unit information'!$A$2:$K$29,4,FALSE)*T499,0)*(1+$E$9)</f>
        <v>0</v>
      </c>
      <c r="AW499" s="107">
        <f>_xlfn.IFNA($M499/VLOOKUP($BT499,'Unit information'!$A$2:$K$29,5,FALSE)*U499,0)*(1+$E$9)</f>
        <v>0</v>
      </c>
      <c r="AX499" s="107">
        <f>_xlfn.IFNA($M499/VLOOKUP($BU499,'Unit information'!$A$2:$K$29,6,FALSE)*V499,0)*(1+$E$9)</f>
        <v>0</v>
      </c>
      <c r="AY499" s="107">
        <f>_xlfn.IFNA($M499/VLOOKUP($BU499,'Unit information'!$A$2:$K$29,7,FALSE)*W499,0)*(1+$E$9)</f>
        <v>0</v>
      </c>
      <c r="AZ499" s="107">
        <f>_xlfn.IFNA($M499/VLOOKUP($BU499,'Unit information'!$A$2:$K$29,8,FALSE)*X499,0)*(1+$E$9)</f>
        <v>0</v>
      </c>
      <c r="BA499" s="107">
        <f>_xlfn.IFNA($M499/VLOOKUP($BU499,'Unit information'!$A$2:$K$29,9,FALSE)*Y499,0)*(1+$E$9)</f>
        <v>0</v>
      </c>
      <c r="BB499" s="107">
        <f>_xlfn.IFNA($M499/VLOOKUP($BV499,'Unit information'!$A$2:$K$29,10,FALSE)*Z499,0)*(1+$E$9)</f>
        <v>0</v>
      </c>
      <c r="BC499" s="108">
        <f>_xlfn.IFNA($M499/VLOOKUP($BV499,'Unit information'!$A$2:$K$29,11,FALSE)*AA499,0)*(1+$E$9)</f>
        <v>0</v>
      </c>
      <c r="BD499" s="106">
        <f t="shared" si="1100"/>
        <v>0</v>
      </c>
      <c r="BE499" s="107">
        <f t="shared" si="1101"/>
        <v>0</v>
      </c>
      <c r="BF499" s="108">
        <f t="shared" si="1102"/>
        <v>0</v>
      </c>
      <c r="BG499" s="25" t="e">
        <f t="shared" si="1103"/>
        <v>#N/A</v>
      </c>
      <c r="BH499" s="25" t="e">
        <f t="shared" si="1104"/>
        <v>#N/A</v>
      </c>
      <c r="BI499" s="25" t="e">
        <f t="shared" si="1105"/>
        <v>#N/A</v>
      </c>
      <c r="BJ499" s="27" t="e">
        <f t="shared" si="1106"/>
        <v>#N/A</v>
      </c>
      <c r="BK499" s="18" t="e">
        <f t="shared" si="1107"/>
        <v>#N/A</v>
      </c>
      <c r="BL499" s="18" t="e">
        <f t="shared" si="1108"/>
        <v>#N/A</v>
      </c>
      <c r="BM499" s="28" t="e">
        <f t="shared" si="1158"/>
        <v>#N/A</v>
      </c>
      <c r="BN499" s="33">
        <f>HLOOKUP("maximum population",Miscelaneous!$C$1:$C$33,CH499+3,FALSE)</f>
        <v>240</v>
      </c>
      <c r="BO499" s="14">
        <f t="shared" si="1120"/>
        <v>32</v>
      </c>
      <c r="BP499" s="14">
        <f t="shared" si="1121"/>
        <v>0</v>
      </c>
      <c r="BQ499" s="14">
        <f t="shared" si="1122"/>
        <v>208</v>
      </c>
      <c r="BR499" s="34" t="e">
        <f>HLOOKUP(J499,Villagers!$B$1:$V$33,L499+3,FALSE)-HLOOKUP(J499,Villagers!$B$1:$V$33,L499+2,FALSE)</f>
        <v>#N/A</v>
      </c>
      <c r="BS499" s="49">
        <f t="shared" si="1194"/>
        <v>1</v>
      </c>
      <c r="BT499" s="50">
        <f t="shared" si="1194"/>
        <v>0</v>
      </c>
      <c r="BU499" s="50">
        <f t="shared" si="1194"/>
        <v>0</v>
      </c>
      <c r="BV499" s="50">
        <f t="shared" si="1194"/>
        <v>0</v>
      </c>
      <c r="BW499" s="50">
        <f t="shared" si="1194"/>
        <v>0</v>
      </c>
      <c r="BX499" s="50">
        <f t="shared" si="1194"/>
        <v>0</v>
      </c>
      <c r="BY499" s="50">
        <f t="shared" si="1194"/>
        <v>0</v>
      </c>
      <c r="BZ499" s="50">
        <f t="shared" si="1194"/>
        <v>0</v>
      </c>
      <c r="CA499" s="50">
        <f t="shared" si="1194"/>
        <v>0</v>
      </c>
      <c r="CB499" s="50">
        <f t="shared" si="1194"/>
        <v>1</v>
      </c>
      <c r="CC499" s="50">
        <f t="shared" si="1194"/>
        <v>0</v>
      </c>
      <c r="CD499" s="50">
        <f t="shared" si="1194"/>
        <v>0</v>
      </c>
      <c r="CE499" s="50">
        <f t="shared" si="1194"/>
        <v>1</v>
      </c>
      <c r="CF499" s="50">
        <f t="shared" si="1194"/>
        <v>1</v>
      </c>
      <c r="CG499" s="50">
        <f t="shared" si="1194"/>
        <v>1</v>
      </c>
      <c r="CH499" s="50">
        <f t="shared" si="1194"/>
        <v>1</v>
      </c>
      <c r="CI499" s="50">
        <f t="shared" si="1194"/>
        <v>1</v>
      </c>
      <c r="CJ499" s="50">
        <f t="shared" si="1194"/>
        <v>1</v>
      </c>
      <c r="CK499" s="50">
        <f t="shared" si="1195"/>
        <v>0</v>
      </c>
      <c r="CL499" s="50">
        <f t="shared" si="1196"/>
        <v>0</v>
      </c>
      <c r="CM499" s="51">
        <f t="shared" si="1192"/>
        <v>0</v>
      </c>
      <c r="CN499" s="33">
        <f>ROUND(IF(BS499=0,0,HLOOKUP(BS$14,Villagers!$B$1:$V$33,BS499+3,FALSE)),)</f>
        <v>5</v>
      </c>
      <c r="CO499" s="14">
        <f>ROUND(IF(BT499=0,0,HLOOKUP(BT$14,Villagers!$B$1:$V$33,BT499+3,FALSE)),)</f>
        <v>0</v>
      </c>
      <c r="CP499" s="14">
        <f>ROUND(IF(BU499=0,0,HLOOKUP(BU$14,Villagers!$B$1:$V$33,BU499+3,FALSE)),)</f>
        <v>0</v>
      </c>
      <c r="CQ499" s="14">
        <f>ROUND(IF(BV499=0,0,HLOOKUP(BV$14,Villagers!$B$1:$V$33,BV499+3,FALSE)),)</f>
        <v>0</v>
      </c>
      <c r="CR499" s="14">
        <f>ROUND(IF(BW499=0,0,HLOOKUP(BW$14,Villagers!$B$1:$V$33,BW499+3,FALSE)),)</f>
        <v>0</v>
      </c>
      <c r="CS499" s="14">
        <f>ROUND(IF(BX499=0,0,HLOOKUP(BX$14,Villagers!$B$1:$V$33,BX499+3,FALSE)),)</f>
        <v>0</v>
      </c>
      <c r="CT499" s="14">
        <f>ROUND(IF(BY499=0,0,HLOOKUP(BY$14,Villagers!$B$1:$V$33,BY499+3,FALSE)),)</f>
        <v>0</v>
      </c>
      <c r="CU499" s="14">
        <f>ROUND(IF(BZ499=0,0,HLOOKUP(BZ$14,Villagers!$B$1:$V$33,BZ499+3,FALSE)),)</f>
        <v>0</v>
      </c>
      <c r="CV499" s="14">
        <f>ROUND(IF(CA499=0,0,HLOOKUP(CA$14,Villagers!$B$1:$V$33,CA499+3,FALSE)),)</f>
        <v>0</v>
      </c>
      <c r="CW499" s="14">
        <f>ROUND(IF(CB499=0,0,HLOOKUP(CB$14,Villagers!$B$1:$V$33,CB499+3,FALSE)),)</f>
        <v>0</v>
      </c>
      <c r="CX499" s="14">
        <f>ROUND(IF(CC499=0,0,HLOOKUP(CC$14,Villagers!$B$1:$V$33,CC499+3,FALSE)),)</f>
        <v>0</v>
      </c>
      <c r="CY499" s="14">
        <f>ROUND(IF(CD499=0,0,HLOOKUP(CD$14,Villagers!$B$1:$V$33,CD499+3,FALSE)),)</f>
        <v>0</v>
      </c>
      <c r="CZ499" s="14">
        <f>ROUND(IF(CE499=0,0,HLOOKUP(CE$14,Villagers!$B$1:$V$33,CE499+3,FALSE)),)</f>
        <v>5</v>
      </c>
      <c r="DA499" s="14">
        <f>ROUND(IF(CF499=0,0,HLOOKUP(CF$14,Villagers!$B$1:$V$33,CF499+3,FALSE)),)</f>
        <v>10</v>
      </c>
      <c r="DB499" s="14">
        <f>ROUND(IF(CG499=0,0,HLOOKUP(CG$14,Villagers!$B$1:$V$33,CG499+3,FALSE)),)</f>
        <v>10</v>
      </c>
      <c r="DC499" s="14">
        <f>ROUND(IF(CH499=0,0,HLOOKUP(CH$14,Villagers!$B$1:$V$33,CH499+3,FALSE)),)</f>
        <v>0</v>
      </c>
      <c r="DD499" s="14">
        <f>ROUND(IF(CI499=0,0,HLOOKUP(CI$14,Villagers!$B$1:$V$33,CI499+3,FALSE)),)</f>
        <v>0</v>
      </c>
      <c r="DE499" s="14">
        <f>ROUND(IF(CJ499=0,0,HLOOKUP(CJ$14,Villagers!$B$1:$V$33,CJ499+3,FALSE)),)</f>
        <v>2</v>
      </c>
      <c r="DF499" s="370">
        <f>ROUND(IF(CK499=0,0,HLOOKUP(CK$14,Villagers!$B$1:$V$33,CK499+3,FALSE)),)</f>
        <v>0</v>
      </c>
      <c r="DG499" s="370">
        <f>ROUND(IF(CL499=0,0,HLOOKUP(CL$14,Villagers!$B$1:$V$33,CL499+3,FALSE)),)</f>
        <v>0</v>
      </c>
      <c r="DH499" s="34">
        <f>ROUND(IF(CM499=0,0,HLOOKUP(CM$14,Villagers!$B$1:$V$33,CM499+3,FALSE)),)</f>
        <v>0</v>
      </c>
      <c r="DI499" s="109">
        <f t="shared" si="1144"/>
        <v>0</v>
      </c>
      <c r="DJ499" s="50">
        <f t="shared" si="1145"/>
        <v>0</v>
      </c>
      <c r="DK499" s="50">
        <f t="shared" si="1146"/>
        <v>0</v>
      </c>
      <c r="DL499" s="50">
        <f t="shared" si="1147"/>
        <v>0</v>
      </c>
      <c r="DM499" s="50">
        <f t="shared" si="1148"/>
        <v>0</v>
      </c>
      <c r="DN499" s="50">
        <f t="shared" si="1149"/>
        <v>0</v>
      </c>
      <c r="DO499" s="50">
        <f t="shared" si="1150"/>
        <v>0</v>
      </c>
      <c r="DP499" s="50">
        <f t="shared" si="1151"/>
        <v>0</v>
      </c>
      <c r="DQ499" s="50">
        <f t="shared" si="1128"/>
        <v>0</v>
      </c>
      <c r="DR499" s="50">
        <f t="shared" si="1129"/>
        <v>0</v>
      </c>
      <c r="DS499" s="96">
        <f>Miscelaneous!$D$4*Miscelaneous!$D$2^($CI499-1)</f>
        <v>1000</v>
      </c>
      <c r="DT499" s="333">
        <f t="shared" si="1109"/>
        <v>1</v>
      </c>
      <c r="DU499" s="81">
        <v>1</v>
      </c>
      <c r="DV499" s="79">
        <f t="shared" si="1130"/>
        <v>0</v>
      </c>
      <c r="DW499" s="79">
        <f t="shared" si="1131"/>
        <v>0</v>
      </c>
      <c r="DX499" s="79">
        <f t="shared" si="1132"/>
        <v>0</v>
      </c>
      <c r="DY499" s="79">
        <v>1</v>
      </c>
      <c r="DZ499" s="79">
        <f t="shared" si="1133"/>
        <v>0</v>
      </c>
      <c r="EA499" s="79">
        <f t="shared" si="1134"/>
        <v>0</v>
      </c>
      <c r="EB499" s="79">
        <f t="shared" si="1135"/>
        <v>0</v>
      </c>
      <c r="EC499" s="79">
        <f t="shared" si="1136"/>
        <v>0</v>
      </c>
      <c r="ED499" s="79">
        <v>1</v>
      </c>
      <c r="EE499" s="79">
        <v>1</v>
      </c>
      <c r="EF499" s="79">
        <f t="shared" si="1137"/>
        <v>0</v>
      </c>
      <c r="EG499" s="79">
        <v>1</v>
      </c>
      <c r="EH499" s="79">
        <v>1</v>
      </c>
      <c r="EI499" s="79">
        <v>1</v>
      </c>
      <c r="EJ499" s="79">
        <v>1</v>
      </c>
      <c r="EK499" s="79">
        <v>1</v>
      </c>
      <c r="EL499" s="79">
        <v>1</v>
      </c>
      <c r="EM499" s="143">
        <f t="shared" si="1138"/>
        <v>0</v>
      </c>
      <c r="EN499" s="143">
        <f t="shared" si="1139"/>
        <v>0</v>
      </c>
      <c r="EO499" s="82">
        <f t="shared" si="1140"/>
        <v>0</v>
      </c>
    </row>
    <row r="500" spans="1:145" x14ac:dyDescent="0.25">
      <c r="A500">
        <v>486</v>
      </c>
      <c r="B500" s="172" t="e">
        <f t="shared" si="1110"/>
        <v>#N/A</v>
      </c>
      <c r="C500" s="121" t="e">
        <f t="shared" ref="C500:E500" si="1200">AJ500-SUM(AB500:AB504)</f>
        <v>#N/A</v>
      </c>
      <c r="D500" s="122" t="e">
        <f t="shared" si="1200"/>
        <v>#N/A</v>
      </c>
      <c r="E500" s="122" t="e">
        <f t="shared" si="1200"/>
        <v>#N/A</v>
      </c>
      <c r="F500" s="176" t="e">
        <f t="shared" si="1092"/>
        <v>#N/A</v>
      </c>
      <c r="G500" s="121">
        <f t="shared" si="1112"/>
        <v>208</v>
      </c>
      <c r="H500" s="176" t="e">
        <f t="shared" si="1113"/>
        <v>#N/A</v>
      </c>
      <c r="I500" s="48">
        <v>1</v>
      </c>
      <c r="J500" s="39"/>
      <c r="K500" s="350">
        <v>1</v>
      </c>
      <c r="L500" s="34" t="e">
        <f t="shared" si="1093"/>
        <v>#N/A</v>
      </c>
      <c r="M500" s="38" t="e">
        <f>(HLOOKUP(J500,'Construction Times'!$B$3:$W$34,L500+2,FALSE)*HLOOKUP("hq modifier",'Construction Times'!$W$3:$W$34,BS500+2,FALSE))*(1-$H$9)</f>
        <v>#N/A</v>
      </c>
      <c r="N500" s="426" t="e">
        <f t="shared" si="1114"/>
        <v>#N/A</v>
      </c>
      <c r="O500" s="427"/>
      <c r="P500" s="430" t="e">
        <f t="shared" si="1115"/>
        <v>#N/A</v>
      </c>
      <c r="Q500" s="431"/>
      <c r="R500" s="103">
        <f t="shared" si="1142"/>
        <v>0</v>
      </c>
      <c r="S500" s="104">
        <f t="shared" si="1142"/>
        <v>0</v>
      </c>
      <c r="T500" s="104">
        <f t="shared" si="1143"/>
        <v>0</v>
      </c>
      <c r="U500" s="104">
        <f t="shared" si="1143"/>
        <v>0</v>
      </c>
      <c r="V500" s="104">
        <f t="shared" si="1143"/>
        <v>9.9999999999999995E-8</v>
      </c>
      <c r="W500" s="104">
        <f t="shared" si="1143"/>
        <v>0</v>
      </c>
      <c r="X500" s="104">
        <f t="shared" si="1189"/>
        <v>0</v>
      </c>
      <c r="Y500" s="104">
        <f t="shared" si="1189"/>
        <v>9.9999999999999995E-8</v>
      </c>
      <c r="Z500" s="104">
        <f t="shared" si="1189"/>
        <v>9.9999999999999995E-8</v>
      </c>
      <c r="AA500" s="105">
        <f t="shared" si="1189"/>
        <v>9.9999999999999995E-8</v>
      </c>
      <c r="AB500" s="101" t="e">
        <f>$DT500*HLOOKUP($J500,'Construction Costs (timber)'!$B$1:$V$32,'Construction Planner'!$L500+2,FALSE)</f>
        <v>#N/A</v>
      </c>
      <c r="AC500" s="14" t="e">
        <f>$DT500*HLOOKUP($J500,'Construction Costs (clay)'!$B$1:$V$32,'Construction Planner'!$L500+2,FALSE)</f>
        <v>#N/A</v>
      </c>
      <c r="AD500" s="14" t="e">
        <f>$DT500*HLOOKUP($J500,'Construction Costs (iron)'!$B$1:$V$32,'Construction Planner'!$L500+2,FALSE)</f>
        <v>#N/A</v>
      </c>
      <c r="AE500" s="34" t="e">
        <f t="shared" si="1155"/>
        <v>#N/A</v>
      </c>
      <c r="AF500" s="33" t="e">
        <f t="shared" si="1094"/>
        <v>#N/A</v>
      </c>
      <c r="AG500" s="14" t="e">
        <f t="shared" si="1095"/>
        <v>#N/A</v>
      </c>
      <c r="AH500" s="14" t="e">
        <f t="shared" si="1096"/>
        <v>#N/A</v>
      </c>
      <c r="AI500" s="34" t="e">
        <f t="shared" si="1156"/>
        <v>#N/A</v>
      </c>
      <c r="AJ500" s="49" t="e">
        <f t="shared" si="1116"/>
        <v>#N/A</v>
      </c>
      <c r="AK500" s="49" t="e">
        <f t="shared" si="1117"/>
        <v>#N/A</v>
      </c>
      <c r="AL500" s="49" t="e">
        <f t="shared" si="1118"/>
        <v>#N/A</v>
      </c>
      <c r="AM500" s="25">
        <f t="shared" si="1097"/>
        <v>30</v>
      </c>
      <c r="AN500" s="25">
        <f t="shared" si="1098"/>
        <v>30</v>
      </c>
      <c r="AO500" s="25">
        <f t="shared" si="1099"/>
        <v>30</v>
      </c>
      <c r="AP500" s="52" t="e">
        <f t="shared" si="1119"/>
        <v>#N/A</v>
      </c>
      <c r="AQ500" s="53" t="e">
        <f t="shared" si="1119"/>
        <v>#N/A</v>
      </c>
      <c r="AR500" s="54" t="e">
        <f t="shared" si="1119"/>
        <v>#N/A</v>
      </c>
      <c r="AS500" s="316">
        <f t="shared" ref="AS500:AS509" si="1201">AS499</f>
        <v>0</v>
      </c>
      <c r="AT500" s="106">
        <f>_xlfn.IFNA($M500/VLOOKUP($BT500,'Unit information'!$A$2:$K$29,2,FALSE)*R500,0)*(1+$E$9)</f>
        <v>0</v>
      </c>
      <c r="AU500" s="107">
        <f>_xlfn.IFNA($M500/VLOOKUP($BT500,'Unit information'!$A$2:$K$29,3,FALSE)*S500,0)*(1+$E$9)</f>
        <v>0</v>
      </c>
      <c r="AV500" s="107">
        <f>_xlfn.IFNA($M500/VLOOKUP($BT500,'Unit information'!$A$2:$K$29,4,FALSE)*T500,0)*(1+$E$9)</f>
        <v>0</v>
      </c>
      <c r="AW500" s="107">
        <f>_xlfn.IFNA($M500/VLOOKUP($BT500,'Unit information'!$A$2:$K$29,5,FALSE)*U500,0)*(1+$E$9)</f>
        <v>0</v>
      </c>
      <c r="AX500" s="107">
        <f>_xlfn.IFNA($M500/VLOOKUP($BU500,'Unit information'!$A$2:$K$29,6,FALSE)*V500,0)*(1+$E$9)</f>
        <v>0</v>
      </c>
      <c r="AY500" s="107">
        <f>_xlfn.IFNA($M500/VLOOKUP($BU500,'Unit information'!$A$2:$K$29,7,FALSE)*W500,0)*(1+$E$9)</f>
        <v>0</v>
      </c>
      <c r="AZ500" s="107">
        <f>_xlfn.IFNA($M500/VLOOKUP($BU500,'Unit information'!$A$2:$K$29,8,FALSE)*X500,0)*(1+$E$9)</f>
        <v>0</v>
      </c>
      <c r="BA500" s="107">
        <f>_xlfn.IFNA($M500/VLOOKUP($BU500,'Unit information'!$A$2:$K$29,9,FALSE)*Y500,0)*(1+$E$9)</f>
        <v>0</v>
      </c>
      <c r="BB500" s="107">
        <f>_xlfn.IFNA($M500/VLOOKUP($BV500,'Unit information'!$A$2:$K$29,10,FALSE)*Z500,0)*(1+$E$9)</f>
        <v>0</v>
      </c>
      <c r="BC500" s="108">
        <f>_xlfn.IFNA($M500/VLOOKUP($BV500,'Unit information'!$A$2:$K$29,11,FALSE)*AA500,0)*(1+$E$9)</f>
        <v>0</v>
      </c>
      <c r="BD500" s="106">
        <f t="shared" si="1100"/>
        <v>0</v>
      </c>
      <c r="BE500" s="107">
        <f t="shared" si="1101"/>
        <v>0</v>
      </c>
      <c r="BF500" s="108">
        <f t="shared" si="1102"/>
        <v>0</v>
      </c>
      <c r="BG500" s="25" t="e">
        <f t="shared" si="1103"/>
        <v>#N/A</v>
      </c>
      <c r="BH500" s="25" t="e">
        <f t="shared" si="1104"/>
        <v>#N/A</v>
      </c>
      <c r="BI500" s="25" t="e">
        <f t="shared" si="1105"/>
        <v>#N/A</v>
      </c>
      <c r="BJ500" s="27" t="e">
        <f t="shared" si="1106"/>
        <v>#N/A</v>
      </c>
      <c r="BK500" s="18" t="e">
        <f t="shared" si="1107"/>
        <v>#N/A</v>
      </c>
      <c r="BL500" s="18" t="e">
        <f t="shared" si="1108"/>
        <v>#N/A</v>
      </c>
      <c r="BM500" s="28" t="e">
        <f t="shared" si="1158"/>
        <v>#N/A</v>
      </c>
      <c r="BN500" s="33">
        <f>HLOOKUP("maximum population",Miscelaneous!$C$1:$C$33,CH500+3,FALSE)</f>
        <v>240</v>
      </c>
      <c r="BO500" s="14">
        <f t="shared" si="1120"/>
        <v>32</v>
      </c>
      <c r="BP500" s="14">
        <f t="shared" si="1121"/>
        <v>0</v>
      </c>
      <c r="BQ500" s="14">
        <f t="shared" si="1122"/>
        <v>208</v>
      </c>
      <c r="BR500" s="34" t="e">
        <f>HLOOKUP(J500,Villagers!$B$1:$V$33,L500+3,FALSE)-HLOOKUP(J500,Villagers!$B$1:$V$33,L500+2,FALSE)</f>
        <v>#N/A</v>
      </c>
      <c r="BS500" s="49">
        <f t="shared" si="1194"/>
        <v>1</v>
      </c>
      <c r="BT500" s="50">
        <f t="shared" si="1194"/>
        <v>0</v>
      </c>
      <c r="BU500" s="50">
        <f t="shared" si="1194"/>
        <v>0</v>
      </c>
      <c r="BV500" s="50">
        <f t="shared" si="1194"/>
        <v>0</v>
      </c>
      <c r="BW500" s="50">
        <f t="shared" si="1194"/>
        <v>0</v>
      </c>
      <c r="BX500" s="50">
        <f t="shared" si="1194"/>
        <v>0</v>
      </c>
      <c r="BY500" s="50">
        <f t="shared" si="1194"/>
        <v>0</v>
      </c>
      <c r="BZ500" s="50">
        <f t="shared" si="1194"/>
        <v>0</v>
      </c>
      <c r="CA500" s="50">
        <f t="shared" si="1194"/>
        <v>0</v>
      </c>
      <c r="CB500" s="50">
        <f t="shared" si="1194"/>
        <v>1</v>
      </c>
      <c r="CC500" s="50">
        <f t="shared" si="1194"/>
        <v>0</v>
      </c>
      <c r="CD500" s="50">
        <f t="shared" si="1194"/>
        <v>0</v>
      </c>
      <c r="CE500" s="50">
        <f t="shared" si="1194"/>
        <v>1</v>
      </c>
      <c r="CF500" s="50">
        <f t="shared" si="1194"/>
        <v>1</v>
      </c>
      <c r="CG500" s="50">
        <f t="shared" si="1194"/>
        <v>1</v>
      </c>
      <c r="CH500" s="50">
        <f t="shared" si="1194"/>
        <v>1</v>
      </c>
      <c r="CI500" s="50">
        <f t="shared" si="1194"/>
        <v>1</v>
      </c>
      <c r="CJ500" s="50">
        <f t="shared" si="1194"/>
        <v>1</v>
      </c>
      <c r="CK500" s="50">
        <f t="shared" si="1195"/>
        <v>0</v>
      </c>
      <c r="CL500" s="50">
        <f t="shared" si="1196"/>
        <v>0</v>
      </c>
      <c r="CM500" s="51">
        <f t="shared" si="1192"/>
        <v>0</v>
      </c>
      <c r="CN500" s="33">
        <f>ROUND(IF(BS500=0,0,HLOOKUP(BS$14,Villagers!$B$1:$V$33,BS500+3,FALSE)),)</f>
        <v>5</v>
      </c>
      <c r="CO500" s="14">
        <f>ROUND(IF(BT500=0,0,HLOOKUP(BT$14,Villagers!$B$1:$V$33,BT500+3,FALSE)),)</f>
        <v>0</v>
      </c>
      <c r="CP500" s="14">
        <f>ROUND(IF(BU500=0,0,HLOOKUP(BU$14,Villagers!$B$1:$V$33,BU500+3,FALSE)),)</f>
        <v>0</v>
      </c>
      <c r="CQ500" s="14">
        <f>ROUND(IF(BV500=0,0,HLOOKUP(BV$14,Villagers!$B$1:$V$33,BV500+3,FALSE)),)</f>
        <v>0</v>
      </c>
      <c r="CR500" s="14">
        <f>ROUND(IF(BW500=0,0,HLOOKUP(BW$14,Villagers!$B$1:$V$33,BW500+3,FALSE)),)</f>
        <v>0</v>
      </c>
      <c r="CS500" s="14">
        <f>ROUND(IF(BX500=0,0,HLOOKUP(BX$14,Villagers!$B$1:$V$33,BX500+3,FALSE)),)</f>
        <v>0</v>
      </c>
      <c r="CT500" s="14">
        <f>ROUND(IF(BY500=0,0,HLOOKUP(BY$14,Villagers!$B$1:$V$33,BY500+3,FALSE)),)</f>
        <v>0</v>
      </c>
      <c r="CU500" s="14">
        <f>ROUND(IF(BZ500=0,0,HLOOKUP(BZ$14,Villagers!$B$1:$V$33,BZ500+3,FALSE)),)</f>
        <v>0</v>
      </c>
      <c r="CV500" s="14">
        <f>ROUND(IF(CA500=0,0,HLOOKUP(CA$14,Villagers!$B$1:$V$33,CA500+3,FALSE)),)</f>
        <v>0</v>
      </c>
      <c r="CW500" s="14">
        <f>ROUND(IF(CB500=0,0,HLOOKUP(CB$14,Villagers!$B$1:$V$33,CB500+3,FALSE)),)</f>
        <v>0</v>
      </c>
      <c r="CX500" s="14">
        <f>ROUND(IF(CC500=0,0,HLOOKUP(CC$14,Villagers!$B$1:$V$33,CC500+3,FALSE)),)</f>
        <v>0</v>
      </c>
      <c r="CY500" s="14">
        <f>ROUND(IF(CD500=0,0,HLOOKUP(CD$14,Villagers!$B$1:$V$33,CD500+3,FALSE)),)</f>
        <v>0</v>
      </c>
      <c r="CZ500" s="14">
        <f>ROUND(IF(CE500=0,0,HLOOKUP(CE$14,Villagers!$B$1:$V$33,CE500+3,FALSE)),)</f>
        <v>5</v>
      </c>
      <c r="DA500" s="14">
        <f>ROUND(IF(CF500=0,0,HLOOKUP(CF$14,Villagers!$B$1:$V$33,CF500+3,FALSE)),)</f>
        <v>10</v>
      </c>
      <c r="DB500" s="14">
        <f>ROUND(IF(CG500=0,0,HLOOKUP(CG$14,Villagers!$B$1:$V$33,CG500+3,FALSE)),)</f>
        <v>10</v>
      </c>
      <c r="DC500" s="14">
        <f>ROUND(IF(CH500=0,0,HLOOKUP(CH$14,Villagers!$B$1:$V$33,CH500+3,FALSE)),)</f>
        <v>0</v>
      </c>
      <c r="DD500" s="14">
        <f>ROUND(IF(CI500=0,0,HLOOKUP(CI$14,Villagers!$B$1:$V$33,CI500+3,FALSE)),)</f>
        <v>0</v>
      </c>
      <c r="DE500" s="14">
        <f>ROUND(IF(CJ500=0,0,HLOOKUP(CJ$14,Villagers!$B$1:$V$33,CJ500+3,FALSE)),)</f>
        <v>2</v>
      </c>
      <c r="DF500" s="370">
        <f>ROUND(IF(CK500=0,0,HLOOKUP(CK$14,Villagers!$B$1:$V$33,CK500+3,FALSE)),)</f>
        <v>0</v>
      </c>
      <c r="DG500" s="370">
        <f>ROUND(IF(CL500=0,0,HLOOKUP(CL$14,Villagers!$B$1:$V$33,CL500+3,FALSE)),)</f>
        <v>0</v>
      </c>
      <c r="DH500" s="34">
        <f>ROUND(IF(CM500=0,0,HLOOKUP(CM$14,Villagers!$B$1:$V$33,CM500+3,FALSE)),)</f>
        <v>0</v>
      </c>
      <c r="DI500" s="109">
        <f t="shared" si="1144"/>
        <v>0</v>
      </c>
      <c r="DJ500" s="50">
        <f t="shared" si="1145"/>
        <v>0</v>
      </c>
      <c r="DK500" s="50">
        <f t="shared" si="1146"/>
        <v>0</v>
      </c>
      <c r="DL500" s="50">
        <f t="shared" si="1147"/>
        <v>0</v>
      </c>
      <c r="DM500" s="50">
        <f t="shared" si="1148"/>
        <v>0</v>
      </c>
      <c r="DN500" s="50">
        <f t="shared" si="1149"/>
        <v>0</v>
      </c>
      <c r="DO500" s="50">
        <f t="shared" si="1150"/>
        <v>0</v>
      </c>
      <c r="DP500" s="50">
        <f t="shared" si="1151"/>
        <v>0</v>
      </c>
      <c r="DQ500" s="50">
        <f t="shared" si="1128"/>
        <v>0</v>
      </c>
      <c r="DR500" s="50">
        <f t="shared" si="1129"/>
        <v>0</v>
      </c>
      <c r="DS500" s="96">
        <f>Miscelaneous!$D$4*Miscelaneous!$D$2^($CI500-1)</f>
        <v>1000</v>
      </c>
      <c r="DT500" s="333">
        <f t="shared" si="1109"/>
        <v>1</v>
      </c>
      <c r="DU500" s="81">
        <v>1</v>
      </c>
      <c r="DV500" s="79">
        <f t="shared" si="1130"/>
        <v>0</v>
      </c>
      <c r="DW500" s="79">
        <f t="shared" si="1131"/>
        <v>0</v>
      </c>
      <c r="DX500" s="79">
        <f t="shared" si="1132"/>
        <v>0</v>
      </c>
      <c r="DY500" s="79">
        <v>1</v>
      </c>
      <c r="DZ500" s="79">
        <f t="shared" si="1133"/>
        <v>0</v>
      </c>
      <c r="EA500" s="79">
        <f t="shared" si="1134"/>
        <v>0</v>
      </c>
      <c r="EB500" s="79">
        <f t="shared" si="1135"/>
        <v>0</v>
      </c>
      <c r="EC500" s="79">
        <f t="shared" si="1136"/>
        <v>0</v>
      </c>
      <c r="ED500" s="79">
        <v>1</v>
      </c>
      <c r="EE500" s="79">
        <v>1</v>
      </c>
      <c r="EF500" s="79">
        <f t="shared" si="1137"/>
        <v>0</v>
      </c>
      <c r="EG500" s="79">
        <v>1</v>
      </c>
      <c r="EH500" s="79">
        <v>1</v>
      </c>
      <c r="EI500" s="79">
        <v>1</v>
      </c>
      <c r="EJ500" s="79">
        <v>1</v>
      </c>
      <c r="EK500" s="79">
        <v>1</v>
      </c>
      <c r="EL500" s="79">
        <v>1</v>
      </c>
      <c r="EM500" s="143">
        <f t="shared" si="1138"/>
        <v>0</v>
      </c>
      <c r="EN500" s="143">
        <f t="shared" si="1139"/>
        <v>0</v>
      </c>
      <c r="EO500" s="82">
        <f t="shared" si="1140"/>
        <v>0</v>
      </c>
    </row>
    <row r="501" spans="1:145" x14ac:dyDescent="0.25">
      <c r="A501">
        <v>487</v>
      </c>
      <c r="B501" s="172" t="e">
        <f t="shared" si="1110"/>
        <v>#N/A</v>
      </c>
      <c r="C501" s="121" t="e">
        <f t="shared" ref="C501:E501" si="1202">AJ501-SUM(AB501:AB505)</f>
        <v>#N/A</v>
      </c>
      <c r="D501" s="122" t="e">
        <f t="shared" si="1202"/>
        <v>#N/A</v>
      </c>
      <c r="E501" s="122" t="e">
        <f t="shared" si="1202"/>
        <v>#N/A</v>
      </c>
      <c r="F501" s="176" t="e">
        <f t="shared" si="1092"/>
        <v>#N/A</v>
      </c>
      <c r="G501" s="121">
        <f t="shared" si="1112"/>
        <v>208</v>
      </c>
      <c r="H501" s="176" t="e">
        <f t="shared" si="1113"/>
        <v>#N/A</v>
      </c>
      <c r="I501" s="48">
        <v>1</v>
      </c>
      <c r="J501" s="39"/>
      <c r="K501" s="350">
        <v>1</v>
      </c>
      <c r="L501" s="34" t="e">
        <f t="shared" si="1093"/>
        <v>#N/A</v>
      </c>
      <c r="M501" s="38" t="e">
        <f>(HLOOKUP(J501,'Construction Times'!$B$3:$W$34,L501+2,FALSE)*HLOOKUP("hq modifier",'Construction Times'!$W$3:$W$34,BS501+2,FALSE))*(1-$H$9)</f>
        <v>#N/A</v>
      </c>
      <c r="N501" s="426" t="e">
        <f t="shared" si="1114"/>
        <v>#N/A</v>
      </c>
      <c r="O501" s="427"/>
      <c r="P501" s="430" t="e">
        <f t="shared" si="1115"/>
        <v>#N/A</v>
      </c>
      <c r="Q501" s="431"/>
      <c r="R501" s="103">
        <f t="shared" si="1142"/>
        <v>0</v>
      </c>
      <c r="S501" s="104">
        <f t="shared" si="1142"/>
        <v>0</v>
      </c>
      <c r="T501" s="104">
        <f t="shared" si="1143"/>
        <v>0</v>
      </c>
      <c r="U501" s="104">
        <f t="shared" si="1143"/>
        <v>0</v>
      </c>
      <c r="V501" s="104">
        <f t="shared" si="1143"/>
        <v>9.9999999999999995E-8</v>
      </c>
      <c r="W501" s="104">
        <f t="shared" si="1143"/>
        <v>0</v>
      </c>
      <c r="X501" s="104">
        <f t="shared" si="1189"/>
        <v>0</v>
      </c>
      <c r="Y501" s="104">
        <f t="shared" si="1189"/>
        <v>9.9999999999999995E-8</v>
      </c>
      <c r="Z501" s="104">
        <f t="shared" si="1189"/>
        <v>9.9999999999999995E-8</v>
      </c>
      <c r="AA501" s="105">
        <f t="shared" si="1189"/>
        <v>9.9999999999999995E-8</v>
      </c>
      <c r="AB501" s="101" t="e">
        <f>$DT501*HLOOKUP($J501,'Construction Costs (timber)'!$B$1:$V$32,'Construction Planner'!$L501+2,FALSE)</f>
        <v>#N/A</v>
      </c>
      <c r="AC501" s="14" t="e">
        <f>$DT501*HLOOKUP($J501,'Construction Costs (clay)'!$B$1:$V$32,'Construction Planner'!$L501+2,FALSE)</f>
        <v>#N/A</v>
      </c>
      <c r="AD501" s="14" t="e">
        <f>$DT501*HLOOKUP($J501,'Construction Costs (iron)'!$B$1:$V$32,'Construction Planner'!$L501+2,FALSE)</f>
        <v>#N/A</v>
      </c>
      <c r="AE501" s="34" t="e">
        <f t="shared" si="1155"/>
        <v>#N/A</v>
      </c>
      <c r="AF501" s="33" t="e">
        <f t="shared" si="1094"/>
        <v>#N/A</v>
      </c>
      <c r="AG501" s="14" t="e">
        <f t="shared" si="1095"/>
        <v>#N/A</v>
      </c>
      <c r="AH501" s="14" t="e">
        <f t="shared" si="1096"/>
        <v>#N/A</v>
      </c>
      <c r="AI501" s="34" t="e">
        <f t="shared" si="1156"/>
        <v>#N/A</v>
      </c>
      <c r="AJ501" s="49" t="e">
        <f t="shared" si="1116"/>
        <v>#N/A</v>
      </c>
      <c r="AK501" s="49" t="e">
        <f t="shared" si="1117"/>
        <v>#N/A</v>
      </c>
      <c r="AL501" s="49" t="e">
        <f t="shared" si="1118"/>
        <v>#N/A</v>
      </c>
      <c r="AM501" s="25">
        <f t="shared" si="1097"/>
        <v>30</v>
      </c>
      <c r="AN501" s="25">
        <f t="shared" si="1098"/>
        <v>30</v>
      </c>
      <c r="AO501" s="25">
        <f t="shared" si="1099"/>
        <v>30</v>
      </c>
      <c r="AP501" s="52" t="e">
        <f t="shared" si="1119"/>
        <v>#N/A</v>
      </c>
      <c r="AQ501" s="53" t="e">
        <f t="shared" si="1119"/>
        <v>#N/A</v>
      </c>
      <c r="AR501" s="54" t="e">
        <f t="shared" si="1119"/>
        <v>#N/A</v>
      </c>
      <c r="AS501" s="316">
        <f t="shared" si="1201"/>
        <v>0</v>
      </c>
      <c r="AT501" s="106">
        <f>_xlfn.IFNA($M501/VLOOKUP($BT501,'Unit information'!$A$2:$K$29,2,FALSE)*R501,0)*(1+$E$9)</f>
        <v>0</v>
      </c>
      <c r="AU501" s="107">
        <f>_xlfn.IFNA($M501/VLOOKUP($BT501,'Unit information'!$A$2:$K$29,3,FALSE)*S501,0)*(1+$E$9)</f>
        <v>0</v>
      </c>
      <c r="AV501" s="107">
        <f>_xlfn.IFNA($M501/VLOOKUP($BT501,'Unit information'!$A$2:$K$29,4,FALSE)*T501,0)*(1+$E$9)</f>
        <v>0</v>
      </c>
      <c r="AW501" s="107">
        <f>_xlfn.IFNA($M501/VLOOKUP($BT501,'Unit information'!$A$2:$K$29,5,FALSE)*U501,0)*(1+$E$9)</f>
        <v>0</v>
      </c>
      <c r="AX501" s="107">
        <f>_xlfn.IFNA($M501/VLOOKUP($BU501,'Unit information'!$A$2:$K$29,6,FALSE)*V501,0)*(1+$E$9)</f>
        <v>0</v>
      </c>
      <c r="AY501" s="107">
        <f>_xlfn.IFNA($M501/VLOOKUP($BU501,'Unit information'!$A$2:$K$29,7,FALSE)*W501,0)*(1+$E$9)</f>
        <v>0</v>
      </c>
      <c r="AZ501" s="107">
        <f>_xlfn.IFNA($M501/VLOOKUP($BU501,'Unit information'!$A$2:$K$29,8,FALSE)*X501,0)*(1+$E$9)</f>
        <v>0</v>
      </c>
      <c r="BA501" s="107">
        <f>_xlfn.IFNA($M501/VLOOKUP($BU501,'Unit information'!$A$2:$K$29,9,FALSE)*Y501,0)*(1+$E$9)</f>
        <v>0</v>
      </c>
      <c r="BB501" s="107">
        <f>_xlfn.IFNA($M501/VLOOKUP($BV501,'Unit information'!$A$2:$K$29,10,FALSE)*Z501,0)*(1+$E$9)</f>
        <v>0</v>
      </c>
      <c r="BC501" s="108">
        <f>_xlfn.IFNA($M501/VLOOKUP($BV501,'Unit information'!$A$2:$K$29,11,FALSE)*AA501,0)*(1+$E$9)</f>
        <v>0</v>
      </c>
      <c r="BD501" s="106">
        <f t="shared" si="1100"/>
        <v>0</v>
      </c>
      <c r="BE501" s="107">
        <f t="shared" si="1101"/>
        <v>0</v>
      </c>
      <c r="BF501" s="108">
        <f t="shared" si="1102"/>
        <v>0</v>
      </c>
      <c r="BG501" s="25" t="e">
        <f t="shared" si="1103"/>
        <v>#N/A</v>
      </c>
      <c r="BH501" s="25" t="e">
        <f t="shared" si="1104"/>
        <v>#N/A</v>
      </c>
      <c r="BI501" s="25" t="e">
        <f t="shared" si="1105"/>
        <v>#N/A</v>
      </c>
      <c r="BJ501" s="27" t="e">
        <f t="shared" si="1106"/>
        <v>#N/A</v>
      </c>
      <c r="BK501" s="18" t="e">
        <f t="shared" si="1107"/>
        <v>#N/A</v>
      </c>
      <c r="BL501" s="18" t="e">
        <f t="shared" si="1108"/>
        <v>#N/A</v>
      </c>
      <c r="BM501" s="28" t="e">
        <f t="shared" si="1158"/>
        <v>#N/A</v>
      </c>
      <c r="BN501" s="33">
        <f>HLOOKUP("maximum population",Miscelaneous!$C$1:$C$33,CH501+3,FALSE)</f>
        <v>240</v>
      </c>
      <c r="BO501" s="14">
        <f t="shared" si="1120"/>
        <v>32</v>
      </c>
      <c r="BP501" s="14">
        <f t="shared" si="1121"/>
        <v>0</v>
      </c>
      <c r="BQ501" s="14">
        <f t="shared" si="1122"/>
        <v>208</v>
      </c>
      <c r="BR501" s="34" t="e">
        <f>HLOOKUP(J501,Villagers!$B$1:$V$33,L501+3,FALSE)-HLOOKUP(J501,Villagers!$B$1:$V$33,L501+2,FALSE)</f>
        <v>#N/A</v>
      </c>
      <c r="BS501" s="49">
        <f t="shared" si="1194"/>
        <v>1</v>
      </c>
      <c r="BT501" s="50">
        <f t="shared" si="1194"/>
        <v>0</v>
      </c>
      <c r="BU501" s="50">
        <f t="shared" si="1194"/>
        <v>0</v>
      </c>
      <c r="BV501" s="50">
        <f t="shared" si="1194"/>
        <v>0</v>
      </c>
      <c r="BW501" s="50">
        <f t="shared" si="1194"/>
        <v>0</v>
      </c>
      <c r="BX501" s="50">
        <f t="shared" si="1194"/>
        <v>0</v>
      </c>
      <c r="BY501" s="50">
        <f t="shared" si="1194"/>
        <v>0</v>
      </c>
      <c r="BZ501" s="50">
        <f t="shared" si="1194"/>
        <v>0</v>
      </c>
      <c r="CA501" s="50">
        <f t="shared" si="1194"/>
        <v>0</v>
      </c>
      <c r="CB501" s="50">
        <f t="shared" si="1194"/>
        <v>1</v>
      </c>
      <c r="CC501" s="50">
        <f t="shared" si="1194"/>
        <v>0</v>
      </c>
      <c r="CD501" s="50">
        <f t="shared" si="1194"/>
        <v>0</v>
      </c>
      <c r="CE501" s="50">
        <f t="shared" si="1194"/>
        <v>1</v>
      </c>
      <c r="CF501" s="50">
        <f t="shared" si="1194"/>
        <v>1</v>
      </c>
      <c r="CG501" s="50">
        <f t="shared" si="1194"/>
        <v>1</v>
      </c>
      <c r="CH501" s="50">
        <f t="shared" si="1194"/>
        <v>1</v>
      </c>
      <c r="CI501" s="50">
        <f t="shared" si="1194"/>
        <v>1</v>
      </c>
      <c r="CJ501" s="50">
        <f t="shared" si="1194"/>
        <v>1</v>
      </c>
      <c r="CK501" s="50">
        <f t="shared" si="1195"/>
        <v>0</v>
      </c>
      <c r="CL501" s="50">
        <f t="shared" si="1196"/>
        <v>0</v>
      </c>
      <c r="CM501" s="51">
        <f t="shared" si="1192"/>
        <v>0</v>
      </c>
      <c r="CN501" s="33">
        <f>ROUND(IF(BS501=0,0,HLOOKUP(BS$14,Villagers!$B$1:$V$33,BS501+3,FALSE)),)</f>
        <v>5</v>
      </c>
      <c r="CO501" s="14">
        <f>ROUND(IF(BT501=0,0,HLOOKUP(BT$14,Villagers!$B$1:$V$33,BT501+3,FALSE)),)</f>
        <v>0</v>
      </c>
      <c r="CP501" s="14">
        <f>ROUND(IF(BU501=0,0,HLOOKUP(BU$14,Villagers!$B$1:$V$33,BU501+3,FALSE)),)</f>
        <v>0</v>
      </c>
      <c r="CQ501" s="14">
        <f>ROUND(IF(BV501=0,0,HLOOKUP(BV$14,Villagers!$B$1:$V$33,BV501+3,FALSE)),)</f>
        <v>0</v>
      </c>
      <c r="CR501" s="14">
        <f>ROUND(IF(BW501=0,0,HLOOKUP(BW$14,Villagers!$B$1:$V$33,BW501+3,FALSE)),)</f>
        <v>0</v>
      </c>
      <c r="CS501" s="14">
        <f>ROUND(IF(BX501=0,0,HLOOKUP(BX$14,Villagers!$B$1:$V$33,BX501+3,FALSE)),)</f>
        <v>0</v>
      </c>
      <c r="CT501" s="14">
        <f>ROUND(IF(BY501=0,0,HLOOKUP(BY$14,Villagers!$B$1:$V$33,BY501+3,FALSE)),)</f>
        <v>0</v>
      </c>
      <c r="CU501" s="14">
        <f>ROUND(IF(BZ501=0,0,HLOOKUP(BZ$14,Villagers!$B$1:$V$33,BZ501+3,FALSE)),)</f>
        <v>0</v>
      </c>
      <c r="CV501" s="14">
        <f>ROUND(IF(CA501=0,0,HLOOKUP(CA$14,Villagers!$B$1:$V$33,CA501+3,FALSE)),)</f>
        <v>0</v>
      </c>
      <c r="CW501" s="14">
        <f>ROUND(IF(CB501=0,0,HLOOKUP(CB$14,Villagers!$B$1:$V$33,CB501+3,FALSE)),)</f>
        <v>0</v>
      </c>
      <c r="CX501" s="14">
        <f>ROUND(IF(CC501=0,0,HLOOKUP(CC$14,Villagers!$B$1:$V$33,CC501+3,FALSE)),)</f>
        <v>0</v>
      </c>
      <c r="CY501" s="14">
        <f>ROUND(IF(CD501=0,0,HLOOKUP(CD$14,Villagers!$B$1:$V$33,CD501+3,FALSE)),)</f>
        <v>0</v>
      </c>
      <c r="CZ501" s="14">
        <f>ROUND(IF(CE501=0,0,HLOOKUP(CE$14,Villagers!$B$1:$V$33,CE501+3,FALSE)),)</f>
        <v>5</v>
      </c>
      <c r="DA501" s="14">
        <f>ROUND(IF(CF501=0,0,HLOOKUP(CF$14,Villagers!$B$1:$V$33,CF501+3,FALSE)),)</f>
        <v>10</v>
      </c>
      <c r="DB501" s="14">
        <f>ROUND(IF(CG501=0,0,HLOOKUP(CG$14,Villagers!$B$1:$V$33,CG501+3,FALSE)),)</f>
        <v>10</v>
      </c>
      <c r="DC501" s="14">
        <f>ROUND(IF(CH501=0,0,HLOOKUP(CH$14,Villagers!$B$1:$V$33,CH501+3,FALSE)),)</f>
        <v>0</v>
      </c>
      <c r="DD501" s="14">
        <f>ROUND(IF(CI501=0,0,HLOOKUP(CI$14,Villagers!$B$1:$V$33,CI501+3,FALSE)),)</f>
        <v>0</v>
      </c>
      <c r="DE501" s="14">
        <f>ROUND(IF(CJ501=0,0,HLOOKUP(CJ$14,Villagers!$B$1:$V$33,CJ501+3,FALSE)),)</f>
        <v>2</v>
      </c>
      <c r="DF501" s="370">
        <f>ROUND(IF(CK501=0,0,HLOOKUP(CK$14,Villagers!$B$1:$V$33,CK501+3,FALSE)),)</f>
        <v>0</v>
      </c>
      <c r="DG501" s="370">
        <f>ROUND(IF(CL501=0,0,HLOOKUP(CL$14,Villagers!$B$1:$V$33,CL501+3,FALSE)),)</f>
        <v>0</v>
      </c>
      <c r="DH501" s="34">
        <f>ROUND(IF(CM501=0,0,HLOOKUP(CM$14,Villagers!$B$1:$V$33,CM501+3,FALSE)),)</f>
        <v>0</v>
      </c>
      <c r="DI501" s="109">
        <f t="shared" si="1144"/>
        <v>0</v>
      </c>
      <c r="DJ501" s="50">
        <f t="shared" si="1145"/>
        <v>0</v>
      </c>
      <c r="DK501" s="50">
        <f t="shared" si="1146"/>
        <v>0</v>
      </c>
      <c r="DL501" s="50">
        <f t="shared" si="1147"/>
        <v>0</v>
      </c>
      <c r="DM501" s="50">
        <f t="shared" si="1148"/>
        <v>0</v>
      </c>
      <c r="DN501" s="50">
        <f t="shared" si="1149"/>
        <v>0</v>
      </c>
      <c r="DO501" s="50">
        <f t="shared" si="1150"/>
        <v>0</v>
      </c>
      <c r="DP501" s="50">
        <f t="shared" si="1151"/>
        <v>0</v>
      </c>
      <c r="DQ501" s="50">
        <f t="shared" si="1128"/>
        <v>0</v>
      </c>
      <c r="DR501" s="50">
        <f t="shared" si="1129"/>
        <v>0</v>
      </c>
      <c r="DS501" s="96">
        <f>Miscelaneous!$D$4*Miscelaneous!$D$2^($CI501-1)</f>
        <v>1000</v>
      </c>
      <c r="DT501" s="333">
        <f t="shared" si="1109"/>
        <v>1</v>
      </c>
      <c r="DU501" s="81">
        <v>1</v>
      </c>
      <c r="DV501" s="79">
        <f t="shared" si="1130"/>
        <v>0</v>
      </c>
      <c r="DW501" s="79">
        <f t="shared" si="1131"/>
        <v>0</v>
      </c>
      <c r="DX501" s="79">
        <f t="shared" si="1132"/>
        <v>0</v>
      </c>
      <c r="DY501" s="79">
        <v>1</v>
      </c>
      <c r="DZ501" s="79">
        <f t="shared" si="1133"/>
        <v>0</v>
      </c>
      <c r="EA501" s="79">
        <f t="shared" si="1134"/>
        <v>0</v>
      </c>
      <c r="EB501" s="79">
        <f t="shared" si="1135"/>
        <v>0</v>
      </c>
      <c r="EC501" s="79">
        <f t="shared" si="1136"/>
        <v>0</v>
      </c>
      <c r="ED501" s="79">
        <v>1</v>
      </c>
      <c r="EE501" s="79">
        <v>1</v>
      </c>
      <c r="EF501" s="79">
        <f t="shared" si="1137"/>
        <v>0</v>
      </c>
      <c r="EG501" s="79">
        <v>1</v>
      </c>
      <c r="EH501" s="79">
        <v>1</v>
      </c>
      <c r="EI501" s="79">
        <v>1</v>
      </c>
      <c r="EJ501" s="79">
        <v>1</v>
      </c>
      <c r="EK501" s="79">
        <v>1</v>
      </c>
      <c r="EL501" s="79">
        <v>1</v>
      </c>
      <c r="EM501" s="143">
        <f t="shared" si="1138"/>
        <v>0</v>
      </c>
      <c r="EN501" s="143">
        <f t="shared" si="1139"/>
        <v>0</v>
      </c>
      <c r="EO501" s="82">
        <f t="shared" si="1140"/>
        <v>0</v>
      </c>
    </row>
    <row r="502" spans="1:145" x14ac:dyDescent="0.25">
      <c r="A502">
        <v>488</v>
      </c>
      <c r="B502" s="172" t="e">
        <f t="shared" si="1110"/>
        <v>#N/A</v>
      </c>
      <c r="C502" s="121" t="e">
        <f t="shared" ref="C502:E502" si="1203">AJ502-SUM(AB502:AB506)</f>
        <v>#N/A</v>
      </c>
      <c r="D502" s="122" t="e">
        <f t="shared" si="1203"/>
        <v>#N/A</v>
      </c>
      <c r="E502" s="122" t="e">
        <f t="shared" si="1203"/>
        <v>#N/A</v>
      </c>
      <c r="F502" s="176" t="e">
        <f t="shared" si="1092"/>
        <v>#N/A</v>
      </c>
      <c r="G502" s="121">
        <f t="shared" si="1112"/>
        <v>208</v>
      </c>
      <c r="H502" s="176" t="e">
        <f t="shared" si="1113"/>
        <v>#N/A</v>
      </c>
      <c r="I502" s="48">
        <v>1</v>
      </c>
      <c r="J502" s="39"/>
      <c r="K502" s="350">
        <v>1</v>
      </c>
      <c r="L502" s="34" t="e">
        <f t="shared" si="1093"/>
        <v>#N/A</v>
      </c>
      <c r="M502" s="38" t="e">
        <f>(HLOOKUP(J502,'Construction Times'!$B$3:$W$34,L502+2,FALSE)*HLOOKUP("hq modifier",'Construction Times'!$W$3:$W$34,BS502+2,FALSE))*(1-$H$9)</f>
        <v>#N/A</v>
      </c>
      <c r="N502" s="426" t="e">
        <f t="shared" si="1114"/>
        <v>#N/A</v>
      </c>
      <c r="O502" s="427"/>
      <c r="P502" s="430" t="e">
        <f t="shared" si="1115"/>
        <v>#N/A</v>
      </c>
      <c r="Q502" s="431"/>
      <c r="R502" s="103">
        <f t="shared" si="1142"/>
        <v>0</v>
      </c>
      <c r="S502" s="104">
        <f t="shared" si="1142"/>
        <v>0</v>
      </c>
      <c r="T502" s="104">
        <f t="shared" si="1143"/>
        <v>0</v>
      </c>
      <c r="U502" s="104">
        <f t="shared" si="1143"/>
        <v>0</v>
      </c>
      <c r="V502" s="104">
        <f t="shared" si="1143"/>
        <v>9.9999999999999995E-8</v>
      </c>
      <c r="W502" s="104">
        <f t="shared" si="1143"/>
        <v>0</v>
      </c>
      <c r="X502" s="104">
        <f t="shared" si="1189"/>
        <v>0</v>
      </c>
      <c r="Y502" s="104">
        <f t="shared" si="1189"/>
        <v>9.9999999999999995E-8</v>
      </c>
      <c r="Z502" s="104">
        <f t="shared" si="1189"/>
        <v>9.9999999999999995E-8</v>
      </c>
      <c r="AA502" s="105">
        <f t="shared" si="1189"/>
        <v>9.9999999999999995E-8</v>
      </c>
      <c r="AB502" s="101" t="e">
        <f>$DT502*HLOOKUP($J502,'Construction Costs (timber)'!$B$1:$V$32,'Construction Planner'!$L502+2,FALSE)</f>
        <v>#N/A</v>
      </c>
      <c r="AC502" s="14" t="e">
        <f>$DT502*HLOOKUP($J502,'Construction Costs (clay)'!$B$1:$V$32,'Construction Planner'!$L502+2,FALSE)</f>
        <v>#N/A</v>
      </c>
      <c r="AD502" s="14" t="e">
        <f>$DT502*HLOOKUP($J502,'Construction Costs (iron)'!$B$1:$V$32,'Construction Planner'!$L502+2,FALSE)</f>
        <v>#N/A</v>
      </c>
      <c r="AE502" s="34" t="e">
        <f t="shared" si="1155"/>
        <v>#N/A</v>
      </c>
      <c r="AF502" s="33" t="e">
        <f t="shared" si="1094"/>
        <v>#N/A</v>
      </c>
      <c r="AG502" s="14" t="e">
        <f t="shared" si="1095"/>
        <v>#N/A</v>
      </c>
      <c r="AH502" s="14" t="e">
        <f t="shared" si="1096"/>
        <v>#N/A</v>
      </c>
      <c r="AI502" s="34" t="e">
        <f t="shared" si="1156"/>
        <v>#N/A</v>
      </c>
      <c r="AJ502" s="49" t="e">
        <f t="shared" si="1116"/>
        <v>#N/A</v>
      </c>
      <c r="AK502" s="49" t="e">
        <f t="shared" si="1117"/>
        <v>#N/A</v>
      </c>
      <c r="AL502" s="49" t="e">
        <f t="shared" si="1118"/>
        <v>#N/A</v>
      </c>
      <c r="AM502" s="25">
        <f t="shared" si="1097"/>
        <v>30</v>
      </c>
      <c r="AN502" s="25">
        <f t="shared" si="1098"/>
        <v>30</v>
      </c>
      <c r="AO502" s="25">
        <f t="shared" si="1099"/>
        <v>30</v>
      </c>
      <c r="AP502" s="52" t="e">
        <f t="shared" si="1119"/>
        <v>#N/A</v>
      </c>
      <c r="AQ502" s="53" t="e">
        <f t="shared" si="1119"/>
        <v>#N/A</v>
      </c>
      <c r="AR502" s="54" t="e">
        <f t="shared" si="1119"/>
        <v>#N/A</v>
      </c>
      <c r="AS502" s="316">
        <f t="shared" si="1201"/>
        <v>0</v>
      </c>
      <c r="AT502" s="106">
        <f>_xlfn.IFNA($M502/VLOOKUP($BT502,'Unit information'!$A$2:$K$29,2,FALSE)*R502,0)*(1+$E$9)</f>
        <v>0</v>
      </c>
      <c r="AU502" s="107">
        <f>_xlfn.IFNA($M502/VLOOKUP($BT502,'Unit information'!$A$2:$K$29,3,FALSE)*S502,0)*(1+$E$9)</f>
        <v>0</v>
      </c>
      <c r="AV502" s="107">
        <f>_xlfn.IFNA($M502/VLOOKUP($BT502,'Unit information'!$A$2:$K$29,4,FALSE)*T502,0)*(1+$E$9)</f>
        <v>0</v>
      </c>
      <c r="AW502" s="107">
        <f>_xlfn.IFNA($M502/VLOOKUP($BT502,'Unit information'!$A$2:$K$29,5,FALSE)*U502,0)*(1+$E$9)</f>
        <v>0</v>
      </c>
      <c r="AX502" s="107">
        <f>_xlfn.IFNA($M502/VLOOKUP($BU502,'Unit information'!$A$2:$K$29,6,FALSE)*V502,0)*(1+$E$9)</f>
        <v>0</v>
      </c>
      <c r="AY502" s="107">
        <f>_xlfn.IFNA($M502/VLOOKUP($BU502,'Unit information'!$A$2:$K$29,7,FALSE)*W502,0)*(1+$E$9)</f>
        <v>0</v>
      </c>
      <c r="AZ502" s="107">
        <f>_xlfn.IFNA($M502/VLOOKUP($BU502,'Unit information'!$A$2:$K$29,8,FALSE)*X502,0)*(1+$E$9)</f>
        <v>0</v>
      </c>
      <c r="BA502" s="107">
        <f>_xlfn.IFNA($M502/VLOOKUP($BU502,'Unit information'!$A$2:$K$29,9,FALSE)*Y502,0)*(1+$E$9)</f>
        <v>0</v>
      </c>
      <c r="BB502" s="107">
        <f>_xlfn.IFNA($M502/VLOOKUP($BV502,'Unit information'!$A$2:$K$29,10,FALSE)*Z502,0)*(1+$E$9)</f>
        <v>0</v>
      </c>
      <c r="BC502" s="108">
        <f>_xlfn.IFNA($M502/VLOOKUP($BV502,'Unit information'!$A$2:$K$29,11,FALSE)*AA502,0)*(1+$E$9)</f>
        <v>0</v>
      </c>
      <c r="BD502" s="106">
        <f t="shared" si="1100"/>
        <v>0</v>
      </c>
      <c r="BE502" s="107">
        <f t="shared" si="1101"/>
        <v>0</v>
      </c>
      <c r="BF502" s="108">
        <f t="shared" si="1102"/>
        <v>0</v>
      </c>
      <c r="BG502" s="25" t="e">
        <f t="shared" si="1103"/>
        <v>#N/A</v>
      </c>
      <c r="BH502" s="25" t="e">
        <f t="shared" si="1104"/>
        <v>#N/A</v>
      </c>
      <c r="BI502" s="25" t="e">
        <f t="shared" si="1105"/>
        <v>#N/A</v>
      </c>
      <c r="BJ502" s="27" t="e">
        <f t="shared" si="1106"/>
        <v>#N/A</v>
      </c>
      <c r="BK502" s="18" t="e">
        <f t="shared" si="1107"/>
        <v>#N/A</v>
      </c>
      <c r="BL502" s="18" t="e">
        <f t="shared" si="1108"/>
        <v>#N/A</v>
      </c>
      <c r="BM502" s="28" t="e">
        <f t="shared" si="1158"/>
        <v>#N/A</v>
      </c>
      <c r="BN502" s="33">
        <f>HLOOKUP("maximum population",Miscelaneous!$C$1:$C$33,CH502+3,FALSE)</f>
        <v>240</v>
      </c>
      <c r="BO502" s="14">
        <f t="shared" si="1120"/>
        <v>32</v>
      </c>
      <c r="BP502" s="14">
        <f t="shared" si="1121"/>
        <v>0</v>
      </c>
      <c r="BQ502" s="14">
        <f t="shared" si="1122"/>
        <v>208</v>
      </c>
      <c r="BR502" s="34" t="e">
        <f>HLOOKUP(J502,Villagers!$B$1:$V$33,L502+3,FALSE)-HLOOKUP(J502,Villagers!$B$1:$V$33,L502+2,FALSE)</f>
        <v>#N/A</v>
      </c>
      <c r="BS502" s="49">
        <f t="shared" si="1194"/>
        <v>1</v>
      </c>
      <c r="BT502" s="50">
        <f t="shared" si="1194"/>
        <v>0</v>
      </c>
      <c r="BU502" s="50">
        <f t="shared" si="1194"/>
        <v>0</v>
      </c>
      <c r="BV502" s="50">
        <f t="shared" si="1194"/>
        <v>0</v>
      </c>
      <c r="BW502" s="50">
        <f t="shared" si="1194"/>
        <v>0</v>
      </c>
      <c r="BX502" s="50">
        <f t="shared" si="1194"/>
        <v>0</v>
      </c>
      <c r="BY502" s="50">
        <f t="shared" si="1194"/>
        <v>0</v>
      </c>
      <c r="BZ502" s="50">
        <f t="shared" si="1194"/>
        <v>0</v>
      </c>
      <c r="CA502" s="50">
        <f t="shared" si="1194"/>
        <v>0</v>
      </c>
      <c r="CB502" s="50">
        <f t="shared" si="1194"/>
        <v>1</v>
      </c>
      <c r="CC502" s="50">
        <f t="shared" si="1194"/>
        <v>0</v>
      </c>
      <c r="CD502" s="50">
        <f t="shared" si="1194"/>
        <v>0</v>
      </c>
      <c r="CE502" s="50">
        <f t="shared" si="1194"/>
        <v>1</v>
      </c>
      <c r="CF502" s="50">
        <f t="shared" si="1194"/>
        <v>1</v>
      </c>
      <c r="CG502" s="50">
        <f t="shared" si="1194"/>
        <v>1</v>
      </c>
      <c r="CH502" s="50">
        <f t="shared" si="1194"/>
        <v>1</v>
      </c>
      <c r="CI502" s="50">
        <f t="shared" si="1194"/>
        <v>1</v>
      </c>
      <c r="CJ502" s="50">
        <f t="shared" si="1194"/>
        <v>1</v>
      </c>
      <c r="CK502" s="50">
        <f t="shared" si="1195"/>
        <v>0</v>
      </c>
      <c r="CL502" s="50">
        <f t="shared" si="1196"/>
        <v>0</v>
      </c>
      <c r="CM502" s="51">
        <f t="shared" si="1192"/>
        <v>0</v>
      </c>
      <c r="CN502" s="33">
        <f>ROUND(IF(BS502=0,0,HLOOKUP(BS$14,Villagers!$B$1:$V$33,BS502+3,FALSE)),)</f>
        <v>5</v>
      </c>
      <c r="CO502" s="14">
        <f>ROUND(IF(BT502=0,0,HLOOKUP(BT$14,Villagers!$B$1:$V$33,BT502+3,FALSE)),)</f>
        <v>0</v>
      </c>
      <c r="CP502" s="14">
        <f>ROUND(IF(BU502=0,0,HLOOKUP(BU$14,Villagers!$B$1:$V$33,BU502+3,FALSE)),)</f>
        <v>0</v>
      </c>
      <c r="CQ502" s="14">
        <f>ROUND(IF(BV502=0,0,HLOOKUP(BV$14,Villagers!$B$1:$V$33,BV502+3,FALSE)),)</f>
        <v>0</v>
      </c>
      <c r="CR502" s="14">
        <f>ROUND(IF(BW502=0,0,HLOOKUP(BW$14,Villagers!$B$1:$V$33,BW502+3,FALSE)),)</f>
        <v>0</v>
      </c>
      <c r="CS502" s="14">
        <f>ROUND(IF(BX502=0,0,HLOOKUP(BX$14,Villagers!$B$1:$V$33,BX502+3,FALSE)),)</f>
        <v>0</v>
      </c>
      <c r="CT502" s="14">
        <f>ROUND(IF(BY502=0,0,HLOOKUP(BY$14,Villagers!$B$1:$V$33,BY502+3,FALSE)),)</f>
        <v>0</v>
      </c>
      <c r="CU502" s="14">
        <f>ROUND(IF(BZ502=0,0,HLOOKUP(BZ$14,Villagers!$B$1:$V$33,BZ502+3,FALSE)),)</f>
        <v>0</v>
      </c>
      <c r="CV502" s="14">
        <f>ROUND(IF(CA502=0,0,HLOOKUP(CA$14,Villagers!$B$1:$V$33,CA502+3,FALSE)),)</f>
        <v>0</v>
      </c>
      <c r="CW502" s="14">
        <f>ROUND(IF(CB502=0,0,HLOOKUP(CB$14,Villagers!$B$1:$V$33,CB502+3,FALSE)),)</f>
        <v>0</v>
      </c>
      <c r="CX502" s="14">
        <f>ROUND(IF(CC502=0,0,HLOOKUP(CC$14,Villagers!$B$1:$V$33,CC502+3,FALSE)),)</f>
        <v>0</v>
      </c>
      <c r="CY502" s="14">
        <f>ROUND(IF(CD502=0,0,HLOOKUP(CD$14,Villagers!$B$1:$V$33,CD502+3,FALSE)),)</f>
        <v>0</v>
      </c>
      <c r="CZ502" s="14">
        <f>ROUND(IF(CE502=0,0,HLOOKUP(CE$14,Villagers!$B$1:$V$33,CE502+3,FALSE)),)</f>
        <v>5</v>
      </c>
      <c r="DA502" s="14">
        <f>ROUND(IF(CF502=0,0,HLOOKUP(CF$14,Villagers!$B$1:$V$33,CF502+3,FALSE)),)</f>
        <v>10</v>
      </c>
      <c r="DB502" s="14">
        <f>ROUND(IF(CG502=0,0,HLOOKUP(CG$14,Villagers!$B$1:$V$33,CG502+3,FALSE)),)</f>
        <v>10</v>
      </c>
      <c r="DC502" s="14">
        <f>ROUND(IF(CH502=0,0,HLOOKUP(CH$14,Villagers!$B$1:$V$33,CH502+3,FALSE)),)</f>
        <v>0</v>
      </c>
      <c r="DD502" s="14">
        <f>ROUND(IF(CI502=0,0,HLOOKUP(CI$14,Villagers!$B$1:$V$33,CI502+3,FALSE)),)</f>
        <v>0</v>
      </c>
      <c r="DE502" s="14">
        <f>ROUND(IF(CJ502=0,0,HLOOKUP(CJ$14,Villagers!$B$1:$V$33,CJ502+3,FALSE)),)</f>
        <v>2</v>
      </c>
      <c r="DF502" s="370">
        <f>ROUND(IF(CK502=0,0,HLOOKUP(CK$14,Villagers!$B$1:$V$33,CK502+3,FALSE)),)</f>
        <v>0</v>
      </c>
      <c r="DG502" s="370">
        <f>ROUND(IF(CL502=0,0,HLOOKUP(CL$14,Villagers!$B$1:$V$33,CL502+3,FALSE)),)</f>
        <v>0</v>
      </c>
      <c r="DH502" s="34">
        <f>ROUND(IF(CM502=0,0,HLOOKUP(CM$14,Villagers!$B$1:$V$33,CM502+3,FALSE)),)</f>
        <v>0</v>
      </c>
      <c r="DI502" s="109">
        <f t="shared" si="1144"/>
        <v>0</v>
      </c>
      <c r="DJ502" s="50">
        <f t="shared" si="1145"/>
        <v>0</v>
      </c>
      <c r="DK502" s="50">
        <f t="shared" si="1146"/>
        <v>0</v>
      </c>
      <c r="DL502" s="50">
        <f t="shared" si="1147"/>
        <v>0</v>
      </c>
      <c r="DM502" s="50">
        <f t="shared" si="1148"/>
        <v>0</v>
      </c>
      <c r="DN502" s="50">
        <f t="shared" si="1149"/>
        <v>0</v>
      </c>
      <c r="DO502" s="50">
        <f t="shared" si="1150"/>
        <v>0</v>
      </c>
      <c r="DP502" s="50">
        <f t="shared" si="1151"/>
        <v>0</v>
      </c>
      <c r="DQ502" s="50">
        <f t="shared" si="1128"/>
        <v>0</v>
      </c>
      <c r="DR502" s="50">
        <f t="shared" si="1129"/>
        <v>0</v>
      </c>
      <c r="DS502" s="96">
        <f>Miscelaneous!$D$4*Miscelaneous!$D$2^($CI502-1)</f>
        <v>1000</v>
      </c>
      <c r="DT502" s="333">
        <f t="shared" si="1109"/>
        <v>1</v>
      </c>
      <c r="DU502" s="81">
        <v>1</v>
      </c>
      <c r="DV502" s="79">
        <f t="shared" si="1130"/>
        <v>0</v>
      </c>
      <c r="DW502" s="79">
        <f t="shared" si="1131"/>
        <v>0</v>
      </c>
      <c r="DX502" s="79">
        <f t="shared" si="1132"/>
        <v>0</v>
      </c>
      <c r="DY502" s="79">
        <v>1</v>
      </c>
      <c r="DZ502" s="79">
        <f t="shared" si="1133"/>
        <v>0</v>
      </c>
      <c r="EA502" s="79">
        <f t="shared" si="1134"/>
        <v>0</v>
      </c>
      <c r="EB502" s="79">
        <f t="shared" si="1135"/>
        <v>0</v>
      </c>
      <c r="EC502" s="79">
        <f t="shared" si="1136"/>
        <v>0</v>
      </c>
      <c r="ED502" s="79">
        <v>1</v>
      </c>
      <c r="EE502" s="79">
        <v>1</v>
      </c>
      <c r="EF502" s="79">
        <f t="shared" si="1137"/>
        <v>0</v>
      </c>
      <c r="EG502" s="79">
        <v>1</v>
      </c>
      <c r="EH502" s="79">
        <v>1</v>
      </c>
      <c r="EI502" s="79">
        <v>1</v>
      </c>
      <c r="EJ502" s="79">
        <v>1</v>
      </c>
      <c r="EK502" s="79">
        <v>1</v>
      </c>
      <c r="EL502" s="79">
        <v>1</v>
      </c>
      <c r="EM502" s="143">
        <f t="shared" si="1138"/>
        <v>0</v>
      </c>
      <c r="EN502" s="143">
        <f t="shared" si="1139"/>
        <v>0</v>
      </c>
      <c r="EO502" s="82">
        <f t="shared" si="1140"/>
        <v>0</v>
      </c>
    </row>
    <row r="503" spans="1:145" x14ac:dyDescent="0.25">
      <c r="A503">
        <v>489</v>
      </c>
      <c r="B503" s="172" t="e">
        <f t="shared" si="1110"/>
        <v>#N/A</v>
      </c>
      <c r="C503" s="121" t="e">
        <f t="shared" ref="C503:E503" si="1204">AJ503-SUM(AB503:AB507)</f>
        <v>#N/A</v>
      </c>
      <c r="D503" s="122" t="e">
        <f t="shared" si="1204"/>
        <v>#N/A</v>
      </c>
      <c r="E503" s="122" t="e">
        <f t="shared" si="1204"/>
        <v>#N/A</v>
      </c>
      <c r="F503" s="176" t="e">
        <f t="shared" si="1092"/>
        <v>#N/A</v>
      </c>
      <c r="G503" s="121">
        <f t="shared" si="1112"/>
        <v>208</v>
      </c>
      <c r="H503" s="176" t="e">
        <f t="shared" si="1113"/>
        <v>#N/A</v>
      </c>
      <c r="I503" s="48">
        <v>1</v>
      </c>
      <c r="J503" s="39"/>
      <c r="K503" s="350">
        <v>1</v>
      </c>
      <c r="L503" s="34" t="e">
        <f t="shared" si="1093"/>
        <v>#N/A</v>
      </c>
      <c r="M503" s="38" t="e">
        <f>(HLOOKUP(J503,'Construction Times'!$B$3:$W$34,L503+2,FALSE)*HLOOKUP("hq modifier",'Construction Times'!$W$3:$W$34,BS503+2,FALSE))*(1-$H$9)</f>
        <v>#N/A</v>
      </c>
      <c r="N503" s="426" t="e">
        <f t="shared" si="1114"/>
        <v>#N/A</v>
      </c>
      <c r="O503" s="427"/>
      <c r="P503" s="430" t="e">
        <f t="shared" si="1115"/>
        <v>#N/A</v>
      </c>
      <c r="Q503" s="431"/>
      <c r="R503" s="103">
        <f t="shared" si="1142"/>
        <v>0</v>
      </c>
      <c r="S503" s="104">
        <f t="shared" si="1142"/>
        <v>0</v>
      </c>
      <c r="T503" s="104">
        <f t="shared" si="1143"/>
        <v>0</v>
      </c>
      <c r="U503" s="104">
        <f t="shared" si="1143"/>
        <v>0</v>
      </c>
      <c r="V503" s="104">
        <f t="shared" si="1143"/>
        <v>9.9999999999999995E-8</v>
      </c>
      <c r="W503" s="104">
        <f t="shared" si="1143"/>
        <v>0</v>
      </c>
      <c r="X503" s="104">
        <f t="shared" si="1189"/>
        <v>0</v>
      </c>
      <c r="Y503" s="104">
        <f t="shared" si="1189"/>
        <v>9.9999999999999995E-8</v>
      </c>
      <c r="Z503" s="104">
        <f t="shared" si="1189"/>
        <v>9.9999999999999995E-8</v>
      </c>
      <c r="AA503" s="105">
        <f t="shared" si="1189"/>
        <v>9.9999999999999995E-8</v>
      </c>
      <c r="AB503" s="101" t="e">
        <f>$DT503*HLOOKUP($J503,'Construction Costs (timber)'!$B$1:$V$32,'Construction Planner'!$L503+2,FALSE)</f>
        <v>#N/A</v>
      </c>
      <c r="AC503" s="14" t="e">
        <f>$DT503*HLOOKUP($J503,'Construction Costs (clay)'!$B$1:$V$32,'Construction Planner'!$L503+2,FALSE)</f>
        <v>#N/A</v>
      </c>
      <c r="AD503" s="14" t="e">
        <f>$DT503*HLOOKUP($J503,'Construction Costs (iron)'!$B$1:$V$32,'Construction Planner'!$L503+2,FALSE)</f>
        <v>#N/A</v>
      </c>
      <c r="AE503" s="34" t="e">
        <f t="shared" si="1155"/>
        <v>#N/A</v>
      </c>
      <c r="AF503" s="33" t="e">
        <f t="shared" si="1094"/>
        <v>#N/A</v>
      </c>
      <c r="AG503" s="14" t="e">
        <f t="shared" si="1095"/>
        <v>#N/A</v>
      </c>
      <c r="AH503" s="14" t="e">
        <f t="shared" si="1096"/>
        <v>#N/A</v>
      </c>
      <c r="AI503" s="34" t="e">
        <f t="shared" si="1156"/>
        <v>#N/A</v>
      </c>
      <c r="AJ503" s="49" t="e">
        <f t="shared" si="1116"/>
        <v>#N/A</v>
      </c>
      <c r="AK503" s="49" t="e">
        <f t="shared" si="1117"/>
        <v>#N/A</v>
      </c>
      <c r="AL503" s="49" t="e">
        <f t="shared" si="1118"/>
        <v>#N/A</v>
      </c>
      <c r="AM503" s="25">
        <f t="shared" si="1097"/>
        <v>30</v>
      </c>
      <c r="AN503" s="25">
        <f t="shared" si="1098"/>
        <v>30</v>
      </c>
      <c r="AO503" s="25">
        <f t="shared" si="1099"/>
        <v>30</v>
      </c>
      <c r="AP503" s="52" t="e">
        <f t="shared" si="1119"/>
        <v>#N/A</v>
      </c>
      <c r="AQ503" s="53" t="e">
        <f t="shared" si="1119"/>
        <v>#N/A</v>
      </c>
      <c r="AR503" s="54" t="e">
        <f t="shared" si="1119"/>
        <v>#N/A</v>
      </c>
      <c r="AS503" s="316">
        <f t="shared" si="1201"/>
        <v>0</v>
      </c>
      <c r="AT503" s="106">
        <f>_xlfn.IFNA($M503/VLOOKUP($BT503,'Unit information'!$A$2:$K$29,2,FALSE)*R503,0)*(1+$E$9)</f>
        <v>0</v>
      </c>
      <c r="AU503" s="107">
        <f>_xlfn.IFNA($M503/VLOOKUP($BT503,'Unit information'!$A$2:$K$29,3,FALSE)*S503,0)*(1+$E$9)</f>
        <v>0</v>
      </c>
      <c r="AV503" s="107">
        <f>_xlfn.IFNA($M503/VLOOKUP($BT503,'Unit information'!$A$2:$K$29,4,FALSE)*T503,0)*(1+$E$9)</f>
        <v>0</v>
      </c>
      <c r="AW503" s="107">
        <f>_xlfn.IFNA($M503/VLOOKUP($BT503,'Unit information'!$A$2:$K$29,5,FALSE)*U503,0)*(1+$E$9)</f>
        <v>0</v>
      </c>
      <c r="AX503" s="107">
        <f>_xlfn.IFNA($M503/VLOOKUP($BU503,'Unit information'!$A$2:$K$29,6,FALSE)*V503,0)*(1+$E$9)</f>
        <v>0</v>
      </c>
      <c r="AY503" s="107">
        <f>_xlfn.IFNA($M503/VLOOKUP($BU503,'Unit information'!$A$2:$K$29,7,FALSE)*W503,0)*(1+$E$9)</f>
        <v>0</v>
      </c>
      <c r="AZ503" s="107">
        <f>_xlfn.IFNA($M503/VLOOKUP($BU503,'Unit information'!$A$2:$K$29,8,FALSE)*X503,0)*(1+$E$9)</f>
        <v>0</v>
      </c>
      <c r="BA503" s="107">
        <f>_xlfn.IFNA($M503/VLOOKUP($BU503,'Unit information'!$A$2:$K$29,9,FALSE)*Y503,0)*(1+$E$9)</f>
        <v>0</v>
      </c>
      <c r="BB503" s="107">
        <f>_xlfn.IFNA($M503/VLOOKUP($BV503,'Unit information'!$A$2:$K$29,10,FALSE)*Z503,0)*(1+$E$9)</f>
        <v>0</v>
      </c>
      <c r="BC503" s="108">
        <f>_xlfn.IFNA($M503/VLOOKUP($BV503,'Unit information'!$A$2:$K$29,11,FALSE)*AA503,0)*(1+$E$9)</f>
        <v>0</v>
      </c>
      <c r="BD503" s="106">
        <f t="shared" si="1100"/>
        <v>0</v>
      </c>
      <c r="BE503" s="107">
        <f t="shared" si="1101"/>
        <v>0</v>
      </c>
      <c r="BF503" s="108">
        <f t="shared" si="1102"/>
        <v>0</v>
      </c>
      <c r="BG503" s="25" t="e">
        <f t="shared" si="1103"/>
        <v>#N/A</v>
      </c>
      <c r="BH503" s="25" t="e">
        <f t="shared" si="1104"/>
        <v>#N/A</v>
      </c>
      <c r="BI503" s="25" t="e">
        <f t="shared" si="1105"/>
        <v>#N/A</v>
      </c>
      <c r="BJ503" s="27" t="e">
        <f t="shared" si="1106"/>
        <v>#N/A</v>
      </c>
      <c r="BK503" s="18" t="e">
        <f t="shared" si="1107"/>
        <v>#N/A</v>
      </c>
      <c r="BL503" s="18" t="e">
        <f t="shared" si="1108"/>
        <v>#N/A</v>
      </c>
      <c r="BM503" s="28" t="e">
        <f t="shared" si="1158"/>
        <v>#N/A</v>
      </c>
      <c r="BN503" s="33">
        <f>HLOOKUP("maximum population",Miscelaneous!$C$1:$C$33,CH503+3,FALSE)</f>
        <v>240</v>
      </c>
      <c r="BO503" s="14">
        <f t="shared" si="1120"/>
        <v>32</v>
      </c>
      <c r="BP503" s="14">
        <f t="shared" si="1121"/>
        <v>0</v>
      </c>
      <c r="BQ503" s="14">
        <f t="shared" si="1122"/>
        <v>208</v>
      </c>
      <c r="BR503" s="34" t="e">
        <f>HLOOKUP(J503,Villagers!$B$1:$V$33,L503+3,FALSE)-HLOOKUP(J503,Villagers!$B$1:$V$33,L503+2,FALSE)</f>
        <v>#N/A</v>
      </c>
      <c r="BS503" s="49">
        <f t="shared" si="1194"/>
        <v>1</v>
      </c>
      <c r="BT503" s="50">
        <f t="shared" si="1194"/>
        <v>0</v>
      </c>
      <c r="BU503" s="50">
        <f t="shared" si="1194"/>
        <v>0</v>
      </c>
      <c r="BV503" s="50">
        <f t="shared" si="1194"/>
        <v>0</v>
      </c>
      <c r="BW503" s="50">
        <f t="shared" si="1194"/>
        <v>0</v>
      </c>
      <c r="BX503" s="50">
        <f t="shared" si="1194"/>
        <v>0</v>
      </c>
      <c r="BY503" s="50">
        <f t="shared" si="1194"/>
        <v>0</v>
      </c>
      <c r="BZ503" s="50">
        <f t="shared" si="1194"/>
        <v>0</v>
      </c>
      <c r="CA503" s="50">
        <f t="shared" si="1194"/>
        <v>0</v>
      </c>
      <c r="CB503" s="50">
        <f t="shared" si="1194"/>
        <v>1</v>
      </c>
      <c r="CC503" s="50">
        <f t="shared" si="1194"/>
        <v>0</v>
      </c>
      <c r="CD503" s="50">
        <f t="shared" si="1194"/>
        <v>0</v>
      </c>
      <c r="CE503" s="50">
        <f t="shared" si="1194"/>
        <v>1</v>
      </c>
      <c r="CF503" s="50">
        <f t="shared" si="1194"/>
        <v>1</v>
      </c>
      <c r="CG503" s="50">
        <f t="shared" si="1194"/>
        <v>1</v>
      </c>
      <c r="CH503" s="50">
        <f t="shared" si="1194"/>
        <v>1</v>
      </c>
      <c r="CI503" s="50">
        <f t="shared" si="1194"/>
        <v>1</v>
      </c>
      <c r="CJ503" s="50">
        <f t="shared" si="1194"/>
        <v>1</v>
      </c>
      <c r="CK503" s="50">
        <f t="shared" si="1195"/>
        <v>0</v>
      </c>
      <c r="CL503" s="50">
        <f t="shared" si="1196"/>
        <v>0</v>
      </c>
      <c r="CM503" s="51">
        <f t="shared" si="1192"/>
        <v>0</v>
      </c>
      <c r="CN503" s="33">
        <f>ROUND(IF(BS503=0,0,HLOOKUP(BS$14,Villagers!$B$1:$V$33,BS503+3,FALSE)),)</f>
        <v>5</v>
      </c>
      <c r="CO503" s="14">
        <f>ROUND(IF(BT503=0,0,HLOOKUP(BT$14,Villagers!$B$1:$V$33,BT503+3,FALSE)),)</f>
        <v>0</v>
      </c>
      <c r="CP503" s="14">
        <f>ROUND(IF(BU503=0,0,HLOOKUP(BU$14,Villagers!$B$1:$V$33,BU503+3,FALSE)),)</f>
        <v>0</v>
      </c>
      <c r="CQ503" s="14">
        <f>ROUND(IF(BV503=0,0,HLOOKUP(BV$14,Villagers!$B$1:$V$33,BV503+3,FALSE)),)</f>
        <v>0</v>
      </c>
      <c r="CR503" s="14">
        <f>ROUND(IF(BW503=0,0,HLOOKUP(BW$14,Villagers!$B$1:$V$33,BW503+3,FALSE)),)</f>
        <v>0</v>
      </c>
      <c r="CS503" s="14">
        <f>ROUND(IF(BX503=0,0,HLOOKUP(BX$14,Villagers!$B$1:$V$33,BX503+3,FALSE)),)</f>
        <v>0</v>
      </c>
      <c r="CT503" s="14">
        <f>ROUND(IF(BY503=0,0,HLOOKUP(BY$14,Villagers!$B$1:$V$33,BY503+3,FALSE)),)</f>
        <v>0</v>
      </c>
      <c r="CU503" s="14">
        <f>ROUND(IF(BZ503=0,0,HLOOKUP(BZ$14,Villagers!$B$1:$V$33,BZ503+3,FALSE)),)</f>
        <v>0</v>
      </c>
      <c r="CV503" s="14">
        <f>ROUND(IF(CA503=0,0,HLOOKUP(CA$14,Villagers!$B$1:$V$33,CA503+3,FALSE)),)</f>
        <v>0</v>
      </c>
      <c r="CW503" s="14">
        <f>ROUND(IF(CB503=0,0,HLOOKUP(CB$14,Villagers!$B$1:$V$33,CB503+3,FALSE)),)</f>
        <v>0</v>
      </c>
      <c r="CX503" s="14">
        <f>ROUND(IF(CC503=0,0,HLOOKUP(CC$14,Villagers!$B$1:$V$33,CC503+3,FALSE)),)</f>
        <v>0</v>
      </c>
      <c r="CY503" s="14">
        <f>ROUND(IF(CD503=0,0,HLOOKUP(CD$14,Villagers!$B$1:$V$33,CD503+3,FALSE)),)</f>
        <v>0</v>
      </c>
      <c r="CZ503" s="14">
        <f>ROUND(IF(CE503=0,0,HLOOKUP(CE$14,Villagers!$B$1:$V$33,CE503+3,FALSE)),)</f>
        <v>5</v>
      </c>
      <c r="DA503" s="14">
        <f>ROUND(IF(CF503=0,0,HLOOKUP(CF$14,Villagers!$B$1:$V$33,CF503+3,FALSE)),)</f>
        <v>10</v>
      </c>
      <c r="DB503" s="14">
        <f>ROUND(IF(CG503=0,0,HLOOKUP(CG$14,Villagers!$B$1:$V$33,CG503+3,FALSE)),)</f>
        <v>10</v>
      </c>
      <c r="DC503" s="14">
        <f>ROUND(IF(CH503=0,0,HLOOKUP(CH$14,Villagers!$B$1:$V$33,CH503+3,FALSE)),)</f>
        <v>0</v>
      </c>
      <c r="DD503" s="14">
        <f>ROUND(IF(CI503=0,0,HLOOKUP(CI$14,Villagers!$B$1:$V$33,CI503+3,FALSE)),)</f>
        <v>0</v>
      </c>
      <c r="DE503" s="14">
        <f>ROUND(IF(CJ503=0,0,HLOOKUP(CJ$14,Villagers!$B$1:$V$33,CJ503+3,FALSE)),)</f>
        <v>2</v>
      </c>
      <c r="DF503" s="370">
        <f>ROUND(IF(CK503=0,0,HLOOKUP(CK$14,Villagers!$B$1:$V$33,CK503+3,FALSE)),)</f>
        <v>0</v>
      </c>
      <c r="DG503" s="370">
        <f>ROUND(IF(CL503=0,0,HLOOKUP(CL$14,Villagers!$B$1:$V$33,CL503+3,FALSE)),)</f>
        <v>0</v>
      </c>
      <c r="DH503" s="34">
        <f>ROUND(IF(CM503=0,0,HLOOKUP(CM$14,Villagers!$B$1:$V$33,CM503+3,FALSE)),)</f>
        <v>0</v>
      </c>
      <c r="DI503" s="109">
        <f t="shared" si="1144"/>
        <v>0</v>
      </c>
      <c r="DJ503" s="50">
        <f t="shared" si="1145"/>
        <v>0</v>
      </c>
      <c r="DK503" s="50">
        <f t="shared" si="1146"/>
        <v>0</v>
      </c>
      <c r="DL503" s="50">
        <f t="shared" si="1147"/>
        <v>0</v>
      </c>
      <c r="DM503" s="50">
        <f t="shared" si="1148"/>
        <v>0</v>
      </c>
      <c r="DN503" s="50">
        <f t="shared" si="1149"/>
        <v>0</v>
      </c>
      <c r="DO503" s="50">
        <f t="shared" si="1150"/>
        <v>0</v>
      </c>
      <c r="DP503" s="50">
        <f t="shared" si="1151"/>
        <v>0</v>
      </c>
      <c r="DQ503" s="50">
        <f t="shared" si="1128"/>
        <v>0</v>
      </c>
      <c r="DR503" s="50">
        <f t="shared" si="1129"/>
        <v>0</v>
      </c>
      <c r="DS503" s="96">
        <f>Miscelaneous!$D$4*Miscelaneous!$D$2^($CI503-1)</f>
        <v>1000</v>
      </c>
      <c r="DT503" s="333">
        <f t="shared" si="1109"/>
        <v>1</v>
      </c>
      <c r="DU503" s="81">
        <v>1</v>
      </c>
      <c r="DV503" s="79">
        <f t="shared" si="1130"/>
        <v>0</v>
      </c>
      <c r="DW503" s="79">
        <f t="shared" si="1131"/>
        <v>0</v>
      </c>
      <c r="DX503" s="79">
        <f t="shared" si="1132"/>
        <v>0</v>
      </c>
      <c r="DY503" s="79">
        <v>1</v>
      </c>
      <c r="DZ503" s="79">
        <f t="shared" si="1133"/>
        <v>0</v>
      </c>
      <c r="EA503" s="79">
        <f t="shared" si="1134"/>
        <v>0</v>
      </c>
      <c r="EB503" s="79">
        <f t="shared" si="1135"/>
        <v>0</v>
      </c>
      <c r="EC503" s="79">
        <f t="shared" si="1136"/>
        <v>0</v>
      </c>
      <c r="ED503" s="79">
        <v>1</v>
      </c>
      <c r="EE503" s="79">
        <v>1</v>
      </c>
      <c r="EF503" s="79">
        <f t="shared" si="1137"/>
        <v>0</v>
      </c>
      <c r="EG503" s="79">
        <v>1</v>
      </c>
      <c r="EH503" s="79">
        <v>1</v>
      </c>
      <c r="EI503" s="79">
        <v>1</v>
      </c>
      <c r="EJ503" s="79">
        <v>1</v>
      </c>
      <c r="EK503" s="79">
        <v>1</v>
      </c>
      <c r="EL503" s="79">
        <v>1</v>
      </c>
      <c r="EM503" s="143">
        <f t="shared" si="1138"/>
        <v>0</v>
      </c>
      <c r="EN503" s="143">
        <f t="shared" si="1139"/>
        <v>0</v>
      </c>
      <c r="EO503" s="82">
        <f t="shared" si="1140"/>
        <v>0</v>
      </c>
    </row>
    <row r="504" spans="1:145" x14ac:dyDescent="0.25">
      <c r="A504">
        <v>490</v>
      </c>
      <c r="B504" s="172" t="e">
        <f t="shared" si="1110"/>
        <v>#N/A</v>
      </c>
      <c r="C504" s="121" t="e">
        <f t="shared" ref="C504:E504" si="1205">AJ504-SUM(AB504:AB508)</f>
        <v>#N/A</v>
      </c>
      <c r="D504" s="122" t="e">
        <f t="shared" si="1205"/>
        <v>#N/A</v>
      </c>
      <c r="E504" s="122" t="e">
        <f t="shared" si="1205"/>
        <v>#N/A</v>
      </c>
      <c r="F504" s="176" t="e">
        <f t="shared" si="1092"/>
        <v>#N/A</v>
      </c>
      <c r="G504" s="121">
        <f t="shared" si="1112"/>
        <v>208</v>
      </c>
      <c r="H504" s="176" t="e">
        <f t="shared" si="1113"/>
        <v>#N/A</v>
      </c>
      <c r="I504" s="48">
        <v>1</v>
      </c>
      <c r="J504" s="39"/>
      <c r="K504" s="350">
        <v>1</v>
      </c>
      <c r="L504" s="34" t="e">
        <f t="shared" si="1093"/>
        <v>#N/A</v>
      </c>
      <c r="M504" s="38" t="e">
        <f>(HLOOKUP(J504,'Construction Times'!$B$3:$W$34,L504+2,FALSE)*HLOOKUP("hq modifier",'Construction Times'!$W$3:$W$34,BS504+2,FALSE))*(1-$H$9)</f>
        <v>#N/A</v>
      </c>
      <c r="N504" s="426" t="e">
        <f t="shared" si="1114"/>
        <v>#N/A</v>
      </c>
      <c r="O504" s="427"/>
      <c r="P504" s="430" t="e">
        <f t="shared" si="1115"/>
        <v>#N/A</v>
      </c>
      <c r="Q504" s="431"/>
      <c r="R504" s="103">
        <f t="shared" si="1142"/>
        <v>0</v>
      </c>
      <c r="S504" s="104">
        <f t="shared" si="1142"/>
        <v>0</v>
      </c>
      <c r="T504" s="104">
        <f t="shared" si="1143"/>
        <v>0</v>
      </c>
      <c r="U504" s="104">
        <f t="shared" si="1143"/>
        <v>0</v>
      </c>
      <c r="V504" s="104">
        <f t="shared" si="1143"/>
        <v>9.9999999999999995E-8</v>
      </c>
      <c r="W504" s="104">
        <f t="shared" si="1143"/>
        <v>0</v>
      </c>
      <c r="X504" s="104">
        <f t="shared" si="1189"/>
        <v>0</v>
      </c>
      <c r="Y504" s="104">
        <f t="shared" si="1189"/>
        <v>9.9999999999999995E-8</v>
      </c>
      <c r="Z504" s="104">
        <f t="shared" si="1189"/>
        <v>9.9999999999999995E-8</v>
      </c>
      <c r="AA504" s="105">
        <f t="shared" si="1189"/>
        <v>9.9999999999999995E-8</v>
      </c>
      <c r="AB504" s="101" t="e">
        <f>$DT504*HLOOKUP($J504,'Construction Costs (timber)'!$B$1:$V$32,'Construction Planner'!$L504+2,FALSE)</f>
        <v>#N/A</v>
      </c>
      <c r="AC504" s="14" t="e">
        <f>$DT504*HLOOKUP($J504,'Construction Costs (clay)'!$B$1:$V$32,'Construction Planner'!$L504+2,FALSE)</f>
        <v>#N/A</v>
      </c>
      <c r="AD504" s="14" t="e">
        <f>$DT504*HLOOKUP($J504,'Construction Costs (iron)'!$B$1:$V$32,'Construction Planner'!$L504+2,FALSE)</f>
        <v>#N/A</v>
      </c>
      <c r="AE504" s="34" t="e">
        <f t="shared" si="1155"/>
        <v>#N/A</v>
      </c>
      <c r="AF504" s="33" t="e">
        <f t="shared" si="1094"/>
        <v>#N/A</v>
      </c>
      <c r="AG504" s="14" t="e">
        <f t="shared" si="1095"/>
        <v>#N/A</v>
      </c>
      <c r="AH504" s="14" t="e">
        <f t="shared" si="1096"/>
        <v>#N/A</v>
      </c>
      <c r="AI504" s="34" t="e">
        <f t="shared" si="1156"/>
        <v>#N/A</v>
      </c>
      <c r="AJ504" s="49" t="e">
        <f t="shared" si="1116"/>
        <v>#N/A</v>
      </c>
      <c r="AK504" s="49" t="e">
        <f t="shared" si="1117"/>
        <v>#N/A</v>
      </c>
      <c r="AL504" s="49" t="e">
        <f t="shared" si="1118"/>
        <v>#N/A</v>
      </c>
      <c r="AM504" s="25">
        <f t="shared" si="1097"/>
        <v>30</v>
      </c>
      <c r="AN504" s="25">
        <f t="shared" si="1098"/>
        <v>30</v>
      </c>
      <c r="AO504" s="25">
        <f t="shared" si="1099"/>
        <v>30</v>
      </c>
      <c r="AP504" s="52" t="e">
        <f t="shared" si="1119"/>
        <v>#N/A</v>
      </c>
      <c r="AQ504" s="53" t="e">
        <f t="shared" si="1119"/>
        <v>#N/A</v>
      </c>
      <c r="AR504" s="54" t="e">
        <f t="shared" si="1119"/>
        <v>#N/A</v>
      </c>
      <c r="AS504" s="316">
        <f t="shared" si="1201"/>
        <v>0</v>
      </c>
      <c r="AT504" s="106">
        <f>_xlfn.IFNA($M504/VLOOKUP($BT504,'Unit information'!$A$2:$K$29,2,FALSE)*R504,0)*(1+$E$9)</f>
        <v>0</v>
      </c>
      <c r="AU504" s="107">
        <f>_xlfn.IFNA($M504/VLOOKUP($BT504,'Unit information'!$A$2:$K$29,3,FALSE)*S504,0)*(1+$E$9)</f>
        <v>0</v>
      </c>
      <c r="AV504" s="107">
        <f>_xlfn.IFNA($M504/VLOOKUP($BT504,'Unit information'!$A$2:$K$29,4,FALSE)*T504,0)*(1+$E$9)</f>
        <v>0</v>
      </c>
      <c r="AW504" s="107">
        <f>_xlfn.IFNA($M504/VLOOKUP($BT504,'Unit information'!$A$2:$K$29,5,FALSE)*U504,0)*(1+$E$9)</f>
        <v>0</v>
      </c>
      <c r="AX504" s="107">
        <f>_xlfn.IFNA($M504/VLOOKUP($BU504,'Unit information'!$A$2:$K$29,6,FALSE)*V504,0)*(1+$E$9)</f>
        <v>0</v>
      </c>
      <c r="AY504" s="107">
        <f>_xlfn.IFNA($M504/VLOOKUP($BU504,'Unit information'!$A$2:$K$29,7,FALSE)*W504,0)*(1+$E$9)</f>
        <v>0</v>
      </c>
      <c r="AZ504" s="107">
        <f>_xlfn.IFNA($M504/VLOOKUP($BU504,'Unit information'!$A$2:$K$29,8,FALSE)*X504,0)*(1+$E$9)</f>
        <v>0</v>
      </c>
      <c r="BA504" s="107">
        <f>_xlfn.IFNA($M504/VLOOKUP($BU504,'Unit information'!$A$2:$K$29,9,FALSE)*Y504,0)*(1+$E$9)</f>
        <v>0</v>
      </c>
      <c r="BB504" s="107">
        <f>_xlfn.IFNA($M504/VLOOKUP($BV504,'Unit information'!$A$2:$K$29,10,FALSE)*Z504,0)*(1+$E$9)</f>
        <v>0</v>
      </c>
      <c r="BC504" s="108">
        <f>_xlfn.IFNA($M504/VLOOKUP($BV504,'Unit information'!$A$2:$K$29,11,FALSE)*AA504,0)*(1+$E$9)</f>
        <v>0</v>
      </c>
      <c r="BD504" s="106">
        <f t="shared" si="1100"/>
        <v>0</v>
      </c>
      <c r="BE504" s="107">
        <f t="shared" si="1101"/>
        <v>0</v>
      </c>
      <c r="BF504" s="108">
        <f t="shared" si="1102"/>
        <v>0</v>
      </c>
      <c r="BG504" s="25" t="e">
        <f t="shared" si="1103"/>
        <v>#N/A</v>
      </c>
      <c r="BH504" s="25" t="e">
        <f t="shared" si="1104"/>
        <v>#N/A</v>
      </c>
      <c r="BI504" s="25" t="e">
        <f t="shared" si="1105"/>
        <v>#N/A</v>
      </c>
      <c r="BJ504" s="27" t="e">
        <f t="shared" si="1106"/>
        <v>#N/A</v>
      </c>
      <c r="BK504" s="18" t="e">
        <f t="shared" si="1107"/>
        <v>#N/A</v>
      </c>
      <c r="BL504" s="18" t="e">
        <f t="shared" si="1108"/>
        <v>#N/A</v>
      </c>
      <c r="BM504" s="28" t="e">
        <f t="shared" si="1158"/>
        <v>#N/A</v>
      </c>
      <c r="BN504" s="33">
        <f>HLOOKUP("maximum population",Miscelaneous!$C$1:$C$33,CH504+3,FALSE)</f>
        <v>240</v>
      </c>
      <c r="BO504" s="14">
        <f t="shared" si="1120"/>
        <v>32</v>
      </c>
      <c r="BP504" s="14">
        <f t="shared" si="1121"/>
        <v>0</v>
      </c>
      <c r="BQ504" s="14">
        <f t="shared" si="1122"/>
        <v>208</v>
      </c>
      <c r="BR504" s="34" t="e">
        <f>HLOOKUP(J504,Villagers!$B$1:$V$33,L504+3,FALSE)-HLOOKUP(J504,Villagers!$B$1:$V$33,L504+2,FALSE)</f>
        <v>#N/A</v>
      </c>
      <c r="BS504" s="49">
        <f t="shared" si="1194"/>
        <v>1</v>
      </c>
      <c r="BT504" s="50">
        <f t="shared" si="1194"/>
        <v>0</v>
      </c>
      <c r="BU504" s="50">
        <f t="shared" si="1194"/>
        <v>0</v>
      </c>
      <c r="BV504" s="50">
        <f t="shared" si="1194"/>
        <v>0</v>
      </c>
      <c r="BW504" s="50">
        <f t="shared" si="1194"/>
        <v>0</v>
      </c>
      <c r="BX504" s="50">
        <f t="shared" si="1194"/>
        <v>0</v>
      </c>
      <c r="BY504" s="50">
        <f t="shared" si="1194"/>
        <v>0</v>
      </c>
      <c r="BZ504" s="50">
        <f t="shared" si="1194"/>
        <v>0</v>
      </c>
      <c r="CA504" s="50">
        <f t="shared" si="1194"/>
        <v>0</v>
      </c>
      <c r="CB504" s="50">
        <f t="shared" si="1194"/>
        <v>1</v>
      </c>
      <c r="CC504" s="50">
        <f t="shared" si="1194"/>
        <v>0</v>
      </c>
      <c r="CD504" s="50">
        <f t="shared" si="1194"/>
        <v>0</v>
      </c>
      <c r="CE504" s="50">
        <f t="shared" si="1194"/>
        <v>1</v>
      </c>
      <c r="CF504" s="50">
        <f t="shared" si="1194"/>
        <v>1</v>
      </c>
      <c r="CG504" s="50">
        <f t="shared" si="1194"/>
        <v>1</v>
      </c>
      <c r="CH504" s="50">
        <f t="shared" si="1194"/>
        <v>1</v>
      </c>
      <c r="CI504" s="50">
        <f t="shared" si="1194"/>
        <v>1</v>
      </c>
      <c r="CJ504" s="50">
        <f t="shared" si="1194"/>
        <v>1</v>
      </c>
      <c r="CK504" s="50">
        <f t="shared" si="1195"/>
        <v>0</v>
      </c>
      <c r="CL504" s="50">
        <f t="shared" si="1196"/>
        <v>0</v>
      </c>
      <c r="CM504" s="51">
        <f t="shared" si="1192"/>
        <v>0</v>
      </c>
      <c r="CN504" s="33">
        <f>ROUND(IF(BS504=0,0,HLOOKUP(BS$14,Villagers!$B$1:$V$33,BS504+3,FALSE)),)</f>
        <v>5</v>
      </c>
      <c r="CO504" s="14">
        <f>ROUND(IF(BT504=0,0,HLOOKUP(BT$14,Villagers!$B$1:$V$33,BT504+3,FALSE)),)</f>
        <v>0</v>
      </c>
      <c r="CP504" s="14">
        <f>ROUND(IF(BU504=0,0,HLOOKUP(BU$14,Villagers!$B$1:$V$33,BU504+3,FALSE)),)</f>
        <v>0</v>
      </c>
      <c r="CQ504" s="14">
        <f>ROUND(IF(BV504=0,0,HLOOKUP(BV$14,Villagers!$B$1:$V$33,BV504+3,FALSE)),)</f>
        <v>0</v>
      </c>
      <c r="CR504" s="14">
        <f>ROUND(IF(BW504=0,0,HLOOKUP(BW$14,Villagers!$B$1:$V$33,BW504+3,FALSE)),)</f>
        <v>0</v>
      </c>
      <c r="CS504" s="14">
        <f>ROUND(IF(BX504=0,0,HLOOKUP(BX$14,Villagers!$B$1:$V$33,BX504+3,FALSE)),)</f>
        <v>0</v>
      </c>
      <c r="CT504" s="14">
        <f>ROUND(IF(BY504=0,0,HLOOKUP(BY$14,Villagers!$B$1:$V$33,BY504+3,FALSE)),)</f>
        <v>0</v>
      </c>
      <c r="CU504" s="14">
        <f>ROUND(IF(BZ504=0,0,HLOOKUP(BZ$14,Villagers!$B$1:$V$33,BZ504+3,FALSE)),)</f>
        <v>0</v>
      </c>
      <c r="CV504" s="14">
        <f>ROUND(IF(CA504=0,0,HLOOKUP(CA$14,Villagers!$B$1:$V$33,CA504+3,FALSE)),)</f>
        <v>0</v>
      </c>
      <c r="CW504" s="14">
        <f>ROUND(IF(CB504=0,0,HLOOKUP(CB$14,Villagers!$B$1:$V$33,CB504+3,FALSE)),)</f>
        <v>0</v>
      </c>
      <c r="CX504" s="14">
        <f>ROUND(IF(CC504=0,0,HLOOKUP(CC$14,Villagers!$B$1:$V$33,CC504+3,FALSE)),)</f>
        <v>0</v>
      </c>
      <c r="CY504" s="14">
        <f>ROUND(IF(CD504=0,0,HLOOKUP(CD$14,Villagers!$B$1:$V$33,CD504+3,FALSE)),)</f>
        <v>0</v>
      </c>
      <c r="CZ504" s="14">
        <f>ROUND(IF(CE504=0,0,HLOOKUP(CE$14,Villagers!$B$1:$V$33,CE504+3,FALSE)),)</f>
        <v>5</v>
      </c>
      <c r="DA504" s="14">
        <f>ROUND(IF(CF504=0,0,HLOOKUP(CF$14,Villagers!$B$1:$V$33,CF504+3,FALSE)),)</f>
        <v>10</v>
      </c>
      <c r="DB504" s="14">
        <f>ROUND(IF(CG504=0,0,HLOOKUP(CG$14,Villagers!$B$1:$V$33,CG504+3,FALSE)),)</f>
        <v>10</v>
      </c>
      <c r="DC504" s="14">
        <f>ROUND(IF(CH504=0,0,HLOOKUP(CH$14,Villagers!$B$1:$V$33,CH504+3,FALSE)),)</f>
        <v>0</v>
      </c>
      <c r="DD504" s="14">
        <f>ROUND(IF(CI504=0,0,HLOOKUP(CI$14,Villagers!$B$1:$V$33,CI504+3,FALSE)),)</f>
        <v>0</v>
      </c>
      <c r="DE504" s="14">
        <f>ROUND(IF(CJ504=0,0,HLOOKUP(CJ$14,Villagers!$B$1:$V$33,CJ504+3,FALSE)),)</f>
        <v>2</v>
      </c>
      <c r="DF504" s="370">
        <f>ROUND(IF(CK504=0,0,HLOOKUP(CK$14,Villagers!$B$1:$V$33,CK504+3,FALSE)),)</f>
        <v>0</v>
      </c>
      <c r="DG504" s="370">
        <f>ROUND(IF(CL504=0,0,HLOOKUP(CL$14,Villagers!$B$1:$V$33,CL504+3,FALSE)),)</f>
        <v>0</v>
      </c>
      <c r="DH504" s="34">
        <f>ROUND(IF(CM504=0,0,HLOOKUP(CM$14,Villagers!$B$1:$V$33,CM504+3,FALSE)),)</f>
        <v>0</v>
      </c>
      <c r="DI504" s="109">
        <f t="shared" si="1144"/>
        <v>0</v>
      </c>
      <c r="DJ504" s="50">
        <f t="shared" si="1145"/>
        <v>0</v>
      </c>
      <c r="DK504" s="50">
        <f t="shared" si="1146"/>
        <v>0</v>
      </c>
      <c r="DL504" s="50">
        <f t="shared" si="1147"/>
        <v>0</v>
      </c>
      <c r="DM504" s="50">
        <f t="shared" si="1148"/>
        <v>0</v>
      </c>
      <c r="DN504" s="50">
        <f t="shared" si="1149"/>
        <v>0</v>
      </c>
      <c r="DO504" s="50">
        <f t="shared" si="1150"/>
        <v>0</v>
      </c>
      <c r="DP504" s="50">
        <f t="shared" si="1151"/>
        <v>0</v>
      </c>
      <c r="DQ504" s="50">
        <f t="shared" si="1128"/>
        <v>0</v>
      </c>
      <c r="DR504" s="50">
        <f t="shared" si="1129"/>
        <v>0</v>
      </c>
      <c r="DS504" s="96">
        <f>Miscelaneous!$D$4*Miscelaneous!$D$2^($CI504-1)</f>
        <v>1000</v>
      </c>
      <c r="DT504" s="333">
        <f t="shared" si="1109"/>
        <v>1</v>
      </c>
      <c r="DU504" s="81">
        <v>1</v>
      </c>
      <c r="DV504" s="79">
        <f t="shared" si="1130"/>
        <v>0</v>
      </c>
      <c r="DW504" s="79">
        <f t="shared" si="1131"/>
        <v>0</v>
      </c>
      <c r="DX504" s="79">
        <f t="shared" si="1132"/>
        <v>0</v>
      </c>
      <c r="DY504" s="79">
        <v>1</v>
      </c>
      <c r="DZ504" s="79">
        <f t="shared" si="1133"/>
        <v>0</v>
      </c>
      <c r="EA504" s="79">
        <f t="shared" si="1134"/>
        <v>0</v>
      </c>
      <c r="EB504" s="79">
        <f t="shared" si="1135"/>
        <v>0</v>
      </c>
      <c r="EC504" s="79">
        <f t="shared" si="1136"/>
        <v>0</v>
      </c>
      <c r="ED504" s="79">
        <v>1</v>
      </c>
      <c r="EE504" s="79">
        <v>1</v>
      </c>
      <c r="EF504" s="79">
        <f t="shared" si="1137"/>
        <v>0</v>
      </c>
      <c r="EG504" s="79">
        <v>1</v>
      </c>
      <c r="EH504" s="79">
        <v>1</v>
      </c>
      <c r="EI504" s="79">
        <v>1</v>
      </c>
      <c r="EJ504" s="79">
        <v>1</v>
      </c>
      <c r="EK504" s="79">
        <v>1</v>
      </c>
      <c r="EL504" s="79">
        <v>1</v>
      </c>
      <c r="EM504" s="143">
        <f t="shared" si="1138"/>
        <v>0</v>
      </c>
      <c r="EN504" s="143">
        <f t="shared" si="1139"/>
        <v>0</v>
      </c>
      <c r="EO504" s="82">
        <f t="shared" si="1140"/>
        <v>0</v>
      </c>
    </row>
    <row r="505" spans="1:145" x14ac:dyDescent="0.25">
      <c r="A505">
        <v>491</v>
      </c>
      <c r="B505" s="172" t="e">
        <f t="shared" si="1110"/>
        <v>#N/A</v>
      </c>
      <c r="C505" s="121" t="e">
        <f t="shared" ref="C505:E505" si="1206">AJ505-SUM(AB505:AB509)</f>
        <v>#N/A</v>
      </c>
      <c r="D505" s="122" t="e">
        <f t="shared" si="1206"/>
        <v>#N/A</v>
      </c>
      <c r="E505" s="122" t="e">
        <f t="shared" si="1206"/>
        <v>#N/A</v>
      </c>
      <c r="F505" s="176" t="e">
        <f t="shared" si="1092"/>
        <v>#N/A</v>
      </c>
      <c r="G505" s="121">
        <f t="shared" si="1112"/>
        <v>208</v>
      </c>
      <c r="H505" s="176" t="e">
        <f t="shared" si="1113"/>
        <v>#N/A</v>
      </c>
      <c r="I505" s="48">
        <v>1</v>
      </c>
      <c r="J505" s="39"/>
      <c r="K505" s="350">
        <v>1</v>
      </c>
      <c r="L505" s="34" t="e">
        <f t="shared" si="1093"/>
        <v>#N/A</v>
      </c>
      <c r="M505" s="38" t="e">
        <f>(HLOOKUP(J505,'Construction Times'!$B$3:$W$34,L505+2,FALSE)*HLOOKUP("hq modifier",'Construction Times'!$W$3:$W$34,BS505+2,FALSE))*(1-$H$9)</f>
        <v>#N/A</v>
      </c>
      <c r="N505" s="426" t="e">
        <f t="shared" si="1114"/>
        <v>#N/A</v>
      </c>
      <c r="O505" s="427"/>
      <c r="P505" s="430" t="e">
        <f t="shared" si="1115"/>
        <v>#N/A</v>
      </c>
      <c r="Q505" s="431"/>
      <c r="R505" s="103">
        <f t="shared" si="1142"/>
        <v>0</v>
      </c>
      <c r="S505" s="104">
        <f t="shared" si="1142"/>
        <v>0</v>
      </c>
      <c r="T505" s="104">
        <f t="shared" si="1143"/>
        <v>0</v>
      </c>
      <c r="U505" s="104">
        <f t="shared" si="1143"/>
        <v>0</v>
      </c>
      <c r="V505" s="104">
        <f t="shared" si="1143"/>
        <v>9.9999999999999995E-8</v>
      </c>
      <c r="W505" s="104">
        <f t="shared" si="1143"/>
        <v>0</v>
      </c>
      <c r="X505" s="104">
        <f t="shared" si="1189"/>
        <v>0</v>
      </c>
      <c r="Y505" s="104">
        <f t="shared" si="1189"/>
        <v>9.9999999999999995E-8</v>
      </c>
      <c r="Z505" s="104">
        <f t="shared" si="1189"/>
        <v>9.9999999999999995E-8</v>
      </c>
      <c r="AA505" s="105">
        <f t="shared" si="1189"/>
        <v>9.9999999999999995E-8</v>
      </c>
      <c r="AB505" s="101" t="e">
        <f>$DT505*HLOOKUP($J505,'Construction Costs (timber)'!$B$1:$V$32,'Construction Planner'!$L505+2,FALSE)</f>
        <v>#N/A</v>
      </c>
      <c r="AC505" s="14" t="e">
        <f>$DT505*HLOOKUP($J505,'Construction Costs (clay)'!$B$1:$V$32,'Construction Planner'!$L505+2,FALSE)</f>
        <v>#N/A</v>
      </c>
      <c r="AD505" s="14" t="e">
        <f>$DT505*HLOOKUP($J505,'Construction Costs (iron)'!$B$1:$V$32,'Construction Planner'!$L505+2,FALSE)</f>
        <v>#N/A</v>
      </c>
      <c r="AE505" s="34" t="e">
        <f t="shared" si="1155"/>
        <v>#N/A</v>
      </c>
      <c r="AF505" s="33" t="e">
        <f t="shared" si="1094"/>
        <v>#N/A</v>
      </c>
      <c r="AG505" s="14" t="e">
        <f t="shared" si="1095"/>
        <v>#N/A</v>
      </c>
      <c r="AH505" s="14" t="e">
        <f t="shared" si="1096"/>
        <v>#N/A</v>
      </c>
      <c r="AI505" s="34" t="e">
        <f t="shared" si="1156"/>
        <v>#N/A</v>
      </c>
      <c r="AJ505" s="49" t="e">
        <f t="shared" si="1116"/>
        <v>#N/A</v>
      </c>
      <c r="AK505" s="49" t="e">
        <f t="shared" si="1117"/>
        <v>#N/A</v>
      </c>
      <c r="AL505" s="49" t="e">
        <f t="shared" si="1118"/>
        <v>#N/A</v>
      </c>
      <c r="AM505" s="25">
        <f t="shared" si="1097"/>
        <v>30</v>
      </c>
      <c r="AN505" s="25">
        <f t="shared" si="1098"/>
        <v>30</v>
      </c>
      <c r="AO505" s="25">
        <f t="shared" si="1099"/>
        <v>30</v>
      </c>
      <c r="AP505" s="52" t="e">
        <f t="shared" si="1119"/>
        <v>#N/A</v>
      </c>
      <c r="AQ505" s="53" t="e">
        <f t="shared" si="1119"/>
        <v>#N/A</v>
      </c>
      <c r="AR505" s="54" t="e">
        <f t="shared" si="1119"/>
        <v>#N/A</v>
      </c>
      <c r="AS505" s="316">
        <f t="shared" si="1201"/>
        <v>0</v>
      </c>
      <c r="AT505" s="106">
        <f>_xlfn.IFNA($M505/VLOOKUP($BT505,'Unit information'!$A$2:$K$29,2,FALSE)*R505,0)*(1+$E$9)</f>
        <v>0</v>
      </c>
      <c r="AU505" s="107">
        <f>_xlfn.IFNA($M505/VLOOKUP($BT505,'Unit information'!$A$2:$K$29,3,FALSE)*S505,0)*(1+$E$9)</f>
        <v>0</v>
      </c>
      <c r="AV505" s="107">
        <f>_xlfn.IFNA($M505/VLOOKUP($BT505,'Unit information'!$A$2:$K$29,4,FALSE)*T505,0)*(1+$E$9)</f>
        <v>0</v>
      </c>
      <c r="AW505" s="107">
        <f>_xlfn.IFNA($M505/VLOOKUP($BT505,'Unit information'!$A$2:$K$29,5,FALSE)*U505,0)*(1+$E$9)</f>
        <v>0</v>
      </c>
      <c r="AX505" s="107">
        <f>_xlfn.IFNA($M505/VLOOKUP($BU505,'Unit information'!$A$2:$K$29,6,FALSE)*V505,0)*(1+$E$9)</f>
        <v>0</v>
      </c>
      <c r="AY505" s="107">
        <f>_xlfn.IFNA($M505/VLOOKUP($BU505,'Unit information'!$A$2:$K$29,7,FALSE)*W505,0)*(1+$E$9)</f>
        <v>0</v>
      </c>
      <c r="AZ505" s="107">
        <f>_xlfn.IFNA($M505/VLOOKUP($BU505,'Unit information'!$A$2:$K$29,8,FALSE)*X505,0)*(1+$E$9)</f>
        <v>0</v>
      </c>
      <c r="BA505" s="107">
        <f>_xlfn.IFNA($M505/VLOOKUP($BU505,'Unit information'!$A$2:$K$29,9,FALSE)*Y505,0)*(1+$E$9)</f>
        <v>0</v>
      </c>
      <c r="BB505" s="107">
        <f>_xlfn.IFNA($M505/VLOOKUP($BV505,'Unit information'!$A$2:$K$29,10,FALSE)*Z505,0)*(1+$E$9)</f>
        <v>0</v>
      </c>
      <c r="BC505" s="108">
        <f>_xlfn.IFNA($M505/VLOOKUP($BV505,'Unit information'!$A$2:$K$29,11,FALSE)*AA505,0)*(1+$E$9)</f>
        <v>0</v>
      </c>
      <c r="BD505" s="106">
        <f t="shared" si="1100"/>
        <v>0</v>
      </c>
      <c r="BE505" s="107">
        <f t="shared" si="1101"/>
        <v>0</v>
      </c>
      <c r="BF505" s="108">
        <f t="shared" si="1102"/>
        <v>0</v>
      </c>
      <c r="BG505" s="25" t="e">
        <f t="shared" si="1103"/>
        <v>#N/A</v>
      </c>
      <c r="BH505" s="25" t="e">
        <f t="shared" si="1104"/>
        <v>#N/A</v>
      </c>
      <c r="BI505" s="25" t="e">
        <f t="shared" si="1105"/>
        <v>#N/A</v>
      </c>
      <c r="BJ505" s="27" t="e">
        <f t="shared" si="1106"/>
        <v>#N/A</v>
      </c>
      <c r="BK505" s="18" t="e">
        <f t="shared" si="1107"/>
        <v>#N/A</v>
      </c>
      <c r="BL505" s="18" t="e">
        <f t="shared" si="1108"/>
        <v>#N/A</v>
      </c>
      <c r="BM505" s="28" t="e">
        <f t="shared" si="1158"/>
        <v>#N/A</v>
      </c>
      <c r="BN505" s="33">
        <f>HLOOKUP("maximum population",Miscelaneous!$C$1:$C$33,CH505+3,FALSE)</f>
        <v>240</v>
      </c>
      <c r="BO505" s="14">
        <f t="shared" si="1120"/>
        <v>32</v>
      </c>
      <c r="BP505" s="14">
        <f t="shared" si="1121"/>
        <v>0</v>
      </c>
      <c r="BQ505" s="14">
        <f t="shared" si="1122"/>
        <v>208</v>
      </c>
      <c r="BR505" s="34" t="e">
        <f>HLOOKUP(J505,Villagers!$B$1:$V$33,L505+3,FALSE)-HLOOKUP(J505,Villagers!$B$1:$V$33,L505+2,FALSE)</f>
        <v>#N/A</v>
      </c>
      <c r="BS505" s="49">
        <f t="shared" si="1194"/>
        <v>1</v>
      </c>
      <c r="BT505" s="50">
        <f t="shared" si="1194"/>
        <v>0</v>
      </c>
      <c r="BU505" s="50">
        <f t="shared" si="1194"/>
        <v>0</v>
      </c>
      <c r="BV505" s="50">
        <f t="shared" si="1194"/>
        <v>0</v>
      </c>
      <c r="BW505" s="50">
        <f t="shared" si="1194"/>
        <v>0</v>
      </c>
      <c r="BX505" s="50">
        <f t="shared" si="1194"/>
        <v>0</v>
      </c>
      <c r="BY505" s="50">
        <f t="shared" si="1194"/>
        <v>0</v>
      </c>
      <c r="BZ505" s="50">
        <f t="shared" si="1194"/>
        <v>0</v>
      </c>
      <c r="CA505" s="50">
        <f t="shared" si="1194"/>
        <v>0</v>
      </c>
      <c r="CB505" s="50">
        <f t="shared" si="1194"/>
        <v>1</v>
      </c>
      <c r="CC505" s="50">
        <f t="shared" si="1194"/>
        <v>0</v>
      </c>
      <c r="CD505" s="50">
        <f t="shared" si="1194"/>
        <v>0</v>
      </c>
      <c r="CE505" s="50">
        <f t="shared" si="1194"/>
        <v>1</v>
      </c>
      <c r="CF505" s="50">
        <f t="shared" si="1194"/>
        <v>1</v>
      </c>
      <c r="CG505" s="50">
        <f t="shared" si="1194"/>
        <v>1</v>
      </c>
      <c r="CH505" s="50">
        <f t="shared" si="1194"/>
        <v>1</v>
      </c>
      <c r="CI505" s="50">
        <f t="shared" si="1194"/>
        <v>1</v>
      </c>
      <c r="CJ505" s="50">
        <f t="shared" si="1194"/>
        <v>1</v>
      </c>
      <c r="CK505" s="50">
        <f t="shared" si="1195"/>
        <v>0</v>
      </c>
      <c r="CL505" s="50">
        <f t="shared" si="1196"/>
        <v>0</v>
      </c>
      <c r="CM505" s="51">
        <f t="shared" si="1192"/>
        <v>0</v>
      </c>
      <c r="CN505" s="33">
        <f>ROUND(IF(BS505=0,0,HLOOKUP(BS$14,Villagers!$B$1:$V$33,BS505+3,FALSE)),)</f>
        <v>5</v>
      </c>
      <c r="CO505" s="14">
        <f>ROUND(IF(BT505=0,0,HLOOKUP(BT$14,Villagers!$B$1:$V$33,BT505+3,FALSE)),)</f>
        <v>0</v>
      </c>
      <c r="CP505" s="14">
        <f>ROUND(IF(BU505=0,0,HLOOKUP(BU$14,Villagers!$B$1:$V$33,BU505+3,FALSE)),)</f>
        <v>0</v>
      </c>
      <c r="CQ505" s="14">
        <f>ROUND(IF(BV505=0,0,HLOOKUP(BV$14,Villagers!$B$1:$V$33,BV505+3,FALSE)),)</f>
        <v>0</v>
      </c>
      <c r="CR505" s="14">
        <f>ROUND(IF(BW505=0,0,HLOOKUP(BW$14,Villagers!$B$1:$V$33,BW505+3,FALSE)),)</f>
        <v>0</v>
      </c>
      <c r="CS505" s="14">
        <f>ROUND(IF(BX505=0,0,HLOOKUP(BX$14,Villagers!$B$1:$V$33,BX505+3,FALSE)),)</f>
        <v>0</v>
      </c>
      <c r="CT505" s="14">
        <f>ROUND(IF(BY505=0,0,HLOOKUP(BY$14,Villagers!$B$1:$V$33,BY505+3,FALSE)),)</f>
        <v>0</v>
      </c>
      <c r="CU505" s="14">
        <f>ROUND(IF(BZ505=0,0,HLOOKUP(BZ$14,Villagers!$B$1:$V$33,BZ505+3,FALSE)),)</f>
        <v>0</v>
      </c>
      <c r="CV505" s="14">
        <f>ROUND(IF(CA505=0,0,HLOOKUP(CA$14,Villagers!$B$1:$V$33,CA505+3,FALSE)),)</f>
        <v>0</v>
      </c>
      <c r="CW505" s="14">
        <f>ROUND(IF(CB505=0,0,HLOOKUP(CB$14,Villagers!$B$1:$V$33,CB505+3,FALSE)),)</f>
        <v>0</v>
      </c>
      <c r="CX505" s="14">
        <f>ROUND(IF(CC505=0,0,HLOOKUP(CC$14,Villagers!$B$1:$V$33,CC505+3,FALSE)),)</f>
        <v>0</v>
      </c>
      <c r="CY505" s="14">
        <f>ROUND(IF(CD505=0,0,HLOOKUP(CD$14,Villagers!$B$1:$V$33,CD505+3,FALSE)),)</f>
        <v>0</v>
      </c>
      <c r="CZ505" s="14">
        <f>ROUND(IF(CE505=0,0,HLOOKUP(CE$14,Villagers!$B$1:$V$33,CE505+3,FALSE)),)</f>
        <v>5</v>
      </c>
      <c r="DA505" s="14">
        <f>ROUND(IF(CF505=0,0,HLOOKUP(CF$14,Villagers!$B$1:$V$33,CF505+3,FALSE)),)</f>
        <v>10</v>
      </c>
      <c r="DB505" s="14">
        <f>ROUND(IF(CG505=0,0,HLOOKUP(CG$14,Villagers!$B$1:$V$33,CG505+3,FALSE)),)</f>
        <v>10</v>
      </c>
      <c r="DC505" s="14">
        <f>ROUND(IF(CH505=0,0,HLOOKUP(CH$14,Villagers!$B$1:$V$33,CH505+3,FALSE)),)</f>
        <v>0</v>
      </c>
      <c r="DD505" s="14">
        <f>ROUND(IF(CI505=0,0,HLOOKUP(CI$14,Villagers!$B$1:$V$33,CI505+3,FALSE)),)</f>
        <v>0</v>
      </c>
      <c r="DE505" s="14">
        <f>ROUND(IF(CJ505=0,0,HLOOKUP(CJ$14,Villagers!$B$1:$V$33,CJ505+3,FALSE)),)</f>
        <v>2</v>
      </c>
      <c r="DF505" s="370">
        <f>ROUND(IF(CK505=0,0,HLOOKUP(CK$14,Villagers!$B$1:$V$33,CK505+3,FALSE)),)</f>
        <v>0</v>
      </c>
      <c r="DG505" s="370">
        <f>ROUND(IF(CL505=0,0,HLOOKUP(CL$14,Villagers!$B$1:$V$33,CL505+3,FALSE)),)</f>
        <v>0</v>
      </c>
      <c r="DH505" s="34">
        <f>ROUND(IF(CM505=0,0,HLOOKUP(CM$14,Villagers!$B$1:$V$33,CM505+3,FALSE)),)</f>
        <v>0</v>
      </c>
      <c r="DI505" s="109">
        <f t="shared" si="1144"/>
        <v>0</v>
      </c>
      <c r="DJ505" s="50">
        <f t="shared" si="1145"/>
        <v>0</v>
      </c>
      <c r="DK505" s="50">
        <f t="shared" si="1146"/>
        <v>0</v>
      </c>
      <c r="DL505" s="50">
        <f t="shared" si="1147"/>
        <v>0</v>
      </c>
      <c r="DM505" s="50">
        <f t="shared" si="1148"/>
        <v>0</v>
      </c>
      <c r="DN505" s="50">
        <f t="shared" si="1149"/>
        <v>0</v>
      </c>
      <c r="DO505" s="50">
        <f t="shared" si="1150"/>
        <v>0</v>
      </c>
      <c r="DP505" s="50">
        <f t="shared" si="1151"/>
        <v>0</v>
      </c>
      <c r="DQ505" s="50">
        <f t="shared" si="1128"/>
        <v>0</v>
      </c>
      <c r="DR505" s="50">
        <f t="shared" si="1129"/>
        <v>0</v>
      </c>
      <c r="DS505" s="96">
        <f>Miscelaneous!$D$4*Miscelaneous!$D$2^($CI505-1)</f>
        <v>1000</v>
      </c>
      <c r="DT505" s="333">
        <f t="shared" si="1109"/>
        <v>1</v>
      </c>
      <c r="DU505" s="81">
        <v>1</v>
      </c>
      <c r="DV505" s="79">
        <f t="shared" si="1130"/>
        <v>0</v>
      </c>
      <c r="DW505" s="79">
        <f t="shared" si="1131"/>
        <v>0</v>
      </c>
      <c r="DX505" s="79">
        <f t="shared" si="1132"/>
        <v>0</v>
      </c>
      <c r="DY505" s="79">
        <v>1</v>
      </c>
      <c r="DZ505" s="79">
        <f t="shared" si="1133"/>
        <v>0</v>
      </c>
      <c r="EA505" s="79">
        <f t="shared" si="1134"/>
        <v>0</v>
      </c>
      <c r="EB505" s="79">
        <f t="shared" si="1135"/>
        <v>0</v>
      </c>
      <c r="EC505" s="79">
        <f t="shared" si="1136"/>
        <v>0</v>
      </c>
      <c r="ED505" s="79">
        <v>1</v>
      </c>
      <c r="EE505" s="79">
        <v>1</v>
      </c>
      <c r="EF505" s="79">
        <f t="shared" si="1137"/>
        <v>0</v>
      </c>
      <c r="EG505" s="79">
        <v>1</v>
      </c>
      <c r="EH505" s="79">
        <v>1</v>
      </c>
      <c r="EI505" s="79">
        <v>1</v>
      </c>
      <c r="EJ505" s="79">
        <v>1</v>
      </c>
      <c r="EK505" s="79">
        <v>1</v>
      </c>
      <c r="EL505" s="79">
        <v>1</v>
      </c>
      <c r="EM505" s="143">
        <f t="shared" si="1138"/>
        <v>0</v>
      </c>
      <c r="EN505" s="143">
        <f t="shared" si="1139"/>
        <v>0</v>
      </c>
      <c r="EO505" s="82">
        <f t="shared" si="1140"/>
        <v>0</v>
      </c>
    </row>
    <row r="506" spans="1:145" x14ac:dyDescent="0.25">
      <c r="A506">
        <v>492</v>
      </c>
      <c r="B506" s="172" t="e">
        <f t="shared" si="1110"/>
        <v>#N/A</v>
      </c>
      <c r="C506" s="121" t="e">
        <f t="shared" ref="C506:E506" si="1207">AJ506-SUM(AB506:AB510)</f>
        <v>#N/A</v>
      </c>
      <c r="D506" s="122" t="e">
        <f t="shared" si="1207"/>
        <v>#N/A</v>
      </c>
      <c r="E506" s="122" t="e">
        <f t="shared" si="1207"/>
        <v>#N/A</v>
      </c>
      <c r="F506" s="176" t="e">
        <f t="shared" si="1092"/>
        <v>#N/A</v>
      </c>
      <c r="G506" s="121">
        <f t="shared" si="1112"/>
        <v>208</v>
      </c>
      <c r="H506" s="176" t="e">
        <f t="shared" si="1113"/>
        <v>#N/A</v>
      </c>
      <c r="I506" s="48">
        <v>1</v>
      </c>
      <c r="J506" s="39"/>
      <c r="K506" s="350">
        <v>1</v>
      </c>
      <c r="L506" s="34" t="e">
        <f t="shared" si="1093"/>
        <v>#N/A</v>
      </c>
      <c r="M506" s="38" t="e">
        <f>(HLOOKUP(J506,'Construction Times'!$B$3:$W$34,L506+2,FALSE)*HLOOKUP("hq modifier",'Construction Times'!$W$3:$W$34,BS506+2,FALSE))*(1-$H$9)</f>
        <v>#N/A</v>
      </c>
      <c r="N506" s="426" t="e">
        <f t="shared" si="1114"/>
        <v>#N/A</v>
      </c>
      <c r="O506" s="427"/>
      <c r="P506" s="430" t="e">
        <f t="shared" si="1115"/>
        <v>#N/A</v>
      </c>
      <c r="Q506" s="431"/>
      <c r="R506" s="103">
        <f t="shared" si="1142"/>
        <v>0</v>
      </c>
      <c r="S506" s="104">
        <f t="shared" si="1142"/>
        <v>0</v>
      </c>
      <c r="T506" s="104">
        <f t="shared" si="1143"/>
        <v>0</v>
      </c>
      <c r="U506" s="104">
        <f t="shared" si="1143"/>
        <v>0</v>
      </c>
      <c r="V506" s="104">
        <f t="shared" si="1143"/>
        <v>9.9999999999999995E-8</v>
      </c>
      <c r="W506" s="104">
        <f t="shared" si="1143"/>
        <v>0</v>
      </c>
      <c r="X506" s="104">
        <f t="shared" si="1189"/>
        <v>0</v>
      </c>
      <c r="Y506" s="104">
        <f t="shared" si="1189"/>
        <v>9.9999999999999995E-8</v>
      </c>
      <c r="Z506" s="104">
        <f t="shared" si="1189"/>
        <v>9.9999999999999995E-8</v>
      </c>
      <c r="AA506" s="105">
        <f t="shared" si="1189"/>
        <v>9.9999999999999995E-8</v>
      </c>
      <c r="AB506" s="101" t="e">
        <f>$DT506*HLOOKUP($J506,'Construction Costs (timber)'!$B$1:$V$32,'Construction Planner'!$L506+2,FALSE)</f>
        <v>#N/A</v>
      </c>
      <c r="AC506" s="14" t="e">
        <f>$DT506*HLOOKUP($J506,'Construction Costs (clay)'!$B$1:$V$32,'Construction Planner'!$L506+2,FALSE)</f>
        <v>#N/A</v>
      </c>
      <c r="AD506" s="14" t="e">
        <f>$DT506*HLOOKUP($J506,'Construction Costs (iron)'!$B$1:$V$32,'Construction Planner'!$L506+2,FALSE)</f>
        <v>#N/A</v>
      </c>
      <c r="AE506" s="34" t="e">
        <f t="shared" si="1155"/>
        <v>#N/A</v>
      </c>
      <c r="AF506" s="33" t="e">
        <f t="shared" si="1094"/>
        <v>#N/A</v>
      </c>
      <c r="AG506" s="14" t="e">
        <f t="shared" si="1095"/>
        <v>#N/A</v>
      </c>
      <c r="AH506" s="14" t="e">
        <f t="shared" si="1096"/>
        <v>#N/A</v>
      </c>
      <c r="AI506" s="34" t="e">
        <f t="shared" si="1156"/>
        <v>#N/A</v>
      </c>
      <c r="AJ506" s="49" t="e">
        <f t="shared" si="1116"/>
        <v>#N/A</v>
      </c>
      <c r="AK506" s="49" t="e">
        <f t="shared" si="1117"/>
        <v>#N/A</v>
      </c>
      <c r="AL506" s="49" t="e">
        <f t="shared" si="1118"/>
        <v>#N/A</v>
      </c>
      <c r="AM506" s="25">
        <f t="shared" si="1097"/>
        <v>30</v>
      </c>
      <c r="AN506" s="25">
        <f t="shared" si="1098"/>
        <v>30</v>
      </c>
      <c r="AO506" s="25">
        <f t="shared" si="1099"/>
        <v>30</v>
      </c>
      <c r="AP506" s="52" t="e">
        <f t="shared" si="1119"/>
        <v>#N/A</v>
      </c>
      <c r="AQ506" s="53" t="e">
        <f t="shared" si="1119"/>
        <v>#N/A</v>
      </c>
      <c r="AR506" s="54" t="e">
        <f t="shared" si="1119"/>
        <v>#N/A</v>
      </c>
      <c r="AS506" s="316">
        <f t="shared" si="1201"/>
        <v>0</v>
      </c>
      <c r="AT506" s="106">
        <f>_xlfn.IFNA($M506/VLOOKUP($BT506,'Unit information'!$A$2:$K$29,2,FALSE)*R506,0)*(1+$E$9)</f>
        <v>0</v>
      </c>
      <c r="AU506" s="107">
        <f>_xlfn.IFNA($M506/VLOOKUP($BT506,'Unit information'!$A$2:$K$29,3,FALSE)*S506,0)*(1+$E$9)</f>
        <v>0</v>
      </c>
      <c r="AV506" s="107">
        <f>_xlfn.IFNA($M506/VLOOKUP($BT506,'Unit information'!$A$2:$K$29,4,FALSE)*T506,0)*(1+$E$9)</f>
        <v>0</v>
      </c>
      <c r="AW506" s="107">
        <f>_xlfn.IFNA($M506/VLOOKUP($BT506,'Unit information'!$A$2:$K$29,5,FALSE)*U506,0)*(1+$E$9)</f>
        <v>0</v>
      </c>
      <c r="AX506" s="107">
        <f>_xlfn.IFNA($M506/VLOOKUP($BU506,'Unit information'!$A$2:$K$29,6,FALSE)*V506,0)*(1+$E$9)</f>
        <v>0</v>
      </c>
      <c r="AY506" s="107">
        <f>_xlfn.IFNA($M506/VLOOKUP($BU506,'Unit information'!$A$2:$K$29,7,FALSE)*W506,0)*(1+$E$9)</f>
        <v>0</v>
      </c>
      <c r="AZ506" s="107">
        <f>_xlfn.IFNA($M506/VLOOKUP($BU506,'Unit information'!$A$2:$K$29,8,FALSE)*X506,0)*(1+$E$9)</f>
        <v>0</v>
      </c>
      <c r="BA506" s="107">
        <f>_xlfn.IFNA($M506/VLOOKUP($BU506,'Unit information'!$A$2:$K$29,9,FALSE)*Y506,0)*(1+$E$9)</f>
        <v>0</v>
      </c>
      <c r="BB506" s="107">
        <f>_xlfn.IFNA($M506/VLOOKUP($BV506,'Unit information'!$A$2:$K$29,10,FALSE)*Z506,0)*(1+$E$9)</f>
        <v>0</v>
      </c>
      <c r="BC506" s="108">
        <f>_xlfn.IFNA($M506/VLOOKUP($BV506,'Unit information'!$A$2:$K$29,11,FALSE)*AA506,0)*(1+$E$9)</f>
        <v>0</v>
      </c>
      <c r="BD506" s="106">
        <f t="shared" si="1100"/>
        <v>0</v>
      </c>
      <c r="BE506" s="107">
        <f t="shared" si="1101"/>
        <v>0</v>
      </c>
      <c r="BF506" s="108">
        <f t="shared" si="1102"/>
        <v>0</v>
      </c>
      <c r="BG506" s="25" t="e">
        <f t="shared" si="1103"/>
        <v>#N/A</v>
      </c>
      <c r="BH506" s="25" t="e">
        <f t="shared" si="1104"/>
        <v>#N/A</v>
      </c>
      <c r="BI506" s="25" t="e">
        <f t="shared" si="1105"/>
        <v>#N/A</v>
      </c>
      <c r="BJ506" s="27" t="e">
        <f t="shared" si="1106"/>
        <v>#N/A</v>
      </c>
      <c r="BK506" s="18" t="e">
        <f t="shared" si="1107"/>
        <v>#N/A</v>
      </c>
      <c r="BL506" s="18" t="e">
        <f t="shared" si="1108"/>
        <v>#N/A</v>
      </c>
      <c r="BM506" s="28" t="e">
        <f t="shared" si="1158"/>
        <v>#N/A</v>
      </c>
      <c r="BN506" s="33">
        <f>HLOOKUP("maximum population",Miscelaneous!$C$1:$C$33,CH506+3,FALSE)</f>
        <v>240</v>
      </c>
      <c r="BO506" s="14">
        <f t="shared" si="1120"/>
        <v>32</v>
      </c>
      <c r="BP506" s="14">
        <f t="shared" si="1121"/>
        <v>0</v>
      </c>
      <c r="BQ506" s="14">
        <f t="shared" si="1122"/>
        <v>208</v>
      </c>
      <c r="BR506" s="34" t="e">
        <f>HLOOKUP(J506,Villagers!$B$1:$V$33,L506+3,FALSE)-HLOOKUP(J506,Villagers!$B$1:$V$33,L506+2,FALSE)</f>
        <v>#N/A</v>
      </c>
      <c r="BS506" s="49">
        <f t="shared" si="1194"/>
        <v>1</v>
      </c>
      <c r="BT506" s="50">
        <f t="shared" si="1194"/>
        <v>0</v>
      </c>
      <c r="BU506" s="50">
        <f t="shared" si="1194"/>
        <v>0</v>
      </c>
      <c r="BV506" s="50">
        <f t="shared" si="1194"/>
        <v>0</v>
      </c>
      <c r="BW506" s="50">
        <f t="shared" si="1194"/>
        <v>0</v>
      </c>
      <c r="BX506" s="50">
        <f t="shared" si="1194"/>
        <v>0</v>
      </c>
      <c r="BY506" s="50">
        <f t="shared" si="1194"/>
        <v>0</v>
      </c>
      <c r="BZ506" s="50">
        <f t="shared" si="1194"/>
        <v>0</v>
      </c>
      <c r="CA506" s="50">
        <f t="shared" si="1194"/>
        <v>0</v>
      </c>
      <c r="CB506" s="50">
        <f t="shared" si="1194"/>
        <v>1</v>
      </c>
      <c r="CC506" s="50">
        <f t="shared" si="1194"/>
        <v>0</v>
      </c>
      <c r="CD506" s="50">
        <f t="shared" si="1194"/>
        <v>0</v>
      </c>
      <c r="CE506" s="50">
        <f t="shared" si="1194"/>
        <v>1</v>
      </c>
      <c r="CF506" s="50">
        <f t="shared" si="1194"/>
        <v>1</v>
      </c>
      <c r="CG506" s="50">
        <f t="shared" si="1194"/>
        <v>1</v>
      </c>
      <c r="CH506" s="50">
        <f t="shared" si="1194"/>
        <v>1</v>
      </c>
      <c r="CI506" s="50">
        <f t="shared" si="1194"/>
        <v>1</v>
      </c>
      <c r="CJ506" s="50">
        <f t="shared" si="1194"/>
        <v>1</v>
      </c>
      <c r="CK506" s="50">
        <f t="shared" si="1195"/>
        <v>0</v>
      </c>
      <c r="CL506" s="50">
        <f t="shared" si="1196"/>
        <v>0</v>
      </c>
      <c r="CM506" s="51">
        <f t="shared" si="1192"/>
        <v>0</v>
      </c>
      <c r="CN506" s="33">
        <f>ROUND(IF(BS506=0,0,HLOOKUP(BS$14,Villagers!$B$1:$V$33,BS506+3,FALSE)),)</f>
        <v>5</v>
      </c>
      <c r="CO506" s="14">
        <f>ROUND(IF(BT506=0,0,HLOOKUP(BT$14,Villagers!$B$1:$V$33,BT506+3,FALSE)),)</f>
        <v>0</v>
      </c>
      <c r="CP506" s="14">
        <f>ROUND(IF(BU506=0,0,HLOOKUP(BU$14,Villagers!$B$1:$V$33,BU506+3,FALSE)),)</f>
        <v>0</v>
      </c>
      <c r="CQ506" s="14">
        <f>ROUND(IF(BV506=0,0,HLOOKUP(BV$14,Villagers!$B$1:$V$33,BV506+3,FALSE)),)</f>
        <v>0</v>
      </c>
      <c r="CR506" s="14">
        <f>ROUND(IF(BW506=0,0,HLOOKUP(BW$14,Villagers!$B$1:$V$33,BW506+3,FALSE)),)</f>
        <v>0</v>
      </c>
      <c r="CS506" s="14">
        <f>ROUND(IF(BX506=0,0,HLOOKUP(BX$14,Villagers!$B$1:$V$33,BX506+3,FALSE)),)</f>
        <v>0</v>
      </c>
      <c r="CT506" s="14">
        <f>ROUND(IF(BY506=0,0,HLOOKUP(BY$14,Villagers!$B$1:$V$33,BY506+3,FALSE)),)</f>
        <v>0</v>
      </c>
      <c r="CU506" s="14">
        <f>ROUND(IF(BZ506=0,0,HLOOKUP(BZ$14,Villagers!$B$1:$V$33,BZ506+3,FALSE)),)</f>
        <v>0</v>
      </c>
      <c r="CV506" s="14">
        <f>ROUND(IF(CA506=0,0,HLOOKUP(CA$14,Villagers!$B$1:$V$33,CA506+3,FALSE)),)</f>
        <v>0</v>
      </c>
      <c r="CW506" s="14">
        <f>ROUND(IF(CB506=0,0,HLOOKUP(CB$14,Villagers!$B$1:$V$33,CB506+3,FALSE)),)</f>
        <v>0</v>
      </c>
      <c r="CX506" s="14">
        <f>ROUND(IF(CC506=0,0,HLOOKUP(CC$14,Villagers!$B$1:$V$33,CC506+3,FALSE)),)</f>
        <v>0</v>
      </c>
      <c r="CY506" s="14">
        <f>ROUND(IF(CD506=0,0,HLOOKUP(CD$14,Villagers!$B$1:$V$33,CD506+3,FALSE)),)</f>
        <v>0</v>
      </c>
      <c r="CZ506" s="14">
        <f>ROUND(IF(CE506=0,0,HLOOKUP(CE$14,Villagers!$B$1:$V$33,CE506+3,FALSE)),)</f>
        <v>5</v>
      </c>
      <c r="DA506" s="14">
        <f>ROUND(IF(CF506=0,0,HLOOKUP(CF$14,Villagers!$B$1:$V$33,CF506+3,FALSE)),)</f>
        <v>10</v>
      </c>
      <c r="DB506" s="14">
        <f>ROUND(IF(CG506=0,0,HLOOKUP(CG$14,Villagers!$B$1:$V$33,CG506+3,FALSE)),)</f>
        <v>10</v>
      </c>
      <c r="DC506" s="14">
        <f>ROUND(IF(CH506=0,0,HLOOKUP(CH$14,Villagers!$B$1:$V$33,CH506+3,FALSE)),)</f>
        <v>0</v>
      </c>
      <c r="DD506" s="14">
        <f>ROUND(IF(CI506=0,0,HLOOKUP(CI$14,Villagers!$B$1:$V$33,CI506+3,FALSE)),)</f>
        <v>0</v>
      </c>
      <c r="DE506" s="14">
        <f>ROUND(IF(CJ506=0,0,HLOOKUP(CJ$14,Villagers!$B$1:$V$33,CJ506+3,FALSE)),)</f>
        <v>2</v>
      </c>
      <c r="DF506" s="370">
        <f>ROUND(IF(CK506=0,0,HLOOKUP(CK$14,Villagers!$B$1:$V$33,CK506+3,FALSE)),)</f>
        <v>0</v>
      </c>
      <c r="DG506" s="370">
        <f>ROUND(IF(CL506=0,0,HLOOKUP(CL$14,Villagers!$B$1:$V$33,CL506+3,FALSE)),)</f>
        <v>0</v>
      </c>
      <c r="DH506" s="34">
        <f>ROUND(IF(CM506=0,0,HLOOKUP(CM$14,Villagers!$B$1:$V$33,CM506+3,FALSE)),)</f>
        <v>0</v>
      </c>
      <c r="DI506" s="109">
        <f t="shared" si="1144"/>
        <v>0</v>
      </c>
      <c r="DJ506" s="50">
        <f t="shared" si="1145"/>
        <v>0</v>
      </c>
      <c r="DK506" s="50">
        <f t="shared" si="1146"/>
        <v>0</v>
      </c>
      <c r="DL506" s="50">
        <f t="shared" si="1147"/>
        <v>0</v>
      </c>
      <c r="DM506" s="50">
        <f t="shared" si="1148"/>
        <v>0</v>
      </c>
      <c r="DN506" s="50">
        <f t="shared" si="1149"/>
        <v>0</v>
      </c>
      <c r="DO506" s="50">
        <f t="shared" si="1150"/>
        <v>0</v>
      </c>
      <c r="DP506" s="50">
        <f t="shared" si="1151"/>
        <v>0</v>
      </c>
      <c r="DQ506" s="50">
        <f t="shared" si="1128"/>
        <v>0</v>
      </c>
      <c r="DR506" s="50">
        <f t="shared" si="1129"/>
        <v>0</v>
      </c>
      <c r="DS506" s="96">
        <f>Miscelaneous!$D$4*Miscelaneous!$D$2^($CI506-1)</f>
        <v>1000</v>
      </c>
      <c r="DT506" s="333">
        <f t="shared" si="1109"/>
        <v>1</v>
      </c>
      <c r="DU506" s="81">
        <v>1</v>
      </c>
      <c r="DV506" s="79">
        <f t="shared" si="1130"/>
        <v>0</v>
      </c>
      <c r="DW506" s="79">
        <f t="shared" si="1131"/>
        <v>0</v>
      </c>
      <c r="DX506" s="79">
        <f t="shared" si="1132"/>
        <v>0</v>
      </c>
      <c r="DY506" s="79">
        <v>1</v>
      </c>
      <c r="DZ506" s="79">
        <f t="shared" si="1133"/>
        <v>0</v>
      </c>
      <c r="EA506" s="79">
        <f t="shared" si="1134"/>
        <v>0</v>
      </c>
      <c r="EB506" s="79">
        <f t="shared" si="1135"/>
        <v>0</v>
      </c>
      <c r="EC506" s="79">
        <f t="shared" si="1136"/>
        <v>0</v>
      </c>
      <c r="ED506" s="79">
        <v>1</v>
      </c>
      <c r="EE506" s="79">
        <v>1</v>
      </c>
      <c r="EF506" s="79">
        <f t="shared" si="1137"/>
        <v>0</v>
      </c>
      <c r="EG506" s="79">
        <v>1</v>
      </c>
      <c r="EH506" s="79">
        <v>1</v>
      </c>
      <c r="EI506" s="79">
        <v>1</v>
      </c>
      <c r="EJ506" s="79">
        <v>1</v>
      </c>
      <c r="EK506" s="79">
        <v>1</v>
      </c>
      <c r="EL506" s="79">
        <v>1</v>
      </c>
      <c r="EM506" s="143">
        <f t="shared" si="1138"/>
        <v>0</v>
      </c>
      <c r="EN506" s="143">
        <f t="shared" si="1139"/>
        <v>0</v>
      </c>
      <c r="EO506" s="82">
        <f t="shared" si="1140"/>
        <v>0</v>
      </c>
    </row>
    <row r="507" spans="1:145" x14ac:dyDescent="0.25">
      <c r="A507">
        <v>493</v>
      </c>
      <c r="B507" s="172" t="e">
        <f t="shared" si="1110"/>
        <v>#N/A</v>
      </c>
      <c r="C507" s="121" t="e">
        <f t="shared" ref="C507:E507" si="1208">AJ507-SUM(AB507:AB511)</f>
        <v>#N/A</v>
      </c>
      <c r="D507" s="122" t="e">
        <f t="shared" si="1208"/>
        <v>#N/A</v>
      </c>
      <c r="E507" s="122" t="e">
        <f t="shared" si="1208"/>
        <v>#N/A</v>
      </c>
      <c r="F507" s="176" t="e">
        <f t="shared" si="1092"/>
        <v>#N/A</v>
      </c>
      <c r="G507" s="121">
        <f t="shared" si="1112"/>
        <v>208</v>
      </c>
      <c r="H507" s="176" t="e">
        <f t="shared" si="1113"/>
        <v>#N/A</v>
      </c>
      <c r="I507" s="48">
        <v>1</v>
      </c>
      <c r="J507" s="39"/>
      <c r="K507" s="350">
        <v>1</v>
      </c>
      <c r="L507" s="34" t="e">
        <f t="shared" si="1093"/>
        <v>#N/A</v>
      </c>
      <c r="M507" s="38" t="e">
        <f>(HLOOKUP(J507,'Construction Times'!$B$3:$W$34,L507+2,FALSE)*HLOOKUP("hq modifier",'Construction Times'!$W$3:$W$34,BS507+2,FALSE))*(1-$H$9)</f>
        <v>#N/A</v>
      </c>
      <c r="N507" s="426" t="e">
        <f t="shared" si="1114"/>
        <v>#N/A</v>
      </c>
      <c r="O507" s="427"/>
      <c r="P507" s="430" t="e">
        <f t="shared" si="1115"/>
        <v>#N/A</v>
      </c>
      <c r="Q507" s="431"/>
      <c r="R507" s="103">
        <f t="shared" si="1142"/>
        <v>0</v>
      </c>
      <c r="S507" s="104">
        <f t="shared" si="1142"/>
        <v>0</v>
      </c>
      <c r="T507" s="104">
        <f t="shared" si="1143"/>
        <v>0</v>
      </c>
      <c r="U507" s="104">
        <f t="shared" si="1143"/>
        <v>0</v>
      </c>
      <c r="V507" s="104">
        <f t="shared" si="1143"/>
        <v>9.9999999999999995E-8</v>
      </c>
      <c r="W507" s="104">
        <f t="shared" si="1143"/>
        <v>0</v>
      </c>
      <c r="X507" s="104">
        <f t="shared" si="1189"/>
        <v>0</v>
      </c>
      <c r="Y507" s="104">
        <f t="shared" si="1189"/>
        <v>9.9999999999999995E-8</v>
      </c>
      <c r="Z507" s="104">
        <f t="shared" si="1189"/>
        <v>9.9999999999999995E-8</v>
      </c>
      <c r="AA507" s="105">
        <f t="shared" si="1189"/>
        <v>9.9999999999999995E-8</v>
      </c>
      <c r="AB507" s="101" t="e">
        <f>$DT507*HLOOKUP($J507,'Construction Costs (timber)'!$B$1:$V$32,'Construction Planner'!$L507+2,FALSE)</f>
        <v>#N/A</v>
      </c>
      <c r="AC507" s="14" t="e">
        <f>$DT507*HLOOKUP($J507,'Construction Costs (clay)'!$B$1:$V$32,'Construction Planner'!$L507+2,FALSE)</f>
        <v>#N/A</v>
      </c>
      <c r="AD507" s="14" t="e">
        <f>$DT507*HLOOKUP($J507,'Construction Costs (iron)'!$B$1:$V$32,'Construction Planner'!$L507+2,FALSE)</f>
        <v>#N/A</v>
      </c>
      <c r="AE507" s="34" t="e">
        <f t="shared" si="1155"/>
        <v>#N/A</v>
      </c>
      <c r="AF507" s="33" t="e">
        <f t="shared" si="1094"/>
        <v>#N/A</v>
      </c>
      <c r="AG507" s="14" t="e">
        <f t="shared" si="1095"/>
        <v>#N/A</v>
      </c>
      <c r="AH507" s="14" t="e">
        <f t="shared" si="1096"/>
        <v>#N/A</v>
      </c>
      <c r="AI507" s="34" t="e">
        <f t="shared" si="1156"/>
        <v>#N/A</v>
      </c>
      <c r="AJ507" s="49" t="e">
        <f t="shared" si="1116"/>
        <v>#N/A</v>
      </c>
      <c r="AK507" s="49" t="e">
        <f t="shared" si="1117"/>
        <v>#N/A</v>
      </c>
      <c r="AL507" s="49" t="e">
        <f t="shared" si="1118"/>
        <v>#N/A</v>
      </c>
      <c r="AM507" s="25">
        <f t="shared" si="1097"/>
        <v>30</v>
      </c>
      <c r="AN507" s="25">
        <f t="shared" si="1098"/>
        <v>30</v>
      </c>
      <c r="AO507" s="25">
        <f t="shared" si="1099"/>
        <v>30</v>
      </c>
      <c r="AP507" s="52" t="e">
        <f t="shared" si="1119"/>
        <v>#N/A</v>
      </c>
      <c r="AQ507" s="53" t="e">
        <f t="shared" si="1119"/>
        <v>#N/A</v>
      </c>
      <c r="AR507" s="54" t="e">
        <f t="shared" si="1119"/>
        <v>#N/A</v>
      </c>
      <c r="AS507" s="316">
        <f t="shared" si="1201"/>
        <v>0</v>
      </c>
      <c r="AT507" s="106">
        <f>_xlfn.IFNA($M507/VLOOKUP($BT507,'Unit information'!$A$2:$K$29,2,FALSE)*R507,0)*(1+$E$9)</f>
        <v>0</v>
      </c>
      <c r="AU507" s="107">
        <f>_xlfn.IFNA($M507/VLOOKUP($BT507,'Unit information'!$A$2:$K$29,3,FALSE)*S507,0)*(1+$E$9)</f>
        <v>0</v>
      </c>
      <c r="AV507" s="107">
        <f>_xlfn.IFNA($M507/VLOOKUP($BT507,'Unit information'!$A$2:$K$29,4,FALSE)*T507,0)*(1+$E$9)</f>
        <v>0</v>
      </c>
      <c r="AW507" s="107">
        <f>_xlfn.IFNA($M507/VLOOKUP($BT507,'Unit information'!$A$2:$K$29,5,FALSE)*U507,0)*(1+$E$9)</f>
        <v>0</v>
      </c>
      <c r="AX507" s="107">
        <f>_xlfn.IFNA($M507/VLOOKUP($BU507,'Unit information'!$A$2:$K$29,6,FALSE)*V507,0)*(1+$E$9)</f>
        <v>0</v>
      </c>
      <c r="AY507" s="107">
        <f>_xlfn.IFNA($M507/VLOOKUP($BU507,'Unit information'!$A$2:$K$29,7,FALSE)*W507,0)*(1+$E$9)</f>
        <v>0</v>
      </c>
      <c r="AZ507" s="107">
        <f>_xlfn.IFNA($M507/VLOOKUP($BU507,'Unit information'!$A$2:$K$29,8,FALSE)*X507,0)*(1+$E$9)</f>
        <v>0</v>
      </c>
      <c r="BA507" s="107">
        <f>_xlfn.IFNA($M507/VLOOKUP($BU507,'Unit information'!$A$2:$K$29,9,FALSE)*Y507,0)*(1+$E$9)</f>
        <v>0</v>
      </c>
      <c r="BB507" s="107">
        <f>_xlfn.IFNA($M507/VLOOKUP($BV507,'Unit information'!$A$2:$K$29,10,FALSE)*Z507,0)*(1+$E$9)</f>
        <v>0</v>
      </c>
      <c r="BC507" s="108">
        <f>_xlfn.IFNA($M507/VLOOKUP($BV507,'Unit information'!$A$2:$K$29,11,FALSE)*AA507,0)*(1+$E$9)</f>
        <v>0</v>
      </c>
      <c r="BD507" s="106">
        <f t="shared" si="1100"/>
        <v>0</v>
      </c>
      <c r="BE507" s="107">
        <f t="shared" si="1101"/>
        <v>0</v>
      </c>
      <c r="BF507" s="108">
        <f t="shared" si="1102"/>
        <v>0</v>
      </c>
      <c r="BG507" s="25" t="e">
        <f t="shared" si="1103"/>
        <v>#N/A</v>
      </c>
      <c r="BH507" s="25" t="e">
        <f t="shared" si="1104"/>
        <v>#N/A</v>
      </c>
      <c r="BI507" s="25" t="e">
        <f t="shared" si="1105"/>
        <v>#N/A</v>
      </c>
      <c r="BJ507" s="27" t="e">
        <f t="shared" si="1106"/>
        <v>#N/A</v>
      </c>
      <c r="BK507" s="18" t="e">
        <f t="shared" si="1107"/>
        <v>#N/A</v>
      </c>
      <c r="BL507" s="18" t="e">
        <f t="shared" si="1108"/>
        <v>#N/A</v>
      </c>
      <c r="BM507" s="28" t="e">
        <f t="shared" si="1158"/>
        <v>#N/A</v>
      </c>
      <c r="BN507" s="33">
        <f>HLOOKUP("maximum population",Miscelaneous!$C$1:$C$33,CH507+3,FALSE)</f>
        <v>240</v>
      </c>
      <c r="BO507" s="14">
        <f t="shared" si="1120"/>
        <v>32</v>
      </c>
      <c r="BP507" s="14">
        <f t="shared" si="1121"/>
        <v>0</v>
      </c>
      <c r="BQ507" s="14">
        <f t="shared" si="1122"/>
        <v>208</v>
      </c>
      <c r="BR507" s="34" t="e">
        <f>HLOOKUP(J507,Villagers!$B$1:$V$33,L507+3,FALSE)-HLOOKUP(J507,Villagers!$B$1:$V$33,L507+2,FALSE)</f>
        <v>#N/A</v>
      </c>
      <c r="BS507" s="49">
        <f t="shared" si="1194"/>
        <v>1</v>
      </c>
      <c r="BT507" s="50">
        <f t="shared" si="1194"/>
        <v>0</v>
      </c>
      <c r="BU507" s="50">
        <f t="shared" si="1194"/>
        <v>0</v>
      </c>
      <c r="BV507" s="50">
        <f t="shared" si="1194"/>
        <v>0</v>
      </c>
      <c r="BW507" s="50">
        <f t="shared" si="1194"/>
        <v>0</v>
      </c>
      <c r="BX507" s="50">
        <f t="shared" si="1194"/>
        <v>0</v>
      </c>
      <c r="BY507" s="50">
        <f t="shared" si="1194"/>
        <v>0</v>
      </c>
      <c r="BZ507" s="50">
        <f t="shared" si="1194"/>
        <v>0</v>
      </c>
      <c r="CA507" s="50">
        <f t="shared" si="1194"/>
        <v>0</v>
      </c>
      <c r="CB507" s="50">
        <f t="shared" si="1194"/>
        <v>1</v>
      </c>
      <c r="CC507" s="50">
        <f t="shared" si="1194"/>
        <v>0</v>
      </c>
      <c r="CD507" s="50">
        <f t="shared" si="1194"/>
        <v>0</v>
      </c>
      <c r="CE507" s="50">
        <f t="shared" si="1194"/>
        <v>1</v>
      </c>
      <c r="CF507" s="50">
        <f t="shared" si="1194"/>
        <v>1</v>
      </c>
      <c r="CG507" s="50">
        <f t="shared" si="1194"/>
        <v>1</v>
      </c>
      <c r="CH507" s="50">
        <f t="shared" si="1194"/>
        <v>1</v>
      </c>
      <c r="CI507" s="50">
        <f t="shared" si="1194"/>
        <v>1</v>
      </c>
      <c r="CJ507" s="50">
        <f t="shared" si="1194"/>
        <v>1</v>
      </c>
      <c r="CK507" s="50">
        <f t="shared" si="1195"/>
        <v>0</v>
      </c>
      <c r="CL507" s="50">
        <f t="shared" si="1196"/>
        <v>0</v>
      </c>
      <c r="CM507" s="51">
        <f t="shared" si="1192"/>
        <v>0</v>
      </c>
      <c r="CN507" s="33">
        <f>ROUND(IF(BS507=0,0,HLOOKUP(BS$14,Villagers!$B$1:$V$33,BS507+3,FALSE)),)</f>
        <v>5</v>
      </c>
      <c r="CO507" s="14">
        <f>ROUND(IF(BT507=0,0,HLOOKUP(BT$14,Villagers!$B$1:$V$33,BT507+3,FALSE)),)</f>
        <v>0</v>
      </c>
      <c r="CP507" s="14">
        <f>ROUND(IF(BU507=0,0,HLOOKUP(BU$14,Villagers!$B$1:$V$33,BU507+3,FALSE)),)</f>
        <v>0</v>
      </c>
      <c r="CQ507" s="14">
        <f>ROUND(IF(BV507=0,0,HLOOKUP(BV$14,Villagers!$B$1:$V$33,BV507+3,FALSE)),)</f>
        <v>0</v>
      </c>
      <c r="CR507" s="14">
        <f>ROUND(IF(BW507=0,0,HLOOKUP(BW$14,Villagers!$B$1:$V$33,BW507+3,FALSE)),)</f>
        <v>0</v>
      </c>
      <c r="CS507" s="14">
        <f>ROUND(IF(BX507=0,0,HLOOKUP(BX$14,Villagers!$B$1:$V$33,BX507+3,FALSE)),)</f>
        <v>0</v>
      </c>
      <c r="CT507" s="14">
        <f>ROUND(IF(BY507=0,0,HLOOKUP(BY$14,Villagers!$B$1:$V$33,BY507+3,FALSE)),)</f>
        <v>0</v>
      </c>
      <c r="CU507" s="14">
        <f>ROUND(IF(BZ507=0,0,HLOOKUP(BZ$14,Villagers!$B$1:$V$33,BZ507+3,FALSE)),)</f>
        <v>0</v>
      </c>
      <c r="CV507" s="14">
        <f>ROUND(IF(CA507=0,0,HLOOKUP(CA$14,Villagers!$B$1:$V$33,CA507+3,FALSE)),)</f>
        <v>0</v>
      </c>
      <c r="CW507" s="14">
        <f>ROUND(IF(CB507=0,0,HLOOKUP(CB$14,Villagers!$B$1:$V$33,CB507+3,FALSE)),)</f>
        <v>0</v>
      </c>
      <c r="CX507" s="14">
        <f>ROUND(IF(CC507=0,0,HLOOKUP(CC$14,Villagers!$B$1:$V$33,CC507+3,FALSE)),)</f>
        <v>0</v>
      </c>
      <c r="CY507" s="14">
        <f>ROUND(IF(CD507=0,0,HLOOKUP(CD$14,Villagers!$B$1:$V$33,CD507+3,FALSE)),)</f>
        <v>0</v>
      </c>
      <c r="CZ507" s="14">
        <f>ROUND(IF(CE507=0,0,HLOOKUP(CE$14,Villagers!$B$1:$V$33,CE507+3,FALSE)),)</f>
        <v>5</v>
      </c>
      <c r="DA507" s="14">
        <f>ROUND(IF(CF507=0,0,HLOOKUP(CF$14,Villagers!$B$1:$V$33,CF507+3,FALSE)),)</f>
        <v>10</v>
      </c>
      <c r="DB507" s="14">
        <f>ROUND(IF(CG507=0,0,HLOOKUP(CG$14,Villagers!$B$1:$V$33,CG507+3,FALSE)),)</f>
        <v>10</v>
      </c>
      <c r="DC507" s="14">
        <f>ROUND(IF(CH507=0,0,HLOOKUP(CH$14,Villagers!$B$1:$V$33,CH507+3,FALSE)),)</f>
        <v>0</v>
      </c>
      <c r="DD507" s="14">
        <f>ROUND(IF(CI507=0,0,HLOOKUP(CI$14,Villagers!$B$1:$V$33,CI507+3,FALSE)),)</f>
        <v>0</v>
      </c>
      <c r="DE507" s="14">
        <f>ROUND(IF(CJ507=0,0,HLOOKUP(CJ$14,Villagers!$B$1:$V$33,CJ507+3,FALSE)),)</f>
        <v>2</v>
      </c>
      <c r="DF507" s="370">
        <f>ROUND(IF(CK507=0,0,HLOOKUP(CK$14,Villagers!$B$1:$V$33,CK507+3,FALSE)),)</f>
        <v>0</v>
      </c>
      <c r="DG507" s="370">
        <f>ROUND(IF(CL507=0,0,HLOOKUP(CL$14,Villagers!$B$1:$V$33,CL507+3,FALSE)),)</f>
        <v>0</v>
      </c>
      <c r="DH507" s="34">
        <f>ROUND(IF(CM507=0,0,HLOOKUP(CM$14,Villagers!$B$1:$V$33,CM507+3,FALSE)),)</f>
        <v>0</v>
      </c>
      <c r="DI507" s="109">
        <f t="shared" si="1144"/>
        <v>0</v>
      </c>
      <c r="DJ507" s="50">
        <f t="shared" si="1145"/>
        <v>0</v>
      </c>
      <c r="DK507" s="50">
        <f t="shared" si="1146"/>
        <v>0</v>
      </c>
      <c r="DL507" s="50">
        <f t="shared" si="1147"/>
        <v>0</v>
      </c>
      <c r="DM507" s="50">
        <f t="shared" si="1148"/>
        <v>0</v>
      </c>
      <c r="DN507" s="50">
        <f t="shared" si="1149"/>
        <v>0</v>
      </c>
      <c r="DO507" s="50">
        <f t="shared" si="1150"/>
        <v>0</v>
      </c>
      <c r="DP507" s="50">
        <f t="shared" si="1151"/>
        <v>0</v>
      </c>
      <c r="DQ507" s="50">
        <f t="shared" si="1128"/>
        <v>0</v>
      </c>
      <c r="DR507" s="50">
        <f t="shared" si="1129"/>
        <v>0</v>
      </c>
      <c r="DS507" s="96">
        <f>Miscelaneous!$D$4*Miscelaneous!$D$2^($CI507-1)</f>
        <v>1000</v>
      </c>
      <c r="DT507" s="333">
        <f t="shared" si="1109"/>
        <v>1</v>
      </c>
      <c r="DU507" s="81">
        <v>1</v>
      </c>
      <c r="DV507" s="79">
        <f t="shared" si="1130"/>
        <v>0</v>
      </c>
      <c r="DW507" s="79">
        <f t="shared" si="1131"/>
        <v>0</v>
      </c>
      <c r="DX507" s="79">
        <f t="shared" si="1132"/>
        <v>0</v>
      </c>
      <c r="DY507" s="79">
        <v>1</v>
      </c>
      <c r="DZ507" s="79">
        <f t="shared" si="1133"/>
        <v>0</v>
      </c>
      <c r="EA507" s="79">
        <f t="shared" si="1134"/>
        <v>0</v>
      </c>
      <c r="EB507" s="79">
        <f t="shared" si="1135"/>
        <v>0</v>
      </c>
      <c r="EC507" s="79">
        <f t="shared" si="1136"/>
        <v>0</v>
      </c>
      <c r="ED507" s="79">
        <v>1</v>
      </c>
      <c r="EE507" s="79">
        <v>1</v>
      </c>
      <c r="EF507" s="79">
        <f t="shared" si="1137"/>
        <v>0</v>
      </c>
      <c r="EG507" s="79">
        <v>1</v>
      </c>
      <c r="EH507" s="79">
        <v>1</v>
      </c>
      <c r="EI507" s="79">
        <v>1</v>
      </c>
      <c r="EJ507" s="79">
        <v>1</v>
      </c>
      <c r="EK507" s="79">
        <v>1</v>
      </c>
      <c r="EL507" s="79">
        <v>1</v>
      </c>
      <c r="EM507" s="143">
        <f t="shared" si="1138"/>
        <v>0</v>
      </c>
      <c r="EN507" s="143">
        <f t="shared" si="1139"/>
        <v>0</v>
      </c>
      <c r="EO507" s="82">
        <f t="shared" si="1140"/>
        <v>0</v>
      </c>
    </row>
    <row r="508" spans="1:145" x14ac:dyDescent="0.25">
      <c r="A508">
        <v>494</v>
      </c>
      <c r="B508" s="172" t="e">
        <f t="shared" si="1110"/>
        <v>#N/A</v>
      </c>
      <c r="C508" s="121" t="e">
        <f t="shared" ref="C508:E508" si="1209">AJ508-SUM(AB508:AB512)</f>
        <v>#N/A</v>
      </c>
      <c r="D508" s="122" t="e">
        <f t="shared" si="1209"/>
        <v>#N/A</v>
      </c>
      <c r="E508" s="122" t="e">
        <f t="shared" si="1209"/>
        <v>#N/A</v>
      </c>
      <c r="F508" s="176" t="e">
        <f t="shared" si="1092"/>
        <v>#N/A</v>
      </c>
      <c r="G508" s="121">
        <f t="shared" si="1112"/>
        <v>208</v>
      </c>
      <c r="H508" s="176" t="e">
        <f t="shared" si="1113"/>
        <v>#N/A</v>
      </c>
      <c r="I508" s="48">
        <v>1</v>
      </c>
      <c r="J508" s="39"/>
      <c r="K508" s="350">
        <v>1</v>
      </c>
      <c r="L508" s="34" t="e">
        <f t="shared" si="1093"/>
        <v>#N/A</v>
      </c>
      <c r="M508" s="38" t="e">
        <f>(HLOOKUP(J508,'Construction Times'!$B$3:$W$34,L508+2,FALSE)*HLOOKUP("hq modifier",'Construction Times'!$W$3:$W$34,BS508+2,FALSE))*(1-$H$9)</f>
        <v>#N/A</v>
      </c>
      <c r="N508" s="426" t="e">
        <f t="shared" si="1114"/>
        <v>#N/A</v>
      </c>
      <c r="O508" s="427"/>
      <c r="P508" s="430" t="e">
        <f t="shared" si="1115"/>
        <v>#N/A</v>
      </c>
      <c r="Q508" s="431"/>
      <c r="R508" s="103">
        <f t="shared" si="1142"/>
        <v>0</v>
      </c>
      <c r="S508" s="104">
        <f t="shared" si="1142"/>
        <v>0</v>
      </c>
      <c r="T508" s="104">
        <f t="shared" si="1143"/>
        <v>0</v>
      </c>
      <c r="U508" s="104">
        <f t="shared" si="1143"/>
        <v>0</v>
      </c>
      <c r="V508" s="104">
        <f t="shared" si="1143"/>
        <v>9.9999999999999995E-8</v>
      </c>
      <c r="W508" s="104">
        <f t="shared" si="1143"/>
        <v>0</v>
      </c>
      <c r="X508" s="104">
        <f t="shared" si="1189"/>
        <v>0</v>
      </c>
      <c r="Y508" s="104">
        <f t="shared" si="1189"/>
        <v>9.9999999999999995E-8</v>
      </c>
      <c r="Z508" s="104">
        <f t="shared" si="1189"/>
        <v>9.9999999999999995E-8</v>
      </c>
      <c r="AA508" s="105">
        <f t="shared" si="1189"/>
        <v>9.9999999999999995E-8</v>
      </c>
      <c r="AB508" s="101" t="e">
        <f>$DT508*HLOOKUP($J508,'Construction Costs (timber)'!$B$1:$V$32,'Construction Planner'!$L508+2,FALSE)</f>
        <v>#N/A</v>
      </c>
      <c r="AC508" s="14" t="e">
        <f>$DT508*HLOOKUP($J508,'Construction Costs (clay)'!$B$1:$V$32,'Construction Planner'!$L508+2,FALSE)</f>
        <v>#N/A</v>
      </c>
      <c r="AD508" s="14" t="e">
        <f>$DT508*HLOOKUP($J508,'Construction Costs (iron)'!$B$1:$V$32,'Construction Planner'!$L508+2,FALSE)</f>
        <v>#N/A</v>
      </c>
      <c r="AE508" s="34" t="e">
        <f t="shared" si="1155"/>
        <v>#N/A</v>
      </c>
      <c r="AF508" s="33" t="e">
        <f t="shared" si="1094"/>
        <v>#N/A</v>
      </c>
      <c r="AG508" s="14" t="e">
        <f t="shared" si="1095"/>
        <v>#N/A</v>
      </c>
      <c r="AH508" s="14" t="e">
        <f t="shared" si="1096"/>
        <v>#N/A</v>
      </c>
      <c r="AI508" s="34" t="e">
        <f t="shared" si="1156"/>
        <v>#N/A</v>
      </c>
      <c r="AJ508" s="49" t="e">
        <f t="shared" si="1116"/>
        <v>#N/A</v>
      </c>
      <c r="AK508" s="49" t="e">
        <f t="shared" si="1117"/>
        <v>#N/A</v>
      </c>
      <c r="AL508" s="49" t="e">
        <f t="shared" si="1118"/>
        <v>#N/A</v>
      </c>
      <c r="AM508" s="25">
        <f t="shared" si="1097"/>
        <v>30</v>
      </c>
      <c r="AN508" s="25">
        <f t="shared" si="1098"/>
        <v>30</v>
      </c>
      <c r="AO508" s="25">
        <f t="shared" si="1099"/>
        <v>30</v>
      </c>
      <c r="AP508" s="52" t="e">
        <f t="shared" si="1119"/>
        <v>#N/A</v>
      </c>
      <c r="AQ508" s="53" t="e">
        <f t="shared" si="1119"/>
        <v>#N/A</v>
      </c>
      <c r="AR508" s="54" t="e">
        <f t="shared" si="1119"/>
        <v>#N/A</v>
      </c>
      <c r="AS508" s="316">
        <f t="shared" si="1201"/>
        <v>0</v>
      </c>
      <c r="AT508" s="106">
        <f>_xlfn.IFNA($M508/VLOOKUP($BT508,'Unit information'!$A$2:$K$29,2,FALSE)*R508,0)*(1+$E$9)</f>
        <v>0</v>
      </c>
      <c r="AU508" s="107">
        <f>_xlfn.IFNA($M508/VLOOKUP($BT508,'Unit information'!$A$2:$K$29,3,FALSE)*S508,0)*(1+$E$9)</f>
        <v>0</v>
      </c>
      <c r="AV508" s="107">
        <f>_xlfn.IFNA($M508/VLOOKUP($BT508,'Unit information'!$A$2:$K$29,4,FALSE)*T508,0)*(1+$E$9)</f>
        <v>0</v>
      </c>
      <c r="AW508" s="107">
        <f>_xlfn.IFNA($M508/VLOOKUP($BT508,'Unit information'!$A$2:$K$29,5,FALSE)*U508,0)*(1+$E$9)</f>
        <v>0</v>
      </c>
      <c r="AX508" s="107">
        <f>_xlfn.IFNA($M508/VLOOKUP($BU508,'Unit information'!$A$2:$K$29,6,FALSE)*V508,0)*(1+$E$9)</f>
        <v>0</v>
      </c>
      <c r="AY508" s="107">
        <f>_xlfn.IFNA($M508/VLOOKUP($BU508,'Unit information'!$A$2:$K$29,7,FALSE)*W508,0)*(1+$E$9)</f>
        <v>0</v>
      </c>
      <c r="AZ508" s="107">
        <f>_xlfn.IFNA($M508/VLOOKUP($BU508,'Unit information'!$A$2:$K$29,8,FALSE)*X508,0)*(1+$E$9)</f>
        <v>0</v>
      </c>
      <c r="BA508" s="107">
        <f>_xlfn.IFNA($M508/VLOOKUP($BU508,'Unit information'!$A$2:$K$29,9,FALSE)*Y508,0)*(1+$E$9)</f>
        <v>0</v>
      </c>
      <c r="BB508" s="107">
        <f>_xlfn.IFNA($M508/VLOOKUP($BV508,'Unit information'!$A$2:$K$29,10,FALSE)*Z508,0)*(1+$E$9)</f>
        <v>0</v>
      </c>
      <c r="BC508" s="108">
        <f>_xlfn.IFNA($M508/VLOOKUP($BV508,'Unit information'!$A$2:$K$29,11,FALSE)*AA508,0)*(1+$E$9)</f>
        <v>0</v>
      </c>
      <c r="BD508" s="106">
        <f t="shared" si="1100"/>
        <v>0</v>
      </c>
      <c r="BE508" s="107">
        <f t="shared" si="1101"/>
        <v>0</v>
      </c>
      <c r="BF508" s="108">
        <f t="shared" si="1102"/>
        <v>0</v>
      </c>
      <c r="BG508" s="25" t="e">
        <f t="shared" si="1103"/>
        <v>#N/A</v>
      </c>
      <c r="BH508" s="25" t="e">
        <f t="shared" si="1104"/>
        <v>#N/A</v>
      </c>
      <c r="BI508" s="25" t="e">
        <f t="shared" si="1105"/>
        <v>#N/A</v>
      </c>
      <c r="BJ508" s="27" t="e">
        <f t="shared" si="1106"/>
        <v>#N/A</v>
      </c>
      <c r="BK508" s="18" t="e">
        <f t="shared" si="1107"/>
        <v>#N/A</v>
      </c>
      <c r="BL508" s="18" t="e">
        <f t="shared" si="1108"/>
        <v>#N/A</v>
      </c>
      <c r="BM508" s="28" t="e">
        <f t="shared" si="1158"/>
        <v>#N/A</v>
      </c>
      <c r="BN508" s="33">
        <f>HLOOKUP("maximum population",Miscelaneous!$C$1:$C$33,CH508+3,FALSE)</f>
        <v>240</v>
      </c>
      <c r="BO508" s="14">
        <f t="shared" si="1120"/>
        <v>32</v>
      </c>
      <c r="BP508" s="14">
        <f t="shared" si="1121"/>
        <v>0</v>
      </c>
      <c r="BQ508" s="14">
        <f t="shared" si="1122"/>
        <v>208</v>
      </c>
      <c r="BR508" s="34" t="e">
        <f>HLOOKUP(J508,Villagers!$B$1:$V$33,L508+3,FALSE)-HLOOKUP(J508,Villagers!$B$1:$V$33,L508+2,FALSE)</f>
        <v>#N/A</v>
      </c>
      <c r="BS508" s="49">
        <f t="shared" si="1194"/>
        <v>1</v>
      </c>
      <c r="BT508" s="50">
        <f t="shared" si="1194"/>
        <v>0</v>
      </c>
      <c r="BU508" s="50">
        <f t="shared" si="1194"/>
        <v>0</v>
      </c>
      <c r="BV508" s="50">
        <f t="shared" si="1194"/>
        <v>0</v>
      </c>
      <c r="BW508" s="50">
        <f t="shared" si="1194"/>
        <v>0</v>
      </c>
      <c r="BX508" s="50">
        <f t="shared" si="1194"/>
        <v>0</v>
      </c>
      <c r="BY508" s="50">
        <f t="shared" si="1194"/>
        <v>0</v>
      </c>
      <c r="BZ508" s="50">
        <f t="shared" si="1194"/>
        <v>0</v>
      </c>
      <c r="CA508" s="50">
        <f t="shared" si="1194"/>
        <v>0</v>
      </c>
      <c r="CB508" s="50">
        <f t="shared" si="1194"/>
        <v>1</v>
      </c>
      <c r="CC508" s="50">
        <f t="shared" si="1194"/>
        <v>0</v>
      </c>
      <c r="CD508" s="50">
        <f t="shared" si="1194"/>
        <v>0</v>
      </c>
      <c r="CE508" s="50">
        <f t="shared" si="1194"/>
        <v>1</v>
      </c>
      <c r="CF508" s="50">
        <f t="shared" si="1194"/>
        <v>1</v>
      </c>
      <c r="CG508" s="50">
        <f t="shared" si="1194"/>
        <v>1</v>
      </c>
      <c r="CH508" s="50">
        <f t="shared" si="1194"/>
        <v>1</v>
      </c>
      <c r="CI508" s="50">
        <f t="shared" si="1194"/>
        <v>1</v>
      </c>
      <c r="CJ508" s="50">
        <f t="shared" si="1194"/>
        <v>1</v>
      </c>
      <c r="CK508" s="50">
        <f t="shared" si="1195"/>
        <v>0</v>
      </c>
      <c r="CL508" s="50">
        <f t="shared" si="1196"/>
        <v>0</v>
      </c>
      <c r="CM508" s="51">
        <f t="shared" si="1192"/>
        <v>0</v>
      </c>
      <c r="CN508" s="33">
        <f>ROUND(IF(BS508=0,0,HLOOKUP(BS$14,Villagers!$B$1:$V$33,BS508+3,FALSE)),)</f>
        <v>5</v>
      </c>
      <c r="CO508" s="14">
        <f>ROUND(IF(BT508=0,0,HLOOKUP(BT$14,Villagers!$B$1:$V$33,BT508+3,FALSE)),)</f>
        <v>0</v>
      </c>
      <c r="CP508" s="14">
        <f>ROUND(IF(BU508=0,0,HLOOKUP(BU$14,Villagers!$B$1:$V$33,BU508+3,FALSE)),)</f>
        <v>0</v>
      </c>
      <c r="CQ508" s="14">
        <f>ROUND(IF(BV508=0,0,HLOOKUP(BV$14,Villagers!$B$1:$V$33,BV508+3,FALSE)),)</f>
        <v>0</v>
      </c>
      <c r="CR508" s="14">
        <f>ROUND(IF(BW508=0,0,HLOOKUP(BW$14,Villagers!$B$1:$V$33,BW508+3,FALSE)),)</f>
        <v>0</v>
      </c>
      <c r="CS508" s="14">
        <f>ROUND(IF(BX508=0,0,HLOOKUP(BX$14,Villagers!$B$1:$V$33,BX508+3,FALSE)),)</f>
        <v>0</v>
      </c>
      <c r="CT508" s="14">
        <f>ROUND(IF(BY508=0,0,HLOOKUP(BY$14,Villagers!$B$1:$V$33,BY508+3,FALSE)),)</f>
        <v>0</v>
      </c>
      <c r="CU508" s="14">
        <f>ROUND(IF(BZ508=0,0,HLOOKUP(BZ$14,Villagers!$B$1:$V$33,BZ508+3,FALSE)),)</f>
        <v>0</v>
      </c>
      <c r="CV508" s="14">
        <f>ROUND(IF(CA508=0,0,HLOOKUP(CA$14,Villagers!$B$1:$V$33,CA508+3,FALSE)),)</f>
        <v>0</v>
      </c>
      <c r="CW508" s="14">
        <f>ROUND(IF(CB508=0,0,HLOOKUP(CB$14,Villagers!$B$1:$V$33,CB508+3,FALSE)),)</f>
        <v>0</v>
      </c>
      <c r="CX508" s="14">
        <f>ROUND(IF(CC508=0,0,HLOOKUP(CC$14,Villagers!$B$1:$V$33,CC508+3,FALSE)),)</f>
        <v>0</v>
      </c>
      <c r="CY508" s="14">
        <f>ROUND(IF(CD508=0,0,HLOOKUP(CD$14,Villagers!$B$1:$V$33,CD508+3,FALSE)),)</f>
        <v>0</v>
      </c>
      <c r="CZ508" s="14">
        <f>ROUND(IF(CE508=0,0,HLOOKUP(CE$14,Villagers!$B$1:$V$33,CE508+3,FALSE)),)</f>
        <v>5</v>
      </c>
      <c r="DA508" s="14">
        <f>ROUND(IF(CF508=0,0,HLOOKUP(CF$14,Villagers!$B$1:$V$33,CF508+3,FALSE)),)</f>
        <v>10</v>
      </c>
      <c r="DB508" s="14">
        <f>ROUND(IF(CG508=0,0,HLOOKUP(CG$14,Villagers!$B$1:$V$33,CG508+3,FALSE)),)</f>
        <v>10</v>
      </c>
      <c r="DC508" s="14">
        <f>ROUND(IF(CH508=0,0,HLOOKUP(CH$14,Villagers!$B$1:$V$33,CH508+3,FALSE)),)</f>
        <v>0</v>
      </c>
      <c r="DD508" s="14">
        <f>ROUND(IF(CI508=0,0,HLOOKUP(CI$14,Villagers!$B$1:$V$33,CI508+3,FALSE)),)</f>
        <v>0</v>
      </c>
      <c r="DE508" s="14">
        <f>ROUND(IF(CJ508=0,0,HLOOKUP(CJ$14,Villagers!$B$1:$V$33,CJ508+3,FALSE)),)</f>
        <v>2</v>
      </c>
      <c r="DF508" s="370">
        <f>ROUND(IF(CK508=0,0,HLOOKUP(CK$14,Villagers!$B$1:$V$33,CK508+3,FALSE)),)</f>
        <v>0</v>
      </c>
      <c r="DG508" s="370">
        <f>ROUND(IF(CL508=0,0,HLOOKUP(CL$14,Villagers!$B$1:$V$33,CL508+3,FALSE)),)</f>
        <v>0</v>
      </c>
      <c r="DH508" s="34">
        <f>ROUND(IF(CM508=0,0,HLOOKUP(CM$14,Villagers!$B$1:$V$33,CM508+3,FALSE)),)</f>
        <v>0</v>
      </c>
      <c r="DI508" s="109">
        <f t="shared" si="1144"/>
        <v>0</v>
      </c>
      <c r="DJ508" s="50">
        <f t="shared" si="1145"/>
        <v>0</v>
      </c>
      <c r="DK508" s="50">
        <f t="shared" si="1146"/>
        <v>0</v>
      </c>
      <c r="DL508" s="50">
        <f t="shared" si="1147"/>
        <v>0</v>
      </c>
      <c r="DM508" s="50">
        <f t="shared" si="1148"/>
        <v>0</v>
      </c>
      <c r="DN508" s="50">
        <f t="shared" si="1149"/>
        <v>0</v>
      </c>
      <c r="DO508" s="50">
        <f t="shared" si="1150"/>
        <v>0</v>
      </c>
      <c r="DP508" s="50">
        <f t="shared" si="1151"/>
        <v>0</v>
      </c>
      <c r="DQ508" s="50">
        <f t="shared" si="1128"/>
        <v>0</v>
      </c>
      <c r="DR508" s="50">
        <f t="shared" si="1129"/>
        <v>0</v>
      </c>
      <c r="DS508" s="96">
        <f>Miscelaneous!$D$4*Miscelaneous!$D$2^($CI508-1)</f>
        <v>1000</v>
      </c>
      <c r="DT508" s="333">
        <f t="shared" si="1109"/>
        <v>1</v>
      </c>
      <c r="DU508" s="81">
        <v>1</v>
      </c>
      <c r="DV508" s="79">
        <f t="shared" si="1130"/>
        <v>0</v>
      </c>
      <c r="DW508" s="79">
        <f t="shared" si="1131"/>
        <v>0</v>
      </c>
      <c r="DX508" s="79">
        <f t="shared" si="1132"/>
        <v>0</v>
      </c>
      <c r="DY508" s="79">
        <v>1</v>
      </c>
      <c r="DZ508" s="79">
        <f t="shared" si="1133"/>
        <v>0</v>
      </c>
      <c r="EA508" s="79">
        <f t="shared" si="1134"/>
        <v>0</v>
      </c>
      <c r="EB508" s="79">
        <f t="shared" si="1135"/>
        <v>0</v>
      </c>
      <c r="EC508" s="79">
        <f t="shared" si="1136"/>
        <v>0</v>
      </c>
      <c r="ED508" s="79">
        <v>1</v>
      </c>
      <c r="EE508" s="79">
        <v>1</v>
      </c>
      <c r="EF508" s="79">
        <f t="shared" si="1137"/>
        <v>0</v>
      </c>
      <c r="EG508" s="79">
        <v>1</v>
      </c>
      <c r="EH508" s="79">
        <v>1</v>
      </c>
      <c r="EI508" s="79">
        <v>1</v>
      </c>
      <c r="EJ508" s="79">
        <v>1</v>
      </c>
      <c r="EK508" s="79">
        <v>1</v>
      </c>
      <c r="EL508" s="79">
        <v>1</v>
      </c>
      <c r="EM508" s="143">
        <f t="shared" si="1138"/>
        <v>0</v>
      </c>
      <c r="EN508" s="143">
        <f t="shared" si="1139"/>
        <v>0</v>
      </c>
      <c r="EO508" s="82">
        <f t="shared" si="1140"/>
        <v>0</v>
      </c>
    </row>
    <row r="509" spans="1:145" ht="15.75" thickBot="1" x14ac:dyDescent="0.3">
      <c r="A509">
        <v>495</v>
      </c>
      <c r="B509" s="174" t="e">
        <f t="shared" si="1110"/>
        <v>#N/A</v>
      </c>
      <c r="C509" s="121" t="e">
        <f t="shared" ref="C509:E509" si="1210">AJ509-SUM(AB509:AB513)</f>
        <v>#N/A</v>
      </c>
      <c r="D509" s="122" t="e">
        <f t="shared" si="1210"/>
        <v>#N/A</v>
      </c>
      <c r="E509" s="122" t="e">
        <f t="shared" si="1210"/>
        <v>#N/A</v>
      </c>
      <c r="F509" s="179" t="e">
        <f t="shared" si="1092"/>
        <v>#N/A</v>
      </c>
      <c r="G509" s="177">
        <f t="shared" si="1112"/>
        <v>240</v>
      </c>
      <c r="H509" s="176" t="e">
        <f t="shared" si="1113"/>
        <v>#N/A</v>
      </c>
      <c r="I509" s="48">
        <v>1</v>
      </c>
      <c r="J509" s="39"/>
      <c r="K509" s="350">
        <v>1</v>
      </c>
      <c r="L509" s="34" t="e">
        <f t="shared" si="1093"/>
        <v>#N/A</v>
      </c>
      <c r="M509" s="38" t="e">
        <f>(HLOOKUP(J509,'Construction Times'!$B$3:$W$34,L509+2,FALSE)*HLOOKUP("hq modifier",'Construction Times'!$W$3:$W$34,BS509+2,FALSE))*(1-$H$9)</f>
        <v>#N/A</v>
      </c>
      <c r="N509" s="426" t="e">
        <f t="shared" si="1114"/>
        <v>#N/A</v>
      </c>
      <c r="O509" s="427"/>
      <c r="P509" s="430" t="e">
        <f t="shared" si="1115"/>
        <v>#N/A</v>
      </c>
      <c r="Q509" s="431"/>
      <c r="R509" s="103">
        <f t="shared" si="1142"/>
        <v>0</v>
      </c>
      <c r="S509" s="104">
        <f t="shared" si="1142"/>
        <v>0</v>
      </c>
      <c r="T509" s="104">
        <f t="shared" si="1143"/>
        <v>0</v>
      </c>
      <c r="U509" s="104">
        <f t="shared" si="1143"/>
        <v>0</v>
      </c>
      <c r="V509" s="104">
        <f t="shared" si="1143"/>
        <v>9.9999999999999995E-8</v>
      </c>
      <c r="W509" s="104">
        <f t="shared" si="1143"/>
        <v>0</v>
      </c>
      <c r="X509" s="104">
        <f t="shared" si="1189"/>
        <v>0</v>
      </c>
      <c r="Y509" s="104">
        <f t="shared" si="1189"/>
        <v>9.9999999999999995E-8</v>
      </c>
      <c r="Z509" s="104">
        <f t="shared" si="1189"/>
        <v>9.9999999999999995E-8</v>
      </c>
      <c r="AA509" s="105">
        <f t="shared" si="1189"/>
        <v>9.9999999999999995E-8</v>
      </c>
      <c r="AB509" s="101" t="e">
        <f>$DT509*HLOOKUP($J509,'Construction Costs (timber)'!$B$1:$V$32,'Construction Planner'!$L509+2,FALSE)</f>
        <v>#N/A</v>
      </c>
      <c r="AC509" s="14" t="e">
        <f>$DT509*HLOOKUP($J509,'Construction Costs (clay)'!$B$1:$V$32,'Construction Planner'!$L509+2,FALSE)</f>
        <v>#N/A</v>
      </c>
      <c r="AD509" s="14" t="e">
        <f>$DT509*HLOOKUP($J509,'Construction Costs (iron)'!$B$1:$V$32,'Construction Planner'!$L509+2,FALSE)</f>
        <v>#N/A</v>
      </c>
      <c r="AE509" s="37" t="e">
        <f t="shared" si="1155"/>
        <v>#N/A</v>
      </c>
      <c r="AF509" s="35" t="e">
        <f t="shared" si="1094"/>
        <v>#N/A</v>
      </c>
      <c r="AG509" s="36" t="e">
        <f t="shared" si="1095"/>
        <v>#N/A</v>
      </c>
      <c r="AH509" s="36" t="e">
        <f t="shared" si="1096"/>
        <v>#N/A</v>
      </c>
      <c r="AI509" s="37" t="e">
        <f t="shared" si="1156"/>
        <v>#N/A</v>
      </c>
      <c r="AJ509" s="49" t="e">
        <f t="shared" si="1116"/>
        <v>#N/A</v>
      </c>
      <c r="AK509" s="49" t="e">
        <f t="shared" si="1117"/>
        <v>#N/A</v>
      </c>
      <c r="AL509" s="49" t="e">
        <f t="shared" si="1118"/>
        <v>#N/A</v>
      </c>
      <c r="AM509" s="25">
        <f t="shared" si="1097"/>
        <v>30</v>
      </c>
      <c r="AN509" s="25">
        <f t="shared" si="1098"/>
        <v>30</v>
      </c>
      <c r="AO509" s="25">
        <f t="shared" si="1099"/>
        <v>30</v>
      </c>
      <c r="AP509" s="52" t="e">
        <f t="shared" si="1119"/>
        <v>#N/A</v>
      </c>
      <c r="AQ509" s="53" t="e">
        <f t="shared" si="1119"/>
        <v>#N/A</v>
      </c>
      <c r="AR509" s="54" t="e">
        <f t="shared" si="1119"/>
        <v>#N/A</v>
      </c>
      <c r="AS509" s="316">
        <f t="shared" si="1201"/>
        <v>0</v>
      </c>
      <c r="AT509" s="106">
        <f>_xlfn.IFNA($M509/VLOOKUP($BT509,'Unit information'!$A$2:$K$29,2,FALSE)*R509,0)*(1+$E$9)</f>
        <v>0</v>
      </c>
      <c r="AU509" s="107">
        <f>_xlfn.IFNA($M509/VLOOKUP($BT509,'Unit information'!$A$2:$K$29,3,FALSE)*S509,0)*(1+$E$9)</f>
        <v>0</v>
      </c>
      <c r="AV509" s="107">
        <f>_xlfn.IFNA($M509/VLOOKUP($BT509,'Unit information'!$A$2:$K$29,4,FALSE)*T509,0)*(1+$E$9)</f>
        <v>0</v>
      </c>
      <c r="AW509" s="107">
        <f>_xlfn.IFNA($M509/VLOOKUP($BT509,'Unit information'!$A$2:$K$29,5,FALSE)*U509,0)*(1+$E$9)</f>
        <v>0</v>
      </c>
      <c r="AX509" s="107">
        <f>_xlfn.IFNA($M509/VLOOKUP($BU509,'Unit information'!$A$2:$K$29,6,FALSE)*V509,0)*(1+$E$9)</f>
        <v>0</v>
      </c>
      <c r="AY509" s="107">
        <f>_xlfn.IFNA($M509/VLOOKUP($BU509,'Unit information'!$A$2:$K$29,7,FALSE)*W509,0)*(1+$E$9)</f>
        <v>0</v>
      </c>
      <c r="AZ509" s="107">
        <f>_xlfn.IFNA($M509/VLOOKUP($BU509,'Unit information'!$A$2:$K$29,8,FALSE)*X509,0)*(1+$E$9)</f>
        <v>0</v>
      </c>
      <c r="BA509" s="107">
        <f>_xlfn.IFNA($M509/VLOOKUP($BU509,'Unit information'!$A$2:$K$29,9,FALSE)*Y509,0)*(1+$E$9)</f>
        <v>0</v>
      </c>
      <c r="BB509" s="107">
        <f>_xlfn.IFNA($M509/VLOOKUP($BV509,'Unit information'!$A$2:$K$29,10,FALSE)*Z509,0)*(1+$E$9)</f>
        <v>0</v>
      </c>
      <c r="BC509" s="108">
        <f>_xlfn.IFNA($M509/VLOOKUP($BV509,'Unit information'!$A$2:$K$29,11,FALSE)*AA509,0)*(1+$E$9)</f>
        <v>0</v>
      </c>
      <c r="BD509" s="106">
        <f t="shared" si="1100"/>
        <v>0</v>
      </c>
      <c r="BE509" s="107">
        <f t="shared" si="1101"/>
        <v>0</v>
      </c>
      <c r="BF509" s="108">
        <f t="shared" si="1102"/>
        <v>0</v>
      </c>
      <c r="BG509" s="25" t="e">
        <f t="shared" si="1103"/>
        <v>#N/A</v>
      </c>
      <c r="BH509" s="25" t="e">
        <f t="shared" si="1104"/>
        <v>#N/A</v>
      </c>
      <c r="BI509" s="25" t="e">
        <f t="shared" si="1105"/>
        <v>#N/A</v>
      </c>
      <c r="BJ509" s="29" t="e">
        <f t="shared" si="1106"/>
        <v>#N/A</v>
      </c>
      <c r="BK509" s="30" t="e">
        <f t="shared" si="1107"/>
        <v>#N/A</v>
      </c>
      <c r="BL509" s="30" t="e">
        <f t="shared" si="1108"/>
        <v>#N/A</v>
      </c>
      <c r="BM509" s="31" t="e">
        <f t="shared" si="1158"/>
        <v>#N/A</v>
      </c>
      <c r="BN509" s="35">
        <f>HLOOKUP("maximum population",Miscelaneous!$C$1:$C$33,CH509+3,FALSE)</f>
        <v>240</v>
      </c>
      <c r="BO509" s="14">
        <f t="shared" si="1120"/>
        <v>0</v>
      </c>
      <c r="BP509" s="14">
        <f t="shared" si="1121"/>
        <v>0</v>
      </c>
      <c r="BQ509" s="14">
        <f t="shared" si="1122"/>
        <v>240</v>
      </c>
      <c r="BR509" s="34" t="e">
        <f>HLOOKUP(J509,Villagers!$B$1:$V$33,L509+3,FALSE)-HLOOKUP(J509,Villagers!$B$1:$V$33,L509+2,FALSE)</f>
        <v>#N/A</v>
      </c>
      <c r="BS509" s="55">
        <f t="shared" si="1194"/>
        <v>1</v>
      </c>
      <c r="BT509" s="56">
        <f t="shared" si="1194"/>
        <v>0</v>
      </c>
      <c r="BU509" s="56">
        <f t="shared" si="1194"/>
        <v>0</v>
      </c>
      <c r="BV509" s="56">
        <f t="shared" si="1194"/>
        <v>0</v>
      </c>
      <c r="BW509" s="50">
        <f t="shared" si="1194"/>
        <v>0</v>
      </c>
      <c r="BX509" s="50">
        <f t="shared" si="1194"/>
        <v>0</v>
      </c>
      <c r="BY509" s="50">
        <f t="shared" si="1194"/>
        <v>0</v>
      </c>
      <c r="BZ509" s="56">
        <f t="shared" si="1194"/>
        <v>0</v>
      </c>
      <c r="CA509" s="56">
        <f t="shared" si="1194"/>
        <v>0</v>
      </c>
      <c r="CB509" s="56">
        <f t="shared" si="1194"/>
        <v>1</v>
      </c>
      <c r="CC509" s="56">
        <f t="shared" si="1194"/>
        <v>0</v>
      </c>
      <c r="CD509" s="56">
        <f t="shared" si="1194"/>
        <v>0</v>
      </c>
      <c r="CE509" s="56">
        <f t="shared" si="1194"/>
        <v>1</v>
      </c>
      <c r="CF509" s="56">
        <f t="shared" si="1194"/>
        <v>1</v>
      </c>
      <c r="CG509" s="56">
        <f t="shared" si="1194"/>
        <v>1</v>
      </c>
      <c r="CH509" s="56">
        <f t="shared" si="1194"/>
        <v>1</v>
      </c>
      <c r="CI509" s="56">
        <f t="shared" si="1194"/>
        <v>1</v>
      </c>
      <c r="CJ509" s="56">
        <f t="shared" si="1194"/>
        <v>1</v>
      </c>
      <c r="CK509" s="56">
        <f t="shared" si="1195"/>
        <v>0</v>
      </c>
      <c r="CL509" s="56">
        <f t="shared" si="1196"/>
        <v>0</v>
      </c>
      <c r="CM509" s="57">
        <f t="shared" si="1192"/>
        <v>0</v>
      </c>
      <c r="CN509" s="33">
        <f>ROUND(IF(BS509=0,0,HLOOKUP(BS$14,Villagers!$B$1:$V$33,BS509+3,FALSE)),)</f>
        <v>5</v>
      </c>
      <c r="CO509" s="14">
        <f>ROUND(IF(BT509=0,0,HLOOKUP(BT$14,Villagers!$B$1:$V$33,BT509+3,FALSE)),)</f>
        <v>0</v>
      </c>
      <c r="CP509" s="14">
        <f>ROUND(IF(BU509=0,0,HLOOKUP(BU$14,Villagers!$B$1:$V$33,BU509+3,FALSE)),)</f>
        <v>0</v>
      </c>
      <c r="CQ509" s="14">
        <f>ROUND(IF(BV509=0,0,HLOOKUP(BV$14,Villagers!$B$1:$V$33,BV509+3,FALSE)),)</f>
        <v>0</v>
      </c>
      <c r="CR509" s="14">
        <f>ROUND(IF(BW509=0,0,HLOOKUP(BW$14,Villagers!$B$1:$V$33,BW509+3,FALSE)),)</f>
        <v>0</v>
      </c>
      <c r="CS509" s="14">
        <f>ROUND(IF(BX509=0,0,HLOOKUP(BX$14,Villagers!$B$1:$V$33,BX509+3,FALSE)),)</f>
        <v>0</v>
      </c>
      <c r="CT509" s="14">
        <f>ROUND(IF(BY509=0,0,HLOOKUP(BY$14,Villagers!$B$1:$V$33,BY509+3,FALSE)),)</f>
        <v>0</v>
      </c>
      <c r="CU509" s="14">
        <f>ROUND(IF(BZ509=0,0,HLOOKUP(BZ$14,Villagers!$B$1:$V$33,BZ509+3,FALSE)),)</f>
        <v>0</v>
      </c>
      <c r="CV509" s="14">
        <f>ROUND(IF(CA509=0,0,HLOOKUP(CA$14,Villagers!$B$1:$V$33,CA509+3,FALSE)),)</f>
        <v>0</v>
      </c>
      <c r="CW509" s="14">
        <f>ROUND(IF(CB509=0,0,HLOOKUP(CB$14,Villagers!$B$1:$V$33,CB509+3,FALSE)),)</f>
        <v>0</v>
      </c>
      <c r="CX509" s="14">
        <f>ROUND(IF(CC509=0,0,HLOOKUP(CC$14,Villagers!$B$1:$V$33,CC509+3,FALSE)),)</f>
        <v>0</v>
      </c>
      <c r="CY509" s="14">
        <f>ROUND(IF(CD509=0,0,HLOOKUP(CD$14,Villagers!$B$1:$V$33,CD509+3,FALSE)),)</f>
        <v>0</v>
      </c>
      <c r="CZ509" s="14">
        <f>ROUND(IF(CE509=0,0,HLOOKUP(CE$14,Villagers!$B$1:$V$33,CE509+3,FALSE)),)</f>
        <v>5</v>
      </c>
      <c r="DA509" s="14">
        <f>ROUND(IF(CF509=0,0,HLOOKUP(CF$14,Villagers!$B$1:$V$33,CF509+3,FALSE)),)</f>
        <v>10</v>
      </c>
      <c r="DB509" s="14">
        <f>ROUND(IF(CG509=0,0,HLOOKUP(CG$14,Villagers!$B$1:$V$33,CG509+3,FALSE)),)</f>
        <v>10</v>
      </c>
      <c r="DC509" s="14">
        <f>ROUND(IF(CH509=0,0,HLOOKUP(CH$14,Villagers!$B$1:$V$33,CH509+3,FALSE)),)</f>
        <v>0</v>
      </c>
      <c r="DD509" s="14">
        <f>ROUND(IF(CI509=0,0,HLOOKUP(CI$14,Villagers!$B$1:$V$33,CI509+3,FALSE)),)</f>
        <v>0</v>
      </c>
      <c r="DE509" s="14">
        <f>ROUND(IF(CJ509=0,0,HLOOKUP(CJ$14,Villagers!$B$1:$V$33,CJ509+3,FALSE)),)</f>
        <v>2</v>
      </c>
      <c r="DF509" s="370">
        <f>ROUND(IF(CK509=0,0,HLOOKUP(CK$14,Villagers!$B$1:$V$33,CK509+3,FALSE)),)</f>
        <v>0</v>
      </c>
      <c r="DG509" s="370">
        <f>ROUND(IF(CL509=0,0,HLOOKUP(CL$14,Villagers!$B$1:$V$33,CL509+3,FALSE)),)</f>
        <v>0</v>
      </c>
      <c r="DH509" s="34">
        <f>ROUND(IF(CM509=0,0,HLOOKUP(CM$14,Villagers!$B$1:$V$33,CM509+3,FALSE)),)</f>
        <v>0</v>
      </c>
      <c r="DI509" s="109">
        <f t="shared" si="1144"/>
        <v>0</v>
      </c>
      <c r="DJ509" s="50">
        <f t="shared" si="1145"/>
        <v>0</v>
      </c>
      <c r="DK509" s="50">
        <f t="shared" si="1146"/>
        <v>0</v>
      </c>
      <c r="DL509" s="50">
        <f t="shared" si="1147"/>
        <v>0</v>
      </c>
      <c r="DM509" s="50">
        <f t="shared" si="1148"/>
        <v>0</v>
      </c>
      <c r="DN509" s="50">
        <f t="shared" si="1149"/>
        <v>0</v>
      </c>
      <c r="DO509" s="50">
        <f t="shared" si="1150"/>
        <v>0</v>
      </c>
      <c r="DP509" s="50">
        <f t="shared" si="1151"/>
        <v>0</v>
      </c>
      <c r="DQ509" s="50">
        <f t="shared" si="1128"/>
        <v>0</v>
      </c>
      <c r="DR509" s="50">
        <f t="shared" si="1129"/>
        <v>0</v>
      </c>
      <c r="DS509" s="98">
        <f>Miscelaneous!$D$4*Miscelaneous!$D$2^($CI509-1)</f>
        <v>1000</v>
      </c>
      <c r="DT509" s="335">
        <f t="shared" si="1109"/>
        <v>1</v>
      </c>
      <c r="DU509" s="88">
        <v>1</v>
      </c>
      <c r="DV509" s="93">
        <f t="shared" si="1130"/>
        <v>0</v>
      </c>
      <c r="DW509" s="93">
        <f t="shared" si="1131"/>
        <v>0</v>
      </c>
      <c r="DX509" s="93">
        <f t="shared" si="1132"/>
        <v>0</v>
      </c>
      <c r="DY509" s="93">
        <v>1</v>
      </c>
      <c r="DZ509" s="93">
        <f t="shared" si="1133"/>
        <v>0</v>
      </c>
      <c r="EA509" s="93">
        <f t="shared" si="1134"/>
        <v>0</v>
      </c>
      <c r="EB509" s="93">
        <f t="shared" si="1135"/>
        <v>0</v>
      </c>
      <c r="EC509" s="93">
        <f t="shared" si="1136"/>
        <v>0</v>
      </c>
      <c r="ED509" s="93">
        <v>1</v>
      </c>
      <c r="EE509" s="93">
        <v>1</v>
      </c>
      <c r="EF509" s="93">
        <f t="shared" si="1137"/>
        <v>0</v>
      </c>
      <c r="EG509" s="93">
        <v>1</v>
      </c>
      <c r="EH509" s="93">
        <v>1</v>
      </c>
      <c r="EI509" s="93">
        <v>1</v>
      </c>
      <c r="EJ509" s="93">
        <v>1</v>
      </c>
      <c r="EK509" s="93">
        <v>1</v>
      </c>
      <c r="EL509" s="93">
        <v>1</v>
      </c>
      <c r="EM509" s="143">
        <f t="shared" si="1138"/>
        <v>0</v>
      </c>
      <c r="EN509" s="143">
        <f t="shared" si="1139"/>
        <v>0</v>
      </c>
      <c r="EO509" s="89">
        <f t="shared" si="1140"/>
        <v>0</v>
      </c>
    </row>
  </sheetData>
  <mergeCells count="1024">
    <mergeCell ref="P485:Q485"/>
    <mergeCell ref="P486:Q486"/>
    <mergeCell ref="P487:Q487"/>
    <mergeCell ref="P488:Q488"/>
    <mergeCell ref="P489:Q489"/>
    <mergeCell ref="P480:Q480"/>
    <mergeCell ref="P481:Q481"/>
    <mergeCell ref="P482:Q482"/>
    <mergeCell ref="P483:Q483"/>
    <mergeCell ref="P484:Q484"/>
    <mergeCell ref="P475:Q475"/>
    <mergeCell ref="P505:Q505"/>
    <mergeCell ref="P506:Q506"/>
    <mergeCell ref="P507:Q507"/>
    <mergeCell ref="P508:Q508"/>
    <mergeCell ref="P509:Q509"/>
    <mergeCell ref="P500:Q500"/>
    <mergeCell ref="P501:Q501"/>
    <mergeCell ref="P502:Q502"/>
    <mergeCell ref="P503:Q503"/>
    <mergeCell ref="P504:Q504"/>
    <mergeCell ref="P495:Q495"/>
    <mergeCell ref="P496:Q496"/>
    <mergeCell ref="P497:Q497"/>
    <mergeCell ref="P498:Q498"/>
    <mergeCell ref="P499:Q499"/>
    <mergeCell ref="P490:Q490"/>
    <mergeCell ref="P491:Q491"/>
    <mergeCell ref="P492:Q492"/>
    <mergeCell ref="P493:Q493"/>
    <mergeCell ref="P494:Q494"/>
    <mergeCell ref="P476:Q476"/>
    <mergeCell ref="P477:Q477"/>
    <mergeCell ref="P478:Q478"/>
    <mergeCell ref="P479:Q479"/>
    <mergeCell ref="P470:Q470"/>
    <mergeCell ref="P471:Q471"/>
    <mergeCell ref="P472:Q472"/>
    <mergeCell ref="P473:Q473"/>
    <mergeCell ref="P474:Q474"/>
    <mergeCell ref="P465:Q465"/>
    <mergeCell ref="P466:Q466"/>
    <mergeCell ref="P467:Q467"/>
    <mergeCell ref="P468:Q468"/>
    <mergeCell ref="P469:Q469"/>
    <mergeCell ref="P460:Q460"/>
    <mergeCell ref="P461:Q461"/>
    <mergeCell ref="P462:Q462"/>
    <mergeCell ref="P463:Q463"/>
    <mergeCell ref="P464:Q464"/>
    <mergeCell ref="P455:Q455"/>
    <mergeCell ref="P456:Q456"/>
    <mergeCell ref="P457:Q457"/>
    <mergeCell ref="P458:Q458"/>
    <mergeCell ref="P459:Q459"/>
    <mergeCell ref="P450:Q450"/>
    <mergeCell ref="P451:Q451"/>
    <mergeCell ref="P452:Q452"/>
    <mergeCell ref="P453:Q453"/>
    <mergeCell ref="P454:Q454"/>
    <mergeCell ref="P445:Q445"/>
    <mergeCell ref="P446:Q446"/>
    <mergeCell ref="P447:Q447"/>
    <mergeCell ref="P448:Q448"/>
    <mergeCell ref="P449:Q449"/>
    <mergeCell ref="P440:Q440"/>
    <mergeCell ref="P441:Q441"/>
    <mergeCell ref="P442:Q442"/>
    <mergeCell ref="P443:Q443"/>
    <mergeCell ref="P444:Q444"/>
    <mergeCell ref="P435:Q435"/>
    <mergeCell ref="P436:Q436"/>
    <mergeCell ref="P437:Q437"/>
    <mergeCell ref="P438:Q438"/>
    <mergeCell ref="P439:Q439"/>
    <mergeCell ref="P430:Q430"/>
    <mergeCell ref="P431:Q431"/>
    <mergeCell ref="P432:Q432"/>
    <mergeCell ref="P433:Q433"/>
    <mergeCell ref="P434:Q434"/>
    <mergeCell ref="P425:Q425"/>
    <mergeCell ref="P426:Q426"/>
    <mergeCell ref="P427:Q427"/>
    <mergeCell ref="P428:Q428"/>
    <mergeCell ref="P429:Q429"/>
    <mergeCell ref="P420:Q420"/>
    <mergeCell ref="P421:Q421"/>
    <mergeCell ref="P422:Q422"/>
    <mergeCell ref="P423:Q423"/>
    <mergeCell ref="P424:Q424"/>
    <mergeCell ref="P415:Q415"/>
    <mergeCell ref="P416:Q416"/>
    <mergeCell ref="P417:Q417"/>
    <mergeCell ref="P418:Q418"/>
    <mergeCell ref="P419:Q419"/>
    <mergeCell ref="P410:Q410"/>
    <mergeCell ref="P411:Q411"/>
    <mergeCell ref="P412:Q412"/>
    <mergeCell ref="P413:Q413"/>
    <mergeCell ref="P414:Q414"/>
    <mergeCell ref="P405:Q405"/>
    <mergeCell ref="P406:Q406"/>
    <mergeCell ref="P407:Q407"/>
    <mergeCell ref="P408:Q408"/>
    <mergeCell ref="P409:Q409"/>
    <mergeCell ref="P400:Q400"/>
    <mergeCell ref="P401:Q401"/>
    <mergeCell ref="P402:Q402"/>
    <mergeCell ref="P403:Q403"/>
    <mergeCell ref="P404:Q404"/>
    <mergeCell ref="P395:Q395"/>
    <mergeCell ref="P396:Q396"/>
    <mergeCell ref="P397:Q397"/>
    <mergeCell ref="P398:Q398"/>
    <mergeCell ref="P399:Q399"/>
    <mergeCell ref="P390:Q390"/>
    <mergeCell ref="P391:Q391"/>
    <mergeCell ref="P392:Q392"/>
    <mergeCell ref="P393:Q393"/>
    <mergeCell ref="P394:Q394"/>
    <mergeCell ref="P385:Q385"/>
    <mergeCell ref="P386:Q386"/>
    <mergeCell ref="P387:Q387"/>
    <mergeCell ref="P388:Q388"/>
    <mergeCell ref="P389:Q389"/>
    <mergeCell ref="P380:Q380"/>
    <mergeCell ref="P381:Q381"/>
    <mergeCell ref="P382:Q382"/>
    <mergeCell ref="P383:Q383"/>
    <mergeCell ref="P384:Q384"/>
    <mergeCell ref="P375:Q375"/>
    <mergeCell ref="P376:Q376"/>
    <mergeCell ref="P377:Q377"/>
    <mergeCell ref="P378:Q378"/>
    <mergeCell ref="P379:Q379"/>
    <mergeCell ref="P370:Q370"/>
    <mergeCell ref="P371:Q371"/>
    <mergeCell ref="P372:Q372"/>
    <mergeCell ref="P373:Q373"/>
    <mergeCell ref="P374:Q374"/>
    <mergeCell ref="P365:Q365"/>
    <mergeCell ref="P366:Q366"/>
    <mergeCell ref="P367:Q367"/>
    <mergeCell ref="P368:Q368"/>
    <mergeCell ref="P369:Q369"/>
    <mergeCell ref="P360:Q360"/>
    <mergeCell ref="P361:Q361"/>
    <mergeCell ref="P362:Q362"/>
    <mergeCell ref="P363:Q363"/>
    <mergeCell ref="P364:Q364"/>
    <mergeCell ref="P355:Q355"/>
    <mergeCell ref="P356:Q356"/>
    <mergeCell ref="P357:Q357"/>
    <mergeCell ref="P358:Q358"/>
    <mergeCell ref="P359:Q359"/>
    <mergeCell ref="P350:Q350"/>
    <mergeCell ref="P351:Q351"/>
    <mergeCell ref="P352:Q352"/>
    <mergeCell ref="P353:Q353"/>
    <mergeCell ref="P354:Q354"/>
    <mergeCell ref="P345:Q345"/>
    <mergeCell ref="P346:Q346"/>
    <mergeCell ref="P347:Q347"/>
    <mergeCell ref="P348:Q348"/>
    <mergeCell ref="P349:Q349"/>
    <mergeCell ref="P340:Q340"/>
    <mergeCell ref="P341:Q341"/>
    <mergeCell ref="P342:Q342"/>
    <mergeCell ref="P343:Q343"/>
    <mergeCell ref="P344:Q344"/>
    <mergeCell ref="P335:Q335"/>
    <mergeCell ref="P336:Q336"/>
    <mergeCell ref="P337:Q337"/>
    <mergeCell ref="P338:Q338"/>
    <mergeCell ref="P339:Q339"/>
    <mergeCell ref="P330:Q330"/>
    <mergeCell ref="P331:Q331"/>
    <mergeCell ref="P332:Q332"/>
    <mergeCell ref="P333:Q333"/>
    <mergeCell ref="P334:Q334"/>
    <mergeCell ref="P325:Q325"/>
    <mergeCell ref="P326:Q326"/>
    <mergeCell ref="P327:Q327"/>
    <mergeCell ref="P328:Q328"/>
    <mergeCell ref="P329:Q329"/>
    <mergeCell ref="P320:Q320"/>
    <mergeCell ref="P321:Q321"/>
    <mergeCell ref="P322:Q322"/>
    <mergeCell ref="P323:Q323"/>
    <mergeCell ref="P324:Q324"/>
    <mergeCell ref="P315:Q315"/>
    <mergeCell ref="P316:Q316"/>
    <mergeCell ref="P317:Q317"/>
    <mergeCell ref="P318:Q318"/>
    <mergeCell ref="P319:Q319"/>
    <mergeCell ref="P310:Q310"/>
    <mergeCell ref="P311:Q311"/>
    <mergeCell ref="P312:Q312"/>
    <mergeCell ref="P313:Q313"/>
    <mergeCell ref="P314:Q314"/>
    <mergeCell ref="P305:Q305"/>
    <mergeCell ref="P306:Q306"/>
    <mergeCell ref="P307:Q307"/>
    <mergeCell ref="P308:Q308"/>
    <mergeCell ref="P309:Q309"/>
    <mergeCell ref="P300:Q300"/>
    <mergeCell ref="P301:Q301"/>
    <mergeCell ref="P302:Q302"/>
    <mergeCell ref="P303:Q303"/>
    <mergeCell ref="P304:Q304"/>
    <mergeCell ref="P295:Q295"/>
    <mergeCell ref="P296:Q296"/>
    <mergeCell ref="P297:Q297"/>
    <mergeCell ref="P298:Q298"/>
    <mergeCell ref="P299:Q299"/>
    <mergeCell ref="P290:Q290"/>
    <mergeCell ref="P291:Q291"/>
    <mergeCell ref="P292:Q292"/>
    <mergeCell ref="P293:Q293"/>
    <mergeCell ref="P294:Q294"/>
    <mergeCell ref="P285:Q285"/>
    <mergeCell ref="P286:Q286"/>
    <mergeCell ref="P287:Q287"/>
    <mergeCell ref="P288:Q288"/>
    <mergeCell ref="P289:Q289"/>
    <mergeCell ref="P280:Q280"/>
    <mergeCell ref="P281:Q281"/>
    <mergeCell ref="P282:Q282"/>
    <mergeCell ref="P283:Q283"/>
    <mergeCell ref="P284:Q284"/>
    <mergeCell ref="P275:Q275"/>
    <mergeCell ref="P276:Q276"/>
    <mergeCell ref="P277:Q277"/>
    <mergeCell ref="P278:Q278"/>
    <mergeCell ref="P279:Q279"/>
    <mergeCell ref="P270:Q270"/>
    <mergeCell ref="P271:Q271"/>
    <mergeCell ref="P272:Q272"/>
    <mergeCell ref="P273:Q273"/>
    <mergeCell ref="P274:Q274"/>
    <mergeCell ref="P265:Q265"/>
    <mergeCell ref="P266:Q266"/>
    <mergeCell ref="P267:Q267"/>
    <mergeCell ref="P268:Q268"/>
    <mergeCell ref="P269:Q269"/>
    <mergeCell ref="P260:Q260"/>
    <mergeCell ref="P261:Q261"/>
    <mergeCell ref="P262:Q262"/>
    <mergeCell ref="P263:Q263"/>
    <mergeCell ref="P264:Q264"/>
    <mergeCell ref="P255:Q255"/>
    <mergeCell ref="P256:Q256"/>
    <mergeCell ref="P257:Q257"/>
    <mergeCell ref="P258:Q258"/>
    <mergeCell ref="P259:Q259"/>
    <mergeCell ref="P250:Q250"/>
    <mergeCell ref="P251:Q251"/>
    <mergeCell ref="P252:Q252"/>
    <mergeCell ref="P253:Q253"/>
    <mergeCell ref="P254:Q254"/>
    <mergeCell ref="P245:Q245"/>
    <mergeCell ref="P246:Q246"/>
    <mergeCell ref="P247:Q247"/>
    <mergeCell ref="P248:Q248"/>
    <mergeCell ref="P249:Q249"/>
    <mergeCell ref="P240:Q240"/>
    <mergeCell ref="P241:Q241"/>
    <mergeCell ref="P242:Q242"/>
    <mergeCell ref="P243:Q243"/>
    <mergeCell ref="P244:Q244"/>
    <mergeCell ref="P235:Q235"/>
    <mergeCell ref="P236:Q236"/>
    <mergeCell ref="P237:Q237"/>
    <mergeCell ref="P238:Q238"/>
    <mergeCell ref="P239:Q239"/>
    <mergeCell ref="P230:Q230"/>
    <mergeCell ref="P231:Q231"/>
    <mergeCell ref="P232:Q232"/>
    <mergeCell ref="P233:Q233"/>
    <mergeCell ref="P234:Q234"/>
    <mergeCell ref="P225:Q225"/>
    <mergeCell ref="P226:Q226"/>
    <mergeCell ref="P227:Q227"/>
    <mergeCell ref="P228:Q228"/>
    <mergeCell ref="P229:Q229"/>
    <mergeCell ref="P220:Q220"/>
    <mergeCell ref="P221:Q221"/>
    <mergeCell ref="P222:Q222"/>
    <mergeCell ref="P223:Q223"/>
    <mergeCell ref="P224:Q224"/>
    <mergeCell ref="P215:Q215"/>
    <mergeCell ref="P216:Q216"/>
    <mergeCell ref="P217:Q217"/>
    <mergeCell ref="P218:Q218"/>
    <mergeCell ref="P219:Q219"/>
    <mergeCell ref="P210:Q210"/>
    <mergeCell ref="P211:Q211"/>
    <mergeCell ref="P212:Q212"/>
    <mergeCell ref="P213:Q213"/>
    <mergeCell ref="P214:Q214"/>
    <mergeCell ref="P205:Q205"/>
    <mergeCell ref="P206:Q206"/>
    <mergeCell ref="P207:Q207"/>
    <mergeCell ref="P208:Q208"/>
    <mergeCell ref="P209:Q209"/>
    <mergeCell ref="P200:Q200"/>
    <mergeCell ref="P201:Q201"/>
    <mergeCell ref="P202:Q202"/>
    <mergeCell ref="P203:Q203"/>
    <mergeCell ref="P204:Q204"/>
    <mergeCell ref="P195:Q195"/>
    <mergeCell ref="P196:Q196"/>
    <mergeCell ref="P197:Q197"/>
    <mergeCell ref="P198:Q198"/>
    <mergeCell ref="P199:Q199"/>
    <mergeCell ref="P190:Q190"/>
    <mergeCell ref="P191:Q191"/>
    <mergeCell ref="P192:Q192"/>
    <mergeCell ref="P193:Q193"/>
    <mergeCell ref="P194:Q194"/>
    <mergeCell ref="P185:Q185"/>
    <mergeCell ref="P186:Q186"/>
    <mergeCell ref="P187:Q187"/>
    <mergeCell ref="P188:Q188"/>
    <mergeCell ref="P189:Q189"/>
    <mergeCell ref="P180:Q180"/>
    <mergeCell ref="P181:Q181"/>
    <mergeCell ref="P182:Q182"/>
    <mergeCell ref="P183:Q183"/>
    <mergeCell ref="P184:Q184"/>
    <mergeCell ref="P175:Q175"/>
    <mergeCell ref="P176:Q176"/>
    <mergeCell ref="P177:Q177"/>
    <mergeCell ref="P178:Q178"/>
    <mergeCell ref="P179:Q179"/>
    <mergeCell ref="P170:Q170"/>
    <mergeCell ref="P171:Q171"/>
    <mergeCell ref="P172:Q172"/>
    <mergeCell ref="P173:Q173"/>
    <mergeCell ref="P174:Q174"/>
    <mergeCell ref="P165:Q165"/>
    <mergeCell ref="P166:Q166"/>
    <mergeCell ref="P167:Q167"/>
    <mergeCell ref="P168:Q168"/>
    <mergeCell ref="P169:Q169"/>
    <mergeCell ref="P160:Q160"/>
    <mergeCell ref="P161:Q161"/>
    <mergeCell ref="P162:Q162"/>
    <mergeCell ref="P163:Q163"/>
    <mergeCell ref="P164:Q164"/>
    <mergeCell ref="P155:Q155"/>
    <mergeCell ref="P156:Q156"/>
    <mergeCell ref="P157:Q157"/>
    <mergeCell ref="P158:Q158"/>
    <mergeCell ref="P159:Q159"/>
    <mergeCell ref="P150:Q150"/>
    <mergeCell ref="P151:Q151"/>
    <mergeCell ref="P152:Q152"/>
    <mergeCell ref="P153:Q153"/>
    <mergeCell ref="P154:Q154"/>
    <mergeCell ref="P145:Q145"/>
    <mergeCell ref="P146:Q146"/>
    <mergeCell ref="P147:Q147"/>
    <mergeCell ref="P148:Q148"/>
    <mergeCell ref="P149:Q149"/>
    <mergeCell ref="P140:Q140"/>
    <mergeCell ref="P141:Q141"/>
    <mergeCell ref="P142:Q142"/>
    <mergeCell ref="P143:Q143"/>
    <mergeCell ref="P144:Q144"/>
    <mergeCell ref="P135:Q135"/>
    <mergeCell ref="P136:Q136"/>
    <mergeCell ref="P137:Q137"/>
    <mergeCell ref="P138:Q138"/>
    <mergeCell ref="P139:Q139"/>
    <mergeCell ref="P130:Q130"/>
    <mergeCell ref="P131:Q131"/>
    <mergeCell ref="P132:Q132"/>
    <mergeCell ref="P133:Q133"/>
    <mergeCell ref="P134:Q134"/>
    <mergeCell ref="P125:Q125"/>
    <mergeCell ref="P126:Q126"/>
    <mergeCell ref="P127:Q127"/>
    <mergeCell ref="P128:Q128"/>
    <mergeCell ref="P129:Q129"/>
    <mergeCell ref="P120:Q120"/>
    <mergeCell ref="P121:Q121"/>
    <mergeCell ref="P122:Q122"/>
    <mergeCell ref="P123:Q123"/>
    <mergeCell ref="P124:Q124"/>
    <mergeCell ref="P115:Q115"/>
    <mergeCell ref="P116:Q116"/>
    <mergeCell ref="P117:Q117"/>
    <mergeCell ref="P118:Q118"/>
    <mergeCell ref="P119:Q119"/>
    <mergeCell ref="P110:Q110"/>
    <mergeCell ref="P111:Q111"/>
    <mergeCell ref="P112:Q112"/>
    <mergeCell ref="P113:Q113"/>
    <mergeCell ref="P114:Q114"/>
    <mergeCell ref="P105:Q105"/>
    <mergeCell ref="P106:Q106"/>
    <mergeCell ref="P107:Q107"/>
    <mergeCell ref="P108:Q108"/>
    <mergeCell ref="P109:Q109"/>
    <mergeCell ref="P100:Q100"/>
    <mergeCell ref="P101:Q101"/>
    <mergeCell ref="P102:Q102"/>
    <mergeCell ref="P103:Q103"/>
    <mergeCell ref="P104:Q104"/>
    <mergeCell ref="P95:Q95"/>
    <mergeCell ref="P96:Q96"/>
    <mergeCell ref="P97:Q97"/>
    <mergeCell ref="P98:Q98"/>
    <mergeCell ref="P99:Q99"/>
    <mergeCell ref="P90:Q90"/>
    <mergeCell ref="P91:Q91"/>
    <mergeCell ref="P92:Q92"/>
    <mergeCell ref="P93:Q93"/>
    <mergeCell ref="P94:Q94"/>
    <mergeCell ref="P85:Q85"/>
    <mergeCell ref="P86:Q86"/>
    <mergeCell ref="P87:Q87"/>
    <mergeCell ref="P88:Q88"/>
    <mergeCell ref="P89:Q89"/>
    <mergeCell ref="P80:Q80"/>
    <mergeCell ref="P81:Q81"/>
    <mergeCell ref="P82:Q82"/>
    <mergeCell ref="P83:Q83"/>
    <mergeCell ref="P84:Q84"/>
    <mergeCell ref="P47:Q47"/>
    <mergeCell ref="P48:Q48"/>
    <mergeCell ref="P49:Q49"/>
    <mergeCell ref="P40:Q40"/>
    <mergeCell ref="P41:Q41"/>
    <mergeCell ref="P42:Q42"/>
    <mergeCell ref="P43:Q43"/>
    <mergeCell ref="P44:Q44"/>
    <mergeCell ref="P75:Q75"/>
    <mergeCell ref="P76:Q76"/>
    <mergeCell ref="P77:Q77"/>
    <mergeCell ref="P78:Q78"/>
    <mergeCell ref="P79:Q79"/>
    <mergeCell ref="P70:Q70"/>
    <mergeCell ref="P71:Q71"/>
    <mergeCell ref="P72:Q72"/>
    <mergeCell ref="P73:Q73"/>
    <mergeCell ref="P74:Q74"/>
    <mergeCell ref="P65:Q65"/>
    <mergeCell ref="P66:Q66"/>
    <mergeCell ref="P67:Q67"/>
    <mergeCell ref="P68:Q68"/>
    <mergeCell ref="P69:Q69"/>
    <mergeCell ref="P60:Q60"/>
    <mergeCell ref="P61:Q61"/>
    <mergeCell ref="P62:Q62"/>
    <mergeCell ref="P63:Q63"/>
    <mergeCell ref="P64:Q64"/>
    <mergeCell ref="N465:O465"/>
    <mergeCell ref="N466:O466"/>
    <mergeCell ref="N467:O467"/>
    <mergeCell ref="N468:O468"/>
    <mergeCell ref="N469:O469"/>
    <mergeCell ref="P35:Q35"/>
    <mergeCell ref="P36:Q36"/>
    <mergeCell ref="P37:Q37"/>
    <mergeCell ref="P38:Q38"/>
    <mergeCell ref="P39:Q39"/>
    <mergeCell ref="P30:Q30"/>
    <mergeCell ref="P31:Q31"/>
    <mergeCell ref="P32:Q32"/>
    <mergeCell ref="P33:Q33"/>
    <mergeCell ref="P34:Q34"/>
    <mergeCell ref="P25:Q25"/>
    <mergeCell ref="P26:Q26"/>
    <mergeCell ref="P27:Q27"/>
    <mergeCell ref="P28:Q28"/>
    <mergeCell ref="P29:Q29"/>
    <mergeCell ref="P55:Q55"/>
    <mergeCell ref="P56:Q56"/>
    <mergeCell ref="P57:Q57"/>
    <mergeCell ref="P58:Q58"/>
    <mergeCell ref="P59:Q59"/>
    <mergeCell ref="P50:Q50"/>
    <mergeCell ref="P51:Q51"/>
    <mergeCell ref="P52:Q52"/>
    <mergeCell ref="P53:Q53"/>
    <mergeCell ref="P54:Q54"/>
    <mergeCell ref="P45:Q45"/>
    <mergeCell ref="P46:Q46"/>
    <mergeCell ref="N485:O485"/>
    <mergeCell ref="N486:O486"/>
    <mergeCell ref="N487:O487"/>
    <mergeCell ref="N488:O488"/>
    <mergeCell ref="N489:O489"/>
    <mergeCell ref="N480:O480"/>
    <mergeCell ref="N481:O481"/>
    <mergeCell ref="N482:O482"/>
    <mergeCell ref="N483:O483"/>
    <mergeCell ref="N484:O484"/>
    <mergeCell ref="N475:O475"/>
    <mergeCell ref="N476:O476"/>
    <mergeCell ref="N477:O477"/>
    <mergeCell ref="N478:O478"/>
    <mergeCell ref="N479:O479"/>
    <mergeCell ref="N470:O470"/>
    <mergeCell ref="N471:O471"/>
    <mergeCell ref="N472:O472"/>
    <mergeCell ref="N473:O473"/>
    <mergeCell ref="N474:O474"/>
    <mergeCell ref="N507:O507"/>
    <mergeCell ref="N508:O508"/>
    <mergeCell ref="N509:O509"/>
    <mergeCell ref="N500:O500"/>
    <mergeCell ref="N501:O501"/>
    <mergeCell ref="N502:O502"/>
    <mergeCell ref="N503:O503"/>
    <mergeCell ref="N504:O504"/>
    <mergeCell ref="N495:O495"/>
    <mergeCell ref="N496:O496"/>
    <mergeCell ref="N497:O497"/>
    <mergeCell ref="N498:O498"/>
    <mergeCell ref="N499:O499"/>
    <mergeCell ref="N490:O490"/>
    <mergeCell ref="N491:O491"/>
    <mergeCell ref="N492:O492"/>
    <mergeCell ref="N493:O493"/>
    <mergeCell ref="N494:O494"/>
    <mergeCell ref="N505:O505"/>
    <mergeCell ref="N506:O506"/>
    <mergeCell ref="N460:O460"/>
    <mergeCell ref="N461:O461"/>
    <mergeCell ref="N462:O462"/>
    <mergeCell ref="N463:O463"/>
    <mergeCell ref="N464:O464"/>
    <mergeCell ref="N455:O455"/>
    <mergeCell ref="N456:O456"/>
    <mergeCell ref="N457:O457"/>
    <mergeCell ref="N458:O458"/>
    <mergeCell ref="N459:O459"/>
    <mergeCell ref="N450:O450"/>
    <mergeCell ref="N451:O451"/>
    <mergeCell ref="N452:O452"/>
    <mergeCell ref="N453:O453"/>
    <mergeCell ref="N454:O454"/>
    <mergeCell ref="N445:O445"/>
    <mergeCell ref="N446:O446"/>
    <mergeCell ref="N447:O447"/>
    <mergeCell ref="N448:O448"/>
    <mergeCell ref="N449:O449"/>
    <mergeCell ref="N440:O440"/>
    <mergeCell ref="N441:O441"/>
    <mergeCell ref="N442:O442"/>
    <mergeCell ref="N443:O443"/>
    <mergeCell ref="N444:O444"/>
    <mergeCell ref="N435:O435"/>
    <mergeCell ref="N436:O436"/>
    <mergeCell ref="N437:O437"/>
    <mergeCell ref="N438:O438"/>
    <mergeCell ref="N439:O439"/>
    <mergeCell ref="N430:O430"/>
    <mergeCell ref="N431:O431"/>
    <mergeCell ref="N432:O432"/>
    <mergeCell ref="N433:O433"/>
    <mergeCell ref="N434:O434"/>
    <mergeCell ref="N425:O425"/>
    <mergeCell ref="N426:O426"/>
    <mergeCell ref="N427:O427"/>
    <mergeCell ref="N428:O428"/>
    <mergeCell ref="N429:O429"/>
    <mergeCell ref="N420:O420"/>
    <mergeCell ref="N421:O421"/>
    <mergeCell ref="N422:O422"/>
    <mergeCell ref="N423:O423"/>
    <mergeCell ref="N424:O424"/>
    <mergeCell ref="N415:O415"/>
    <mergeCell ref="N416:O416"/>
    <mergeCell ref="N417:O417"/>
    <mergeCell ref="N418:O418"/>
    <mergeCell ref="N419:O419"/>
    <mergeCell ref="N410:O410"/>
    <mergeCell ref="N411:O411"/>
    <mergeCell ref="N412:O412"/>
    <mergeCell ref="N413:O413"/>
    <mergeCell ref="N414:O414"/>
    <mergeCell ref="N405:O405"/>
    <mergeCell ref="N406:O406"/>
    <mergeCell ref="N407:O407"/>
    <mergeCell ref="N408:O408"/>
    <mergeCell ref="N409:O409"/>
    <mergeCell ref="N400:O400"/>
    <mergeCell ref="N401:O401"/>
    <mergeCell ref="N402:O402"/>
    <mergeCell ref="N403:O403"/>
    <mergeCell ref="N404:O404"/>
    <mergeCell ref="N395:O395"/>
    <mergeCell ref="N396:O396"/>
    <mergeCell ref="N397:O397"/>
    <mergeCell ref="N398:O398"/>
    <mergeCell ref="N399:O399"/>
    <mergeCell ref="N390:O390"/>
    <mergeCell ref="N391:O391"/>
    <mergeCell ref="N392:O392"/>
    <mergeCell ref="N393:O393"/>
    <mergeCell ref="N394:O394"/>
    <mergeCell ref="N385:O385"/>
    <mergeCell ref="N386:O386"/>
    <mergeCell ref="N387:O387"/>
    <mergeCell ref="N388:O388"/>
    <mergeCell ref="N389:O389"/>
    <mergeCell ref="N380:O380"/>
    <mergeCell ref="N381:O381"/>
    <mergeCell ref="N382:O382"/>
    <mergeCell ref="N383:O383"/>
    <mergeCell ref="N384:O384"/>
    <mergeCell ref="N375:O375"/>
    <mergeCell ref="N376:O376"/>
    <mergeCell ref="N377:O377"/>
    <mergeCell ref="N378:O378"/>
    <mergeCell ref="N379:O379"/>
    <mergeCell ref="N370:O370"/>
    <mergeCell ref="N371:O371"/>
    <mergeCell ref="N372:O372"/>
    <mergeCell ref="N373:O373"/>
    <mergeCell ref="N374:O374"/>
    <mergeCell ref="N365:O365"/>
    <mergeCell ref="N366:O366"/>
    <mergeCell ref="N367:O367"/>
    <mergeCell ref="N368:O368"/>
    <mergeCell ref="N369:O369"/>
    <mergeCell ref="N360:O360"/>
    <mergeCell ref="N361:O361"/>
    <mergeCell ref="N362:O362"/>
    <mergeCell ref="N363:O363"/>
    <mergeCell ref="N364:O364"/>
    <mergeCell ref="N355:O355"/>
    <mergeCell ref="N356:O356"/>
    <mergeCell ref="N357:O357"/>
    <mergeCell ref="N358:O358"/>
    <mergeCell ref="N359:O359"/>
    <mergeCell ref="N350:O350"/>
    <mergeCell ref="N351:O351"/>
    <mergeCell ref="N352:O352"/>
    <mergeCell ref="N353:O353"/>
    <mergeCell ref="N354:O354"/>
    <mergeCell ref="N345:O345"/>
    <mergeCell ref="N346:O346"/>
    <mergeCell ref="N347:O347"/>
    <mergeCell ref="N348:O348"/>
    <mergeCell ref="N349:O349"/>
    <mergeCell ref="N340:O340"/>
    <mergeCell ref="N341:O341"/>
    <mergeCell ref="N342:O342"/>
    <mergeCell ref="N343:O343"/>
    <mergeCell ref="N344:O344"/>
    <mergeCell ref="N335:O335"/>
    <mergeCell ref="N336:O336"/>
    <mergeCell ref="N337:O337"/>
    <mergeCell ref="N338:O338"/>
    <mergeCell ref="N339:O339"/>
    <mergeCell ref="N330:O330"/>
    <mergeCell ref="N331:O331"/>
    <mergeCell ref="N332:O332"/>
    <mergeCell ref="N333:O333"/>
    <mergeCell ref="N334:O334"/>
    <mergeCell ref="N325:O325"/>
    <mergeCell ref="N326:O326"/>
    <mergeCell ref="N327:O327"/>
    <mergeCell ref="N328:O328"/>
    <mergeCell ref="N329:O329"/>
    <mergeCell ref="N320:O320"/>
    <mergeCell ref="N321:O321"/>
    <mergeCell ref="N322:O322"/>
    <mergeCell ref="N323:O323"/>
    <mergeCell ref="N324:O324"/>
    <mergeCell ref="N315:O315"/>
    <mergeCell ref="N316:O316"/>
    <mergeCell ref="N317:O317"/>
    <mergeCell ref="N318:O318"/>
    <mergeCell ref="N319:O319"/>
    <mergeCell ref="N310:O310"/>
    <mergeCell ref="N311:O311"/>
    <mergeCell ref="N312:O312"/>
    <mergeCell ref="N313:O313"/>
    <mergeCell ref="N314:O314"/>
    <mergeCell ref="N305:O305"/>
    <mergeCell ref="N306:O306"/>
    <mergeCell ref="N307:O307"/>
    <mergeCell ref="N308:O308"/>
    <mergeCell ref="N309:O309"/>
    <mergeCell ref="N300:O300"/>
    <mergeCell ref="N301:O301"/>
    <mergeCell ref="N302:O302"/>
    <mergeCell ref="N303:O303"/>
    <mergeCell ref="N304:O304"/>
    <mergeCell ref="N295:O295"/>
    <mergeCell ref="N296:O296"/>
    <mergeCell ref="N297:O297"/>
    <mergeCell ref="N298:O298"/>
    <mergeCell ref="N299:O299"/>
    <mergeCell ref="N290:O290"/>
    <mergeCell ref="N291:O291"/>
    <mergeCell ref="N292:O292"/>
    <mergeCell ref="N293:O293"/>
    <mergeCell ref="N294:O294"/>
    <mergeCell ref="N285:O285"/>
    <mergeCell ref="N286:O286"/>
    <mergeCell ref="N287:O287"/>
    <mergeCell ref="N288:O288"/>
    <mergeCell ref="N289:O289"/>
    <mergeCell ref="N280:O280"/>
    <mergeCell ref="N281:O281"/>
    <mergeCell ref="N282:O282"/>
    <mergeCell ref="N283:O283"/>
    <mergeCell ref="N284:O284"/>
    <mergeCell ref="N275:O275"/>
    <mergeCell ref="N276:O276"/>
    <mergeCell ref="N277:O277"/>
    <mergeCell ref="N278:O278"/>
    <mergeCell ref="N279:O279"/>
    <mergeCell ref="N270:O270"/>
    <mergeCell ref="N271:O271"/>
    <mergeCell ref="N272:O272"/>
    <mergeCell ref="N273:O273"/>
    <mergeCell ref="N274:O274"/>
    <mergeCell ref="N265:O265"/>
    <mergeCell ref="N266:O266"/>
    <mergeCell ref="N267:O267"/>
    <mergeCell ref="N268:O268"/>
    <mergeCell ref="N269:O269"/>
    <mergeCell ref="N260:O260"/>
    <mergeCell ref="N261:O261"/>
    <mergeCell ref="N262:O262"/>
    <mergeCell ref="N263:O263"/>
    <mergeCell ref="N264:O264"/>
    <mergeCell ref="N255:O255"/>
    <mergeCell ref="N256:O256"/>
    <mergeCell ref="N257:O257"/>
    <mergeCell ref="N258:O258"/>
    <mergeCell ref="N259:O259"/>
    <mergeCell ref="N250:O250"/>
    <mergeCell ref="N251:O251"/>
    <mergeCell ref="N252:O252"/>
    <mergeCell ref="N253:O253"/>
    <mergeCell ref="N254:O254"/>
    <mergeCell ref="N245:O245"/>
    <mergeCell ref="N246:O246"/>
    <mergeCell ref="N247:O247"/>
    <mergeCell ref="N248:O248"/>
    <mergeCell ref="N249:O249"/>
    <mergeCell ref="N240:O240"/>
    <mergeCell ref="N241:O241"/>
    <mergeCell ref="N242:O242"/>
    <mergeCell ref="N243:O243"/>
    <mergeCell ref="N244:O244"/>
    <mergeCell ref="N235:O235"/>
    <mergeCell ref="N236:O236"/>
    <mergeCell ref="N237:O237"/>
    <mergeCell ref="N238:O238"/>
    <mergeCell ref="N239:O239"/>
    <mergeCell ref="N230:O230"/>
    <mergeCell ref="N231:O231"/>
    <mergeCell ref="N232:O232"/>
    <mergeCell ref="N233:O233"/>
    <mergeCell ref="N234:O234"/>
    <mergeCell ref="N225:O225"/>
    <mergeCell ref="N226:O226"/>
    <mergeCell ref="N227:O227"/>
    <mergeCell ref="N228:O228"/>
    <mergeCell ref="N229:O229"/>
    <mergeCell ref="N220:O220"/>
    <mergeCell ref="N221:O221"/>
    <mergeCell ref="N222:O222"/>
    <mergeCell ref="N223:O223"/>
    <mergeCell ref="N224:O224"/>
    <mergeCell ref="N215:O215"/>
    <mergeCell ref="N216:O216"/>
    <mergeCell ref="N217:O217"/>
    <mergeCell ref="N218:O218"/>
    <mergeCell ref="N219:O219"/>
    <mergeCell ref="N210:O210"/>
    <mergeCell ref="N211:O211"/>
    <mergeCell ref="N212:O212"/>
    <mergeCell ref="N213:O213"/>
    <mergeCell ref="N214:O214"/>
    <mergeCell ref="N205:O205"/>
    <mergeCell ref="N206:O206"/>
    <mergeCell ref="N207:O207"/>
    <mergeCell ref="N208:O208"/>
    <mergeCell ref="N209:O209"/>
    <mergeCell ref="N200:O200"/>
    <mergeCell ref="N201:O201"/>
    <mergeCell ref="N202:O202"/>
    <mergeCell ref="N203:O203"/>
    <mergeCell ref="N204:O204"/>
    <mergeCell ref="N195:O195"/>
    <mergeCell ref="N196:O196"/>
    <mergeCell ref="N197:O197"/>
    <mergeCell ref="N198:O198"/>
    <mergeCell ref="N199:O199"/>
    <mergeCell ref="N190:O190"/>
    <mergeCell ref="N191:O191"/>
    <mergeCell ref="N192:O192"/>
    <mergeCell ref="N193:O193"/>
    <mergeCell ref="N194:O194"/>
    <mergeCell ref="N185:O185"/>
    <mergeCell ref="N186:O186"/>
    <mergeCell ref="N187:O187"/>
    <mergeCell ref="N188:O188"/>
    <mergeCell ref="N189:O189"/>
    <mergeCell ref="N180:O180"/>
    <mergeCell ref="N181:O181"/>
    <mergeCell ref="N182:O182"/>
    <mergeCell ref="N183:O183"/>
    <mergeCell ref="N184:O184"/>
    <mergeCell ref="N175:O175"/>
    <mergeCell ref="N176:O176"/>
    <mergeCell ref="N177:O177"/>
    <mergeCell ref="N178:O178"/>
    <mergeCell ref="N179:O179"/>
    <mergeCell ref="N170:O170"/>
    <mergeCell ref="N171:O171"/>
    <mergeCell ref="N172:O172"/>
    <mergeCell ref="N173:O173"/>
    <mergeCell ref="N174:O174"/>
    <mergeCell ref="N165:O165"/>
    <mergeCell ref="N166:O166"/>
    <mergeCell ref="N167:O167"/>
    <mergeCell ref="N168:O168"/>
    <mergeCell ref="N169:O169"/>
    <mergeCell ref="N160:O160"/>
    <mergeCell ref="N161:O161"/>
    <mergeCell ref="N162:O162"/>
    <mergeCell ref="N163:O163"/>
    <mergeCell ref="N164:O164"/>
    <mergeCell ref="N155:O155"/>
    <mergeCell ref="N156:O156"/>
    <mergeCell ref="N157:O157"/>
    <mergeCell ref="N158:O158"/>
    <mergeCell ref="N159:O159"/>
    <mergeCell ref="N150:O150"/>
    <mergeCell ref="N151:O151"/>
    <mergeCell ref="N152:O152"/>
    <mergeCell ref="N153:O153"/>
    <mergeCell ref="N154:O154"/>
    <mergeCell ref="N145:O145"/>
    <mergeCell ref="N146:O146"/>
    <mergeCell ref="N147:O147"/>
    <mergeCell ref="N148:O148"/>
    <mergeCell ref="N149:O149"/>
    <mergeCell ref="N140:O140"/>
    <mergeCell ref="N141:O141"/>
    <mergeCell ref="N142:O142"/>
    <mergeCell ref="N143:O143"/>
    <mergeCell ref="N144:O144"/>
    <mergeCell ref="N135:O135"/>
    <mergeCell ref="N136:O136"/>
    <mergeCell ref="N137:O137"/>
    <mergeCell ref="N138:O138"/>
    <mergeCell ref="N139:O139"/>
    <mergeCell ref="N130:O130"/>
    <mergeCell ref="N131:O131"/>
    <mergeCell ref="N132:O132"/>
    <mergeCell ref="N133:O133"/>
    <mergeCell ref="N134:O134"/>
    <mergeCell ref="N125:O125"/>
    <mergeCell ref="N126:O126"/>
    <mergeCell ref="N127:O127"/>
    <mergeCell ref="N128:O128"/>
    <mergeCell ref="N129:O129"/>
    <mergeCell ref="N120:O120"/>
    <mergeCell ref="N121:O121"/>
    <mergeCell ref="N122:O122"/>
    <mergeCell ref="N123:O123"/>
    <mergeCell ref="N124:O124"/>
    <mergeCell ref="N115:O115"/>
    <mergeCell ref="N116:O116"/>
    <mergeCell ref="N117:O117"/>
    <mergeCell ref="N118:O118"/>
    <mergeCell ref="N119:O119"/>
    <mergeCell ref="N110:O110"/>
    <mergeCell ref="N111:O111"/>
    <mergeCell ref="N112:O112"/>
    <mergeCell ref="N113:O113"/>
    <mergeCell ref="N114:O114"/>
    <mergeCell ref="N105:O105"/>
    <mergeCell ref="N106:O106"/>
    <mergeCell ref="N107:O107"/>
    <mergeCell ref="N108:O108"/>
    <mergeCell ref="N109:O109"/>
    <mergeCell ref="N100:O100"/>
    <mergeCell ref="N101:O101"/>
    <mergeCell ref="N102:O102"/>
    <mergeCell ref="N103:O103"/>
    <mergeCell ref="N104:O104"/>
    <mergeCell ref="N95:O95"/>
    <mergeCell ref="N96:O96"/>
    <mergeCell ref="N97:O97"/>
    <mergeCell ref="N98:O98"/>
    <mergeCell ref="N99:O99"/>
    <mergeCell ref="N90:O90"/>
    <mergeCell ref="N91:O91"/>
    <mergeCell ref="N92:O92"/>
    <mergeCell ref="N93:O93"/>
    <mergeCell ref="N94:O94"/>
    <mergeCell ref="N85:O85"/>
    <mergeCell ref="N86:O86"/>
    <mergeCell ref="N87:O87"/>
    <mergeCell ref="N88:O88"/>
    <mergeCell ref="N89:O89"/>
    <mergeCell ref="N80:O80"/>
    <mergeCell ref="N81:O81"/>
    <mergeCell ref="N82:O82"/>
    <mergeCell ref="N83:O83"/>
    <mergeCell ref="N84:O84"/>
    <mergeCell ref="N75:O75"/>
    <mergeCell ref="N76:O76"/>
    <mergeCell ref="N77:O77"/>
    <mergeCell ref="N78:O78"/>
    <mergeCell ref="N79:O79"/>
    <mergeCell ref="N70:O70"/>
    <mergeCell ref="N71:O71"/>
    <mergeCell ref="N72:O72"/>
    <mergeCell ref="N73:O73"/>
    <mergeCell ref="N74:O74"/>
    <mergeCell ref="N65:O65"/>
    <mergeCell ref="N66:O66"/>
    <mergeCell ref="N67:O67"/>
    <mergeCell ref="N68:O68"/>
    <mergeCell ref="N69:O69"/>
    <mergeCell ref="N60:O60"/>
    <mergeCell ref="N61:O61"/>
    <mergeCell ref="N62:O62"/>
    <mergeCell ref="N63:O63"/>
    <mergeCell ref="N64:O64"/>
    <mergeCell ref="N55:O55"/>
    <mergeCell ref="N56:O56"/>
    <mergeCell ref="N57:O57"/>
    <mergeCell ref="N58:O58"/>
    <mergeCell ref="N59:O59"/>
    <mergeCell ref="N50:O50"/>
    <mergeCell ref="N51:O51"/>
    <mergeCell ref="N52:O52"/>
    <mergeCell ref="N53:O53"/>
    <mergeCell ref="N54:O54"/>
    <mergeCell ref="N45:O45"/>
    <mergeCell ref="N46:O46"/>
    <mergeCell ref="N47:O47"/>
    <mergeCell ref="N48:O48"/>
    <mergeCell ref="N49:O49"/>
    <mergeCell ref="N40:O40"/>
    <mergeCell ref="N41:O41"/>
    <mergeCell ref="N42:O42"/>
    <mergeCell ref="N43:O43"/>
    <mergeCell ref="N44:O44"/>
    <mergeCell ref="N35:O35"/>
    <mergeCell ref="N36:O36"/>
    <mergeCell ref="N37:O37"/>
    <mergeCell ref="N38:O38"/>
    <mergeCell ref="N39:O39"/>
    <mergeCell ref="N30:O30"/>
    <mergeCell ref="N31:O31"/>
    <mergeCell ref="N32:O32"/>
    <mergeCell ref="N33:O33"/>
    <mergeCell ref="N34:O34"/>
    <mergeCell ref="N25:O25"/>
    <mergeCell ref="N26:O26"/>
    <mergeCell ref="N27:O27"/>
    <mergeCell ref="N28:O28"/>
    <mergeCell ref="N29:O29"/>
    <mergeCell ref="N20:O20"/>
    <mergeCell ref="N21:O21"/>
    <mergeCell ref="N22:O22"/>
    <mergeCell ref="N23:O23"/>
    <mergeCell ref="N24:O24"/>
    <mergeCell ref="N15:O15"/>
    <mergeCell ref="N16:O16"/>
    <mergeCell ref="N17:O17"/>
    <mergeCell ref="N18:O18"/>
    <mergeCell ref="N19:O19"/>
    <mergeCell ref="M13:Q13"/>
    <mergeCell ref="AC3:AG3"/>
    <mergeCell ref="AF13:AI13"/>
    <mergeCell ref="AB13:AE13"/>
    <mergeCell ref="I13:L13"/>
    <mergeCell ref="P15:Q15"/>
    <mergeCell ref="P16:Q16"/>
    <mergeCell ref="P17:Q17"/>
    <mergeCell ref="P18:Q18"/>
    <mergeCell ref="P19:Q19"/>
    <mergeCell ref="P20:Q20"/>
    <mergeCell ref="P21:Q21"/>
    <mergeCell ref="P22:Q22"/>
    <mergeCell ref="P23:Q23"/>
    <mergeCell ref="P24:Q24"/>
    <mergeCell ref="DU13:EO13"/>
    <mergeCell ref="J5:AD5"/>
    <mergeCell ref="A6:B6"/>
    <mergeCell ref="G6:H6"/>
    <mergeCell ref="BN13:BR13"/>
    <mergeCell ref="C13:F13"/>
    <mergeCell ref="CN13:DH13"/>
    <mergeCell ref="DI13:DR13"/>
    <mergeCell ref="W9:Y9"/>
    <mergeCell ref="N14:O14"/>
    <mergeCell ref="P14:Q14"/>
    <mergeCell ref="J9:S9"/>
    <mergeCell ref="B1:D1"/>
    <mergeCell ref="B2:D2"/>
    <mergeCell ref="B3:D3"/>
    <mergeCell ref="BS13:CM13"/>
    <mergeCell ref="AJ13:AL13"/>
    <mergeCell ref="AM13:AO13"/>
    <mergeCell ref="AP13:AR13"/>
    <mergeCell ref="BG13:BI13"/>
    <mergeCell ref="BJ13:BM13"/>
    <mergeCell ref="R13:AA13"/>
    <mergeCell ref="AT13:BC13"/>
    <mergeCell ref="BD13:BF13"/>
    <mergeCell ref="D6:E6"/>
    <mergeCell ref="J1:Q1"/>
    <mergeCell ref="G1:H1"/>
    <mergeCell ref="G2:H2"/>
    <mergeCell ref="B4:D4"/>
  </mergeCells>
  <conditionalFormatting sqref="F15:F509">
    <cfRule type="expression" dxfId="4" priority="1">
      <formula>$F15&lt;0</formula>
    </cfRule>
  </conditionalFormatting>
  <dataValidations count="3">
    <dataValidation type="list" allowBlank="1" showInputMessage="1" showErrorMessage="1" sqref="J15:J509">
      <formula1>$BS$14:$CM$14</formula1>
    </dataValidation>
    <dataValidation allowBlank="1" showErrorMessage="1" sqref="K15:K509"/>
    <dataValidation type="list" allowBlank="1" showInputMessage="1" showErrorMessage="1" sqref="G2">
      <formula1>"Einlagerung,Goldmünzen"</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topLeftCell="A29" workbookViewId="0">
      <selection activeCell="Q31" sqref="Q31"/>
    </sheetView>
  </sheetViews>
  <sheetFormatPr baseColWidth="10" defaultRowHeight="15" x14ac:dyDescent="0.25"/>
  <cols>
    <col min="1" max="1" width="11.140625" bestFit="1" customWidth="1"/>
    <col min="2" max="2" width="13.42578125" bestFit="1" customWidth="1"/>
    <col min="3" max="3" width="12.5703125" bestFit="1" customWidth="1"/>
    <col min="4" max="4" width="12.140625" bestFit="1" customWidth="1"/>
    <col min="5" max="5" width="8.42578125" bestFit="1" customWidth="1"/>
    <col min="6" max="7" width="7.5703125" bestFit="1" customWidth="1"/>
    <col min="8" max="8" width="12" bestFit="1" customWidth="1"/>
    <col min="9" max="9" width="15.28515625" bestFit="1" customWidth="1"/>
    <col min="10" max="10" width="13.140625" bestFit="1" customWidth="1"/>
    <col min="11" max="11" width="7.5703125" bestFit="1" customWidth="1"/>
    <col min="12" max="12" width="8.5703125" bestFit="1" customWidth="1"/>
    <col min="13" max="13" width="7.7109375" bestFit="1" customWidth="1"/>
    <col min="14" max="14" width="10.42578125" bestFit="1" customWidth="1"/>
    <col min="15" max="15" width="7.5703125" bestFit="1" customWidth="1"/>
    <col min="16" max="16" width="18.140625" bestFit="1" customWidth="1"/>
    <col min="17" max="17" width="14.5703125" bestFit="1" customWidth="1"/>
  </cols>
  <sheetData>
    <row r="1" spans="1:23" x14ac:dyDescent="0.25">
      <c r="A1" s="76" t="s">
        <v>245</v>
      </c>
      <c r="B1" s="202">
        <f>(P7-SUM(G7:J7))/P7</f>
        <v>0.30232558139534882</v>
      </c>
      <c r="C1" t="s">
        <v>247</v>
      </c>
      <c r="D1" s="202">
        <f>(SUM(G7:H7)+J7)/P7</f>
        <v>0.50387596899224807</v>
      </c>
      <c r="E1" t="s">
        <v>250</v>
      </c>
      <c r="F1" s="203">
        <f>I7/P7</f>
        <v>0.19379844961240311</v>
      </c>
      <c r="H1" s="467" t="s">
        <v>246</v>
      </c>
      <c r="I1" s="467"/>
      <c r="J1" s="467"/>
      <c r="K1" s="467"/>
      <c r="L1" s="467"/>
      <c r="M1" s="467"/>
      <c r="N1" s="467"/>
      <c r="O1" s="467"/>
      <c r="P1" s="201"/>
      <c r="V1">
        <v>1.0369999999999999</v>
      </c>
      <c r="W1">
        <v>50</v>
      </c>
    </row>
    <row r="2" spans="1:23" ht="15.75" thickBot="1" x14ac:dyDescent="0.3">
      <c r="S2" t="s">
        <v>230</v>
      </c>
      <c r="U2" t="s">
        <v>226</v>
      </c>
      <c r="V2" t="s">
        <v>228</v>
      </c>
      <c r="W2" t="s">
        <v>229</v>
      </c>
    </row>
    <row r="3" spans="1:23" ht="15.75" thickBot="1" x14ac:dyDescent="0.3">
      <c r="A3" s="131"/>
      <c r="B3" s="184"/>
      <c r="C3" s="184" t="s">
        <v>73</v>
      </c>
      <c r="D3" s="184" t="s">
        <v>74</v>
      </c>
      <c r="E3" s="184" t="s">
        <v>75</v>
      </c>
      <c r="F3" s="184" t="s">
        <v>190</v>
      </c>
      <c r="G3" s="184" t="s">
        <v>71</v>
      </c>
      <c r="H3" s="184" t="s">
        <v>76</v>
      </c>
      <c r="I3" s="184" t="s">
        <v>191</v>
      </c>
      <c r="J3" s="184" t="s">
        <v>77</v>
      </c>
      <c r="K3" s="184" t="s">
        <v>78</v>
      </c>
      <c r="L3" s="184" t="s">
        <v>79</v>
      </c>
      <c r="M3" s="184" t="s">
        <v>192</v>
      </c>
      <c r="N3" s="184" t="s">
        <v>193</v>
      </c>
      <c r="O3" s="185" t="s">
        <v>194</v>
      </c>
      <c r="P3" s="188" t="s">
        <v>154</v>
      </c>
      <c r="Q3" s="189" t="s">
        <v>240</v>
      </c>
      <c r="R3" s="13"/>
      <c r="S3" s="134">
        <v>0</v>
      </c>
      <c r="U3">
        <v>0</v>
      </c>
      <c r="V3" s="183">
        <f>$V$1^U3</f>
        <v>1</v>
      </c>
      <c r="W3">
        <v>20</v>
      </c>
    </row>
    <row r="4" spans="1:23" x14ac:dyDescent="0.25">
      <c r="A4" s="468" t="s">
        <v>219</v>
      </c>
      <c r="B4" s="91" t="s">
        <v>70</v>
      </c>
      <c r="C4" s="193">
        <v>0</v>
      </c>
      <c r="D4" s="193">
        <v>0</v>
      </c>
      <c r="E4" s="193">
        <v>1170</v>
      </c>
      <c r="F4" s="193">
        <v>0</v>
      </c>
      <c r="G4" s="193">
        <v>0</v>
      </c>
      <c r="H4" s="193">
        <v>600</v>
      </c>
      <c r="I4" s="193">
        <v>250</v>
      </c>
      <c r="J4" s="193">
        <v>0</v>
      </c>
      <c r="K4" s="193">
        <v>0</v>
      </c>
      <c r="L4" s="193">
        <v>0</v>
      </c>
      <c r="M4" s="193">
        <v>0</v>
      </c>
      <c r="N4" s="193">
        <v>0</v>
      </c>
      <c r="O4" s="194">
        <v>0</v>
      </c>
      <c r="P4" s="81"/>
      <c r="Q4" s="82"/>
      <c r="S4" s="408" t="s">
        <v>231</v>
      </c>
      <c r="T4" s="409"/>
      <c r="U4">
        <v>1</v>
      </c>
      <c r="V4" s="183">
        <f t="shared" ref="V4:V23" si="0">$V$1^U4</f>
        <v>1.0369999999999999</v>
      </c>
      <c r="W4">
        <v>70</v>
      </c>
    </row>
    <row r="5" spans="1:23" x14ac:dyDescent="0.25">
      <c r="A5" s="465"/>
      <c r="B5" s="79" t="s">
        <v>221</v>
      </c>
      <c r="C5" s="79">
        <v>1</v>
      </c>
      <c r="D5" s="79">
        <v>1</v>
      </c>
      <c r="E5" s="79">
        <v>1</v>
      </c>
      <c r="F5" s="79">
        <v>1</v>
      </c>
      <c r="G5" s="79">
        <v>1</v>
      </c>
      <c r="H5" s="79">
        <v>1</v>
      </c>
      <c r="I5" s="79">
        <v>1</v>
      </c>
      <c r="J5" s="79">
        <v>1</v>
      </c>
      <c r="K5" s="79">
        <v>1</v>
      </c>
      <c r="L5" s="79">
        <v>1</v>
      </c>
      <c r="M5" s="79">
        <v>1</v>
      </c>
      <c r="N5" s="79">
        <v>1</v>
      </c>
      <c r="O5" s="143">
        <v>1</v>
      </c>
      <c r="P5" s="81"/>
      <c r="Q5" s="82"/>
      <c r="S5" s="81" t="s">
        <v>232</v>
      </c>
      <c r="T5" s="40">
        <v>0</v>
      </c>
      <c r="U5">
        <v>2</v>
      </c>
      <c r="V5" s="183">
        <f t="shared" si="0"/>
        <v>1.0753689999999998</v>
      </c>
      <c r="W5">
        <v>120</v>
      </c>
    </row>
    <row r="6" spans="1:23" x14ac:dyDescent="0.25">
      <c r="A6" s="465"/>
      <c r="B6" s="79" t="s">
        <v>222</v>
      </c>
      <c r="C6" s="181">
        <f>VLOOKUP(C3,'Unit information'!$AA$2:$AH$15,5,FALSE)*'Unit information'!$AE$19^(C5-1)</f>
        <v>10</v>
      </c>
      <c r="D6" s="181">
        <f>VLOOKUP(D3,'Unit information'!$AA$2:$AH$15,5,FALSE)*'Unit information'!$AE$19^(D5-1)</f>
        <v>25</v>
      </c>
      <c r="E6" s="181">
        <f>VLOOKUP(E3,'Unit information'!$AA$2:$AH$15,5,FALSE)*'Unit information'!$AE$19^(E5-1)</f>
        <v>40</v>
      </c>
      <c r="F6" s="181">
        <f>VLOOKUP(F3,'Unit information'!$AA$2:$AH$15,5,FALSE)*'Unit information'!$AE$19^(F5-1)</f>
        <v>15</v>
      </c>
      <c r="G6" s="181">
        <f>VLOOKUP(G3,'Unit information'!$AA$2:$AH$15,5,FALSE)*'Unit information'!$AE$19^(G5-1)</f>
        <v>0</v>
      </c>
      <c r="H6" s="181">
        <f>VLOOKUP(H3,'Unit information'!$AA$2:$AH$15,5,FALSE)*'Unit information'!$AE$19^(H5-1)</f>
        <v>130</v>
      </c>
      <c r="I6" s="181">
        <f>VLOOKUP(I3,'Unit information'!$AA$2:$AH$15,5,FALSE)*'Unit information'!$AE$19^(I5-1)</f>
        <v>120</v>
      </c>
      <c r="J6" s="181">
        <f>VLOOKUP(J3,'Unit information'!$AA$2:$AH$15,5,FALSE)*'Unit information'!$AE$19^(J5-1)</f>
        <v>150</v>
      </c>
      <c r="K6" s="181">
        <f>VLOOKUP(K3,'Unit information'!$AA$2:$AH$15,5,FALSE)*'Unit information'!$AE$19^(K5-1)</f>
        <v>2</v>
      </c>
      <c r="L6" s="181">
        <f>VLOOKUP(L3,'Unit information'!$AA$2:$AH$15,5,FALSE)*'Unit information'!$AE$19^(L5-1)</f>
        <v>100</v>
      </c>
      <c r="M6" s="181">
        <f>VLOOKUP(M3,'Unit information'!$AA$2:$AH$15,5,FALSE)*'Unit information'!$AE$19^(M5-1)</f>
        <v>150</v>
      </c>
      <c r="N6" s="181">
        <f>VLOOKUP(N3,'Unit information'!$AA$2:$AH$15,5,FALSE)*'Unit information'!$AE$19^(N5-1)</f>
        <v>30</v>
      </c>
      <c r="O6" s="186">
        <f>VLOOKUP(O3,'Unit information'!$AA$2:$AH$15,5,FALSE)*'Unit information'!$AE$19^(O5-1)</f>
        <v>0</v>
      </c>
      <c r="P6" s="81"/>
      <c r="Q6" s="82"/>
      <c r="S6" s="81" t="s">
        <v>233</v>
      </c>
      <c r="T6" s="82">
        <f>IF(T5-(K4*2/(8*1.09^T5))&lt;T5/2,ROUNDDOWN(T5/2,0),T5-ROUND(K4*2/(8*1.09^T5),0))</f>
        <v>0</v>
      </c>
      <c r="U6">
        <v>3</v>
      </c>
      <c r="V6" s="183">
        <f t="shared" si="0"/>
        <v>1.1151576529999998</v>
      </c>
      <c r="W6">
        <v>170</v>
      </c>
    </row>
    <row r="7" spans="1:23" ht="15.75" thickBot="1" x14ac:dyDescent="0.3">
      <c r="A7" s="466"/>
      <c r="B7" s="93" t="s">
        <v>223</v>
      </c>
      <c r="C7" s="93">
        <f t="shared" ref="C7:O7" si="1">C6*C4</f>
        <v>0</v>
      </c>
      <c r="D7" s="93">
        <f t="shared" si="1"/>
        <v>0</v>
      </c>
      <c r="E7" s="93">
        <f t="shared" si="1"/>
        <v>46800</v>
      </c>
      <c r="F7" s="93">
        <f t="shared" si="1"/>
        <v>0</v>
      </c>
      <c r="G7" s="93">
        <f t="shared" si="1"/>
        <v>0</v>
      </c>
      <c r="H7" s="93">
        <f t="shared" si="1"/>
        <v>78000</v>
      </c>
      <c r="I7" s="93">
        <f t="shared" si="1"/>
        <v>30000</v>
      </c>
      <c r="J7" s="93">
        <f t="shared" si="1"/>
        <v>0</v>
      </c>
      <c r="K7" s="93">
        <f t="shared" si="1"/>
        <v>0</v>
      </c>
      <c r="L7" s="93">
        <f t="shared" si="1"/>
        <v>0</v>
      </c>
      <c r="M7" s="93">
        <f t="shared" si="1"/>
        <v>0</v>
      </c>
      <c r="N7" s="93">
        <f t="shared" si="1"/>
        <v>0</v>
      </c>
      <c r="O7" s="145">
        <f t="shared" si="1"/>
        <v>0</v>
      </c>
      <c r="P7" s="81">
        <f>SUM(C7:O7)</f>
        <v>154800</v>
      </c>
      <c r="Q7" s="82">
        <f>P7*(1+S3)</f>
        <v>154800</v>
      </c>
      <c r="S7" s="126" t="s">
        <v>244</v>
      </c>
      <c r="T7" s="191">
        <f>IF(K20=K21,Q7/Q14*K4,K20+(K20-K21))</f>
        <v>0</v>
      </c>
      <c r="U7">
        <v>4</v>
      </c>
      <c r="V7" s="183">
        <f t="shared" si="0"/>
        <v>1.1564184861609996</v>
      </c>
      <c r="W7">
        <v>220</v>
      </c>
    </row>
    <row r="8" spans="1:23" ht="15.75" thickBot="1" x14ac:dyDescent="0.3">
      <c r="A8" s="468" t="s">
        <v>220</v>
      </c>
      <c r="B8" s="91" t="s">
        <v>70</v>
      </c>
      <c r="C8" s="193">
        <v>1000</v>
      </c>
      <c r="D8" s="193">
        <v>1000</v>
      </c>
      <c r="E8" s="193">
        <v>0</v>
      </c>
      <c r="F8" s="193">
        <v>0</v>
      </c>
      <c r="G8" s="193">
        <v>0</v>
      </c>
      <c r="H8" s="193">
        <v>0</v>
      </c>
      <c r="I8" s="193">
        <v>0</v>
      </c>
      <c r="J8" s="193">
        <v>500</v>
      </c>
      <c r="K8" s="193">
        <v>0</v>
      </c>
      <c r="L8" s="193">
        <v>0</v>
      </c>
      <c r="M8" s="193">
        <v>0</v>
      </c>
      <c r="N8" s="193">
        <v>0</v>
      </c>
      <c r="O8" s="194">
        <v>0</v>
      </c>
      <c r="P8" s="81"/>
      <c r="Q8" s="82"/>
      <c r="S8" s="88" t="s">
        <v>234</v>
      </c>
      <c r="T8" s="192">
        <f>IF(T5-ROUND(T7*K6/(8*1.09^T5),0)&lt;0,"0",T5-ROUND(T7*K6/(8*1.09^T5),0))</f>
        <v>0</v>
      </c>
      <c r="U8">
        <v>5</v>
      </c>
      <c r="V8" s="183">
        <f t="shared" si="0"/>
        <v>1.1992059701489566</v>
      </c>
      <c r="W8">
        <v>270</v>
      </c>
    </row>
    <row r="9" spans="1:23" x14ac:dyDescent="0.25">
      <c r="A9" s="465"/>
      <c r="B9" s="79" t="s">
        <v>221</v>
      </c>
      <c r="C9" s="79">
        <v>1</v>
      </c>
      <c r="D9" s="79">
        <v>1</v>
      </c>
      <c r="E9" s="79">
        <v>1</v>
      </c>
      <c r="F9" s="79">
        <v>1</v>
      </c>
      <c r="G9" s="79">
        <v>1</v>
      </c>
      <c r="H9" s="79">
        <v>1</v>
      </c>
      <c r="I9" s="79">
        <v>1</v>
      </c>
      <c r="J9" s="79">
        <v>1</v>
      </c>
      <c r="K9" s="79">
        <v>1</v>
      </c>
      <c r="L9" s="79">
        <v>1</v>
      </c>
      <c r="M9" s="79">
        <v>1</v>
      </c>
      <c r="N9" s="79">
        <v>1</v>
      </c>
      <c r="O9" s="143">
        <v>1</v>
      </c>
      <c r="P9" s="81"/>
      <c r="Q9" s="82"/>
      <c r="U9">
        <v>6</v>
      </c>
      <c r="V9" s="183">
        <f t="shared" si="0"/>
        <v>1.2435765910444678</v>
      </c>
      <c r="W9">
        <v>320</v>
      </c>
    </row>
    <row r="10" spans="1:23" x14ac:dyDescent="0.25">
      <c r="A10" s="465"/>
      <c r="B10" s="79" t="s">
        <v>224</v>
      </c>
      <c r="C10" s="181">
        <f>VLOOKUP(C3,'Unit information'!$AA$2:$AH$15,6,FALSE)*'Unit information'!$AE$19^(C9-1)</f>
        <v>15</v>
      </c>
      <c r="D10" s="181">
        <f>VLOOKUP(D3,'Unit information'!$AA$2:$AH$15,6,FALSE)*'Unit information'!$AE$19^(D9-1)</f>
        <v>50</v>
      </c>
      <c r="E10" s="181">
        <f>VLOOKUP(E3,'Unit information'!$AA$2:$AH$15,6,FALSE)*'Unit information'!$AE$19^(E9-1)</f>
        <v>10</v>
      </c>
      <c r="F10" s="181">
        <f>VLOOKUP(F3,'Unit information'!$AA$2:$AH$15,6,FALSE)*'Unit information'!$AE$19^(F9-1)</f>
        <v>50</v>
      </c>
      <c r="G10" s="181">
        <f>VLOOKUP(G3,'Unit information'!$AA$2:$AH$15,6,FALSE)*'Unit information'!$AE$19^(G9-1)</f>
        <v>2</v>
      </c>
      <c r="H10" s="181">
        <f>VLOOKUP(H3,'Unit information'!$AA$2:$AH$15,6,FALSE)*'Unit information'!$AE$19^(H9-1)</f>
        <v>30</v>
      </c>
      <c r="I10" s="181">
        <f>VLOOKUP(I3,'Unit information'!$AA$2:$AH$15,6,FALSE)*'Unit information'!$AE$19^(I9-1)</f>
        <v>40</v>
      </c>
      <c r="J10" s="181">
        <f>VLOOKUP(J3,'Unit information'!$AA$2:$AH$15,6,FALSE)*'Unit information'!$AE$19^(J9-1)</f>
        <v>200</v>
      </c>
      <c r="K10" s="181">
        <f>VLOOKUP(K3,'Unit information'!$AA$2:$AH$15,6,FALSE)*'Unit information'!$AE$19^(K9-1)</f>
        <v>20</v>
      </c>
      <c r="L10" s="181">
        <f>VLOOKUP(L3,'Unit information'!$AA$2:$AH$15,6,FALSE)*'Unit information'!$AE$19^(L9-1)</f>
        <v>100</v>
      </c>
      <c r="M10" s="181">
        <f>VLOOKUP(M3,'Unit information'!$AA$2:$AH$15,6,FALSE)*'Unit information'!$AE$19^(M9-1)</f>
        <v>250</v>
      </c>
      <c r="N10" s="181">
        <f>VLOOKUP(N3,'Unit information'!$AA$2:$AH$15,6,FALSE)*'Unit information'!$AE$19^(N9-1)</f>
        <v>100</v>
      </c>
      <c r="O10" s="143"/>
      <c r="P10" s="81"/>
      <c r="Q10" s="82"/>
      <c r="U10">
        <v>7</v>
      </c>
      <c r="V10" s="183">
        <f t="shared" si="0"/>
        <v>1.2895889249131132</v>
      </c>
      <c r="W10">
        <v>370</v>
      </c>
    </row>
    <row r="11" spans="1:23" x14ac:dyDescent="0.25">
      <c r="A11" s="465"/>
      <c r="B11" s="79" t="s">
        <v>225</v>
      </c>
      <c r="C11" s="181">
        <f>VLOOKUP(C3,'Unit information'!$AA$2:$AH$15,7,FALSE)*'Unit information'!$AE$19^(C9-1)</f>
        <v>45</v>
      </c>
      <c r="D11" s="181">
        <f>VLOOKUP(D3,'Unit information'!$AA$2:$AH$15,7,FALSE)*'Unit information'!$AE$19^(D9-1)</f>
        <v>25</v>
      </c>
      <c r="E11" s="181">
        <f>VLOOKUP(E3,'Unit information'!$AA$2:$AH$15,7,FALSE)*'Unit information'!$AE$19^(E9-1)</f>
        <v>5</v>
      </c>
      <c r="F11" s="181">
        <f>VLOOKUP(F3,'Unit information'!$AA$2:$AH$15,7,FALSE)*'Unit information'!$AE$19^(F9-1)</f>
        <v>40</v>
      </c>
      <c r="G11" s="181">
        <f>VLOOKUP(G3,'Unit information'!$AA$2:$AH$15,7,FALSE)*'Unit information'!$AE$19^(G9-1)</f>
        <v>1</v>
      </c>
      <c r="H11" s="181">
        <f>VLOOKUP(H3,'Unit information'!$AA$2:$AH$15,7,FALSE)*'Unit information'!$AE$19^(H9-1)</f>
        <v>40</v>
      </c>
      <c r="I11" s="181">
        <f>VLOOKUP(I3,'Unit information'!$AA$2:$AH$15,7,FALSE)*'Unit information'!$AE$19^(I9-1)</f>
        <v>30</v>
      </c>
      <c r="J11" s="181">
        <f>VLOOKUP(J3,'Unit information'!$AA$2:$AH$15,7,FALSE)*'Unit information'!$AE$19^(J9-1)</f>
        <v>80</v>
      </c>
      <c r="K11" s="181">
        <f>VLOOKUP(K3,'Unit information'!$AA$2:$AH$15,7,FALSE)*'Unit information'!$AE$19^(K9-1)</f>
        <v>50</v>
      </c>
      <c r="L11" s="181">
        <f>VLOOKUP(L3,'Unit information'!$AA$2:$AH$15,7,FALSE)*'Unit information'!$AE$19^(L9-1)</f>
        <v>50</v>
      </c>
      <c r="M11" s="181">
        <f>VLOOKUP(M3,'Unit information'!$AA$2:$AH$15,7,FALSE)*'Unit information'!$AE$19^(M9-1)</f>
        <v>400</v>
      </c>
      <c r="N11" s="181">
        <f>VLOOKUP(N3,'Unit information'!$AA$2:$AH$15,7,FALSE)*'Unit information'!$AE$19^(N9-1)</f>
        <v>50</v>
      </c>
      <c r="O11" s="186">
        <f>VLOOKUP(O3,'Unit information'!$AA$2:$AH$15,7,FALSE)*'Unit information'!$AE$19^(O9-1)</f>
        <v>45</v>
      </c>
      <c r="P11" s="81"/>
      <c r="Q11" s="82"/>
      <c r="U11">
        <v>8</v>
      </c>
      <c r="V11" s="183">
        <f t="shared" si="0"/>
        <v>1.3373037151348981</v>
      </c>
      <c r="W11">
        <v>420</v>
      </c>
    </row>
    <row r="12" spans="1:23" x14ac:dyDescent="0.25">
      <c r="A12" s="469"/>
      <c r="B12" s="204" t="s">
        <v>252</v>
      </c>
      <c r="C12" s="181">
        <f>VLOOKUP(C3,'Unit information'!$AA$2:$AH$15,8,FALSE)*'Unit information'!$AE$19^(C9-1)</f>
        <v>20</v>
      </c>
      <c r="D12" s="181">
        <f>VLOOKUP(D3,'Unit information'!$AA$2:$AH$15,8,FALSE)*'Unit information'!$AE$19^(D9-1)</f>
        <v>40</v>
      </c>
      <c r="E12" s="181">
        <f>VLOOKUP(E3,'Unit information'!$AA$2:$AH$15,8,FALSE)*'Unit information'!$AE$19^(E9-1)</f>
        <v>10</v>
      </c>
      <c r="F12" s="181">
        <f>VLOOKUP(F3,'Unit information'!$AA$2:$AH$15,8,FALSE)*'Unit information'!$AE$19^(F9-1)</f>
        <v>5</v>
      </c>
      <c r="G12" s="181">
        <f>VLOOKUP(G3,'Unit information'!$AA$2:$AH$15,8,FALSE)*'Unit information'!$AE$19^(G9-1)</f>
        <v>2</v>
      </c>
      <c r="H12" s="181">
        <f>VLOOKUP(H3,'Unit information'!$AA$2:$AH$15,8,FALSE)*'Unit information'!$AE$19^(H9-1)</f>
        <v>30</v>
      </c>
      <c r="I12" s="181">
        <f>VLOOKUP(I3,'Unit information'!$AA$2:$AH$15,8,FALSE)*'Unit information'!$AE$19^(I9-1)</f>
        <v>50</v>
      </c>
      <c r="J12" s="181">
        <f>VLOOKUP(J3,'Unit information'!$AA$2:$AH$15,8,FALSE)*'Unit information'!$AE$19^(J9-1)</f>
        <v>180</v>
      </c>
      <c r="K12" s="181">
        <f>VLOOKUP(K3,'Unit information'!$AA$2:$AH$15,8,FALSE)*'Unit information'!$AE$19^(K9-1)</f>
        <v>20</v>
      </c>
      <c r="L12" s="181">
        <f>VLOOKUP(L3,'Unit information'!$AA$2:$AH$15,8,FALSE)*'Unit information'!$AE$19^(L9-1)</f>
        <v>100</v>
      </c>
      <c r="M12" s="181">
        <f>VLOOKUP(M3,'Unit information'!$AA$2:$AH$15,8,FALSE)*'Unit information'!$AE$19^(M9-1)</f>
        <v>150</v>
      </c>
      <c r="N12" s="181">
        <f>VLOOKUP(N3,'Unit information'!$AA$2:$AH$15,8,FALSE)*'Unit information'!$AE$19^(N9-1)</f>
        <v>100</v>
      </c>
      <c r="O12" s="181">
        <f>VLOOKUP(O3,'Unit information'!$AA$2:$AH$15,8,FALSE)*'Unit information'!$AE$19^(O9-1)</f>
        <v>25</v>
      </c>
      <c r="P12" s="205"/>
      <c r="Q12" s="206"/>
      <c r="U12">
        <v>9</v>
      </c>
      <c r="V12" s="183">
        <f t="shared" si="0"/>
        <v>1.3867839525948893</v>
      </c>
      <c r="W12">
        <v>470</v>
      </c>
    </row>
    <row r="13" spans="1:23" ht="15.75" thickBot="1" x14ac:dyDescent="0.3">
      <c r="A13" s="466"/>
      <c r="B13" s="93" t="s">
        <v>223</v>
      </c>
      <c r="C13" s="182">
        <f t="shared" ref="C13:O13" si="2">(C8)*($B$1*C11+C10)/($B$1+1)</f>
        <v>21964.28571428571</v>
      </c>
      <c r="D13" s="182">
        <f t="shared" si="2"/>
        <v>44196.428571428572</v>
      </c>
      <c r="E13" s="182">
        <f t="shared" si="2"/>
        <v>0</v>
      </c>
      <c r="F13" s="182">
        <f t="shared" si="2"/>
        <v>0</v>
      </c>
      <c r="G13" s="182">
        <f t="shared" si="2"/>
        <v>0</v>
      </c>
      <c r="H13" s="182">
        <f t="shared" si="2"/>
        <v>0</v>
      </c>
      <c r="I13" s="182">
        <f t="shared" si="2"/>
        <v>0</v>
      </c>
      <c r="J13" s="182">
        <f t="shared" si="2"/>
        <v>86071.428571428565</v>
      </c>
      <c r="K13" s="182">
        <f t="shared" si="2"/>
        <v>0</v>
      </c>
      <c r="L13" s="182">
        <f t="shared" si="2"/>
        <v>0</v>
      </c>
      <c r="M13" s="182">
        <f t="shared" si="2"/>
        <v>0</v>
      </c>
      <c r="N13" s="182">
        <f t="shared" si="2"/>
        <v>0</v>
      </c>
      <c r="O13" s="187">
        <f t="shared" si="2"/>
        <v>0</v>
      </c>
      <c r="P13" s="199">
        <f>SUM(C13:O13)</f>
        <v>152232.14285714284</v>
      </c>
      <c r="Q13" s="200">
        <f>P13*(1+VLOOKUP(T6,U2:W23,2,FALSE))+VLOOKUP(T6,U2:W23,3,FALSE)</f>
        <v>304484.28571428568</v>
      </c>
      <c r="U13">
        <v>10</v>
      </c>
      <c r="V13" s="183">
        <f t="shared" si="0"/>
        <v>1.4380949588409</v>
      </c>
      <c r="W13">
        <v>520</v>
      </c>
    </row>
    <row r="14" spans="1:23" x14ac:dyDescent="0.25">
      <c r="P14" t="s">
        <v>242</v>
      </c>
      <c r="Q14" s="190">
        <f>Q7/SQRT(Q13/Q7)</f>
        <v>110375.83259763692</v>
      </c>
      <c r="U14">
        <v>11</v>
      </c>
      <c r="V14" s="183">
        <f t="shared" si="0"/>
        <v>1.4913044723180133</v>
      </c>
      <c r="W14">
        <v>570</v>
      </c>
    </row>
    <row r="15" spans="1:23" ht="15.75" thickBot="1" x14ac:dyDescent="0.3">
      <c r="B15" t="s">
        <v>248</v>
      </c>
      <c r="Q15" s="77"/>
      <c r="U15">
        <v>12</v>
      </c>
      <c r="V15" s="183">
        <f t="shared" si="0"/>
        <v>1.5464827377937795</v>
      </c>
      <c r="W15">
        <v>620</v>
      </c>
    </row>
    <row r="16" spans="1:23" ht="15.75" thickBot="1" x14ac:dyDescent="0.3">
      <c r="C16" s="184" t="s">
        <v>73</v>
      </c>
      <c r="D16" s="184" t="s">
        <v>74</v>
      </c>
      <c r="E16" s="184" t="s">
        <v>75</v>
      </c>
      <c r="F16" s="184" t="s">
        <v>190</v>
      </c>
      <c r="G16" s="184" t="s">
        <v>71</v>
      </c>
      <c r="H16" s="184" t="s">
        <v>76</v>
      </c>
      <c r="I16" s="184" t="s">
        <v>191</v>
      </c>
      <c r="J16" s="184" t="s">
        <v>77</v>
      </c>
      <c r="K16" s="184" t="s">
        <v>78</v>
      </c>
      <c r="L16" s="184" t="s">
        <v>79</v>
      </c>
      <c r="M16" s="184" t="s">
        <v>192</v>
      </c>
      <c r="N16" s="184" t="s">
        <v>193</v>
      </c>
      <c r="O16" s="185" t="s">
        <v>194</v>
      </c>
      <c r="P16">
        <f>SUM(C7:F7)+SUM(K7:O7)</f>
        <v>46800</v>
      </c>
      <c r="Q16" s="77">
        <f>P16*(1+$S$3)</f>
        <v>46800</v>
      </c>
      <c r="U16">
        <v>13</v>
      </c>
      <c r="V16" s="183">
        <f t="shared" si="0"/>
        <v>1.6037025990921494</v>
      </c>
      <c r="W16">
        <v>670</v>
      </c>
    </row>
    <row r="17" spans="1:23" ht="15.75" thickBot="1" x14ac:dyDescent="0.3">
      <c r="C17" s="77">
        <f t="shared" ref="C17:O17" si="3">C10*$B$1*C8</f>
        <v>4534.8837209302328</v>
      </c>
      <c r="D17" s="77">
        <f t="shared" si="3"/>
        <v>15116.279069767441</v>
      </c>
      <c r="E17" s="77">
        <f t="shared" si="3"/>
        <v>0</v>
      </c>
      <c r="F17" s="77">
        <f t="shared" si="3"/>
        <v>0</v>
      </c>
      <c r="G17" s="77">
        <f t="shared" si="3"/>
        <v>0</v>
      </c>
      <c r="H17" s="77">
        <f t="shared" si="3"/>
        <v>0</v>
      </c>
      <c r="I17" s="77">
        <f t="shared" si="3"/>
        <v>0</v>
      </c>
      <c r="J17" s="77">
        <f t="shared" si="3"/>
        <v>30232.558139534882</v>
      </c>
      <c r="K17" s="77">
        <f t="shared" si="3"/>
        <v>0</v>
      </c>
      <c r="L17" s="77">
        <f t="shared" si="3"/>
        <v>0</v>
      </c>
      <c r="M17" s="77">
        <f t="shared" si="3"/>
        <v>0</v>
      </c>
      <c r="N17" s="77">
        <f t="shared" si="3"/>
        <v>0</v>
      </c>
      <c r="O17" s="77">
        <f t="shared" si="3"/>
        <v>0</v>
      </c>
      <c r="P17" s="199">
        <f>SUM(C17:O17)</f>
        <v>49883.72093023255</v>
      </c>
      <c r="Q17" s="200">
        <f>P17*(VLOOKUP($T$6,$U$2:$W$23,2,FALSE))+VLOOKUP($T$6,$U$2:$W$23,3,FALSE)</f>
        <v>49903.72093023255</v>
      </c>
      <c r="U17">
        <v>14</v>
      </c>
      <c r="V17" s="183">
        <f t="shared" si="0"/>
        <v>1.6630395952585586</v>
      </c>
      <c r="W17">
        <v>720</v>
      </c>
    </row>
    <row r="18" spans="1:23" x14ac:dyDescent="0.25">
      <c r="P18" t="s">
        <v>243</v>
      </c>
      <c r="Q18" s="61">
        <f>Q16/((Q16/Q17)^2.92)</f>
        <v>56451.581611516798</v>
      </c>
      <c r="U18">
        <v>15</v>
      </c>
      <c r="V18" s="183">
        <f t="shared" si="0"/>
        <v>1.7245720602831254</v>
      </c>
      <c r="W18">
        <v>770</v>
      </c>
    </row>
    <row r="19" spans="1:23" ht="15.75" thickBot="1" x14ac:dyDescent="0.3">
      <c r="P19" t="s">
        <v>242</v>
      </c>
      <c r="Q19" s="61">
        <f>Q17/((Q17/Q16)^1.6)</f>
        <v>45031.209059741712</v>
      </c>
      <c r="U19">
        <v>16</v>
      </c>
      <c r="V19" s="183">
        <f t="shared" si="0"/>
        <v>1.7883812265136008</v>
      </c>
      <c r="W19">
        <v>820</v>
      </c>
    </row>
    <row r="20" spans="1:23" x14ac:dyDescent="0.25">
      <c r="A20" s="468" t="s">
        <v>235</v>
      </c>
      <c r="B20" s="91" t="s">
        <v>236</v>
      </c>
      <c r="C20" s="91">
        <f>C4</f>
        <v>0</v>
      </c>
      <c r="D20" s="91">
        <f>D4</f>
        <v>0</v>
      </c>
      <c r="E20" s="91">
        <f>E4</f>
        <v>1170</v>
      </c>
      <c r="F20" s="91">
        <f>F4</f>
        <v>0</v>
      </c>
      <c r="G20" s="91">
        <f>G4</f>
        <v>0</v>
      </c>
      <c r="H20" s="91">
        <v>0</v>
      </c>
      <c r="I20" s="91">
        <v>0</v>
      </c>
      <c r="J20" s="91">
        <v>0</v>
      </c>
      <c r="K20" s="91">
        <f>K4</f>
        <v>0</v>
      </c>
      <c r="L20" s="91">
        <f>L4</f>
        <v>0</v>
      </c>
      <c r="M20" s="91">
        <f>M4</f>
        <v>0</v>
      </c>
      <c r="N20" s="91">
        <f>N4</f>
        <v>0</v>
      </c>
      <c r="O20" s="92">
        <f>O4</f>
        <v>0</v>
      </c>
      <c r="U20">
        <v>17</v>
      </c>
      <c r="V20" s="183">
        <f t="shared" si="0"/>
        <v>1.8545513318946039</v>
      </c>
      <c r="W20">
        <v>870</v>
      </c>
    </row>
    <row r="21" spans="1:23" x14ac:dyDescent="0.25">
      <c r="A21" s="465"/>
      <c r="B21" s="79" t="s">
        <v>237</v>
      </c>
      <c r="C21" s="122">
        <f>IF($Q$18/$Q$17*C20&gt;C20,C20,$Q$18/$Q$17*C20)</f>
        <v>0</v>
      </c>
      <c r="D21" s="122">
        <f t="shared" ref="D21:O21" si="4">IF($Q$18/$Q$17*D20&gt;D20,D20,$Q$18/$Q$17*D20)</f>
        <v>0</v>
      </c>
      <c r="E21" s="122">
        <f t="shared" si="4"/>
        <v>1170</v>
      </c>
      <c r="F21" s="122">
        <f t="shared" si="4"/>
        <v>0</v>
      </c>
      <c r="G21" s="122">
        <f t="shared" si="4"/>
        <v>0</v>
      </c>
      <c r="H21" s="122">
        <f t="shared" si="4"/>
        <v>0</v>
      </c>
      <c r="I21" s="122">
        <f t="shared" si="4"/>
        <v>0</v>
      </c>
      <c r="J21" s="122">
        <f t="shared" si="4"/>
        <v>0</v>
      </c>
      <c r="K21" s="122">
        <f t="shared" si="4"/>
        <v>0</v>
      </c>
      <c r="L21" s="122">
        <f t="shared" si="4"/>
        <v>0</v>
      </c>
      <c r="M21" s="122">
        <f t="shared" si="4"/>
        <v>0</v>
      </c>
      <c r="N21" s="122">
        <f t="shared" si="4"/>
        <v>0</v>
      </c>
      <c r="O21" s="122">
        <f t="shared" si="4"/>
        <v>0</v>
      </c>
      <c r="U21">
        <v>18</v>
      </c>
      <c r="V21" s="183">
        <f t="shared" si="0"/>
        <v>1.923169731174704</v>
      </c>
      <c r="W21">
        <v>920</v>
      </c>
    </row>
    <row r="22" spans="1:23" x14ac:dyDescent="0.25">
      <c r="A22" s="465"/>
      <c r="B22" s="79" t="s">
        <v>238</v>
      </c>
      <c r="C22" s="195">
        <f>C20-C21</f>
        <v>0</v>
      </c>
      <c r="D22" s="195">
        <f t="shared" ref="D22:O22" si="5">D20-D21</f>
        <v>0</v>
      </c>
      <c r="E22" s="195">
        <f t="shared" si="5"/>
        <v>0</v>
      </c>
      <c r="F22" s="195">
        <f t="shared" si="5"/>
        <v>0</v>
      </c>
      <c r="G22" s="195">
        <f t="shared" si="5"/>
        <v>0</v>
      </c>
      <c r="H22" s="195">
        <f t="shared" si="5"/>
        <v>0</v>
      </c>
      <c r="I22" s="195">
        <f t="shared" si="5"/>
        <v>0</v>
      </c>
      <c r="J22" s="195">
        <f t="shared" si="5"/>
        <v>0</v>
      </c>
      <c r="K22" s="195">
        <f t="shared" si="5"/>
        <v>0</v>
      </c>
      <c r="L22" s="195">
        <f t="shared" si="5"/>
        <v>0</v>
      </c>
      <c r="M22" s="195">
        <f t="shared" si="5"/>
        <v>0</v>
      </c>
      <c r="N22" s="195">
        <f t="shared" si="5"/>
        <v>0</v>
      </c>
      <c r="O22" s="196">
        <f t="shared" si="5"/>
        <v>0</v>
      </c>
      <c r="U22">
        <v>19</v>
      </c>
      <c r="V22" s="183">
        <f t="shared" si="0"/>
        <v>1.9943270112281681</v>
      </c>
      <c r="W22">
        <v>970</v>
      </c>
    </row>
    <row r="23" spans="1:23" x14ac:dyDescent="0.25">
      <c r="A23" s="465" t="s">
        <v>239</v>
      </c>
      <c r="B23" s="79" t="s">
        <v>236</v>
      </c>
      <c r="C23" s="122">
        <f>C$8*$B$1</f>
        <v>302.32558139534882</v>
      </c>
      <c r="D23" s="122">
        <f t="shared" ref="D23:O23" si="6">D$8*$B$1</f>
        <v>302.32558139534882</v>
      </c>
      <c r="E23" s="122">
        <f t="shared" si="6"/>
        <v>0</v>
      </c>
      <c r="F23" s="122">
        <f t="shared" si="6"/>
        <v>0</v>
      </c>
      <c r="G23" s="122">
        <f t="shared" si="6"/>
        <v>0</v>
      </c>
      <c r="H23" s="122">
        <f t="shared" si="6"/>
        <v>0</v>
      </c>
      <c r="I23" s="122">
        <f t="shared" si="6"/>
        <v>0</v>
      </c>
      <c r="J23" s="122">
        <f t="shared" si="6"/>
        <v>151.16279069767441</v>
      </c>
      <c r="K23" s="122">
        <f t="shared" si="6"/>
        <v>0</v>
      </c>
      <c r="L23" s="122">
        <f t="shared" si="6"/>
        <v>0</v>
      </c>
      <c r="M23" s="122">
        <f t="shared" si="6"/>
        <v>0</v>
      </c>
      <c r="N23" s="122">
        <f t="shared" si="6"/>
        <v>0</v>
      </c>
      <c r="O23" s="122">
        <f t="shared" si="6"/>
        <v>0</v>
      </c>
      <c r="U23">
        <v>20</v>
      </c>
      <c r="V23" s="183">
        <f t="shared" si="0"/>
        <v>2.0681171106436098</v>
      </c>
      <c r="W23">
        <v>1020</v>
      </c>
    </row>
    <row r="24" spans="1:23" x14ac:dyDescent="0.25">
      <c r="A24" s="465"/>
      <c r="B24" s="79" t="s">
        <v>237</v>
      </c>
      <c r="C24" s="122">
        <f>IF($Q$19/$Q$17*C23&gt;C23,C23,$Q$19/$Q$17*C23)</f>
        <v>272.80704136180475</v>
      </c>
      <c r="D24" s="122">
        <f t="shared" ref="D24:O24" si="7">IF($Q$19/$Q$17*D23&gt;D23,D23,$Q$19/$Q$17*D23)</f>
        <v>272.80704136180475</v>
      </c>
      <c r="E24" s="122">
        <f t="shared" si="7"/>
        <v>0</v>
      </c>
      <c r="F24" s="122">
        <f t="shared" si="7"/>
        <v>0</v>
      </c>
      <c r="G24" s="122">
        <f t="shared" si="7"/>
        <v>0</v>
      </c>
      <c r="H24" s="122">
        <f t="shared" si="7"/>
        <v>0</v>
      </c>
      <c r="I24" s="122">
        <f t="shared" si="7"/>
        <v>0</v>
      </c>
      <c r="J24" s="122">
        <f t="shared" si="7"/>
        <v>136.40352068090237</v>
      </c>
      <c r="K24" s="122">
        <f t="shared" si="7"/>
        <v>0</v>
      </c>
      <c r="L24" s="122">
        <f t="shared" si="7"/>
        <v>0</v>
      </c>
      <c r="M24" s="122">
        <f t="shared" si="7"/>
        <v>0</v>
      </c>
      <c r="N24" s="122">
        <f t="shared" si="7"/>
        <v>0</v>
      </c>
      <c r="O24" s="122">
        <f t="shared" si="7"/>
        <v>0</v>
      </c>
    </row>
    <row r="25" spans="1:23" ht="15.75" thickBot="1" x14ac:dyDescent="0.3">
      <c r="A25" s="466"/>
      <c r="B25" s="93" t="s">
        <v>238</v>
      </c>
      <c r="C25" s="197">
        <f>C23-C24</f>
        <v>29.51854003354407</v>
      </c>
      <c r="D25" s="197">
        <f t="shared" ref="D25:O25" si="8">D23-D24</f>
        <v>29.51854003354407</v>
      </c>
      <c r="E25" s="197">
        <f t="shared" si="8"/>
        <v>0</v>
      </c>
      <c r="F25" s="197">
        <f t="shared" si="8"/>
        <v>0</v>
      </c>
      <c r="G25" s="197">
        <f t="shared" si="8"/>
        <v>0</v>
      </c>
      <c r="H25" s="197">
        <f t="shared" si="8"/>
        <v>0</v>
      </c>
      <c r="I25" s="197">
        <f t="shared" si="8"/>
        <v>0</v>
      </c>
      <c r="J25" s="197">
        <f t="shared" si="8"/>
        <v>14.759270016772035</v>
      </c>
      <c r="K25" s="197">
        <f t="shared" si="8"/>
        <v>0</v>
      </c>
      <c r="L25" s="197">
        <f t="shared" si="8"/>
        <v>0</v>
      </c>
      <c r="M25" s="197">
        <f t="shared" si="8"/>
        <v>0</v>
      </c>
      <c r="N25" s="197">
        <f t="shared" si="8"/>
        <v>0</v>
      </c>
      <c r="O25" s="198">
        <f t="shared" si="8"/>
        <v>0</v>
      </c>
    </row>
    <row r="28" spans="1:23" ht="15.75" thickBot="1" x14ac:dyDescent="0.3">
      <c r="B28" t="s">
        <v>249</v>
      </c>
    </row>
    <row r="29" spans="1:23" ht="15.75" thickBot="1" x14ac:dyDescent="0.3">
      <c r="C29" s="184" t="s">
        <v>73</v>
      </c>
      <c r="D29" s="184" t="s">
        <v>74</v>
      </c>
      <c r="E29" s="184" t="s">
        <v>75</v>
      </c>
      <c r="F29" s="184" t="s">
        <v>190</v>
      </c>
      <c r="G29" s="184" t="s">
        <v>71</v>
      </c>
      <c r="H29" s="184" t="s">
        <v>76</v>
      </c>
      <c r="I29" s="184" t="s">
        <v>191</v>
      </c>
      <c r="J29" s="184" t="s">
        <v>77</v>
      </c>
      <c r="K29" s="184" t="s">
        <v>78</v>
      </c>
      <c r="L29" s="184" t="s">
        <v>79</v>
      </c>
      <c r="M29" s="184" t="s">
        <v>192</v>
      </c>
      <c r="N29" s="184" t="s">
        <v>193</v>
      </c>
      <c r="O29" s="185" t="s">
        <v>194</v>
      </c>
      <c r="P29">
        <f>SUM(G7:J7)-I7</f>
        <v>78000</v>
      </c>
      <c r="Q29" s="77">
        <f>P29*(1+$S$3)</f>
        <v>78000</v>
      </c>
    </row>
    <row r="30" spans="1:23" ht="15.75" thickBot="1" x14ac:dyDescent="0.3">
      <c r="C30" s="190">
        <f t="shared" ref="C30:O30" si="9">C8*C11*$D$1</f>
        <v>22674.418604651164</v>
      </c>
      <c r="D30" s="190">
        <f t="shared" si="9"/>
        <v>12596.899224806202</v>
      </c>
      <c r="E30" s="190">
        <f t="shared" si="9"/>
        <v>0</v>
      </c>
      <c r="F30" s="190">
        <f t="shared" si="9"/>
        <v>0</v>
      </c>
      <c r="G30" s="190">
        <f t="shared" si="9"/>
        <v>0</v>
      </c>
      <c r="H30" s="190">
        <f t="shared" si="9"/>
        <v>0</v>
      </c>
      <c r="I30" s="190">
        <f t="shared" si="9"/>
        <v>0</v>
      </c>
      <c r="J30" s="190">
        <f t="shared" si="9"/>
        <v>20155.038759689924</v>
      </c>
      <c r="K30" s="190">
        <f t="shared" si="9"/>
        <v>0</v>
      </c>
      <c r="L30" s="190">
        <f t="shared" si="9"/>
        <v>0</v>
      </c>
      <c r="M30" s="190">
        <f t="shared" si="9"/>
        <v>0</v>
      </c>
      <c r="N30" s="190">
        <f t="shared" si="9"/>
        <v>0</v>
      </c>
      <c r="O30" s="190">
        <f t="shared" si="9"/>
        <v>0</v>
      </c>
      <c r="P30" s="199">
        <f>SUM(C30:O30)</f>
        <v>55426.35658914729</v>
      </c>
      <c r="Q30" s="200">
        <f>P30*(VLOOKUP($T$6,$U$2:$W$23,2,FALSE))+VLOOKUP($T$6,$U$2:$W$23,3,FALSE)</f>
        <v>55446.35658914729</v>
      </c>
    </row>
    <row r="31" spans="1:23" x14ac:dyDescent="0.25">
      <c r="P31" t="s">
        <v>243</v>
      </c>
      <c r="Q31" s="61">
        <f>Q29/((Q29/Q30)^2.5)</f>
        <v>33230.787264584447</v>
      </c>
    </row>
    <row r="32" spans="1:23" ht="15.75" thickBot="1" x14ac:dyDescent="0.3">
      <c r="P32" t="s">
        <v>242</v>
      </c>
      <c r="Q32" s="61">
        <f>Q30/((Q30/Q29)^1.5)</f>
        <v>92513.560829396796</v>
      </c>
    </row>
    <row r="33" spans="1:17" x14ac:dyDescent="0.25">
      <c r="A33" s="468" t="s">
        <v>235</v>
      </c>
      <c r="B33" s="91" t="s">
        <v>236</v>
      </c>
      <c r="C33" s="91">
        <v>0</v>
      </c>
      <c r="D33" s="91">
        <v>0</v>
      </c>
      <c r="E33" s="91">
        <v>0</v>
      </c>
      <c r="F33" s="91">
        <v>0</v>
      </c>
      <c r="G33" s="91">
        <f>G4</f>
        <v>0</v>
      </c>
      <c r="H33" s="91">
        <f>H4</f>
        <v>600</v>
      </c>
      <c r="I33" s="91">
        <v>0</v>
      </c>
      <c r="J33" s="91">
        <f>J4</f>
        <v>0</v>
      </c>
      <c r="K33" s="91">
        <v>0</v>
      </c>
      <c r="L33" s="91">
        <v>0</v>
      </c>
      <c r="M33" s="91">
        <v>0</v>
      </c>
      <c r="N33" s="91">
        <v>0</v>
      </c>
      <c r="O33" s="92">
        <v>0</v>
      </c>
    </row>
    <row r="34" spans="1:17" x14ac:dyDescent="0.25">
      <c r="A34" s="465"/>
      <c r="B34" s="79" t="s">
        <v>237</v>
      </c>
      <c r="C34" s="122">
        <f>IF($Q$31/$Q$30*C33&gt;C33,C33,$Q$31/$Q$30*C33)</f>
        <v>0</v>
      </c>
      <c r="D34" s="122">
        <f t="shared" ref="D34:O34" si="10">IF($Q$31/$Q$30*D33&gt;D33,D33,$Q$31/$Q$30*D33)</f>
        <v>0</v>
      </c>
      <c r="E34" s="122">
        <f t="shared" si="10"/>
        <v>0</v>
      </c>
      <c r="F34" s="122">
        <f t="shared" si="10"/>
        <v>0</v>
      </c>
      <c r="G34" s="122">
        <f t="shared" si="10"/>
        <v>0</v>
      </c>
      <c r="H34" s="122">
        <f t="shared" si="10"/>
        <v>359.59932419893744</v>
      </c>
      <c r="I34" s="122">
        <f t="shared" si="10"/>
        <v>0</v>
      </c>
      <c r="J34" s="122">
        <f t="shared" si="10"/>
        <v>0</v>
      </c>
      <c r="K34" s="122">
        <f t="shared" si="10"/>
        <v>0</v>
      </c>
      <c r="L34" s="122">
        <f t="shared" si="10"/>
        <v>0</v>
      </c>
      <c r="M34" s="122">
        <f t="shared" si="10"/>
        <v>0</v>
      </c>
      <c r="N34" s="122">
        <f t="shared" si="10"/>
        <v>0</v>
      </c>
      <c r="O34" s="122">
        <f t="shared" si="10"/>
        <v>0</v>
      </c>
    </row>
    <row r="35" spans="1:17" x14ac:dyDescent="0.25">
      <c r="A35" s="465"/>
      <c r="B35" s="79" t="s">
        <v>238</v>
      </c>
      <c r="C35" s="195">
        <f t="shared" ref="C35:O35" si="11">C33-C34</f>
        <v>0</v>
      </c>
      <c r="D35" s="195">
        <f t="shared" si="11"/>
        <v>0</v>
      </c>
      <c r="E35" s="195">
        <f t="shared" si="11"/>
        <v>0</v>
      </c>
      <c r="F35" s="195">
        <f t="shared" si="11"/>
        <v>0</v>
      </c>
      <c r="G35" s="195">
        <f t="shared" si="11"/>
        <v>0</v>
      </c>
      <c r="H35" s="195">
        <f t="shared" si="11"/>
        <v>240.40067580106256</v>
      </c>
      <c r="I35" s="195">
        <f t="shared" si="11"/>
        <v>0</v>
      </c>
      <c r="J35" s="195">
        <f t="shared" si="11"/>
        <v>0</v>
      </c>
      <c r="K35" s="195">
        <f t="shared" si="11"/>
        <v>0</v>
      </c>
      <c r="L35" s="195">
        <f t="shared" si="11"/>
        <v>0</v>
      </c>
      <c r="M35" s="195">
        <f t="shared" si="11"/>
        <v>0</v>
      </c>
      <c r="N35" s="195">
        <f t="shared" si="11"/>
        <v>0</v>
      </c>
      <c r="O35" s="196">
        <f t="shared" si="11"/>
        <v>0</v>
      </c>
    </row>
    <row r="36" spans="1:17" x14ac:dyDescent="0.25">
      <c r="A36" s="465" t="s">
        <v>239</v>
      </c>
      <c r="B36" s="79" t="s">
        <v>236</v>
      </c>
      <c r="C36" s="122">
        <f>C$8*$D$1</f>
        <v>503.87596899224809</v>
      </c>
      <c r="D36" s="122">
        <f t="shared" ref="D36:O36" si="12">D$8*$D$1</f>
        <v>503.87596899224809</v>
      </c>
      <c r="E36" s="122">
        <f t="shared" si="12"/>
        <v>0</v>
      </c>
      <c r="F36" s="122">
        <f t="shared" si="12"/>
        <v>0</v>
      </c>
      <c r="G36" s="122">
        <f t="shared" si="12"/>
        <v>0</v>
      </c>
      <c r="H36" s="122">
        <f t="shared" si="12"/>
        <v>0</v>
      </c>
      <c r="I36" s="122">
        <f t="shared" si="12"/>
        <v>0</v>
      </c>
      <c r="J36" s="122">
        <f t="shared" si="12"/>
        <v>251.93798449612405</v>
      </c>
      <c r="K36" s="122">
        <f t="shared" si="12"/>
        <v>0</v>
      </c>
      <c r="L36" s="122">
        <f t="shared" si="12"/>
        <v>0</v>
      </c>
      <c r="M36" s="122">
        <f t="shared" si="12"/>
        <v>0</v>
      </c>
      <c r="N36" s="122">
        <f t="shared" si="12"/>
        <v>0</v>
      </c>
      <c r="O36" s="122">
        <f t="shared" si="12"/>
        <v>0</v>
      </c>
    </row>
    <row r="37" spans="1:17" x14ac:dyDescent="0.25">
      <c r="A37" s="465"/>
      <c r="B37" s="79" t="s">
        <v>237</v>
      </c>
      <c r="C37" s="122">
        <f>IF($Q$32/$Q$30*C36&gt;C36,C36,$Q$32/$Q$30*C36)</f>
        <v>503.87596899224809</v>
      </c>
      <c r="D37" s="122">
        <f t="shared" ref="D37:O37" si="13">IF($Q$32/$Q$30*D36&gt;D36,D36,$Q$32/$Q$30*D36)</f>
        <v>503.87596899224809</v>
      </c>
      <c r="E37" s="122">
        <f t="shared" si="13"/>
        <v>0</v>
      </c>
      <c r="F37" s="122">
        <f t="shared" si="13"/>
        <v>0</v>
      </c>
      <c r="G37" s="122">
        <f t="shared" si="13"/>
        <v>0</v>
      </c>
      <c r="H37" s="122">
        <f t="shared" si="13"/>
        <v>0</v>
      </c>
      <c r="I37" s="122">
        <f t="shared" si="13"/>
        <v>0</v>
      </c>
      <c r="J37" s="122">
        <f t="shared" si="13"/>
        <v>251.93798449612405</v>
      </c>
      <c r="K37" s="122">
        <f t="shared" si="13"/>
        <v>0</v>
      </c>
      <c r="L37" s="122">
        <f t="shared" si="13"/>
        <v>0</v>
      </c>
      <c r="M37" s="122">
        <f t="shared" si="13"/>
        <v>0</v>
      </c>
      <c r="N37" s="122">
        <f t="shared" si="13"/>
        <v>0</v>
      </c>
      <c r="O37" s="122">
        <f t="shared" si="13"/>
        <v>0</v>
      </c>
    </row>
    <row r="38" spans="1:17" ht="15.75" thickBot="1" x14ac:dyDescent="0.3">
      <c r="A38" s="466"/>
      <c r="B38" s="93" t="s">
        <v>238</v>
      </c>
      <c r="C38" s="197">
        <f t="shared" ref="C38:O38" si="14">C36-C37</f>
        <v>0</v>
      </c>
      <c r="D38" s="197">
        <f t="shared" si="14"/>
        <v>0</v>
      </c>
      <c r="E38" s="197">
        <f t="shared" si="14"/>
        <v>0</v>
      </c>
      <c r="F38" s="197">
        <f t="shared" si="14"/>
        <v>0</v>
      </c>
      <c r="G38" s="197">
        <f t="shared" si="14"/>
        <v>0</v>
      </c>
      <c r="H38" s="197">
        <f t="shared" si="14"/>
        <v>0</v>
      </c>
      <c r="I38" s="197">
        <f t="shared" si="14"/>
        <v>0</v>
      </c>
      <c r="J38" s="197">
        <f t="shared" si="14"/>
        <v>0</v>
      </c>
      <c r="K38" s="197">
        <f t="shared" si="14"/>
        <v>0</v>
      </c>
      <c r="L38" s="197">
        <f t="shared" si="14"/>
        <v>0</v>
      </c>
      <c r="M38" s="197">
        <f t="shared" si="14"/>
        <v>0</v>
      </c>
      <c r="N38" s="197">
        <f t="shared" si="14"/>
        <v>0</v>
      </c>
      <c r="O38" s="198">
        <f t="shared" si="14"/>
        <v>0</v>
      </c>
    </row>
    <row r="40" spans="1:17" ht="15.75" thickBot="1" x14ac:dyDescent="0.3">
      <c r="B40" t="s">
        <v>251</v>
      </c>
    </row>
    <row r="41" spans="1:17" ht="15.75" thickBot="1" x14ac:dyDescent="0.3">
      <c r="C41" s="184" t="s">
        <v>73</v>
      </c>
      <c r="D41" s="184" t="s">
        <v>74</v>
      </c>
      <c r="E41" s="184" t="s">
        <v>75</v>
      </c>
      <c r="F41" s="184" t="s">
        <v>190</v>
      </c>
      <c r="G41" s="184" t="s">
        <v>71</v>
      </c>
      <c r="H41" s="184" t="s">
        <v>76</v>
      </c>
      <c r="I41" s="184" t="s">
        <v>191</v>
      </c>
      <c r="J41" s="184" t="s">
        <v>77</v>
      </c>
      <c r="K41" s="184" t="s">
        <v>78</v>
      </c>
      <c r="L41" s="184" t="s">
        <v>79</v>
      </c>
      <c r="M41" s="184" t="s">
        <v>192</v>
      </c>
      <c r="N41" s="184" t="s">
        <v>193</v>
      </c>
      <c r="O41" s="185" t="s">
        <v>194</v>
      </c>
      <c r="P41">
        <f>I7</f>
        <v>30000</v>
      </c>
      <c r="Q41" s="77">
        <f>P41*(1+$S$3)</f>
        <v>30000</v>
      </c>
    </row>
    <row r="42" spans="1:17" ht="15.75" thickBot="1" x14ac:dyDescent="0.3">
      <c r="C42" s="190">
        <f t="shared" ref="C42:O42" si="15">C12*$F$1*C8</f>
        <v>3875.968992248062</v>
      </c>
      <c r="D42" s="190">
        <f t="shared" si="15"/>
        <v>7751.937984496124</v>
      </c>
      <c r="E42" s="190">
        <f t="shared" si="15"/>
        <v>0</v>
      </c>
      <c r="F42" s="190">
        <f t="shared" si="15"/>
        <v>0</v>
      </c>
      <c r="G42" s="190">
        <f t="shared" si="15"/>
        <v>0</v>
      </c>
      <c r="H42" s="190">
        <f t="shared" si="15"/>
        <v>0</v>
      </c>
      <c r="I42" s="190">
        <f t="shared" si="15"/>
        <v>0</v>
      </c>
      <c r="J42" s="190">
        <f t="shared" si="15"/>
        <v>17441.860465116282</v>
      </c>
      <c r="K42" s="190">
        <f t="shared" si="15"/>
        <v>0</v>
      </c>
      <c r="L42" s="190">
        <f t="shared" si="15"/>
        <v>0</v>
      </c>
      <c r="M42" s="190">
        <f t="shared" si="15"/>
        <v>0</v>
      </c>
      <c r="N42" s="190">
        <f t="shared" si="15"/>
        <v>0</v>
      </c>
      <c r="O42" s="190">
        <f t="shared" si="15"/>
        <v>0</v>
      </c>
      <c r="P42" s="199">
        <f>SUM(C42:O42)</f>
        <v>29069.767441860469</v>
      </c>
      <c r="Q42" s="200">
        <f>P42*(VLOOKUP($T$6,$U$2:$W$23,2,FALSE))+VLOOKUP($T$6,$U$2:$W$23,3,FALSE)</f>
        <v>29089.767441860469</v>
      </c>
    </row>
    <row r="43" spans="1:17" ht="15.75" thickBot="1" x14ac:dyDescent="0.3">
      <c r="P43" t="s">
        <v>243</v>
      </c>
      <c r="Q43" s="61">
        <f>Q41/((Q41/Q42)^2.5)</f>
        <v>27775.938451980652</v>
      </c>
    </row>
    <row r="44" spans="1:17" x14ac:dyDescent="0.25">
      <c r="A44" s="468" t="s">
        <v>235</v>
      </c>
      <c r="B44" s="91" t="s">
        <v>236</v>
      </c>
      <c r="C44" s="91">
        <v>0</v>
      </c>
      <c r="D44" s="91">
        <v>0</v>
      </c>
      <c r="E44" s="91">
        <v>0</v>
      </c>
      <c r="F44" s="91">
        <v>0</v>
      </c>
      <c r="G44" s="91">
        <v>0</v>
      </c>
      <c r="H44" s="91">
        <v>0</v>
      </c>
      <c r="I44" s="91">
        <f>I4</f>
        <v>250</v>
      </c>
      <c r="J44" s="91">
        <v>0</v>
      </c>
      <c r="K44" s="91">
        <v>0</v>
      </c>
      <c r="L44" s="91">
        <v>0</v>
      </c>
      <c r="M44" s="91">
        <v>0</v>
      </c>
      <c r="N44" s="91">
        <v>0</v>
      </c>
      <c r="O44" s="92">
        <v>0</v>
      </c>
      <c r="P44" t="s">
        <v>242</v>
      </c>
      <c r="Q44" s="61">
        <f>Q42/((Q42/Q41)^1.5)</f>
        <v>30465.741824870136</v>
      </c>
    </row>
    <row r="45" spans="1:17" x14ac:dyDescent="0.25">
      <c r="A45" s="465"/>
      <c r="B45" s="79" t="s">
        <v>237</v>
      </c>
      <c r="C45" s="122">
        <f>IF($Q$43/$Q$42*C44&gt;C44,C44,$Q$43/$Q$42*C44)</f>
        <v>0</v>
      </c>
      <c r="D45" s="122">
        <f t="shared" ref="D45:O45" si="16">IF($Q$43/$Q$42*D44&gt;D44,D44,$Q$43/$Q$42*D44)</f>
        <v>0</v>
      </c>
      <c r="E45" s="122">
        <f t="shared" si="16"/>
        <v>0</v>
      </c>
      <c r="F45" s="122">
        <f t="shared" si="16"/>
        <v>0</v>
      </c>
      <c r="G45" s="122">
        <f t="shared" si="16"/>
        <v>0</v>
      </c>
      <c r="H45" s="122">
        <f t="shared" si="16"/>
        <v>0</v>
      </c>
      <c r="I45" s="122">
        <f t="shared" si="16"/>
        <v>238.70883900579759</v>
      </c>
      <c r="J45" s="122">
        <f t="shared" si="16"/>
        <v>0</v>
      </c>
      <c r="K45" s="122">
        <f t="shared" si="16"/>
        <v>0</v>
      </c>
      <c r="L45" s="122">
        <f t="shared" si="16"/>
        <v>0</v>
      </c>
      <c r="M45" s="122">
        <f t="shared" si="16"/>
        <v>0</v>
      </c>
      <c r="N45" s="122">
        <f t="shared" si="16"/>
        <v>0</v>
      </c>
      <c r="O45" s="122">
        <f t="shared" si="16"/>
        <v>0</v>
      </c>
    </row>
    <row r="46" spans="1:17" x14ac:dyDescent="0.25">
      <c r="A46" s="465"/>
      <c r="B46" s="79" t="s">
        <v>238</v>
      </c>
      <c r="C46" s="195">
        <f t="shared" ref="C46:O46" si="17">C44-C45</f>
        <v>0</v>
      </c>
      <c r="D46" s="195">
        <f t="shared" si="17"/>
        <v>0</v>
      </c>
      <c r="E46" s="195">
        <f t="shared" si="17"/>
        <v>0</v>
      </c>
      <c r="F46" s="195">
        <f t="shared" si="17"/>
        <v>0</v>
      </c>
      <c r="G46" s="195">
        <f t="shared" si="17"/>
        <v>0</v>
      </c>
      <c r="H46" s="195">
        <f t="shared" si="17"/>
        <v>0</v>
      </c>
      <c r="I46" s="195">
        <f t="shared" si="17"/>
        <v>11.291160994202414</v>
      </c>
      <c r="J46" s="195">
        <f t="shared" si="17"/>
        <v>0</v>
      </c>
      <c r="K46" s="195">
        <f t="shared" si="17"/>
        <v>0</v>
      </c>
      <c r="L46" s="195">
        <f t="shared" si="17"/>
        <v>0</v>
      </c>
      <c r="M46" s="195">
        <f t="shared" si="17"/>
        <v>0</v>
      </c>
      <c r="N46" s="195">
        <f t="shared" si="17"/>
        <v>0</v>
      </c>
      <c r="O46" s="196">
        <f t="shared" si="17"/>
        <v>0</v>
      </c>
    </row>
    <row r="47" spans="1:17" x14ac:dyDescent="0.25">
      <c r="A47" s="465" t="s">
        <v>239</v>
      </c>
      <c r="B47" s="79" t="s">
        <v>236</v>
      </c>
      <c r="C47" s="122">
        <f>C$8*$F$1</f>
        <v>193.79844961240312</v>
      </c>
      <c r="D47" s="122">
        <f t="shared" ref="D47:O47" si="18">D$8*$F$1</f>
        <v>193.79844961240312</v>
      </c>
      <c r="E47" s="122">
        <f t="shared" si="18"/>
        <v>0</v>
      </c>
      <c r="F47" s="122">
        <f t="shared" si="18"/>
        <v>0</v>
      </c>
      <c r="G47" s="122">
        <f t="shared" si="18"/>
        <v>0</v>
      </c>
      <c r="H47" s="122">
        <f t="shared" si="18"/>
        <v>0</v>
      </c>
      <c r="I47" s="122">
        <f t="shared" si="18"/>
        <v>0</v>
      </c>
      <c r="J47" s="122">
        <f t="shared" si="18"/>
        <v>96.899224806201559</v>
      </c>
      <c r="K47" s="122">
        <f t="shared" si="18"/>
        <v>0</v>
      </c>
      <c r="L47" s="122">
        <f t="shared" si="18"/>
        <v>0</v>
      </c>
      <c r="M47" s="122">
        <f t="shared" si="18"/>
        <v>0</v>
      </c>
      <c r="N47" s="122">
        <f t="shared" si="18"/>
        <v>0</v>
      </c>
      <c r="O47" s="122">
        <f t="shared" si="18"/>
        <v>0</v>
      </c>
    </row>
    <row r="48" spans="1:17" x14ac:dyDescent="0.25">
      <c r="A48" s="465"/>
      <c r="B48" s="79" t="s">
        <v>237</v>
      </c>
      <c r="C48" s="122">
        <f>IF($Q$44/$Q$42*C47&gt;C47,C47,$Q$44/$Q$42*C47)</f>
        <v>193.79844961240312</v>
      </c>
      <c r="D48" s="122">
        <f t="shared" ref="D48:O48" si="19">IF($Q$44/$Q$42*D47&gt;D47,D47,$Q$44/$Q$42*D47)</f>
        <v>193.79844961240312</v>
      </c>
      <c r="E48" s="122">
        <f t="shared" si="19"/>
        <v>0</v>
      </c>
      <c r="F48" s="122">
        <f t="shared" si="19"/>
        <v>0</v>
      </c>
      <c r="G48" s="122">
        <f t="shared" si="19"/>
        <v>0</v>
      </c>
      <c r="H48" s="122">
        <f t="shared" si="19"/>
        <v>0</v>
      </c>
      <c r="I48" s="122">
        <f t="shared" si="19"/>
        <v>0</v>
      </c>
      <c r="J48" s="122">
        <f t="shared" si="19"/>
        <v>96.899224806201559</v>
      </c>
      <c r="K48" s="122">
        <f t="shared" si="19"/>
        <v>0</v>
      </c>
      <c r="L48" s="122">
        <f t="shared" si="19"/>
        <v>0</v>
      </c>
      <c r="M48" s="122">
        <f t="shared" si="19"/>
        <v>0</v>
      </c>
      <c r="N48" s="122">
        <f t="shared" si="19"/>
        <v>0</v>
      </c>
      <c r="O48" s="122">
        <f t="shared" si="19"/>
        <v>0</v>
      </c>
    </row>
    <row r="49" spans="1:15" ht="15.75" thickBot="1" x14ac:dyDescent="0.3">
      <c r="A49" s="466"/>
      <c r="B49" s="93" t="s">
        <v>238</v>
      </c>
      <c r="C49" s="197">
        <f t="shared" ref="C49:O49" si="20">C47-C48</f>
        <v>0</v>
      </c>
      <c r="D49" s="197">
        <f t="shared" si="20"/>
        <v>0</v>
      </c>
      <c r="E49" s="197">
        <f t="shared" si="20"/>
        <v>0</v>
      </c>
      <c r="F49" s="197">
        <f t="shared" si="20"/>
        <v>0</v>
      </c>
      <c r="G49" s="197">
        <f t="shared" si="20"/>
        <v>0</v>
      </c>
      <c r="H49" s="197">
        <f t="shared" si="20"/>
        <v>0</v>
      </c>
      <c r="I49" s="197">
        <f t="shared" si="20"/>
        <v>0</v>
      </c>
      <c r="J49" s="197">
        <f t="shared" si="20"/>
        <v>0</v>
      </c>
      <c r="K49" s="197">
        <f t="shared" si="20"/>
        <v>0</v>
      </c>
      <c r="L49" s="197">
        <f t="shared" si="20"/>
        <v>0</v>
      </c>
      <c r="M49" s="197">
        <f t="shared" si="20"/>
        <v>0</v>
      </c>
      <c r="N49" s="197">
        <f t="shared" si="20"/>
        <v>0</v>
      </c>
      <c r="O49" s="198">
        <f t="shared" si="20"/>
        <v>0</v>
      </c>
    </row>
    <row r="51" spans="1:15" ht="15.75" thickBot="1" x14ac:dyDescent="0.3"/>
    <row r="52" spans="1:15" ht="15.75" thickBot="1" x14ac:dyDescent="0.3">
      <c r="A52" s="405" t="s">
        <v>253</v>
      </c>
      <c r="B52" s="406"/>
      <c r="C52" s="406"/>
      <c r="D52" s="406"/>
      <c r="E52" s="406"/>
      <c r="F52" s="406"/>
      <c r="G52" s="406"/>
      <c r="H52" s="406"/>
      <c r="I52" s="406"/>
      <c r="J52" s="406"/>
      <c r="K52" s="406"/>
      <c r="L52" s="406"/>
      <c r="M52" s="406"/>
      <c r="N52" s="406"/>
      <c r="O52" s="407"/>
    </row>
    <row r="53" spans="1:15" x14ac:dyDescent="0.25">
      <c r="A53" s="468" t="s">
        <v>235</v>
      </c>
      <c r="B53" s="91" t="s">
        <v>236</v>
      </c>
      <c r="C53" s="91">
        <f>C4</f>
        <v>0</v>
      </c>
      <c r="D53" s="91">
        <f t="shared" ref="D53:O53" si="21">D4</f>
        <v>0</v>
      </c>
      <c r="E53" s="91">
        <f t="shared" si="21"/>
        <v>1170</v>
      </c>
      <c r="F53" s="91">
        <f t="shared" si="21"/>
        <v>0</v>
      </c>
      <c r="G53" s="91">
        <f t="shared" si="21"/>
        <v>0</v>
      </c>
      <c r="H53" s="91">
        <f t="shared" si="21"/>
        <v>600</v>
      </c>
      <c r="I53" s="91">
        <f t="shared" si="21"/>
        <v>250</v>
      </c>
      <c r="J53" s="91">
        <f t="shared" si="21"/>
        <v>0</v>
      </c>
      <c r="K53" s="91">
        <f t="shared" si="21"/>
        <v>0</v>
      </c>
      <c r="L53" s="91">
        <f t="shared" si="21"/>
        <v>0</v>
      </c>
      <c r="M53" s="91">
        <f t="shared" si="21"/>
        <v>0</v>
      </c>
      <c r="N53" s="91">
        <f t="shared" si="21"/>
        <v>0</v>
      </c>
      <c r="O53" s="91">
        <f t="shared" si="21"/>
        <v>0</v>
      </c>
    </row>
    <row r="54" spans="1:15" x14ac:dyDescent="0.25">
      <c r="A54" s="465"/>
      <c r="B54" s="79" t="s">
        <v>237</v>
      </c>
      <c r="C54" s="122">
        <f>C21</f>
        <v>0</v>
      </c>
      <c r="D54" s="122">
        <f>D21</f>
        <v>0</v>
      </c>
      <c r="E54" s="122">
        <f>E21</f>
        <v>1170</v>
      </c>
      <c r="F54" s="122">
        <f>F21</f>
        <v>0</v>
      </c>
      <c r="G54" s="122">
        <f>G34</f>
        <v>0</v>
      </c>
      <c r="H54" s="122">
        <f>H34</f>
        <v>359.59932419893744</v>
      </c>
      <c r="I54" s="122">
        <f>I45</f>
        <v>238.70883900579759</v>
      </c>
      <c r="J54" s="122">
        <f>J34</f>
        <v>0</v>
      </c>
      <c r="K54" s="122">
        <f>K21</f>
        <v>0</v>
      </c>
      <c r="L54" s="122">
        <f>L21</f>
        <v>0</v>
      </c>
      <c r="M54" s="122">
        <f>M21</f>
        <v>0</v>
      </c>
      <c r="N54" s="122">
        <f>N21</f>
        <v>0</v>
      </c>
      <c r="O54" s="122">
        <f>O21</f>
        <v>0</v>
      </c>
    </row>
    <row r="55" spans="1:15" x14ac:dyDescent="0.25">
      <c r="A55" s="465"/>
      <c r="B55" s="79" t="s">
        <v>238</v>
      </c>
      <c r="C55" s="195">
        <f t="shared" ref="C55:O55" si="22">C53-C54</f>
        <v>0</v>
      </c>
      <c r="D55" s="195">
        <f t="shared" si="22"/>
        <v>0</v>
      </c>
      <c r="E55" s="195">
        <f t="shared" si="22"/>
        <v>0</v>
      </c>
      <c r="F55" s="195">
        <f t="shared" si="22"/>
        <v>0</v>
      </c>
      <c r="G55" s="195">
        <f t="shared" si="22"/>
        <v>0</v>
      </c>
      <c r="H55" s="195">
        <f t="shared" si="22"/>
        <v>240.40067580106256</v>
      </c>
      <c r="I55" s="195">
        <f t="shared" si="22"/>
        <v>11.291160994202414</v>
      </c>
      <c r="J55" s="195">
        <f t="shared" si="22"/>
        <v>0</v>
      </c>
      <c r="K55" s="195">
        <f t="shared" si="22"/>
        <v>0</v>
      </c>
      <c r="L55" s="195">
        <f t="shared" si="22"/>
        <v>0</v>
      </c>
      <c r="M55" s="195">
        <f t="shared" si="22"/>
        <v>0</v>
      </c>
      <c r="N55" s="195">
        <f t="shared" si="22"/>
        <v>0</v>
      </c>
      <c r="O55" s="196">
        <f t="shared" si="22"/>
        <v>0</v>
      </c>
    </row>
    <row r="56" spans="1:15" x14ac:dyDescent="0.25">
      <c r="A56" s="465" t="s">
        <v>239</v>
      </c>
      <c r="B56" s="79" t="s">
        <v>236</v>
      </c>
      <c r="C56" s="122">
        <f>C8</f>
        <v>1000</v>
      </c>
      <c r="D56" s="122">
        <f t="shared" ref="D56:O56" si="23">D8</f>
        <v>1000</v>
      </c>
      <c r="E56" s="122">
        <f t="shared" si="23"/>
        <v>0</v>
      </c>
      <c r="F56" s="122">
        <f t="shared" si="23"/>
        <v>0</v>
      </c>
      <c r="G56" s="122">
        <f t="shared" si="23"/>
        <v>0</v>
      </c>
      <c r="H56" s="122">
        <f t="shared" si="23"/>
        <v>0</v>
      </c>
      <c r="I56" s="122">
        <f t="shared" si="23"/>
        <v>0</v>
      </c>
      <c r="J56" s="122">
        <f t="shared" si="23"/>
        <v>500</v>
      </c>
      <c r="K56" s="122">
        <f t="shared" si="23"/>
        <v>0</v>
      </c>
      <c r="L56" s="122">
        <f t="shared" si="23"/>
        <v>0</v>
      </c>
      <c r="M56" s="122">
        <f t="shared" si="23"/>
        <v>0</v>
      </c>
      <c r="N56" s="122">
        <f t="shared" si="23"/>
        <v>0</v>
      </c>
      <c r="O56" s="122">
        <f t="shared" si="23"/>
        <v>0</v>
      </c>
    </row>
    <row r="57" spans="1:15" x14ac:dyDescent="0.25">
      <c r="A57" s="465"/>
      <c r="B57" s="79" t="s">
        <v>237</v>
      </c>
      <c r="C57" s="122">
        <f>C48+C37+C24</f>
        <v>970.48145996645599</v>
      </c>
      <c r="D57" s="122">
        <f t="shared" ref="D57:O57" si="24">D48+D37+D24</f>
        <v>970.48145996645599</v>
      </c>
      <c r="E57" s="122">
        <f t="shared" si="24"/>
        <v>0</v>
      </c>
      <c r="F57" s="122">
        <f t="shared" si="24"/>
        <v>0</v>
      </c>
      <c r="G57" s="122">
        <f t="shared" si="24"/>
        <v>0</v>
      </c>
      <c r="H57" s="122">
        <f t="shared" si="24"/>
        <v>0</v>
      </c>
      <c r="I57" s="122">
        <f t="shared" si="24"/>
        <v>0</v>
      </c>
      <c r="J57" s="122">
        <f t="shared" si="24"/>
        <v>485.24072998322799</v>
      </c>
      <c r="K57" s="122">
        <f t="shared" si="24"/>
        <v>0</v>
      </c>
      <c r="L57" s="122">
        <f t="shared" si="24"/>
        <v>0</v>
      </c>
      <c r="M57" s="122">
        <f t="shared" si="24"/>
        <v>0</v>
      </c>
      <c r="N57" s="122">
        <f t="shared" si="24"/>
        <v>0</v>
      </c>
      <c r="O57" s="122">
        <f t="shared" si="24"/>
        <v>0</v>
      </c>
    </row>
    <row r="58" spans="1:15" ht="15.75" thickBot="1" x14ac:dyDescent="0.3">
      <c r="A58" s="466"/>
      <c r="B58" s="93" t="s">
        <v>238</v>
      </c>
      <c r="C58" s="197">
        <f t="shared" ref="C58:O58" si="25">C56-C57</f>
        <v>29.518540033544014</v>
      </c>
      <c r="D58" s="197">
        <f t="shared" si="25"/>
        <v>29.518540033544014</v>
      </c>
      <c r="E58" s="197">
        <f t="shared" si="25"/>
        <v>0</v>
      </c>
      <c r="F58" s="197">
        <f t="shared" si="25"/>
        <v>0</v>
      </c>
      <c r="G58" s="197">
        <f t="shared" si="25"/>
        <v>0</v>
      </c>
      <c r="H58" s="197">
        <f t="shared" si="25"/>
        <v>0</v>
      </c>
      <c r="I58" s="197">
        <f t="shared" si="25"/>
        <v>0</v>
      </c>
      <c r="J58" s="197">
        <f t="shared" si="25"/>
        <v>14.759270016772007</v>
      </c>
      <c r="K58" s="197">
        <f t="shared" si="25"/>
        <v>0</v>
      </c>
      <c r="L58" s="197">
        <f t="shared" si="25"/>
        <v>0</v>
      </c>
      <c r="M58" s="197">
        <f t="shared" si="25"/>
        <v>0</v>
      </c>
      <c r="N58" s="197">
        <f t="shared" si="25"/>
        <v>0</v>
      </c>
      <c r="O58" s="198">
        <f t="shared" si="25"/>
        <v>0</v>
      </c>
    </row>
  </sheetData>
  <mergeCells count="13">
    <mergeCell ref="A44:A46"/>
    <mergeCell ref="A47:A49"/>
    <mergeCell ref="A53:A55"/>
    <mergeCell ref="A56:A58"/>
    <mergeCell ref="A52:O52"/>
    <mergeCell ref="H1:O1"/>
    <mergeCell ref="A33:A35"/>
    <mergeCell ref="A36:A38"/>
    <mergeCell ref="A4:A7"/>
    <mergeCell ref="S4:T4"/>
    <mergeCell ref="A8:A13"/>
    <mergeCell ref="A20:A22"/>
    <mergeCell ref="A23:A25"/>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5"/>
  <sheetViews>
    <sheetView topLeftCell="E1" workbookViewId="0">
      <selection activeCell="U11" sqref="U11"/>
    </sheetView>
  </sheetViews>
  <sheetFormatPr baseColWidth="10" defaultRowHeight="15" x14ac:dyDescent="0.25"/>
  <cols>
    <col min="1" max="1" width="9.140625" customWidth="1"/>
    <col min="2" max="5" width="9.28515625" bestFit="1" customWidth="1"/>
    <col min="6" max="8" width="9.28515625" customWidth="1"/>
    <col min="9" max="9" width="10.140625" bestFit="1" customWidth="1"/>
    <col min="10" max="19" width="9.28515625" bestFit="1" customWidth="1"/>
    <col min="20" max="21" width="9.28515625" customWidth="1"/>
    <col min="22" max="23" width="9.28515625" bestFit="1" customWidth="1"/>
    <col min="24" max="24" width="11.140625" bestFit="1" customWidth="1"/>
    <col min="25" max="25" width="9.140625" customWidth="1"/>
    <col min="26" max="26" width="10.5703125" bestFit="1" customWidth="1"/>
    <col min="27" max="27" width="9.140625" customWidth="1"/>
    <col min="28" max="28" width="9.140625" style="61" customWidth="1"/>
    <col min="29" max="29" width="9.5703125" bestFit="1" customWidth="1"/>
    <col min="30" max="30" width="11.42578125" bestFit="1" customWidth="1"/>
    <col min="31" max="31" width="9.140625" customWidth="1"/>
    <col min="32" max="32" width="11.42578125" bestFit="1" customWidth="1"/>
    <col min="33" max="33" width="9.140625" customWidth="1"/>
    <col min="34" max="34" width="11.42578125" bestFit="1" customWidth="1"/>
    <col min="35" max="259" width="9.140625" customWidth="1"/>
  </cols>
  <sheetData>
    <row r="1" spans="1:46" x14ac:dyDescent="0.25">
      <c r="A1" s="6" t="s">
        <v>16</v>
      </c>
      <c r="B1" s="4">
        <f>'Construction Planner'!E1</f>
        <v>1</v>
      </c>
      <c r="D1" s="6" t="s">
        <v>17</v>
      </c>
      <c r="E1" s="2">
        <v>1.1574074074074073E-5</v>
      </c>
      <c r="F1" s="2"/>
      <c r="G1" s="2"/>
      <c r="H1" s="190"/>
      <c r="I1" s="7">
        <f>I5*4</f>
        <v>1.5648148148148147</v>
      </c>
      <c r="O1" s="6"/>
      <c r="P1" s="127"/>
      <c r="Q1" s="128"/>
      <c r="R1" s="8"/>
      <c r="S1" s="5"/>
      <c r="T1" s="110"/>
      <c r="U1" s="110"/>
      <c r="V1" t="s">
        <v>19</v>
      </c>
      <c r="W1" s="10">
        <v>1.05</v>
      </c>
      <c r="Z1" s="2"/>
    </row>
    <row r="2" spans="1:46" ht="15.75" thickBot="1" x14ac:dyDescent="0.3">
      <c r="W2" s="1"/>
    </row>
    <row r="3" spans="1:46" x14ac:dyDescent="0.25">
      <c r="B3" s="1" t="s">
        <v>0</v>
      </c>
      <c r="C3" s="1" t="s">
        <v>1</v>
      </c>
      <c r="D3" s="1" t="s">
        <v>2</v>
      </c>
      <c r="E3" s="1" t="s">
        <v>3</v>
      </c>
      <c r="F3" s="59" t="s">
        <v>59</v>
      </c>
      <c r="G3" s="59" t="s">
        <v>60</v>
      </c>
      <c r="H3" s="321" t="s">
        <v>64</v>
      </c>
      <c r="I3" s="1" t="s">
        <v>4</v>
      </c>
      <c r="J3" s="1" t="s">
        <v>5</v>
      </c>
      <c r="K3" s="1" t="s">
        <v>6</v>
      </c>
      <c r="L3" s="1" t="s">
        <v>7</v>
      </c>
      <c r="M3" s="1" t="s">
        <v>8</v>
      </c>
      <c r="N3" s="1" t="s">
        <v>9</v>
      </c>
      <c r="O3" s="1" t="s">
        <v>10</v>
      </c>
      <c r="P3" s="1" t="s">
        <v>11</v>
      </c>
      <c r="Q3" s="1" t="s">
        <v>12</v>
      </c>
      <c r="R3" s="1" t="s">
        <v>13</v>
      </c>
      <c r="S3" s="1" t="s">
        <v>14</v>
      </c>
      <c r="T3" s="1" t="s">
        <v>107</v>
      </c>
      <c r="U3" s="1" t="s">
        <v>106</v>
      </c>
      <c r="V3" s="1" t="s">
        <v>15</v>
      </c>
      <c r="W3" s="9" t="s">
        <v>18</v>
      </c>
      <c r="X3" s="76" t="s">
        <v>65</v>
      </c>
      <c r="Z3" s="10"/>
      <c r="AB3" s="281" t="s">
        <v>293</v>
      </c>
      <c r="AC3" s="410">
        <v>15</v>
      </c>
      <c r="AD3" s="412"/>
      <c r="AE3" s="410">
        <v>20</v>
      </c>
      <c r="AF3" s="412"/>
      <c r="AG3" s="410">
        <v>25</v>
      </c>
      <c r="AH3" s="412"/>
      <c r="AI3" s="1"/>
      <c r="AJ3" s="1"/>
      <c r="AK3" s="1"/>
      <c r="AL3" s="1"/>
      <c r="AM3" s="1"/>
      <c r="AN3" s="1"/>
      <c r="AO3" s="1"/>
      <c r="AP3" s="1"/>
      <c r="AQ3" s="1"/>
      <c r="AR3" s="1"/>
      <c r="AS3" s="1"/>
      <c r="AT3" s="1"/>
    </row>
    <row r="4" spans="1:46" x14ac:dyDescent="0.25">
      <c r="A4" t="s">
        <v>58</v>
      </c>
      <c r="B4" s="58">
        <f>900/B1</f>
        <v>900</v>
      </c>
      <c r="C4" s="1">
        <f>1800/B1</f>
        <v>1800</v>
      </c>
      <c r="D4" s="1">
        <f>6000/B1</f>
        <v>6000</v>
      </c>
      <c r="E4" s="1">
        <f>6000/B1</f>
        <v>6000</v>
      </c>
      <c r="F4" s="1">
        <v>900</v>
      </c>
      <c r="G4" s="1">
        <v>20400</v>
      </c>
      <c r="H4" s="1">
        <f>13200/B1</f>
        <v>13200</v>
      </c>
      <c r="I4" s="344">
        <f>33800/B1</f>
        <v>33800</v>
      </c>
      <c r="J4" s="1">
        <f>6000/B1</f>
        <v>6000</v>
      </c>
      <c r="K4" s="1">
        <f>1200/B1</f>
        <v>1200</v>
      </c>
      <c r="L4" s="1">
        <f>1500/B1</f>
        <v>1500</v>
      </c>
      <c r="M4" s="1">
        <f>2700/B1</f>
        <v>2700</v>
      </c>
      <c r="N4" s="1">
        <f>900/B1</f>
        <v>900</v>
      </c>
      <c r="O4" s="1">
        <f>900/B1</f>
        <v>900</v>
      </c>
      <c r="P4" s="1">
        <f>1080/B1</f>
        <v>1080</v>
      </c>
      <c r="Q4" s="1">
        <f>1200/B1</f>
        <v>1200</v>
      </c>
      <c r="R4" s="1">
        <f>1020/B1</f>
        <v>1020</v>
      </c>
      <c r="S4" s="1">
        <f>1800/B1</f>
        <v>1800</v>
      </c>
      <c r="T4" s="1">
        <f>30000/B1</f>
        <v>30000</v>
      </c>
      <c r="U4" s="1">
        <v>0</v>
      </c>
      <c r="V4" s="1">
        <f>3600/B1</f>
        <v>3600</v>
      </c>
      <c r="W4" s="9"/>
      <c r="Y4" s="22"/>
      <c r="Z4" s="10"/>
      <c r="AB4" s="282" t="s">
        <v>231</v>
      </c>
      <c r="AC4" s="81" t="s">
        <v>226</v>
      </c>
      <c r="AD4" s="82" t="s">
        <v>292</v>
      </c>
      <c r="AE4" s="81" t="s">
        <v>226</v>
      </c>
      <c r="AF4" s="82" t="s">
        <v>292</v>
      </c>
      <c r="AG4" s="81" t="s">
        <v>226</v>
      </c>
      <c r="AH4" s="82" t="s">
        <v>292</v>
      </c>
      <c r="AI4" s="2"/>
      <c r="AJ4" s="2"/>
      <c r="AK4" s="2"/>
      <c r="AL4" s="2"/>
      <c r="AM4" s="2"/>
      <c r="AN4" s="2"/>
      <c r="AO4" s="2"/>
      <c r="AP4" s="2"/>
      <c r="AQ4" s="2"/>
      <c r="AR4" s="2"/>
      <c r="AS4" s="2"/>
      <c r="AT4" s="2"/>
    </row>
    <row r="5" spans="1:46" x14ac:dyDescent="0.25">
      <c r="A5">
        <v>1</v>
      </c>
      <c r="B5" s="78">
        <f t="shared" ref="B5:E14" si="0">B$4*$Y5*$E$1</f>
        <v>8.5299394467422388E-5</v>
      </c>
      <c r="C5" s="78">
        <f t="shared" si="0"/>
        <v>1.7059878893484478E-4</v>
      </c>
      <c r="D5" s="78">
        <f t="shared" si="0"/>
        <v>5.686626297828159E-4</v>
      </c>
      <c r="E5" s="78">
        <f t="shared" si="0"/>
        <v>5.686626297828159E-4</v>
      </c>
      <c r="F5" s="78">
        <v>1.0416666666666666E-2</v>
      </c>
      <c r="G5" s="78">
        <v>0.2361111111111111</v>
      </c>
      <c r="H5" s="78">
        <f t="shared" ref="H5:H14" si="1">H$4*$Y5*$E$1</f>
        <v>1.2510577855221949E-3</v>
      </c>
      <c r="I5" s="78">
        <f>I4*E1</f>
        <v>0.39120370370370366</v>
      </c>
      <c r="J5" s="78">
        <f t="shared" ref="J5:S5" si="2">J$4*$Y5*$E$1</f>
        <v>5.686626297828159E-4</v>
      </c>
      <c r="K5" s="78">
        <f t="shared" si="2"/>
        <v>1.1373252595656319E-4</v>
      </c>
      <c r="L5" s="78">
        <f t="shared" si="2"/>
        <v>1.4216565744570398E-4</v>
      </c>
      <c r="M5" s="78">
        <f t="shared" si="2"/>
        <v>2.5589818340226712E-4</v>
      </c>
      <c r="N5" s="78">
        <f t="shared" si="2"/>
        <v>8.5299394467422388E-5</v>
      </c>
      <c r="O5" s="78">
        <f t="shared" si="2"/>
        <v>8.5299394467422388E-5</v>
      </c>
      <c r="P5" s="78">
        <f t="shared" si="2"/>
        <v>1.0235927336090687E-4</v>
      </c>
      <c r="Q5" s="78">
        <f t="shared" si="2"/>
        <v>1.1373252595656319E-4</v>
      </c>
      <c r="R5" s="78">
        <f t="shared" si="2"/>
        <v>9.6672647063078708E-5</v>
      </c>
      <c r="S5" s="78">
        <f t="shared" si="2"/>
        <v>1.7059878893484478E-4</v>
      </c>
      <c r="T5" s="78">
        <f>T4*E1</f>
        <v>0.34722222222222221</v>
      </c>
      <c r="U5" s="78">
        <v>1.1574074074074073E-5</v>
      </c>
      <c r="V5" s="78">
        <v>1.8425678507947363E-3</v>
      </c>
      <c r="W5" s="3">
        <f>$W$1^(-A5)</f>
        <v>0.95238095238095233</v>
      </c>
      <c r="X5" s="112">
        <v>0</v>
      </c>
      <c r="Y5" s="77">
        <v>8.1887418688725497E-3</v>
      </c>
      <c r="Z5" s="133"/>
      <c r="AB5" s="282">
        <v>1</v>
      </c>
      <c r="AC5" s="279">
        <f>V5*$W$24</f>
        <v>6.9444444444444436E-4</v>
      </c>
      <c r="AD5" s="116">
        <f>AC5</f>
        <v>6.9444444444444436E-4</v>
      </c>
      <c r="AE5" s="279">
        <f>V5*$W$24</f>
        <v>6.9444444444444436E-4</v>
      </c>
      <c r="AF5" s="116">
        <f>AE5</f>
        <v>6.9444444444444436E-4</v>
      </c>
      <c r="AG5" s="279">
        <f>V5*$W$24</f>
        <v>6.9444444444444436E-4</v>
      </c>
      <c r="AH5" s="116">
        <f>AG5</f>
        <v>6.9444444444444436E-4</v>
      </c>
      <c r="AT5" s="77"/>
    </row>
    <row r="6" spans="1:46" x14ac:dyDescent="0.25">
      <c r="A6">
        <v>2</v>
      </c>
      <c r="B6" s="78">
        <f t="shared" si="0"/>
        <v>8.5299394467422388E-5</v>
      </c>
      <c r="C6" s="78">
        <f t="shared" si="0"/>
        <v>1.7059878893484478E-4</v>
      </c>
      <c r="D6" s="78">
        <f t="shared" si="0"/>
        <v>5.686626297828159E-4</v>
      </c>
      <c r="E6" s="78">
        <f t="shared" si="0"/>
        <v>5.686626297828159E-4</v>
      </c>
      <c r="F6" s="78"/>
      <c r="G6" s="78">
        <v>0.28333333333333333</v>
      </c>
      <c r="H6" s="78">
        <f t="shared" si="1"/>
        <v>1.2510577855221949E-3</v>
      </c>
      <c r="I6" s="78">
        <f>I5</f>
        <v>0.39120370370370366</v>
      </c>
      <c r="J6" s="78">
        <f t="shared" ref="J6:J14" si="3">J$4*$Y6*$E$1</f>
        <v>5.686626297828159E-4</v>
      </c>
      <c r="K6" s="78"/>
      <c r="L6" s="78"/>
      <c r="M6" s="78">
        <f t="shared" ref="M6:S14" si="4">M$4*$Y6*$E$1</f>
        <v>2.5589818340226712E-4</v>
      </c>
      <c r="N6" s="78">
        <f t="shared" si="4"/>
        <v>8.5299394467422388E-5</v>
      </c>
      <c r="O6" s="78">
        <f t="shared" si="4"/>
        <v>8.5299394467422388E-5</v>
      </c>
      <c r="P6" s="78">
        <f t="shared" si="4"/>
        <v>1.0235927336090687E-4</v>
      </c>
      <c r="Q6" s="78">
        <f t="shared" si="4"/>
        <v>1.1373252595656319E-4</v>
      </c>
      <c r="R6" s="78">
        <f t="shared" si="4"/>
        <v>9.6672647063078708E-5</v>
      </c>
      <c r="S6" s="78">
        <f t="shared" si="4"/>
        <v>1.7059878893484478E-4</v>
      </c>
      <c r="T6" s="78">
        <f>T5</f>
        <v>0.34722222222222221</v>
      </c>
      <c r="U6" s="78">
        <v>1.1574074074074073E-5</v>
      </c>
      <c r="V6" s="78">
        <v>1.8425678507947363E-3</v>
      </c>
      <c r="W6" s="3">
        <f t="shared" ref="W6:W34" si="5">$W$1^(-A6)</f>
        <v>0.90702947845804982</v>
      </c>
      <c r="X6" s="112">
        <v>1</v>
      </c>
      <c r="Y6" s="77">
        <v>8.1887418688725497E-3</v>
      </c>
      <c r="Z6" s="138"/>
      <c r="AB6" s="282">
        <v>2</v>
      </c>
      <c r="AC6" s="279">
        <f t="shared" ref="AC6:AC7" si="6">V6*$W$24</f>
        <v>6.9444444444444436E-4</v>
      </c>
      <c r="AD6" s="116">
        <f>AC6+AC5</f>
        <v>1.3888888888888887E-3</v>
      </c>
      <c r="AE6" s="279">
        <f t="shared" ref="AE6:AE24" si="7">V6*$W$24</f>
        <v>6.9444444444444436E-4</v>
      </c>
      <c r="AF6" s="116">
        <f>AE6+AE5</f>
        <v>1.3888888888888887E-3</v>
      </c>
      <c r="AG6" s="279">
        <f t="shared" ref="AG6:AG7" si="8">V6*$W$24</f>
        <v>6.9444444444444436E-4</v>
      </c>
      <c r="AH6" s="116">
        <f>AG6+AG5</f>
        <v>1.3888888888888887E-3</v>
      </c>
      <c r="AT6" s="77"/>
    </row>
    <row r="7" spans="1:46" x14ac:dyDescent="0.25">
      <c r="A7">
        <v>3</v>
      </c>
      <c r="B7" s="78">
        <f t="shared" si="0"/>
        <v>1.6875E-3</v>
      </c>
      <c r="C7" s="78">
        <f t="shared" si="0"/>
        <v>3.375E-3</v>
      </c>
      <c r="D7" s="78">
        <f t="shared" si="0"/>
        <v>1.125E-2</v>
      </c>
      <c r="E7" s="78">
        <f t="shared" si="0"/>
        <v>1.125E-2</v>
      </c>
      <c r="F7" s="78"/>
      <c r="G7" s="78">
        <v>0.33999999999999997</v>
      </c>
      <c r="H7" s="78">
        <f t="shared" si="1"/>
        <v>2.4750000000000001E-2</v>
      </c>
      <c r="I7" s="78">
        <v>0.46944444444444439</v>
      </c>
      <c r="J7" s="78">
        <f t="shared" si="3"/>
        <v>1.125E-2</v>
      </c>
      <c r="K7" s="78"/>
      <c r="L7" s="78"/>
      <c r="M7" s="78">
        <f t="shared" si="4"/>
        <v>5.0625000000000002E-3</v>
      </c>
      <c r="N7" s="78">
        <f t="shared" si="4"/>
        <v>1.6875E-3</v>
      </c>
      <c r="O7" s="78">
        <f t="shared" si="4"/>
        <v>1.6875E-3</v>
      </c>
      <c r="P7" s="78">
        <f t="shared" si="4"/>
        <v>2.0249999999999999E-3</v>
      </c>
      <c r="Q7" s="78">
        <f t="shared" si="4"/>
        <v>2.2499999999999998E-3</v>
      </c>
      <c r="R7" s="78">
        <f t="shared" si="4"/>
        <v>1.9124999999999999E-3</v>
      </c>
      <c r="S7" s="78">
        <f t="shared" si="4"/>
        <v>3.375E-3</v>
      </c>
      <c r="T7" s="78">
        <f t="shared" ref="T7:T34" si="9">T6</f>
        <v>0.34722222222222221</v>
      </c>
      <c r="U7" s="78">
        <v>1.1574074074074101E-5</v>
      </c>
      <c r="V7" s="78">
        <v>1.8425678507947363E-3</v>
      </c>
      <c r="W7" s="3">
        <f t="shared" si="5"/>
        <v>0.86383759853147601</v>
      </c>
      <c r="X7" s="112">
        <v>20.360719687500001</v>
      </c>
      <c r="Y7" s="77">
        <v>0.16200000000000001</v>
      </c>
      <c r="Z7" s="138"/>
      <c r="AB7" s="282">
        <v>3</v>
      </c>
      <c r="AC7" s="279">
        <f t="shared" si="6"/>
        <v>6.9444444444444436E-4</v>
      </c>
      <c r="AD7" s="116">
        <f>AC7+AD6</f>
        <v>2.0833333333333329E-3</v>
      </c>
      <c r="AE7" s="279">
        <f t="shared" si="7"/>
        <v>6.9444444444444436E-4</v>
      </c>
      <c r="AF7" s="116">
        <f>AE7+AF6</f>
        <v>2.0833333333333329E-3</v>
      </c>
      <c r="AG7" s="279">
        <f t="shared" si="8"/>
        <v>6.9444444444444436E-4</v>
      </c>
      <c r="AH7" s="116">
        <f>AG7+AH6</f>
        <v>2.0833333333333329E-3</v>
      </c>
      <c r="AT7" s="77"/>
    </row>
    <row r="8" spans="1:46" x14ac:dyDescent="0.25">
      <c r="A8">
        <v>4</v>
      </c>
      <c r="B8" s="78">
        <f t="shared" si="0"/>
        <v>5.2181284976256142E-3</v>
      </c>
      <c r="C8" s="78">
        <f t="shared" si="0"/>
        <v>1.0436256995251228E-2</v>
      </c>
      <c r="D8" s="78">
        <f t="shared" si="0"/>
        <v>3.4787523317504093E-2</v>
      </c>
      <c r="E8" s="78">
        <f t="shared" si="0"/>
        <v>3.4787523317504093E-2</v>
      </c>
      <c r="F8" s="78"/>
      <c r="G8" s="78"/>
      <c r="H8" s="78">
        <f t="shared" si="1"/>
        <v>7.6532551298509013E-2</v>
      </c>
      <c r="I8" s="78"/>
      <c r="J8" s="78">
        <f t="shared" si="3"/>
        <v>3.4787523317504093E-2</v>
      </c>
      <c r="K8" s="78"/>
      <c r="L8" s="78"/>
      <c r="M8" s="78">
        <f t="shared" si="4"/>
        <v>1.5654385492876843E-2</v>
      </c>
      <c r="N8" s="78">
        <f t="shared" si="4"/>
        <v>5.2181284976256142E-3</v>
      </c>
      <c r="O8" s="78">
        <f t="shared" si="4"/>
        <v>5.2181284976256142E-3</v>
      </c>
      <c r="P8" s="78">
        <f t="shared" si="4"/>
        <v>6.2617541971507372E-3</v>
      </c>
      <c r="Q8" s="78">
        <f t="shared" si="4"/>
        <v>6.9575046635008192E-3</v>
      </c>
      <c r="R8" s="78">
        <f t="shared" si="4"/>
        <v>5.9138789639756962E-3</v>
      </c>
      <c r="S8" s="78">
        <f t="shared" si="4"/>
        <v>1.0436256995251228E-2</v>
      </c>
      <c r="T8" s="78">
        <f t="shared" si="9"/>
        <v>0.34722222222222221</v>
      </c>
      <c r="U8" s="78">
        <v>1.1574074074074101E-5</v>
      </c>
      <c r="V8" s="78">
        <f t="shared" ref="V8:V14" si="10">V$4*$Y8*$E$1</f>
        <v>2.0872513990502457E-2</v>
      </c>
      <c r="W8" s="3">
        <f t="shared" si="5"/>
        <v>0.82270247479188197</v>
      </c>
      <c r="X8" s="112">
        <v>3.0962054451184886</v>
      </c>
      <c r="Y8" s="77">
        <v>0.50094033577205899</v>
      </c>
      <c r="Z8" s="138"/>
      <c r="AB8" s="282">
        <v>4</v>
      </c>
      <c r="AC8" s="279">
        <f t="shared" ref="AC8:AC24" si="11">V8*$W$19</f>
        <v>1.0040036109574667E-2</v>
      </c>
      <c r="AD8" s="116">
        <f t="shared" ref="AD8:AD24" si="12">AC8+AD7</f>
        <v>1.2123369442908E-2</v>
      </c>
      <c r="AE8" s="279">
        <f t="shared" si="7"/>
        <v>7.8666310041399408E-3</v>
      </c>
      <c r="AF8" s="116">
        <f t="shared" ref="AF8:AF24" si="13">AE8+AF7</f>
        <v>9.9499643374732737E-3</v>
      </c>
      <c r="AG8" s="279">
        <f t="shared" ref="AG8:AG24" si="14">V8*$W$29</f>
        <v>6.1637112336956918E-3</v>
      </c>
      <c r="AH8" s="116">
        <f t="shared" ref="AH8:AH24" si="15">AG8+AH7</f>
        <v>8.2470445670290247E-3</v>
      </c>
      <c r="AT8" s="77"/>
    </row>
    <row r="9" spans="1:46" x14ac:dyDescent="0.25">
      <c r="A9">
        <v>5</v>
      </c>
      <c r="B9" s="78">
        <f t="shared" si="0"/>
        <v>9.959543168039181E-3</v>
      </c>
      <c r="C9" s="78">
        <f t="shared" si="0"/>
        <v>1.9919086336078362E-2</v>
      </c>
      <c r="D9" s="78">
        <f t="shared" si="0"/>
        <v>6.6396954453594545E-2</v>
      </c>
      <c r="E9" s="78">
        <f t="shared" si="0"/>
        <v>6.6396954453594545E-2</v>
      </c>
      <c r="F9" s="78"/>
      <c r="G9" s="78"/>
      <c r="H9" s="78">
        <f t="shared" si="1"/>
        <v>0.14607329979790798</v>
      </c>
      <c r="I9" s="78"/>
      <c r="J9" s="78">
        <f t="shared" si="3"/>
        <v>6.6396954453594545E-2</v>
      </c>
      <c r="K9" s="78"/>
      <c r="L9" s="78"/>
      <c r="M9" s="78">
        <f t="shared" si="4"/>
        <v>2.987862950411754E-2</v>
      </c>
      <c r="N9" s="78">
        <f t="shared" si="4"/>
        <v>9.959543168039181E-3</v>
      </c>
      <c r="O9" s="78">
        <f t="shared" si="4"/>
        <v>9.959543168039181E-3</v>
      </c>
      <c r="P9" s="78">
        <f t="shared" si="4"/>
        <v>1.1951451801647018E-2</v>
      </c>
      <c r="Q9" s="78">
        <f t="shared" si="4"/>
        <v>1.3279390890718909E-2</v>
      </c>
      <c r="R9" s="78">
        <f t="shared" si="4"/>
        <v>1.1287482257111072E-2</v>
      </c>
      <c r="S9" s="78">
        <f t="shared" si="4"/>
        <v>1.9919086336078362E-2</v>
      </c>
      <c r="T9" s="78">
        <f t="shared" si="9"/>
        <v>0.34722222222222221</v>
      </c>
      <c r="U9" s="78">
        <v>1.1574074074074101E-5</v>
      </c>
      <c r="V9" s="78">
        <f t="shared" si="10"/>
        <v>3.9838172672156724E-2</v>
      </c>
      <c r="W9" s="3">
        <f t="shared" si="5"/>
        <v>0.78352616646845896</v>
      </c>
      <c r="X9" s="112">
        <v>1.9083917705280991</v>
      </c>
      <c r="Y9" s="77">
        <v>0.95611614413176138</v>
      </c>
      <c r="Z9" s="138"/>
      <c r="AB9" s="282">
        <v>5</v>
      </c>
      <c r="AC9" s="279">
        <f t="shared" si="11"/>
        <v>1.916284221200782E-2</v>
      </c>
      <c r="AD9" s="116">
        <f t="shared" si="12"/>
        <v>3.1286211654915824E-2</v>
      </c>
      <c r="AE9" s="279">
        <f t="shared" si="7"/>
        <v>1.5014588297014454E-2</v>
      </c>
      <c r="AF9" s="116">
        <f t="shared" si="13"/>
        <v>2.4964552634487727E-2</v>
      </c>
      <c r="AG9" s="279">
        <f t="shared" si="14"/>
        <v>1.1764322809461922E-2</v>
      </c>
      <c r="AH9" s="116">
        <f t="shared" si="15"/>
        <v>2.0011367376490945E-2</v>
      </c>
      <c r="AT9" s="77"/>
    </row>
    <row r="10" spans="1:46" x14ac:dyDescent="0.25">
      <c r="A10">
        <v>6</v>
      </c>
      <c r="B10" s="7">
        <f t="shared" si="0"/>
        <v>1.5706569007709767E-2</v>
      </c>
      <c r="C10" s="7">
        <f t="shared" si="0"/>
        <v>3.1413138015419534E-2</v>
      </c>
      <c r="D10" s="7">
        <f t="shared" si="0"/>
        <v>0.10471046005139843</v>
      </c>
      <c r="E10" s="7">
        <f t="shared" si="0"/>
        <v>0.10471046005139843</v>
      </c>
      <c r="F10" s="7"/>
      <c r="G10" s="7"/>
      <c r="H10" s="7">
        <f t="shared" si="1"/>
        <v>0.23036301211307658</v>
      </c>
      <c r="I10" s="7"/>
      <c r="J10" s="7">
        <f t="shared" si="3"/>
        <v>0.10471046005139843</v>
      </c>
      <c r="K10" s="7"/>
      <c r="L10" s="7"/>
      <c r="M10" s="7">
        <f t="shared" si="4"/>
        <v>4.7119707023129294E-2</v>
      </c>
      <c r="N10" s="7">
        <f t="shared" si="4"/>
        <v>1.5706569007709767E-2</v>
      </c>
      <c r="O10" s="7">
        <f t="shared" si="4"/>
        <v>1.5706569007709767E-2</v>
      </c>
      <c r="P10" s="7">
        <f t="shared" si="4"/>
        <v>1.8847882809251718E-2</v>
      </c>
      <c r="Q10" s="7">
        <f t="shared" si="4"/>
        <v>2.0942092010279686E-2</v>
      </c>
      <c r="R10" s="7">
        <f t="shared" si="4"/>
        <v>1.7800778208737735E-2</v>
      </c>
      <c r="S10" s="7">
        <f t="shared" si="4"/>
        <v>3.1413138015419534E-2</v>
      </c>
      <c r="T10" s="7">
        <f t="shared" si="9"/>
        <v>0.34722222222222221</v>
      </c>
      <c r="U10" s="7">
        <v>1.1574074074074101E-5</v>
      </c>
      <c r="V10" s="7">
        <f t="shared" si="10"/>
        <v>6.2826276030839068E-2</v>
      </c>
      <c r="W10" s="3">
        <f t="shared" si="5"/>
        <v>0.74621539663662761</v>
      </c>
      <c r="X10" s="112">
        <v>1.5774304831602659</v>
      </c>
      <c r="Y10" s="77">
        <v>1.5078306247401376</v>
      </c>
      <c r="Z10" s="138"/>
      <c r="AB10" s="282">
        <v>6</v>
      </c>
      <c r="AC10" s="279">
        <f t="shared" si="11"/>
        <v>3.0220512980216486E-2</v>
      </c>
      <c r="AD10" s="116">
        <f t="shared" si="12"/>
        <v>6.1506724635132307E-2</v>
      </c>
      <c r="AE10" s="279">
        <f t="shared" si="7"/>
        <v>2.3678562684099329E-2</v>
      </c>
      <c r="AF10" s="116">
        <f t="shared" si="13"/>
        <v>4.864311531858706E-2</v>
      </c>
      <c r="AG10" s="279">
        <f t="shared" si="14"/>
        <v>1.8552773447355453E-2</v>
      </c>
      <c r="AH10" s="116">
        <f t="shared" si="15"/>
        <v>3.8564140823846398E-2</v>
      </c>
      <c r="AT10" s="77"/>
    </row>
    <row r="11" spans="1:46" x14ac:dyDescent="0.25">
      <c r="A11">
        <v>7</v>
      </c>
      <c r="B11" s="7">
        <f t="shared" si="0"/>
        <v>2.2486283918350131E-2</v>
      </c>
      <c r="C11" s="7">
        <f t="shared" si="0"/>
        <v>4.4972567836700263E-2</v>
      </c>
      <c r="D11" s="7">
        <f t="shared" si="0"/>
        <v>0.14990855945566753</v>
      </c>
      <c r="E11" s="7">
        <f t="shared" si="0"/>
        <v>0.14990855945566753</v>
      </c>
      <c r="F11" s="7"/>
      <c r="G11" s="7"/>
      <c r="H11" s="7">
        <f t="shared" si="1"/>
        <v>0.32979883080246863</v>
      </c>
      <c r="I11" s="7"/>
      <c r="J11" s="7">
        <f t="shared" si="3"/>
        <v>0.14990855945566753</v>
      </c>
      <c r="K11" s="7"/>
      <c r="L11" s="7"/>
      <c r="M11" s="7">
        <f t="shared" si="4"/>
        <v>6.7458851755050397E-2</v>
      </c>
      <c r="N11" s="7">
        <f t="shared" si="4"/>
        <v>2.2486283918350131E-2</v>
      </c>
      <c r="O11" s="7">
        <f t="shared" si="4"/>
        <v>2.2486283918350131E-2</v>
      </c>
      <c r="P11" s="7">
        <f t="shared" si="4"/>
        <v>2.6983540702020158E-2</v>
      </c>
      <c r="Q11" s="7">
        <f t="shared" si="4"/>
        <v>2.9981711891133508E-2</v>
      </c>
      <c r="R11" s="7">
        <f t="shared" si="4"/>
        <v>2.5484455107463486E-2</v>
      </c>
      <c r="S11" s="7">
        <f t="shared" si="4"/>
        <v>4.4972567836700263E-2</v>
      </c>
      <c r="T11" s="7">
        <f t="shared" si="9"/>
        <v>0.34722222222222221</v>
      </c>
      <c r="U11" s="7">
        <v>1.1574074074074101E-5</v>
      </c>
      <c r="V11" s="7">
        <f t="shared" si="10"/>
        <v>8.9945135673400525E-2</v>
      </c>
      <c r="W11" s="3">
        <f t="shared" si="5"/>
        <v>0.71068133013012147</v>
      </c>
      <c r="X11" s="112">
        <v>1.4312524375277447</v>
      </c>
      <c r="Y11" s="77">
        <v>2.1586832561616127</v>
      </c>
      <c r="Z11" s="138"/>
      <c r="AB11" s="282">
        <v>7</v>
      </c>
      <c r="AC11" s="279">
        <f t="shared" si="11"/>
        <v>4.3265148149017725E-2</v>
      </c>
      <c r="AD11" s="116">
        <f t="shared" si="12"/>
        <v>0.10477187278415004</v>
      </c>
      <c r="AE11" s="279">
        <f t="shared" si="7"/>
        <v>3.3899375670889804E-2</v>
      </c>
      <c r="AF11" s="116">
        <f t="shared" si="13"/>
        <v>8.2542490989476858E-2</v>
      </c>
      <c r="AG11" s="279">
        <f t="shared" si="14"/>
        <v>2.656104786508643E-2</v>
      </c>
      <c r="AH11" s="116">
        <f t="shared" si="15"/>
        <v>6.5125188688932828E-2</v>
      </c>
      <c r="AT11" s="77"/>
    </row>
    <row r="12" spans="1:46" x14ac:dyDescent="0.25">
      <c r="A12">
        <v>8</v>
      </c>
      <c r="B12" s="7">
        <f t="shared" si="0"/>
        <v>3.0457035121601674E-2</v>
      </c>
      <c r="C12" s="7">
        <f t="shared" si="0"/>
        <v>6.0914070243203347E-2</v>
      </c>
      <c r="D12" s="7">
        <f t="shared" si="0"/>
        <v>0.20304690081067783</v>
      </c>
      <c r="E12" s="7">
        <f t="shared" si="0"/>
        <v>0.20304690081067783</v>
      </c>
      <c r="F12" s="7"/>
      <c r="G12" s="7"/>
      <c r="H12" s="7">
        <f t="shared" si="1"/>
        <v>0.44670318178349122</v>
      </c>
      <c r="I12" s="7"/>
      <c r="J12" s="7">
        <f t="shared" si="3"/>
        <v>0.20304690081067783</v>
      </c>
      <c r="K12" s="7"/>
      <c r="L12" s="7"/>
      <c r="M12" s="7">
        <f t="shared" si="4"/>
        <v>9.1371105364805014E-2</v>
      </c>
      <c r="N12" s="7">
        <f t="shared" si="4"/>
        <v>3.0457035121601674E-2</v>
      </c>
      <c r="O12" s="7">
        <f t="shared" si="4"/>
        <v>3.0457035121601674E-2</v>
      </c>
      <c r="P12" s="7">
        <f t="shared" si="4"/>
        <v>3.6548442145922004E-2</v>
      </c>
      <c r="Q12" s="7">
        <f t="shared" si="4"/>
        <v>4.0609380162135562E-2</v>
      </c>
      <c r="R12" s="7">
        <f t="shared" si="4"/>
        <v>3.4517973137815232E-2</v>
      </c>
      <c r="S12" s="7">
        <f t="shared" si="4"/>
        <v>6.0914070243203347E-2</v>
      </c>
      <c r="T12" s="7">
        <f t="shared" si="9"/>
        <v>0.34722222222222221</v>
      </c>
      <c r="U12" s="7">
        <v>1.1574074074074101E-5</v>
      </c>
      <c r="V12" s="7">
        <f t="shared" si="10"/>
        <v>0.12182814048640669</v>
      </c>
      <c r="W12" s="3">
        <f t="shared" si="5"/>
        <v>0.67683936202868722</v>
      </c>
      <c r="X12" s="112">
        <v>1.3547557656990032</v>
      </c>
      <c r="Y12" s="77">
        <v>2.9238753716737609</v>
      </c>
      <c r="Z12" s="138"/>
      <c r="AB12" s="282">
        <v>8</v>
      </c>
      <c r="AC12" s="279">
        <f t="shared" si="11"/>
        <v>5.860141860259039E-2</v>
      </c>
      <c r="AD12" s="116">
        <f t="shared" si="12"/>
        <v>0.16337329138674042</v>
      </c>
      <c r="AE12" s="279">
        <f t="shared" si="7"/>
        <v>4.5915744867301087E-2</v>
      </c>
      <c r="AF12" s="116">
        <f t="shared" si="13"/>
        <v>0.12845823585677796</v>
      </c>
      <c r="AG12" s="279">
        <f t="shared" si="14"/>
        <v>3.5976187556420243E-2</v>
      </c>
      <c r="AH12" s="116">
        <f t="shared" si="15"/>
        <v>0.10110137624535306</v>
      </c>
      <c r="AT12" s="77"/>
    </row>
    <row r="13" spans="1:46" x14ac:dyDescent="0.25">
      <c r="A13">
        <v>9</v>
      </c>
      <c r="B13" s="7">
        <f t="shared" si="0"/>
        <v>3.9846243338975601E-2</v>
      </c>
      <c r="C13" s="7">
        <f t="shared" si="0"/>
        <v>7.9692486677951202E-2</v>
      </c>
      <c r="D13" s="7">
        <f t="shared" si="0"/>
        <v>0.26564162225983734</v>
      </c>
      <c r="E13" s="7">
        <f t="shared" si="0"/>
        <v>0.26564162225983734</v>
      </c>
      <c r="F13" s="7"/>
      <c r="G13" s="7"/>
      <c r="H13" s="7">
        <f t="shared" si="1"/>
        <v>0.58441156897164215</v>
      </c>
      <c r="I13" s="7"/>
      <c r="J13" s="7">
        <f t="shared" si="3"/>
        <v>0.26564162225983734</v>
      </c>
      <c r="K13" s="7"/>
      <c r="L13" s="7"/>
      <c r="M13" s="7">
        <f t="shared" si="4"/>
        <v>0.1195387300169268</v>
      </c>
      <c r="N13" s="7">
        <f t="shared" si="4"/>
        <v>3.9846243338975601E-2</v>
      </c>
      <c r="O13" s="7">
        <f t="shared" si="4"/>
        <v>3.9846243338975601E-2</v>
      </c>
      <c r="P13" s="7">
        <f t="shared" si="4"/>
        <v>4.7815492006770717E-2</v>
      </c>
      <c r="Q13" s="7">
        <f t="shared" si="4"/>
        <v>5.3128324451967468E-2</v>
      </c>
      <c r="R13" s="7">
        <f t="shared" si="4"/>
        <v>4.5159075784172345E-2</v>
      </c>
      <c r="S13" s="7">
        <f t="shared" si="4"/>
        <v>7.9692486677951202E-2</v>
      </c>
      <c r="T13" s="7">
        <f t="shared" si="9"/>
        <v>0.34722222222222221</v>
      </c>
      <c r="U13" s="7">
        <v>1.1574074074074101E-5</v>
      </c>
      <c r="V13" s="7">
        <f t="shared" si="10"/>
        <v>0.1593849733559024</v>
      </c>
      <c r="W13" s="3">
        <f t="shared" si="5"/>
        <v>0.64460891621779726</v>
      </c>
      <c r="X13" s="112">
        <v>1.3082694934037991</v>
      </c>
      <c r="Y13" s="77">
        <v>3.8252393605416577</v>
      </c>
      <c r="Z13" s="138"/>
      <c r="AB13" s="282">
        <v>9</v>
      </c>
      <c r="AC13" s="279">
        <f t="shared" si="11"/>
        <v>7.6666897362962783E-2</v>
      </c>
      <c r="AD13" s="116">
        <f t="shared" si="12"/>
        <v>0.2400401887497032</v>
      </c>
      <c r="AE13" s="279">
        <f t="shared" si="7"/>
        <v>6.0070520185833039E-2</v>
      </c>
      <c r="AF13" s="116">
        <f t="shared" si="13"/>
        <v>0.18852875604261099</v>
      </c>
      <c r="AG13" s="279">
        <f t="shared" si="14"/>
        <v>4.7066824398971939E-2</v>
      </c>
      <c r="AH13" s="116">
        <f t="shared" si="15"/>
        <v>0.14816820064432501</v>
      </c>
      <c r="AT13" s="77"/>
    </row>
    <row r="14" spans="1:46" x14ac:dyDescent="0.25">
      <c r="A14">
        <v>10</v>
      </c>
      <c r="B14" s="7">
        <f t="shared" si="0"/>
        <v>5.0912499999999999E-2</v>
      </c>
      <c r="C14" s="7">
        <f t="shared" si="0"/>
        <v>0.101825</v>
      </c>
      <c r="D14" s="7">
        <f t="shared" si="0"/>
        <v>0.33941666666666664</v>
      </c>
      <c r="E14" s="7">
        <f t="shared" si="0"/>
        <v>0.33941666666666664</v>
      </c>
      <c r="F14" s="7"/>
      <c r="G14" s="7"/>
      <c r="H14" s="7">
        <f t="shared" si="1"/>
        <v>0.74671666666666658</v>
      </c>
      <c r="I14" s="7"/>
      <c r="J14" s="7">
        <f t="shared" si="3"/>
        <v>0.33941666666666664</v>
      </c>
      <c r="K14" s="7"/>
      <c r="L14" s="7"/>
      <c r="M14" s="7">
        <f t="shared" si="4"/>
        <v>0.1527375</v>
      </c>
      <c r="N14" s="7">
        <f t="shared" si="4"/>
        <v>5.0912499999999999E-2</v>
      </c>
      <c r="O14" s="7">
        <f t="shared" si="4"/>
        <v>5.0912499999999999E-2</v>
      </c>
      <c r="P14" s="7">
        <f t="shared" si="4"/>
        <v>6.1094999999999997E-2</v>
      </c>
      <c r="Q14" s="7">
        <f t="shared" si="4"/>
        <v>6.7883333333333323E-2</v>
      </c>
      <c r="R14" s="7">
        <f t="shared" si="4"/>
        <v>5.7700833333333326E-2</v>
      </c>
      <c r="S14" s="7">
        <f t="shared" si="4"/>
        <v>0.101825</v>
      </c>
      <c r="T14" s="7">
        <f t="shared" si="9"/>
        <v>0.34722222222222221</v>
      </c>
      <c r="U14" s="7">
        <v>1.1574074074074101E-5</v>
      </c>
      <c r="V14" s="7">
        <f t="shared" si="10"/>
        <v>0.20365</v>
      </c>
      <c r="W14" s="3">
        <f t="shared" si="5"/>
        <v>0.61391325354075932</v>
      </c>
      <c r="X14" s="112">
        <v>1.2790197899434781</v>
      </c>
      <c r="Y14" s="77">
        <v>4.8875999999999999</v>
      </c>
      <c r="Z14" s="138"/>
      <c r="AB14" s="282">
        <v>10</v>
      </c>
      <c r="AC14" s="279">
        <f t="shared" si="11"/>
        <v>9.7959132026226081E-2</v>
      </c>
      <c r="AD14" s="116">
        <f t="shared" si="12"/>
        <v>0.33799932077592931</v>
      </c>
      <c r="AE14" s="279">
        <f t="shared" si="7"/>
        <v>7.6753543187086576E-2</v>
      </c>
      <c r="AF14" s="116">
        <f t="shared" si="13"/>
        <v>0.26528229922969759</v>
      </c>
      <c r="AG14" s="279">
        <f t="shared" si="14"/>
        <v>6.013840945624925E-2</v>
      </c>
      <c r="AH14" s="116">
        <f t="shared" si="15"/>
        <v>0.20830661010057427</v>
      </c>
      <c r="AT14" s="77"/>
    </row>
    <row r="15" spans="1:46" x14ac:dyDescent="0.25">
      <c r="A15">
        <v>11</v>
      </c>
      <c r="B15" s="7">
        <f t="shared" ref="B15:B34" si="16">B14*$X15</f>
        <v>6.4089389532789351E-2</v>
      </c>
      <c r="C15" s="7">
        <f t="shared" ref="C15:C29" si="17">C14*$X15</f>
        <v>0.1281787790655787</v>
      </c>
      <c r="D15" s="7">
        <f t="shared" ref="D15:D24" si="18">D14*$X15</f>
        <v>0.4272625968852623</v>
      </c>
      <c r="E15" s="7">
        <f t="shared" ref="E15:V30" si="19">E14*$X15</f>
        <v>0.4272625968852623</v>
      </c>
      <c r="F15" s="7"/>
      <c r="G15" s="7"/>
      <c r="H15" s="7">
        <f t="shared" ref="H15:H24" si="20">H14*$X15</f>
        <v>0.93997771314757694</v>
      </c>
      <c r="I15" s="7"/>
      <c r="J15" s="7">
        <f t="shared" si="19"/>
        <v>0.4272625968852623</v>
      </c>
      <c r="K15" s="7"/>
      <c r="L15" s="7"/>
      <c r="M15" s="7">
        <f t="shared" si="19"/>
        <v>0.19226816859836804</v>
      </c>
      <c r="N15" s="7">
        <f t="shared" si="19"/>
        <v>6.4089389532789351E-2</v>
      </c>
      <c r="O15" s="7">
        <f t="shared" si="19"/>
        <v>6.4089389532789351E-2</v>
      </c>
      <c r="P15" s="7">
        <f t="shared" si="19"/>
        <v>7.6907267439347213E-2</v>
      </c>
      <c r="Q15" s="7">
        <f t="shared" si="19"/>
        <v>8.5452519377052449E-2</v>
      </c>
      <c r="R15" s="7">
        <f t="shared" si="19"/>
        <v>7.2634641470494588E-2</v>
      </c>
      <c r="S15" s="7"/>
      <c r="T15" s="7">
        <f t="shared" si="9"/>
        <v>0.34722222222222221</v>
      </c>
      <c r="U15" s="7">
        <v>1.1574074074074101E-5</v>
      </c>
      <c r="V15" s="7">
        <f t="shared" si="19"/>
        <v>0.2563575581311574</v>
      </c>
      <c r="W15" s="3">
        <f t="shared" si="5"/>
        <v>0.5846792890864374</v>
      </c>
      <c r="X15" s="112">
        <v>1.2588144273565303</v>
      </c>
      <c r="Y15" s="7"/>
      <c r="Z15" s="138"/>
      <c r="AB15" s="282">
        <v>11</v>
      </c>
      <c r="AC15" s="279">
        <f t="shared" si="11"/>
        <v>0.12331236868593654</v>
      </c>
      <c r="AD15" s="116">
        <f t="shared" si="12"/>
        <v>0.46131168946186585</v>
      </c>
      <c r="AE15" s="279">
        <f t="shared" si="7"/>
        <v>9.661846751463711E-2</v>
      </c>
      <c r="AF15" s="116">
        <f t="shared" si="13"/>
        <v>0.36190076674433469</v>
      </c>
      <c r="AG15" s="279">
        <f t="shared" si="14"/>
        <v>7.5703097461800942E-2</v>
      </c>
      <c r="AH15" s="116">
        <f t="shared" si="15"/>
        <v>0.2840097075623752</v>
      </c>
    </row>
    <row r="16" spans="1:46" x14ac:dyDescent="0.25">
      <c r="A16">
        <v>12</v>
      </c>
      <c r="B16" s="7">
        <f t="shared" si="16"/>
        <v>7.9791289968322743E-2</v>
      </c>
      <c r="C16" s="7">
        <f t="shared" si="17"/>
        <v>0.15958257993664549</v>
      </c>
      <c r="D16" s="7">
        <f t="shared" si="18"/>
        <v>0.53194193312215166</v>
      </c>
      <c r="E16" s="7">
        <f t="shared" si="19"/>
        <v>0.53194193312215166</v>
      </c>
      <c r="F16" s="7"/>
      <c r="G16" s="7"/>
      <c r="H16" s="7">
        <f t="shared" si="20"/>
        <v>1.1702722528687335</v>
      </c>
      <c r="I16" s="7"/>
      <c r="J16" s="7">
        <f t="shared" si="19"/>
        <v>0.53194193312215166</v>
      </c>
      <c r="K16" s="7"/>
      <c r="L16" s="7"/>
      <c r="M16" s="7">
        <f t="shared" si="19"/>
        <v>0.23937386990496823</v>
      </c>
      <c r="N16" s="7">
        <f t="shared" si="19"/>
        <v>7.9791289968322743E-2</v>
      </c>
      <c r="O16" s="7">
        <f t="shared" si="19"/>
        <v>7.9791289968322743E-2</v>
      </c>
      <c r="P16" s="7">
        <f t="shared" si="19"/>
        <v>9.5749547961987286E-2</v>
      </c>
      <c r="Q16" s="7">
        <f t="shared" si="19"/>
        <v>0.10638838662443031</v>
      </c>
      <c r="R16" s="7">
        <f t="shared" si="19"/>
        <v>9.0430128630765771E-2</v>
      </c>
      <c r="S16" s="7"/>
      <c r="T16" s="7">
        <f t="shared" si="9"/>
        <v>0.34722222222222221</v>
      </c>
      <c r="U16" s="7">
        <v>1.1574074074074101E-5</v>
      </c>
      <c r="V16" s="7">
        <f t="shared" si="19"/>
        <v>0.31916515987329097</v>
      </c>
      <c r="W16" s="3">
        <f t="shared" si="5"/>
        <v>0.5568374181775595</v>
      </c>
      <c r="X16" s="112">
        <v>1.2450000000000001</v>
      </c>
      <c r="Y16" s="7"/>
      <c r="Z16" s="138"/>
      <c r="AB16" s="282">
        <v>12</v>
      </c>
      <c r="AC16" s="279">
        <f t="shared" si="11"/>
        <v>0.15352389901399099</v>
      </c>
      <c r="AD16" s="116">
        <f t="shared" si="12"/>
        <v>0.61483558847585684</v>
      </c>
      <c r="AE16" s="279">
        <f t="shared" si="7"/>
        <v>0.1202899920557232</v>
      </c>
      <c r="AF16" s="116">
        <f t="shared" si="13"/>
        <v>0.48219075880005791</v>
      </c>
      <c r="AG16" s="279">
        <f t="shared" si="14"/>
        <v>9.4250356339942179E-2</v>
      </c>
      <c r="AH16" s="116">
        <f t="shared" si="15"/>
        <v>0.37826006390231737</v>
      </c>
    </row>
    <row r="17" spans="1:34" x14ac:dyDescent="0.25">
      <c r="A17">
        <v>13</v>
      </c>
      <c r="B17" s="7">
        <f t="shared" si="16"/>
        <v>9.8357822793466249E-2</v>
      </c>
      <c r="C17" s="7">
        <f t="shared" si="17"/>
        <v>0.1967156455869325</v>
      </c>
      <c r="D17" s="7">
        <f t="shared" si="18"/>
        <v>0.65571881862310832</v>
      </c>
      <c r="E17" s="7">
        <f t="shared" si="19"/>
        <v>0.65571881862310832</v>
      </c>
      <c r="F17" s="7"/>
      <c r="G17" s="7"/>
      <c r="H17" s="7">
        <f t="shared" si="20"/>
        <v>1.4425814009708382</v>
      </c>
      <c r="I17" s="7"/>
      <c r="J17" s="7">
        <f t="shared" si="19"/>
        <v>0.65571881862310832</v>
      </c>
      <c r="K17" s="7"/>
      <c r="L17" s="7"/>
      <c r="M17" s="7">
        <f t="shared" si="19"/>
        <v>0.29507346838039872</v>
      </c>
      <c r="N17" s="7">
        <f t="shared" si="19"/>
        <v>9.8357822793466249E-2</v>
      </c>
      <c r="O17" s="7">
        <f t="shared" si="19"/>
        <v>9.8357822793466249E-2</v>
      </c>
      <c r="P17" s="7">
        <f t="shared" si="19"/>
        <v>0.11802938735215948</v>
      </c>
      <c r="Q17" s="7">
        <f t="shared" si="19"/>
        <v>0.13114376372462164</v>
      </c>
      <c r="R17" s="7">
        <f t="shared" si="19"/>
        <v>0.1114721991659284</v>
      </c>
      <c r="S17" s="7"/>
      <c r="T17" s="7">
        <f t="shared" si="9"/>
        <v>0.34722222222222221</v>
      </c>
      <c r="U17" s="7">
        <v>1.1574074074074101E-5</v>
      </c>
      <c r="V17" s="7">
        <f t="shared" si="19"/>
        <v>0.39343129117386499</v>
      </c>
      <c r="W17" s="3">
        <f t="shared" si="5"/>
        <v>0.53032135064529462</v>
      </c>
      <c r="X17" s="112">
        <v>1.2326887161808568</v>
      </c>
      <c r="Y17" s="7"/>
      <c r="Z17" s="138"/>
      <c r="AB17" s="282">
        <v>13</v>
      </c>
      <c r="AC17" s="279">
        <f t="shared" si="11"/>
        <v>0.18924717797863608</v>
      </c>
      <c r="AD17" s="116">
        <f t="shared" si="12"/>
        <v>0.80408276645449295</v>
      </c>
      <c r="AE17" s="279">
        <f t="shared" si="7"/>
        <v>0.14828011587657491</v>
      </c>
      <c r="AF17" s="116">
        <f t="shared" si="13"/>
        <v>0.63047087467663276</v>
      </c>
      <c r="AG17" s="279">
        <f t="shared" si="14"/>
        <v>0.11618135075627162</v>
      </c>
      <c r="AH17" s="116">
        <f t="shared" si="15"/>
        <v>0.49444141465858898</v>
      </c>
    </row>
    <row r="18" spans="1:34" x14ac:dyDescent="0.25">
      <c r="A18">
        <v>14</v>
      </c>
      <c r="B18" s="7">
        <f t="shared" si="16"/>
        <v>0.12046406774433892</v>
      </c>
      <c r="C18" s="7">
        <f t="shared" si="17"/>
        <v>0.24092813548867784</v>
      </c>
      <c r="D18" s="7">
        <f t="shared" si="18"/>
        <v>0.80309378496225947</v>
      </c>
      <c r="E18" s="7">
        <f t="shared" si="19"/>
        <v>0.80309378496225947</v>
      </c>
      <c r="F18" s="7"/>
      <c r="G18" s="7"/>
      <c r="H18" s="7">
        <f t="shared" si="20"/>
        <v>1.7668063269169707</v>
      </c>
      <c r="I18" s="7"/>
      <c r="J18" s="7">
        <f t="shared" si="19"/>
        <v>0.80309378496225947</v>
      </c>
      <c r="K18" s="7"/>
      <c r="L18" s="7"/>
      <c r="M18" s="7">
        <f t="shared" si="19"/>
        <v>0.36139220323301674</v>
      </c>
      <c r="N18" s="7">
        <f t="shared" si="19"/>
        <v>0.12046406774433892</v>
      </c>
      <c r="O18" s="7">
        <f t="shared" si="19"/>
        <v>0.12046406774433892</v>
      </c>
      <c r="P18" s="7">
        <f t="shared" si="19"/>
        <v>0.14455688129320668</v>
      </c>
      <c r="Q18" s="7">
        <f t="shared" si="19"/>
        <v>0.16061875699245184</v>
      </c>
      <c r="R18" s="7">
        <f t="shared" si="19"/>
        <v>0.1365259434435841</v>
      </c>
      <c r="S18" s="7"/>
      <c r="T18" s="7">
        <f t="shared" si="9"/>
        <v>0.34722222222222221</v>
      </c>
      <c r="U18" s="7">
        <v>1.1574074074074101E-5</v>
      </c>
      <c r="V18" s="7">
        <f t="shared" si="19"/>
        <v>0.48185627097735567</v>
      </c>
      <c r="W18" s="3">
        <f t="shared" si="5"/>
        <v>0.50506795299551888</v>
      </c>
      <c r="X18" s="112">
        <v>1.2247532969217081</v>
      </c>
      <c r="Y18" s="7"/>
      <c r="Z18" s="138"/>
      <c r="AB18" s="282">
        <v>14</v>
      </c>
      <c r="AC18" s="279">
        <f t="shared" si="11"/>
        <v>0.23178110516246381</v>
      </c>
      <c r="AD18" s="116">
        <f t="shared" si="12"/>
        <v>1.0358638716169568</v>
      </c>
      <c r="AE18" s="279">
        <f t="shared" si="7"/>
        <v>0.18160656078776805</v>
      </c>
      <c r="AF18" s="116">
        <f t="shared" si="13"/>
        <v>0.81207743546440081</v>
      </c>
      <c r="AG18" s="279">
        <f t="shared" si="14"/>
        <v>0.14229349237956104</v>
      </c>
      <c r="AH18" s="116">
        <f t="shared" si="15"/>
        <v>0.63673490703815006</v>
      </c>
    </row>
    <row r="19" spans="1:34" x14ac:dyDescent="0.25">
      <c r="A19">
        <v>15</v>
      </c>
      <c r="B19" s="7">
        <f t="shared" si="16"/>
        <v>0.146730451960222</v>
      </c>
      <c r="C19" s="7">
        <f t="shared" si="17"/>
        <v>0.29346090392044399</v>
      </c>
      <c r="D19" s="7">
        <f t="shared" si="18"/>
        <v>0.97820301306814661</v>
      </c>
      <c r="E19" s="7">
        <f t="shared" si="19"/>
        <v>0.97820301306814661</v>
      </c>
      <c r="F19" s="7"/>
      <c r="G19" s="7"/>
      <c r="H19" s="7">
        <f t="shared" si="20"/>
        <v>2.1520466287499223</v>
      </c>
      <c r="I19" s="7"/>
      <c r="J19" s="7">
        <f t="shared" si="19"/>
        <v>0.97820301306814661</v>
      </c>
      <c r="K19" s="7"/>
      <c r="L19" s="7"/>
      <c r="M19" s="7">
        <f t="shared" si="19"/>
        <v>0.44019135588066594</v>
      </c>
      <c r="N19" s="7">
        <f t="shared" si="19"/>
        <v>0.146730451960222</v>
      </c>
      <c r="O19" s="7">
        <f t="shared" si="19"/>
        <v>0.146730451960222</v>
      </c>
      <c r="P19" s="7">
        <f t="shared" si="19"/>
        <v>0.17607654235226636</v>
      </c>
      <c r="Q19" s="7">
        <f t="shared" si="19"/>
        <v>0.19564060261362926</v>
      </c>
      <c r="R19" s="7">
        <f t="shared" si="19"/>
        <v>0.16629451222158489</v>
      </c>
      <c r="S19" s="7"/>
      <c r="T19" s="7">
        <f t="shared" si="9"/>
        <v>0.34722222222222221</v>
      </c>
      <c r="U19" s="7">
        <v>1.1574074074074101E-5</v>
      </c>
      <c r="V19" s="7">
        <f t="shared" si="19"/>
        <v>0.58692180784088799</v>
      </c>
      <c r="W19" s="3">
        <f t="shared" si="5"/>
        <v>0.48101709809097021</v>
      </c>
      <c r="X19" s="112">
        <v>1.2180433112355815</v>
      </c>
      <c r="Y19" s="7"/>
      <c r="Z19" s="138"/>
      <c r="AB19" s="282">
        <v>15</v>
      </c>
      <c r="AC19" s="279">
        <f t="shared" si="11"/>
        <v>0.28231942481392996</v>
      </c>
      <c r="AD19" s="116">
        <f t="shared" si="12"/>
        <v>1.3181832964308868</v>
      </c>
      <c r="AE19" s="279">
        <f t="shared" si="7"/>
        <v>0.22120465664403891</v>
      </c>
      <c r="AF19" s="116">
        <f t="shared" si="13"/>
        <v>1.0332820921084398</v>
      </c>
      <c r="AG19" s="279">
        <f t="shared" si="14"/>
        <v>0.17331963662527552</v>
      </c>
      <c r="AH19" s="116">
        <f t="shared" si="15"/>
        <v>0.81005454366342555</v>
      </c>
    </row>
    <row r="20" spans="1:34" x14ac:dyDescent="0.25">
      <c r="A20">
        <v>16</v>
      </c>
      <c r="B20" s="7">
        <f t="shared" si="16"/>
        <v>0.17799565486285857</v>
      </c>
      <c r="C20" s="7">
        <f t="shared" si="17"/>
        <v>0.35599130972571713</v>
      </c>
      <c r="D20" s="7">
        <f t="shared" si="18"/>
        <v>1.1866376990857237</v>
      </c>
      <c r="E20" s="7"/>
      <c r="F20" s="7"/>
      <c r="G20" s="7"/>
      <c r="H20" s="7">
        <f t="shared" si="20"/>
        <v>2.6106029379885918</v>
      </c>
      <c r="I20" s="7"/>
      <c r="J20" s="7">
        <f t="shared" si="19"/>
        <v>1.1866376990857237</v>
      </c>
      <c r="K20" s="7"/>
      <c r="L20" s="7"/>
      <c r="M20" s="7">
        <f t="shared" si="19"/>
        <v>0.53398696458857564</v>
      </c>
      <c r="N20" s="7">
        <f t="shared" si="19"/>
        <v>0.17799565486285857</v>
      </c>
      <c r="O20" s="7">
        <f t="shared" si="19"/>
        <v>0.17799565486285857</v>
      </c>
      <c r="P20" s="7">
        <f t="shared" si="19"/>
        <v>0.21359478583543023</v>
      </c>
      <c r="Q20" s="7">
        <f t="shared" si="19"/>
        <v>0.23732753981714466</v>
      </c>
      <c r="R20" s="7">
        <f t="shared" si="19"/>
        <v>0.20172840884457299</v>
      </c>
      <c r="S20" s="7"/>
      <c r="T20" s="7">
        <f t="shared" si="9"/>
        <v>0.34722222222222221</v>
      </c>
      <c r="U20" s="7">
        <v>1.1574074074074101E-5</v>
      </c>
      <c r="V20" s="7">
        <f t="shared" si="19"/>
        <v>0.71198261945143426</v>
      </c>
      <c r="W20" s="3">
        <f t="shared" si="5"/>
        <v>0.45811152199140021</v>
      </c>
      <c r="X20" s="112">
        <v>1.2130791698993229</v>
      </c>
      <c r="Y20" s="7"/>
      <c r="Z20" s="138"/>
      <c r="AB20" s="282">
        <v>16</v>
      </c>
      <c r="AC20" s="279">
        <f t="shared" si="11"/>
        <v>0.34247581349973649</v>
      </c>
      <c r="AD20" s="116">
        <f t="shared" si="12"/>
        <v>1.6606591099306234</v>
      </c>
      <c r="AE20" s="279">
        <f t="shared" si="7"/>
        <v>0.26833876125961542</v>
      </c>
      <c r="AF20" s="116">
        <f t="shared" si="13"/>
        <v>1.3016208533680551</v>
      </c>
      <c r="AG20" s="279">
        <f t="shared" si="14"/>
        <v>0.21025044092464151</v>
      </c>
      <c r="AH20" s="116">
        <f t="shared" si="15"/>
        <v>1.020304984588067</v>
      </c>
    </row>
    <row r="21" spans="1:34" x14ac:dyDescent="0.25">
      <c r="A21">
        <v>17</v>
      </c>
      <c r="B21" s="7">
        <f t="shared" si="16"/>
        <v>0.21514945192467319</v>
      </c>
      <c r="C21" s="7">
        <f t="shared" si="17"/>
        <v>0.43029890384934638</v>
      </c>
      <c r="D21" s="7">
        <f t="shared" si="18"/>
        <v>1.4343296794978211</v>
      </c>
      <c r="E21" s="7"/>
      <c r="F21" s="7"/>
      <c r="G21" s="7"/>
      <c r="H21" s="7">
        <f t="shared" si="20"/>
        <v>3.1555252948952059</v>
      </c>
      <c r="I21" s="7"/>
      <c r="J21" s="7">
        <f t="shared" si="19"/>
        <v>1.4343296794978211</v>
      </c>
      <c r="K21" s="7"/>
      <c r="L21" s="7"/>
      <c r="M21" s="7">
        <f t="shared" si="19"/>
        <v>0.64544835577401949</v>
      </c>
      <c r="N21" s="7">
        <f t="shared" si="19"/>
        <v>0.21514945192467319</v>
      </c>
      <c r="O21" s="7">
        <f t="shared" si="19"/>
        <v>0.21514945192467319</v>
      </c>
      <c r="P21" s="7">
        <f t="shared" si="19"/>
        <v>0.25817934230960776</v>
      </c>
      <c r="Q21" s="7">
        <f t="shared" si="19"/>
        <v>0.28686593589956411</v>
      </c>
      <c r="R21" s="7">
        <f t="shared" si="19"/>
        <v>0.24383604551462953</v>
      </c>
      <c r="S21" s="7"/>
      <c r="T21" s="7">
        <f t="shared" si="9"/>
        <v>0.34722222222222221</v>
      </c>
      <c r="U21" s="7">
        <v>1.1574074074074101E-5</v>
      </c>
      <c r="V21" s="7">
        <f t="shared" si="19"/>
        <v>0.86059780769869276</v>
      </c>
      <c r="W21" s="3">
        <f t="shared" si="5"/>
        <v>0.43629668761085727</v>
      </c>
      <c r="X21" s="112">
        <v>1.2087342923648374</v>
      </c>
      <c r="Y21" s="7"/>
      <c r="Z21" s="138"/>
      <c r="AB21" s="282">
        <v>17</v>
      </c>
      <c r="AC21" s="279">
        <f t="shared" si="11"/>
        <v>0.413962260082676</v>
      </c>
      <c r="AD21" s="116">
        <f t="shared" si="12"/>
        <v>2.0746213700132996</v>
      </c>
      <c r="AE21" s="279">
        <f t="shared" si="7"/>
        <v>0.32435026270519834</v>
      </c>
      <c r="AF21" s="116">
        <f t="shared" si="13"/>
        <v>1.6259711160732535</v>
      </c>
      <c r="AG21" s="279">
        <f t="shared" si="14"/>
        <v>0.25413691793044163</v>
      </c>
      <c r="AH21" s="116">
        <f t="shared" si="15"/>
        <v>1.2744419025185085</v>
      </c>
    </row>
    <row r="22" spans="1:34" x14ac:dyDescent="0.25">
      <c r="A22">
        <v>18</v>
      </c>
      <c r="B22" s="7">
        <f t="shared" si="16"/>
        <v>0.25935934262969196</v>
      </c>
      <c r="C22" s="7">
        <f t="shared" si="17"/>
        <v>0.51871868525938392</v>
      </c>
      <c r="D22" s="7">
        <f t="shared" si="18"/>
        <v>1.7290622841979464</v>
      </c>
      <c r="E22" s="7"/>
      <c r="F22" s="7"/>
      <c r="G22" s="7"/>
      <c r="H22" s="7">
        <f t="shared" si="20"/>
        <v>3.8039370252354812</v>
      </c>
      <c r="I22" s="7"/>
      <c r="J22" s="7">
        <f t="shared" si="19"/>
        <v>1.7290622841979464</v>
      </c>
      <c r="K22" s="7"/>
      <c r="L22" s="7"/>
      <c r="M22" s="7">
        <f t="shared" si="19"/>
        <v>0.77807802788907587</v>
      </c>
      <c r="N22" s="7">
        <f t="shared" si="19"/>
        <v>0.25935934262969196</v>
      </c>
      <c r="O22" s="7">
        <f t="shared" si="19"/>
        <v>0.25935934262969196</v>
      </c>
      <c r="P22" s="7">
        <f t="shared" si="19"/>
        <v>0.31123121115563029</v>
      </c>
      <c r="Q22" s="7">
        <f t="shared" si="19"/>
        <v>0.34581245683958911</v>
      </c>
      <c r="R22" s="7">
        <f t="shared" si="19"/>
        <v>0.29394058831365083</v>
      </c>
      <c r="S22" s="7"/>
      <c r="T22" s="7">
        <f t="shared" si="9"/>
        <v>0.34722222222222221</v>
      </c>
      <c r="U22" s="7">
        <v>1.1574074074074101E-5</v>
      </c>
      <c r="V22" s="7">
        <f t="shared" si="19"/>
        <v>1.0374373705187678</v>
      </c>
      <c r="W22" s="3">
        <f t="shared" si="5"/>
        <v>0.41552065486748313</v>
      </c>
      <c r="X22" s="112">
        <v>1.2054845611249676</v>
      </c>
      <c r="Y22" s="7"/>
      <c r="Z22" s="138"/>
      <c r="AB22" s="282">
        <v>18</v>
      </c>
      <c r="AC22" s="279">
        <f t="shared" si="11"/>
        <v>0.49902511341806433</v>
      </c>
      <c r="AD22" s="116">
        <f t="shared" si="12"/>
        <v>2.5736464834313639</v>
      </c>
      <c r="AE22" s="279">
        <f t="shared" si="7"/>
        <v>0.39099923408794396</v>
      </c>
      <c r="AF22" s="116">
        <f t="shared" si="13"/>
        <v>2.0169703501611975</v>
      </c>
      <c r="AG22" s="279">
        <f t="shared" si="14"/>
        <v>0.3063581309770303</v>
      </c>
      <c r="AH22" s="116">
        <f t="shared" si="15"/>
        <v>1.5808000334955388</v>
      </c>
    </row>
    <row r="23" spans="1:34" x14ac:dyDescent="0.25">
      <c r="A23">
        <v>19</v>
      </c>
      <c r="B23" s="7">
        <f t="shared" si="16"/>
        <v>0.31189595360954719</v>
      </c>
      <c r="C23" s="7">
        <f t="shared" si="17"/>
        <v>0.62379190721909439</v>
      </c>
      <c r="D23" s="7">
        <f t="shared" si="18"/>
        <v>2.0793063573969812</v>
      </c>
      <c r="E23" s="7"/>
      <c r="F23" s="7"/>
      <c r="G23" s="7"/>
      <c r="H23" s="7">
        <f t="shared" si="20"/>
        <v>4.5744739862733574</v>
      </c>
      <c r="I23" s="7"/>
      <c r="J23" s="7">
        <f t="shared" si="19"/>
        <v>2.0793063573969812</v>
      </c>
      <c r="K23" s="7"/>
      <c r="L23" s="7"/>
      <c r="M23" s="7">
        <f t="shared" si="19"/>
        <v>0.93568786082864153</v>
      </c>
      <c r="N23" s="7">
        <f t="shared" si="19"/>
        <v>0.31189595360954719</v>
      </c>
      <c r="O23" s="7">
        <f t="shared" si="19"/>
        <v>0.31189595360954719</v>
      </c>
      <c r="P23" s="7">
        <f t="shared" si="19"/>
        <v>0.37427514433145653</v>
      </c>
      <c r="Q23" s="7">
        <f t="shared" si="19"/>
        <v>0.415861271479396</v>
      </c>
      <c r="R23" s="7">
        <f t="shared" si="19"/>
        <v>0.35348208075748672</v>
      </c>
      <c r="S23" s="7"/>
      <c r="T23" s="7">
        <f t="shared" si="9"/>
        <v>0.34722222222222221</v>
      </c>
      <c r="U23" s="7">
        <v>1.1574074074074101E-5</v>
      </c>
      <c r="V23" s="7">
        <f t="shared" si="19"/>
        <v>1.2475838144381888</v>
      </c>
      <c r="W23" s="3">
        <f t="shared" si="5"/>
        <v>0.39573395701665059</v>
      </c>
      <c r="X23" s="112">
        <v>1.2025630171914259</v>
      </c>
      <c r="Y23" s="7"/>
      <c r="Z23" s="138"/>
      <c r="AB23" s="282">
        <v>19</v>
      </c>
      <c r="AC23" s="279">
        <f t="shared" si="11"/>
        <v>0.60010914604632104</v>
      </c>
      <c r="AD23" s="116">
        <f t="shared" si="12"/>
        <v>3.173755629477685</v>
      </c>
      <c r="AE23" s="279">
        <f t="shared" si="7"/>
        <v>0.47020121866433451</v>
      </c>
      <c r="AF23" s="116">
        <f t="shared" si="13"/>
        <v>2.487171568825532</v>
      </c>
      <c r="AG23" s="279">
        <f t="shared" si="14"/>
        <v>0.36841495832886362</v>
      </c>
      <c r="AH23" s="116">
        <f t="shared" si="15"/>
        <v>1.9492149918244024</v>
      </c>
    </row>
    <row r="24" spans="1:34" ht="15.75" thickBot="1" x14ac:dyDescent="0.3">
      <c r="A24">
        <v>20</v>
      </c>
      <c r="B24" s="7">
        <f t="shared" si="16"/>
        <v>0.37431618327272109</v>
      </c>
      <c r="C24" s="7">
        <f t="shared" si="17"/>
        <v>0.74863236654544218</v>
      </c>
      <c r="D24" s="7">
        <f t="shared" si="18"/>
        <v>2.4954412218181403</v>
      </c>
      <c r="E24" s="7"/>
      <c r="F24" s="7"/>
      <c r="G24" s="7"/>
      <c r="H24" s="7">
        <f t="shared" si="20"/>
        <v>5.4899706879999073</v>
      </c>
      <c r="I24" s="7"/>
      <c r="J24" s="7">
        <f t="shared" si="19"/>
        <v>2.4954412218181403</v>
      </c>
      <c r="K24" s="7"/>
      <c r="L24" s="7"/>
      <c r="M24" s="7">
        <f t="shared" si="19"/>
        <v>1.1229485498181633</v>
      </c>
      <c r="N24" s="7">
        <f t="shared" si="19"/>
        <v>0.37431618327272109</v>
      </c>
      <c r="O24" s="7">
        <f t="shared" si="19"/>
        <v>0.37431618327272109</v>
      </c>
      <c r="P24" s="7">
        <f t="shared" si="19"/>
        <v>0.44917941992726518</v>
      </c>
      <c r="Q24" s="7">
        <f t="shared" si="19"/>
        <v>0.49908824436362781</v>
      </c>
      <c r="R24" s="7">
        <f t="shared" si="19"/>
        <v>0.42422500770908378</v>
      </c>
      <c r="S24" s="7"/>
      <c r="T24" s="7">
        <f t="shared" si="9"/>
        <v>0.34722222222222221</v>
      </c>
      <c r="U24" s="7">
        <v>1.1574074074074101E-5</v>
      </c>
      <c r="V24" s="7">
        <f t="shared" si="19"/>
        <v>1.4972647330908844</v>
      </c>
      <c r="W24" s="3">
        <f t="shared" si="5"/>
        <v>0.37688948287300061</v>
      </c>
      <c r="X24" s="112">
        <v>1.2001315789473685</v>
      </c>
      <c r="Y24" s="7"/>
      <c r="Z24" s="138"/>
      <c r="AB24" s="283">
        <v>20</v>
      </c>
      <c r="AC24" s="280">
        <f t="shared" si="11"/>
        <v>0.7202099369853282</v>
      </c>
      <c r="AD24" s="117">
        <f t="shared" si="12"/>
        <v>3.8939655664630131</v>
      </c>
      <c r="AE24" s="280">
        <f t="shared" si="7"/>
        <v>0.56430333097860474</v>
      </c>
      <c r="AF24" s="117">
        <f t="shared" si="13"/>
        <v>3.0514748998041368</v>
      </c>
      <c r="AG24" s="280">
        <f t="shared" si="14"/>
        <v>0.44214642564704809</v>
      </c>
      <c r="AH24" s="117">
        <f t="shared" si="15"/>
        <v>2.3913614174714506</v>
      </c>
    </row>
    <row r="25" spans="1:34" x14ac:dyDescent="0.25">
      <c r="A25">
        <v>21</v>
      </c>
      <c r="B25" s="7">
        <f t="shared" si="16"/>
        <v>0.44853305660235077</v>
      </c>
      <c r="C25" s="7">
        <f t="shared" si="17"/>
        <v>0.89706611320470153</v>
      </c>
      <c r="D25" s="7"/>
      <c r="E25" s="7"/>
      <c r="F25" s="7"/>
      <c r="G25" s="7"/>
      <c r="H25" s="7"/>
      <c r="I25" s="7"/>
      <c r="J25" s="7"/>
      <c r="K25" s="7"/>
      <c r="L25" s="7"/>
      <c r="M25" s="7">
        <f t="shared" si="19"/>
        <v>1.3455991698070522</v>
      </c>
      <c r="N25" s="7">
        <f t="shared" si="19"/>
        <v>0.44853305660235077</v>
      </c>
      <c r="O25" s="7">
        <f t="shared" si="19"/>
        <v>0.44853305660235077</v>
      </c>
      <c r="P25" s="7">
        <f t="shared" si="19"/>
        <v>0.53823966792282074</v>
      </c>
      <c r="Q25" s="7">
        <f t="shared" si="19"/>
        <v>0.59804407546980065</v>
      </c>
      <c r="R25" s="7">
        <f t="shared" si="19"/>
        <v>0.50833746414933068</v>
      </c>
      <c r="S25" s="7"/>
      <c r="T25" s="7">
        <f t="shared" si="9"/>
        <v>0.34722222222222221</v>
      </c>
      <c r="U25" s="7">
        <v>1.1574074074074101E-5</v>
      </c>
      <c r="V25" s="7"/>
      <c r="W25" s="3">
        <f t="shared" si="5"/>
        <v>0.35894236464095297</v>
      </c>
      <c r="X25" s="112">
        <v>1.1982732156561779</v>
      </c>
      <c r="Y25" s="7"/>
      <c r="Z25" s="138"/>
    </row>
    <row r="26" spans="1:34" x14ac:dyDescent="0.25">
      <c r="A26">
        <v>22</v>
      </c>
      <c r="B26" s="7">
        <f t="shared" si="16"/>
        <v>0.53657867698055306</v>
      </c>
      <c r="C26" s="7">
        <f t="shared" si="17"/>
        <v>1.0731573539611061</v>
      </c>
      <c r="D26" s="7"/>
      <c r="E26" s="7"/>
      <c r="F26" s="7"/>
      <c r="G26" s="7"/>
      <c r="H26" s="7"/>
      <c r="I26" s="7"/>
      <c r="J26" s="7"/>
      <c r="K26" s="7"/>
      <c r="L26" s="7"/>
      <c r="M26" s="7">
        <f t="shared" si="19"/>
        <v>1.6097360309416591</v>
      </c>
      <c r="N26" s="7">
        <f t="shared" si="19"/>
        <v>0.53657867698055306</v>
      </c>
      <c r="O26" s="7">
        <f t="shared" si="19"/>
        <v>0.53657867698055306</v>
      </c>
      <c r="P26" s="7">
        <f t="shared" si="19"/>
        <v>0.64389441237666345</v>
      </c>
      <c r="Q26" s="7">
        <f t="shared" si="19"/>
        <v>0.7154382359740703</v>
      </c>
      <c r="R26" s="7">
        <f t="shared" si="19"/>
        <v>0.60812250057795991</v>
      </c>
      <c r="S26" s="7"/>
      <c r="T26" s="7">
        <f t="shared" si="9"/>
        <v>0.34722222222222221</v>
      </c>
      <c r="U26" s="7">
        <v>1.1574074074074101E-5</v>
      </c>
      <c r="V26" s="7"/>
      <c r="W26" s="3">
        <f t="shared" si="5"/>
        <v>0.3418498710866219</v>
      </c>
      <c r="X26" s="112">
        <v>1.1962968371721587</v>
      </c>
      <c r="Y26" s="7"/>
      <c r="Z26" s="138"/>
    </row>
    <row r="27" spans="1:34" x14ac:dyDescent="0.25">
      <c r="A27">
        <v>23</v>
      </c>
      <c r="B27" s="7">
        <f t="shared" si="16"/>
        <v>0.64116293909787636</v>
      </c>
      <c r="C27" s="7">
        <f t="shared" si="17"/>
        <v>1.2823258781957527</v>
      </c>
      <c r="D27" s="7"/>
      <c r="E27" s="7"/>
      <c r="F27" s="7"/>
      <c r="G27" s="7"/>
      <c r="H27" s="7"/>
      <c r="I27" s="7"/>
      <c r="J27" s="7"/>
      <c r="K27" s="7"/>
      <c r="L27" s="7"/>
      <c r="M27" s="7">
        <f t="shared" si="19"/>
        <v>1.9234888172936289</v>
      </c>
      <c r="N27" s="7">
        <f t="shared" si="19"/>
        <v>0.64116293909787636</v>
      </c>
      <c r="O27" s="7">
        <f t="shared" si="19"/>
        <v>0.64116293909787636</v>
      </c>
      <c r="P27" s="7">
        <f t="shared" si="19"/>
        <v>0.76939552691745128</v>
      </c>
      <c r="Q27" s="7">
        <f t="shared" si="19"/>
        <v>0.85488391879716785</v>
      </c>
      <c r="R27" s="7">
        <f t="shared" si="19"/>
        <v>0.72665133097759294</v>
      </c>
      <c r="S27" s="7"/>
      <c r="T27" s="7">
        <f t="shared" si="9"/>
        <v>0.34722222222222221</v>
      </c>
      <c r="U27" s="7">
        <v>1.1574074074074101E-5</v>
      </c>
      <c r="V27" s="7"/>
      <c r="W27" s="3">
        <f t="shared" si="5"/>
        <v>0.32557130579678267</v>
      </c>
      <c r="X27" s="112">
        <v>1.1949094636146222</v>
      </c>
      <c r="Y27" s="7"/>
      <c r="Z27" s="138"/>
    </row>
    <row r="28" spans="1:34" x14ac:dyDescent="0.25">
      <c r="A28">
        <v>24</v>
      </c>
      <c r="B28" s="7">
        <f t="shared" si="16"/>
        <v>0.76529212993731421</v>
      </c>
      <c r="C28" s="7">
        <f t="shared" si="17"/>
        <v>1.5305842598746284</v>
      </c>
      <c r="D28" s="7"/>
      <c r="E28" s="7"/>
      <c r="F28" s="7"/>
      <c r="G28" s="7"/>
      <c r="H28" s="7"/>
      <c r="I28" s="7"/>
      <c r="J28" s="7"/>
      <c r="K28" s="7"/>
      <c r="L28" s="7"/>
      <c r="M28" s="7">
        <f t="shared" si="19"/>
        <v>2.2958763898119421</v>
      </c>
      <c r="N28" s="7">
        <f t="shared" si="19"/>
        <v>0.76529212993731421</v>
      </c>
      <c r="O28" s="7">
        <f t="shared" si="19"/>
        <v>0.76529212993731421</v>
      </c>
      <c r="P28" s="7">
        <f t="shared" si="19"/>
        <v>0.91835055592477655</v>
      </c>
      <c r="Q28" s="7">
        <f t="shared" si="19"/>
        <v>1.0203895065830848</v>
      </c>
      <c r="R28" s="7">
        <f t="shared" si="19"/>
        <v>0.86733108059562236</v>
      </c>
      <c r="S28" s="7"/>
      <c r="T28" s="7">
        <f t="shared" si="9"/>
        <v>0.34722222222222221</v>
      </c>
      <c r="U28" s="7">
        <v>1.1574074074074101E-5</v>
      </c>
      <c r="V28" s="7"/>
      <c r="W28" s="3">
        <f t="shared" si="5"/>
        <v>0.31006791028265024</v>
      </c>
      <c r="X28" s="112">
        <v>1.1936000714796289</v>
      </c>
      <c r="Y28" s="7"/>
      <c r="Z28" s="138"/>
    </row>
    <row r="29" spans="1:34" x14ac:dyDescent="0.25">
      <c r="A29">
        <v>25</v>
      </c>
      <c r="B29" s="7">
        <f t="shared" si="16"/>
        <v>0.9126358761482084</v>
      </c>
      <c r="C29" s="7">
        <f t="shared" si="17"/>
        <v>1.8252717522964168</v>
      </c>
      <c r="D29" s="7"/>
      <c r="E29" s="7"/>
      <c r="F29" s="7"/>
      <c r="G29" s="7"/>
      <c r="H29" s="7"/>
      <c r="I29" s="7"/>
      <c r="J29" s="7"/>
      <c r="K29" s="7"/>
      <c r="L29" s="7"/>
      <c r="M29" s="7">
        <f t="shared" si="19"/>
        <v>2.7379076284446247</v>
      </c>
      <c r="N29" s="7">
        <f t="shared" si="19"/>
        <v>0.9126358761482084</v>
      </c>
      <c r="O29" s="7">
        <f t="shared" si="19"/>
        <v>0.9126358761482084</v>
      </c>
      <c r="P29" s="7">
        <f t="shared" si="19"/>
        <v>1.0951630513778494</v>
      </c>
      <c r="Q29" s="7">
        <f t="shared" si="19"/>
        <v>1.2168478348642768</v>
      </c>
      <c r="R29" s="7">
        <f t="shared" si="19"/>
        <v>1.0343206596346357</v>
      </c>
      <c r="S29" s="7"/>
      <c r="T29" s="7">
        <f t="shared" si="9"/>
        <v>0.34722222222222221</v>
      </c>
      <c r="U29" s="7">
        <v>1.1574074074074101E-5</v>
      </c>
      <c r="V29" s="7"/>
      <c r="W29" s="3">
        <f t="shared" si="5"/>
        <v>0.29530277169776209</v>
      </c>
      <c r="X29" s="112">
        <v>1.1925326818962103</v>
      </c>
      <c r="Y29" s="7"/>
      <c r="Z29" s="138"/>
    </row>
    <row r="30" spans="1:34" x14ac:dyDescent="0.25">
      <c r="A30">
        <v>26</v>
      </c>
      <c r="B30" s="7">
        <f t="shared" si="16"/>
        <v>1.0875881736058199</v>
      </c>
      <c r="C30" s="7"/>
      <c r="D30" s="7"/>
      <c r="E30" s="7"/>
      <c r="F30" s="7"/>
      <c r="G30" s="7"/>
      <c r="H30" s="7"/>
      <c r="I30" s="7"/>
      <c r="J30" s="7"/>
      <c r="K30" s="7"/>
      <c r="L30" s="7"/>
      <c r="M30" s="7"/>
      <c r="N30" s="7">
        <f t="shared" si="19"/>
        <v>1.0875881736058199</v>
      </c>
      <c r="O30" s="7">
        <f t="shared" si="19"/>
        <v>1.0875881736058199</v>
      </c>
      <c r="P30" s="7">
        <f t="shared" si="19"/>
        <v>1.3051058083269831</v>
      </c>
      <c r="Q30" s="7">
        <f t="shared" si="19"/>
        <v>1.4501175648077587</v>
      </c>
      <c r="R30" s="7">
        <f t="shared" si="19"/>
        <v>1.2325999300865953</v>
      </c>
      <c r="S30" s="7"/>
      <c r="T30" s="7">
        <f t="shared" si="9"/>
        <v>0.34722222222222221</v>
      </c>
      <c r="U30" s="7">
        <v>1.1574074074074101E-5</v>
      </c>
      <c r="V30" s="7"/>
      <c r="W30" s="3">
        <f t="shared" si="5"/>
        <v>0.28124073495024959</v>
      </c>
      <c r="X30" s="112">
        <v>1.1917</v>
      </c>
      <c r="Y30" s="7"/>
      <c r="Z30" s="138"/>
    </row>
    <row r="31" spans="1:34" x14ac:dyDescent="0.25">
      <c r="A31">
        <v>27</v>
      </c>
      <c r="B31" s="7">
        <f t="shared" si="16"/>
        <v>1.295208755947171</v>
      </c>
      <c r="C31" s="7"/>
      <c r="D31" s="7"/>
      <c r="E31" s="7"/>
      <c r="F31" s="7"/>
      <c r="G31" s="7"/>
      <c r="H31" s="7"/>
      <c r="I31" s="7"/>
      <c r="J31" s="7"/>
      <c r="K31" s="7"/>
      <c r="L31" s="7"/>
      <c r="M31" s="7"/>
      <c r="N31" s="7">
        <f t="shared" ref="N31:R34" si="21">N30*$X31</f>
        <v>1.295208755947171</v>
      </c>
      <c r="O31" s="7">
        <f t="shared" si="21"/>
        <v>1.295208755947171</v>
      </c>
      <c r="P31" s="7">
        <f t="shared" si="21"/>
        <v>1.5542505071366042</v>
      </c>
      <c r="Q31" s="7">
        <f t="shared" si="21"/>
        <v>1.7269450079295598</v>
      </c>
      <c r="R31" s="7">
        <f t="shared" si="21"/>
        <v>1.4679032567401264</v>
      </c>
      <c r="S31" s="7"/>
      <c r="T31" s="7">
        <f t="shared" si="9"/>
        <v>0.34722222222222221</v>
      </c>
      <c r="U31" s="7">
        <v>1.1574074074074101E-5</v>
      </c>
      <c r="V31" s="7"/>
      <c r="W31" s="3">
        <f t="shared" si="5"/>
        <v>0.2678483190002377</v>
      </c>
      <c r="X31" s="112">
        <v>1.1909000000000001</v>
      </c>
      <c r="Y31" s="7"/>
      <c r="Z31" s="138"/>
    </row>
    <row r="32" spans="1:34" x14ac:dyDescent="0.25">
      <c r="A32">
        <v>28</v>
      </c>
      <c r="B32" s="7">
        <f t="shared" si="16"/>
        <v>1.5401974921345782</v>
      </c>
      <c r="C32" s="7"/>
      <c r="D32" s="7"/>
      <c r="E32" s="7"/>
      <c r="F32" s="7"/>
      <c r="G32" s="7"/>
      <c r="H32" s="7"/>
      <c r="I32" s="7"/>
      <c r="J32" s="7"/>
      <c r="K32" s="7"/>
      <c r="L32" s="7"/>
      <c r="M32" s="7"/>
      <c r="N32" s="7">
        <f t="shared" si="21"/>
        <v>1.5401974921345782</v>
      </c>
      <c r="O32" s="7">
        <f t="shared" si="21"/>
        <v>1.5401974921345782</v>
      </c>
      <c r="P32" s="7">
        <f t="shared" si="21"/>
        <v>1.8482369905614928</v>
      </c>
      <c r="Q32" s="7">
        <f t="shared" si="21"/>
        <v>2.0535966561794359</v>
      </c>
      <c r="R32" s="7">
        <f t="shared" si="21"/>
        <v>1.7455571577525213</v>
      </c>
      <c r="S32" s="7"/>
      <c r="T32" s="7">
        <f t="shared" si="9"/>
        <v>0.34722222222222221</v>
      </c>
      <c r="U32" s="7">
        <v>1.1574074074074101E-5</v>
      </c>
      <c r="V32" s="7"/>
      <c r="W32" s="3">
        <f t="shared" si="5"/>
        <v>0.25509363714308358</v>
      </c>
      <c r="X32" s="112">
        <v>1.1891499999999999</v>
      </c>
      <c r="Y32" s="7"/>
      <c r="Z32" s="138"/>
    </row>
    <row r="33" spans="1:26" x14ac:dyDescent="0.25">
      <c r="A33">
        <v>29</v>
      </c>
      <c r="B33" s="7">
        <f t="shared" si="16"/>
        <v>1.8314451097803164</v>
      </c>
      <c r="C33" s="7"/>
      <c r="D33" s="7"/>
      <c r="E33" s="7"/>
      <c r="F33" s="7"/>
      <c r="G33" s="7"/>
      <c r="H33" s="7"/>
      <c r="I33" s="7"/>
      <c r="J33" s="7"/>
      <c r="K33" s="7"/>
      <c r="L33" s="7"/>
      <c r="M33" s="7"/>
      <c r="N33" s="7">
        <f t="shared" si="21"/>
        <v>1.8314451097803164</v>
      </c>
      <c r="O33" s="7">
        <f t="shared" si="21"/>
        <v>1.8314451097803164</v>
      </c>
      <c r="P33" s="7">
        <f t="shared" si="21"/>
        <v>2.1977341317363783</v>
      </c>
      <c r="Q33" s="7">
        <f t="shared" si="21"/>
        <v>2.4419268130404195</v>
      </c>
      <c r="R33" s="7">
        <f t="shared" si="21"/>
        <v>2.0756377910843575</v>
      </c>
      <c r="S33" s="7"/>
      <c r="T33" s="7">
        <f t="shared" si="9"/>
        <v>0.34722222222222221</v>
      </c>
      <c r="U33" s="7">
        <v>1.1574074074074101E-5</v>
      </c>
      <c r="V33" s="7"/>
      <c r="W33" s="3">
        <f t="shared" si="5"/>
        <v>0.24294632108865097</v>
      </c>
      <c r="X33" s="112">
        <v>1.1890975794552778</v>
      </c>
      <c r="Y33" s="7"/>
      <c r="Z33" s="138"/>
    </row>
    <row r="34" spans="1:26" x14ac:dyDescent="0.25">
      <c r="A34">
        <v>30</v>
      </c>
      <c r="B34" s="7">
        <f t="shared" si="16"/>
        <v>2.1765569536334168</v>
      </c>
      <c r="C34" s="7"/>
      <c r="D34" s="7"/>
      <c r="E34" s="7"/>
      <c r="F34" s="7"/>
      <c r="G34" s="7"/>
      <c r="H34" s="7"/>
      <c r="I34" s="7"/>
      <c r="J34" s="7"/>
      <c r="K34" s="7"/>
      <c r="L34" s="7"/>
      <c r="M34" s="7"/>
      <c r="N34" s="7">
        <f t="shared" si="21"/>
        <v>2.1765569536334168</v>
      </c>
      <c r="O34" s="7">
        <f t="shared" si="21"/>
        <v>2.1765569536334168</v>
      </c>
      <c r="P34" s="7">
        <f t="shared" si="21"/>
        <v>2.6118683443600985</v>
      </c>
      <c r="Q34" s="7">
        <f t="shared" si="21"/>
        <v>2.902075938177886</v>
      </c>
      <c r="R34" s="7">
        <f t="shared" si="21"/>
        <v>2.4667645474512043</v>
      </c>
      <c r="S34" s="7"/>
      <c r="T34" s="7">
        <f t="shared" si="9"/>
        <v>0.34722222222222221</v>
      </c>
      <c r="U34" s="7">
        <v>1.1574074074074101E-5</v>
      </c>
      <c r="V34" s="7"/>
      <c r="W34" s="3">
        <f t="shared" si="5"/>
        <v>0.23137744865585813</v>
      </c>
      <c r="X34" s="112">
        <v>1.188436902645964</v>
      </c>
      <c r="Y34" s="7"/>
      <c r="Z34" s="138"/>
    </row>
    <row r="35" spans="1:26" x14ac:dyDescent="0.25">
      <c r="B35" s="7"/>
      <c r="C35" s="7"/>
      <c r="D35" s="7"/>
      <c r="E35" s="7"/>
      <c r="F35" s="7"/>
      <c r="G35" s="7"/>
      <c r="H35" s="7"/>
      <c r="I35" s="7"/>
      <c r="J35" s="7"/>
      <c r="K35" s="7"/>
      <c r="L35" s="7"/>
      <c r="M35" s="7"/>
      <c r="N35" s="7"/>
      <c r="O35" s="7"/>
      <c r="P35" s="7"/>
      <c r="Q35" s="7"/>
      <c r="R35" s="7"/>
      <c r="S35" s="7"/>
      <c r="T35" s="7"/>
      <c r="U35" s="7"/>
      <c r="V35" s="7"/>
      <c r="X35" s="7"/>
      <c r="Y35" s="7"/>
    </row>
  </sheetData>
  <mergeCells count="3">
    <mergeCell ref="AC3:AD3"/>
    <mergeCell ref="AE3:AF3"/>
    <mergeCell ref="AG3:AH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opLeftCell="G1" workbookViewId="0">
      <selection activeCell="T3" sqref="T3"/>
    </sheetView>
  </sheetViews>
  <sheetFormatPr baseColWidth="10" defaultRowHeight="15" x14ac:dyDescent="0.25"/>
  <cols>
    <col min="1" max="259" width="9.140625" customWidth="1"/>
  </cols>
  <sheetData>
    <row r="1" spans="1:23" x14ac:dyDescent="0.25">
      <c r="B1" s="1" t="s">
        <v>0</v>
      </c>
      <c r="C1" s="1" t="s">
        <v>1</v>
      </c>
      <c r="D1" s="1" t="s">
        <v>2</v>
      </c>
      <c r="E1" s="1" t="s">
        <v>3</v>
      </c>
      <c r="F1" s="59" t="s">
        <v>59</v>
      </c>
      <c r="G1" s="59" t="s">
        <v>60</v>
      </c>
      <c r="H1" s="321" t="s">
        <v>64</v>
      </c>
      <c r="I1" s="1" t="s">
        <v>4</v>
      </c>
      <c r="J1" s="1" t="s">
        <v>5</v>
      </c>
      <c r="K1" s="1" t="s">
        <v>6</v>
      </c>
      <c r="L1" s="1" t="s">
        <v>7</v>
      </c>
      <c r="M1" s="1" t="s">
        <v>8</v>
      </c>
      <c r="N1" s="1" t="s">
        <v>9</v>
      </c>
      <c r="O1" s="1" t="s">
        <v>10</v>
      </c>
      <c r="P1" s="1" t="s">
        <v>11</v>
      </c>
      <c r="Q1" s="1" t="s">
        <v>12</v>
      </c>
      <c r="R1" s="1" t="s">
        <v>13</v>
      </c>
      <c r="S1" s="1" t="s">
        <v>14</v>
      </c>
      <c r="T1" s="1" t="s">
        <v>107</v>
      </c>
      <c r="U1" t="str">
        <f>IF('Construction Planner'!$G$2="Goldmünzen","Coin",IF('Construction Planner'!$G$2="Einlagerung","Package","Einstellung wählen"))</f>
        <v>Coin</v>
      </c>
      <c r="V1" s="1" t="s">
        <v>15</v>
      </c>
    </row>
    <row r="2" spans="1:23" x14ac:dyDescent="0.25">
      <c r="A2" s="6" t="s">
        <v>20</v>
      </c>
      <c r="B2" s="1">
        <v>1.26</v>
      </c>
      <c r="C2" s="1">
        <v>1.26</v>
      </c>
      <c r="D2" s="1">
        <v>1.26</v>
      </c>
      <c r="E2" s="1">
        <v>1.26</v>
      </c>
      <c r="F2" s="1">
        <v>1.26</v>
      </c>
      <c r="G2" s="1">
        <v>1.26</v>
      </c>
      <c r="H2" s="1">
        <v>1.17</v>
      </c>
      <c r="I2" s="1">
        <v>2</v>
      </c>
      <c r="J2" s="1">
        <v>1.26</v>
      </c>
      <c r="K2" s="1">
        <v>1.26</v>
      </c>
      <c r="L2" s="1">
        <v>1.26</v>
      </c>
      <c r="M2" s="1">
        <v>1.26</v>
      </c>
      <c r="N2" s="1">
        <v>1.25</v>
      </c>
      <c r="O2" s="1">
        <v>1.27</v>
      </c>
      <c r="P2" s="1">
        <v>1.252</v>
      </c>
      <c r="Q2" s="1">
        <v>1.3</v>
      </c>
      <c r="R2" s="1">
        <v>1.2649999999999999</v>
      </c>
      <c r="S2" s="1">
        <v>1.25</v>
      </c>
      <c r="T2" s="1">
        <v>1</v>
      </c>
      <c r="U2" s="1">
        <v>1</v>
      </c>
      <c r="V2" s="1">
        <v>1.26</v>
      </c>
    </row>
    <row r="3" spans="1:23" x14ac:dyDescent="0.25">
      <c r="A3">
        <v>1</v>
      </c>
      <c r="B3">
        <v>90</v>
      </c>
      <c r="C3">
        <v>200</v>
      </c>
      <c r="D3">
        <v>270</v>
      </c>
      <c r="E3">
        <v>300</v>
      </c>
      <c r="F3">
        <v>160</v>
      </c>
      <c r="G3">
        <v>16000</v>
      </c>
      <c r="H3">
        <v>12000</v>
      </c>
      <c r="I3">
        <v>15000</v>
      </c>
      <c r="J3">
        <v>220</v>
      </c>
      <c r="K3">
        <v>10</v>
      </c>
      <c r="L3">
        <v>220</v>
      </c>
      <c r="M3">
        <v>100</v>
      </c>
      <c r="N3">
        <v>50</v>
      </c>
      <c r="O3">
        <v>65</v>
      </c>
      <c r="P3">
        <v>75</v>
      </c>
      <c r="Q3">
        <v>45</v>
      </c>
      <c r="R3">
        <v>60</v>
      </c>
      <c r="S3">
        <v>50</v>
      </c>
      <c r="T3" t="str">
        <f>IF('Construction Planner'!$G$2="Goldmünzen","40000",IF('Construction Planner'!$G$2="Einlagerung",0,"Einstellung wählen"))</f>
        <v>40000</v>
      </c>
      <c r="U3">
        <v>28000</v>
      </c>
      <c r="V3">
        <v>50</v>
      </c>
      <c r="W3" s="3"/>
    </row>
    <row r="4" spans="1:23" x14ac:dyDescent="0.25">
      <c r="A4">
        <v>2</v>
      </c>
      <c r="B4" s="3">
        <f>B3*B$2</f>
        <v>113.4</v>
      </c>
      <c r="C4" s="3">
        <f t="shared" ref="C4:V19" si="0">C3*C$2</f>
        <v>252</v>
      </c>
      <c r="D4" s="3">
        <f t="shared" si="0"/>
        <v>340.2</v>
      </c>
      <c r="E4" s="3">
        <f t="shared" si="0"/>
        <v>378</v>
      </c>
      <c r="F4" s="3">
        <f t="shared" si="0"/>
        <v>201.6</v>
      </c>
      <c r="G4" s="3">
        <f t="shared" si="0"/>
        <v>20160</v>
      </c>
      <c r="H4" s="3">
        <f t="shared" si="0"/>
        <v>14040</v>
      </c>
      <c r="I4" s="3">
        <f t="shared" si="0"/>
        <v>30000</v>
      </c>
      <c r="J4" s="3">
        <f t="shared" si="0"/>
        <v>277.2</v>
      </c>
      <c r="K4" s="3">
        <f t="shared" si="0"/>
        <v>12.6</v>
      </c>
      <c r="L4" s="3">
        <f t="shared" si="0"/>
        <v>277.2</v>
      </c>
      <c r="M4" s="3">
        <f t="shared" si="0"/>
        <v>126</v>
      </c>
      <c r="N4" s="3">
        <f t="shared" si="0"/>
        <v>62.5</v>
      </c>
      <c r="O4" s="3">
        <f t="shared" si="0"/>
        <v>82.55</v>
      </c>
      <c r="P4" s="3">
        <f t="shared" si="0"/>
        <v>93.9</v>
      </c>
      <c r="Q4" s="3">
        <f t="shared" si="0"/>
        <v>58.5</v>
      </c>
      <c r="R4" s="3">
        <f t="shared" si="0"/>
        <v>75.899999999999991</v>
      </c>
      <c r="S4" s="3">
        <f t="shared" si="0"/>
        <v>62.5</v>
      </c>
      <c r="T4" t="str">
        <f>IF('Construction Planner'!$G$2="Goldmünzen","40000",IF('Construction Planner'!$G$2="Einlagerung",0,"Einstellung wählen"))</f>
        <v>40000</v>
      </c>
      <c r="U4">
        <v>28000</v>
      </c>
      <c r="V4" s="3">
        <f t="shared" si="0"/>
        <v>63</v>
      </c>
      <c r="W4" s="3"/>
    </row>
    <row r="5" spans="1:23" x14ac:dyDescent="0.25">
      <c r="A5">
        <v>3</v>
      </c>
      <c r="B5" s="3">
        <f t="shared" ref="B5:B32" si="1">B4*B$2</f>
        <v>142.88400000000001</v>
      </c>
      <c r="C5" s="3">
        <f t="shared" ref="C5:C32" si="2">C4*C$2</f>
        <v>317.52</v>
      </c>
      <c r="D5" s="3">
        <f t="shared" ref="D5:G6" si="3">D4*D$2</f>
        <v>428.65199999999999</v>
      </c>
      <c r="E5" s="3">
        <f t="shared" si="3"/>
        <v>476.28000000000003</v>
      </c>
      <c r="F5" s="3">
        <f t="shared" si="3"/>
        <v>254.01599999999999</v>
      </c>
      <c r="G5" s="3">
        <f t="shared" si="3"/>
        <v>25401.599999999999</v>
      </c>
      <c r="H5" s="3">
        <f t="shared" si="0"/>
        <v>16426.8</v>
      </c>
      <c r="I5" s="3">
        <f t="shared" ref="I5:I32" si="4">I4*I$2</f>
        <v>60000</v>
      </c>
      <c r="J5" s="3">
        <f t="shared" ref="J5:J32" si="5">J4*J$2</f>
        <v>349.27199999999999</v>
      </c>
      <c r="K5" s="3">
        <f t="shared" ref="K5:K32" si="6">K4*K$2</f>
        <v>15.875999999999999</v>
      </c>
      <c r="L5" s="3">
        <f t="shared" ref="L5:L32" si="7">L4*L$2</f>
        <v>349.27199999999999</v>
      </c>
      <c r="M5" s="3">
        <f t="shared" ref="M5:M32" si="8">M4*M$2</f>
        <v>158.76</v>
      </c>
      <c r="N5" s="3">
        <f t="shared" ref="N5:N32" si="9">N4*N$2</f>
        <v>78.125</v>
      </c>
      <c r="O5" s="3">
        <f t="shared" ref="O5:O32" si="10">O4*O$2</f>
        <v>104.8385</v>
      </c>
      <c r="P5" s="3">
        <f t="shared" ref="P5:P32" si="11">P4*P$2</f>
        <v>117.56280000000001</v>
      </c>
      <c r="Q5" s="3">
        <f t="shared" ref="Q5:Q32" si="12">Q4*Q$2</f>
        <v>76.05</v>
      </c>
      <c r="R5" s="3">
        <f t="shared" ref="R5:R32" si="13">R4*R$2</f>
        <v>96.013499999999979</v>
      </c>
      <c r="S5" s="3">
        <f t="shared" ref="S5:S32" si="14">S4*S$2</f>
        <v>78.125</v>
      </c>
      <c r="T5" t="str">
        <f>IF('Construction Planner'!$G$2="Goldmünzen","40000",IF('Construction Planner'!$G$2="Einlagerung",0,"Einstellung wählen"))</f>
        <v>40000</v>
      </c>
      <c r="U5">
        <v>28000</v>
      </c>
      <c r="V5" s="3">
        <f t="shared" ref="V5:V32" si="15">V4*V$2</f>
        <v>79.38</v>
      </c>
      <c r="W5" s="3"/>
    </row>
    <row r="6" spans="1:23" x14ac:dyDescent="0.25">
      <c r="A6">
        <v>4</v>
      </c>
      <c r="B6" s="3">
        <f t="shared" si="1"/>
        <v>180.03384000000003</v>
      </c>
      <c r="C6" s="3">
        <f t="shared" si="2"/>
        <v>400.0752</v>
      </c>
      <c r="D6" s="3">
        <f t="shared" si="3"/>
        <v>540.10151999999994</v>
      </c>
      <c r="E6" s="3">
        <f t="shared" si="3"/>
        <v>600.11279999999999</v>
      </c>
      <c r="F6" s="3">
        <f t="shared" si="3"/>
        <v>320.06016</v>
      </c>
      <c r="G6" s="3">
        <f t="shared" si="3"/>
        <v>32006.016</v>
      </c>
      <c r="H6" s="3">
        <f t="shared" si="0"/>
        <v>19219.356</v>
      </c>
      <c r="I6" s="3">
        <f t="shared" si="4"/>
        <v>120000</v>
      </c>
      <c r="J6" s="3">
        <f t="shared" si="5"/>
        <v>440.08271999999999</v>
      </c>
      <c r="K6" s="3">
        <f t="shared" si="6"/>
        <v>20.00376</v>
      </c>
      <c r="L6" s="3">
        <f t="shared" si="7"/>
        <v>440.08271999999999</v>
      </c>
      <c r="M6" s="3">
        <f t="shared" si="8"/>
        <v>200.0376</v>
      </c>
      <c r="N6" s="3">
        <f t="shared" si="9"/>
        <v>97.65625</v>
      </c>
      <c r="O6" s="3">
        <f t="shared" si="10"/>
        <v>133.14489499999999</v>
      </c>
      <c r="P6" s="3">
        <f t="shared" si="11"/>
        <v>147.18862560000002</v>
      </c>
      <c r="Q6" s="3">
        <f t="shared" si="12"/>
        <v>98.864999999999995</v>
      </c>
      <c r="R6" s="3">
        <f t="shared" si="13"/>
        <v>121.45707749999997</v>
      </c>
      <c r="S6" s="3">
        <f t="shared" si="14"/>
        <v>97.65625</v>
      </c>
      <c r="T6" t="str">
        <f>IF('Construction Planner'!$G$2="Goldmünzen","40000",IF('Construction Planner'!$G$2="Einlagerung",0,"Einstellung wählen"))</f>
        <v>40000</v>
      </c>
      <c r="U6">
        <v>28000</v>
      </c>
      <c r="V6" s="3">
        <f t="shared" si="15"/>
        <v>100.0188</v>
      </c>
      <c r="W6" s="3"/>
    </row>
    <row r="7" spans="1:23" x14ac:dyDescent="0.25">
      <c r="A7">
        <v>5</v>
      </c>
      <c r="B7" s="3">
        <f t="shared" si="1"/>
        <v>226.84263840000003</v>
      </c>
      <c r="C7" s="3">
        <f t="shared" si="2"/>
        <v>504.09475199999997</v>
      </c>
      <c r="D7" s="3">
        <f t="shared" ref="D7:D32" si="16">D6*D$2</f>
        <v>680.52791519999994</v>
      </c>
      <c r="E7" s="3">
        <f t="shared" ref="E7:H32" si="17">E6*E$2</f>
        <v>756.14212799999996</v>
      </c>
      <c r="F7" s="3">
        <f t="shared" si="17"/>
        <v>403.27580160000002</v>
      </c>
      <c r="G7" s="3">
        <f t="shared" si="17"/>
        <v>40327.580159999998</v>
      </c>
      <c r="H7" s="3">
        <f t="shared" si="0"/>
        <v>22486.646519999998</v>
      </c>
      <c r="I7" s="3">
        <f t="shared" si="4"/>
        <v>240000</v>
      </c>
      <c r="J7" s="3">
        <f t="shared" si="5"/>
        <v>554.50422719999995</v>
      </c>
      <c r="K7" s="3">
        <f t="shared" si="6"/>
        <v>25.204737600000001</v>
      </c>
      <c r="L7" s="3">
        <f t="shared" si="7"/>
        <v>554.50422719999995</v>
      </c>
      <c r="M7" s="3">
        <f t="shared" si="8"/>
        <v>252.04737599999999</v>
      </c>
      <c r="N7" s="3">
        <f t="shared" si="9"/>
        <v>122.0703125</v>
      </c>
      <c r="O7" s="3">
        <f t="shared" si="10"/>
        <v>169.09401664999999</v>
      </c>
      <c r="P7" s="3">
        <f t="shared" si="11"/>
        <v>184.28015925120002</v>
      </c>
      <c r="Q7" s="3">
        <f t="shared" si="12"/>
        <v>128.52449999999999</v>
      </c>
      <c r="R7" s="3">
        <f t="shared" si="13"/>
        <v>153.64320303749994</v>
      </c>
      <c r="S7" s="3">
        <f t="shared" si="14"/>
        <v>122.0703125</v>
      </c>
      <c r="T7" t="str">
        <f>IF('Construction Planner'!$G$2="Goldmünzen","40000",IF('Construction Planner'!$G$2="Einlagerung",0,"Einstellung wählen"))</f>
        <v>40000</v>
      </c>
      <c r="U7">
        <v>28000</v>
      </c>
      <c r="V7" s="3">
        <f t="shared" si="15"/>
        <v>126.02368799999999</v>
      </c>
      <c r="W7" s="3"/>
    </row>
    <row r="8" spans="1:23" x14ac:dyDescent="0.25">
      <c r="A8">
        <v>6</v>
      </c>
      <c r="B8" s="3">
        <f t="shared" si="1"/>
        <v>285.82172438400005</v>
      </c>
      <c r="C8" s="3">
        <f t="shared" si="2"/>
        <v>635.15938752</v>
      </c>
      <c r="D8" s="3">
        <f t="shared" si="16"/>
        <v>857.46517315199992</v>
      </c>
      <c r="E8" s="3">
        <f t="shared" si="17"/>
        <v>952.73908127999994</v>
      </c>
      <c r="F8" s="3">
        <f t="shared" si="17"/>
        <v>508.12751001600003</v>
      </c>
      <c r="G8" s="3">
        <f t="shared" si="17"/>
        <v>50812.751001599994</v>
      </c>
      <c r="H8" s="3">
        <f t="shared" si="0"/>
        <v>26309.376428399995</v>
      </c>
      <c r="I8" s="3">
        <f t="shared" si="4"/>
        <v>480000</v>
      </c>
      <c r="J8" s="3">
        <f t="shared" si="5"/>
        <v>698.67532627199989</v>
      </c>
      <c r="K8" s="3">
        <f t="shared" si="6"/>
        <v>31.757969376000002</v>
      </c>
      <c r="L8" s="3">
        <f t="shared" si="7"/>
        <v>698.67532627199989</v>
      </c>
      <c r="M8" s="3">
        <f t="shared" si="8"/>
        <v>317.57969376</v>
      </c>
      <c r="N8" s="3">
        <f t="shared" si="9"/>
        <v>152.587890625</v>
      </c>
      <c r="O8" s="3">
        <f t="shared" si="10"/>
        <v>214.74940114549997</v>
      </c>
      <c r="P8" s="3">
        <f t="shared" si="11"/>
        <v>230.71875938250241</v>
      </c>
      <c r="Q8" s="3">
        <f t="shared" si="12"/>
        <v>167.08185</v>
      </c>
      <c r="R8" s="3">
        <f t="shared" si="13"/>
        <v>194.35865184243741</v>
      </c>
      <c r="S8" s="3">
        <f t="shared" si="14"/>
        <v>152.587890625</v>
      </c>
      <c r="T8" t="str">
        <f>IF('Construction Planner'!$G$2="Goldmünzen","40000",IF('Construction Planner'!$G$2="Einlagerung",0,"Einstellung wählen"))</f>
        <v>40000</v>
      </c>
      <c r="U8">
        <v>28000</v>
      </c>
      <c r="V8" s="3">
        <f t="shared" si="15"/>
        <v>158.78984688</v>
      </c>
      <c r="W8" s="3"/>
    </row>
    <row r="9" spans="1:23" x14ac:dyDescent="0.25">
      <c r="A9">
        <v>7</v>
      </c>
      <c r="B9" s="3">
        <f t="shared" si="1"/>
        <v>360.13537272384008</v>
      </c>
      <c r="C9" s="3">
        <f t="shared" si="2"/>
        <v>800.30082827520005</v>
      </c>
      <c r="D9" s="3">
        <f t="shared" si="16"/>
        <v>1080.4061181715199</v>
      </c>
      <c r="E9" s="3">
        <f t="shared" si="17"/>
        <v>1200.4512424128</v>
      </c>
      <c r="F9" s="3">
        <f t="shared" si="17"/>
        <v>640.24066262016004</v>
      </c>
      <c r="G9" s="3">
        <f t="shared" si="17"/>
        <v>64024.066262015993</v>
      </c>
      <c r="H9" s="3">
        <f t="shared" si="0"/>
        <v>30781.970421227994</v>
      </c>
      <c r="I9" s="3">
        <f t="shared" si="4"/>
        <v>960000</v>
      </c>
      <c r="J9" s="3">
        <f t="shared" si="5"/>
        <v>880.33091110271982</v>
      </c>
      <c r="K9" s="3">
        <f t="shared" si="6"/>
        <v>40.015041413760002</v>
      </c>
      <c r="L9" s="3">
        <f t="shared" si="7"/>
        <v>880.33091110271982</v>
      </c>
      <c r="M9" s="3">
        <f t="shared" si="8"/>
        <v>400.15041413760002</v>
      </c>
      <c r="N9" s="3">
        <f t="shared" si="9"/>
        <v>190.73486328125</v>
      </c>
      <c r="O9" s="3">
        <f t="shared" si="10"/>
        <v>272.73173945478499</v>
      </c>
      <c r="P9" s="3">
        <f t="shared" si="11"/>
        <v>288.85988674689304</v>
      </c>
      <c r="Q9" s="3">
        <f t="shared" si="12"/>
        <v>217.20640500000002</v>
      </c>
      <c r="R9" s="3">
        <f t="shared" si="13"/>
        <v>245.8636945806833</v>
      </c>
      <c r="S9" s="3">
        <f t="shared" si="14"/>
        <v>190.73486328125</v>
      </c>
      <c r="T9" t="str">
        <f>IF('Construction Planner'!$G$2="Goldmünzen","40000",IF('Construction Planner'!$G$2="Einlagerung",0,"Einstellung wählen"))</f>
        <v>40000</v>
      </c>
      <c r="U9">
        <v>28000</v>
      </c>
      <c r="V9" s="3">
        <f t="shared" si="15"/>
        <v>200.07520706880001</v>
      </c>
      <c r="W9" s="3"/>
    </row>
    <row r="10" spans="1:23" x14ac:dyDescent="0.25">
      <c r="A10">
        <v>8</v>
      </c>
      <c r="B10" s="3">
        <f t="shared" si="1"/>
        <v>453.77056963203847</v>
      </c>
      <c r="C10" s="3">
        <f t="shared" si="2"/>
        <v>1008.379043626752</v>
      </c>
      <c r="D10" s="3">
        <f t="shared" si="16"/>
        <v>1361.3117088961151</v>
      </c>
      <c r="E10" s="3">
        <f t="shared" si="17"/>
        <v>1512.5685654401279</v>
      </c>
      <c r="F10" s="3">
        <f t="shared" si="17"/>
        <v>806.70323490140163</v>
      </c>
      <c r="G10" s="3">
        <f t="shared" si="17"/>
        <v>80670.323490140145</v>
      </c>
      <c r="H10" s="3">
        <f t="shared" si="0"/>
        <v>36014.90539283675</v>
      </c>
      <c r="I10" s="3">
        <f t="shared" si="4"/>
        <v>1920000</v>
      </c>
      <c r="J10" s="3">
        <f t="shared" si="5"/>
        <v>1109.2169479894269</v>
      </c>
      <c r="K10" s="3">
        <f t="shared" si="6"/>
        <v>50.418952181337602</v>
      </c>
      <c r="L10" s="3">
        <f t="shared" si="7"/>
        <v>1109.2169479894269</v>
      </c>
      <c r="M10" s="3">
        <f t="shared" si="8"/>
        <v>504.18952181337602</v>
      </c>
      <c r="N10" s="3">
        <f t="shared" si="9"/>
        <v>238.4185791015625</v>
      </c>
      <c r="O10" s="3">
        <f t="shared" si="10"/>
        <v>346.36930910757695</v>
      </c>
      <c r="P10" s="3">
        <f t="shared" si="11"/>
        <v>361.65257820711008</v>
      </c>
      <c r="Q10" s="3">
        <f t="shared" si="12"/>
        <v>282.36832650000002</v>
      </c>
      <c r="R10" s="3">
        <f t="shared" si="13"/>
        <v>311.01757364456438</v>
      </c>
      <c r="S10" s="3">
        <f t="shared" si="14"/>
        <v>238.4185791015625</v>
      </c>
      <c r="T10" t="str">
        <f>IF('Construction Planner'!$G$2="Goldmünzen","40000",IF('Construction Planner'!$G$2="Einlagerung",0,"Einstellung wählen"))</f>
        <v>40000</v>
      </c>
      <c r="U10">
        <v>28000</v>
      </c>
      <c r="V10" s="3">
        <f t="shared" si="15"/>
        <v>252.09476090668801</v>
      </c>
      <c r="W10" s="3"/>
    </row>
    <row r="11" spans="1:23" x14ac:dyDescent="0.25">
      <c r="A11">
        <v>9</v>
      </c>
      <c r="B11" s="3">
        <f t="shared" si="1"/>
        <v>571.75091773636848</v>
      </c>
      <c r="C11" s="3">
        <f t="shared" si="2"/>
        <v>1270.5575949697077</v>
      </c>
      <c r="D11" s="3">
        <f t="shared" si="16"/>
        <v>1715.2527532091051</v>
      </c>
      <c r="E11" s="3">
        <f t="shared" si="17"/>
        <v>1905.8363924545613</v>
      </c>
      <c r="F11" s="3">
        <f t="shared" si="17"/>
        <v>1016.446075975766</v>
      </c>
      <c r="G11" s="3">
        <f t="shared" si="17"/>
        <v>101644.60759757659</v>
      </c>
      <c r="H11" s="3">
        <f t="shared" si="0"/>
        <v>42137.439309618996</v>
      </c>
      <c r="I11" s="3">
        <f t="shared" si="4"/>
        <v>3840000</v>
      </c>
      <c r="J11" s="3">
        <f t="shared" si="5"/>
        <v>1397.6133544666779</v>
      </c>
      <c r="K11" s="3">
        <f t="shared" si="6"/>
        <v>63.527879748485375</v>
      </c>
      <c r="L11" s="3">
        <f t="shared" si="7"/>
        <v>1397.6133544666779</v>
      </c>
      <c r="M11" s="3">
        <f t="shared" si="8"/>
        <v>635.27879748485384</v>
      </c>
      <c r="N11" s="3">
        <f t="shared" si="9"/>
        <v>298.02322387695312</v>
      </c>
      <c r="O11" s="3">
        <f t="shared" si="10"/>
        <v>439.88902256662271</v>
      </c>
      <c r="P11" s="3">
        <f t="shared" si="11"/>
        <v>452.7890279153018</v>
      </c>
      <c r="Q11" s="3">
        <f t="shared" si="12"/>
        <v>367.07882445000007</v>
      </c>
      <c r="R11" s="3">
        <f t="shared" si="13"/>
        <v>393.43723066037393</v>
      </c>
      <c r="S11" s="3">
        <f t="shared" si="14"/>
        <v>298.02322387695312</v>
      </c>
      <c r="T11" t="str">
        <f>IF('Construction Planner'!$G$2="Goldmünzen","40000",IF('Construction Planner'!$G$2="Einlagerung",0,"Einstellung wählen"))</f>
        <v>40000</v>
      </c>
      <c r="U11">
        <v>28000</v>
      </c>
      <c r="V11" s="3">
        <f t="shared" si="15"/>
        <v>317.63939874242692</v>
      </c>
      <c r="W11" s="3"/>
    </row>
    <row r="12" spans="1:23" x14ac:dyDescent="0.25">
      <c r="A12">
        <v>10</v>
      </c>
      <c r="B12" s="3">
        <f t="shared" si="1"/>
        <v>720.40615634782432</v>
      </c>
      <c r="C12" s="3">
        <f t="shared" si="2"/>
        <v>1600.9025696618316</v>
      </c>
      <c r="D12" s="3">
        <f t="shared" si="16"/>
        <v>2161.2184690434724</v>
      </c>
      <c r="E12" s="3">
        <f t="shared" si="17"/>
        <v>2401.3538544927474</v>
      </c>
      <c r="F12" s="3">
        <f t="shared" si="17"/>
        <v>1280.7220557294652</v>
      </c>
      <c r="G12" s="3">
        <f t="shared" si="17"/>
        <v>128072.20557294649</v>
      </c>
      <c r="H12" s="3">
        <f t="shared" si="0"/>
        <v>49300.803992254223</v>
      </c>
      <c r="I12" s="3">
        <f t="shared" si="4"/>
        <v>7680000</v>
      </c>
      <c r="J12" s="3">
        <f t="shared" si="5"/>
        <v>1760.9928266280142</v>
      </c>
      <c r="K12" s="3">
        <f t="shared" si="6"/>
        <v>80.045128483091574</v>
      </c>
      <c r="L12" s="3">
        <f t="shared" si="7"/>
        <v>1760.9928266280142</v>
      </c>
      <c r="M12" s="3">
        <f t="shared" si="8"/>
        <v>800.45128483091582</v>
      </c>
      <c r="N12" s="3">
        <f t="shared" si="9"/>
        <v>372.52902984619141</v>
      </c>
      <c r="O12" s="3">
        <f t="shared" si="10"/>
        <v>558.65905865961088</v>
      </c>
      <c r="P12" s="3">
        <f t="shared" si="11"/>
        <v>566.89186294995784</v>
      </c>
      <c r="Q12" s="3">
        <f t="shared" si="12"/>
        <v>477.20247178500011</v>
      </c>
      <c r="R12" s="3">
        <f t="shared" si="13"/>
        <v>497.69809678537297</v>
      </c>
      <c r="S12" s="3">
        <f t="shared" si="14"/>
        <v>372.52902984619141</v>
      </c>
      <c r="T12" t="str">
        <f>IF('Construction Planner'!$G$2="Goldmünzen","40000",IF('Construction Planner'!$G$2="Einlagerung",0,"Einstellung wählen"))</f>
        <v>40000</v>
      </c>
      <c r="U12">
        <v>28000</v>
      </c>
      <c r="V12" s="3">
        <f t="shared" si="15"/>
        <v>400.22564241545791</v>
      </c>
      <c r="W12" s="3"/>
    </row>
    <row r="13" spans="1:23" x14ac:dyDescent="0.25">
      <c r="A13">
        <v>11</v>
      </c>
      <c r="B13" s="3">
        <f t="shared" si="1"/>
        <v>907.71175699825869</v>
      </c>
      <c r="C13" s="3">
        <f t="shared" si="2"/>
        <v>2017.1372377739078</v>
      </c>
      <c r="D13" s="3">
        <f t="shared" si="16"/>
        <v>2723.1352709947751</v>
      </c>
      <c r="E13" s="3">
        <f t="shared" si="17"/>
        <v>3025.7058566608616</v>
      </c>
      <c r="F13" s="3">
        <f t="shared" si="17"/>
        <v>1613.709790219126</v>
      </c>
      <c r="G13" s="3">
        <f t="shared" si="17"/>
        <v>161370.97902191259</v>
      </c>
      <c r="H13" s="3">
        <f t="shared" si="0"/>
        <v>57681.940670937438</v>
      </c>
      <c r="I13" s="3">
        <f t="shared" si="4"/>
        <v>15360000</v>
      </c>
      <c r="J13" s="3">
        <f t="shared" si="5"/>
        <v>2218.850961551298</v>
      </c>
      <c r="K13" s="3">
        <f t="shared" si="6"/>
        <v>100.85686188869538</v>
      </c>
      <c r="L13" s="3">
        <f t="shared" si="7"/>
        <v>2218.850961551298</v>
      </c>
      <c r="M13" s="3">
        <f t="shared" si="8"/>
        <v>1008.5686188869539</v>
      </c>
      <c r="N13" s="3">
        <f t="shared" si="9"/>
        <v>465.66128730773926</v>
      </c>
      <c r="O13" s="3">
        <f t="shared" si="10"/>
        <v>709.4970044977058</v>
      </c>
      <c r="P13" s="3">
        <f t="shared" si="11"/>
        <v>709.74861241334725</v>
      </c>
      <c r="Q13" s="3">
        <f t="shared" si="12"/>
        <v>620.36321332050022</v>
      </c>
      <c r="R13" s="3">
        <f t="shared" si="13"/>
        <v>629.58809243349674</v>
      </c>
      <c r="S13" s="3">
        <f t="shared" si="14"/>
        <v>465.66128730773926</v>
      </c>
      <c r="T13" t="str">
        <f>IF('Construction Planner'!$G$2="Goldmünzen","40000",IF('Construction Planner'!$G$2="Einlagerung",0,"Einstellung wählen"))</f>
        <v>40000</v>
      </c>
      <c r="U13">
        <v>28000</v>
      </c>
      <c r="V13" s="3">
        <f t="shared" si="15"/>
        <v>504.28430944347696</v>
      </c>
      <c r="W13" s="3"/>
    </row>
    <row r="14" spans="1:23" x14ac:dyDescent="0.25">
      <c r="A14">
        <v>12</v>
      </c>
      <c r="B14" s="3">
        <f t="shared" si="1"/>
        <v>1143.716813817806</v>
      </c>
      <c r="C14" s="3">
        <f t="shared" si="2"/>
        <v>2541.5929195951239</v>
      </c>
      <c r="D14" s="3">
        <f t="shared" si="16"/>
        <v>3431.1504414534165</v>
      </c>
      <c r="E14" s="3">
        <f t="shared" si="17"/>
        <v>3812.3893793926859</v>
      </c>
      <c r="F14" s="3">
        <f t="shared" si="17"/>
        <v>2033.2743356760989</v>
      </c>
      <c r="G14" s="3">
        <f t="shared" si="17"/>
        <v>203327.43356760987</v>
      </c>
      <c r="H14" s="3">
        <f t="shared" si="0"/>
        <v>67487.870584996796</v>
      </c>
      <c r="I14" s="3">
        <f t="shared" si="4"/>
        <v>30720000</v>
      </c>
      <c r="J14" s="3">
        <f t="shared" si="5"/>
        <v>2795.7522115546358</v>
      </c>
      <c r="K14" s="3">
        <f t="shared" si="6"/>
        <v>127.07964597975618</v>
      </c>
      <c r="L14" s="3">
        <f t="shared" si="7"/>
        <v>2795.7522115546358</v>
      </c>
      <c r="M14" s="3">
        <f t="shared" si="8"/>
        <v>1270.796459797562</v>
      </c>
      <c r="N14" s="3">
        <f t="shared" si="9"/>
        <v>582.07660913467407</v>
      </c>
      <c r="O14" s="3">
        <f t="shared" si="10"/>
        <v>901.06119571208637</v>
      </c>
      <c r="P14" s="3">
        <f t="shared" si="11"/>
        <v>888.60526274151073</v>
      </c>
      <c r="Q14" s="3">
        <f t="shared" si="12"/>
        <v>806.47217731665035</v>
      </c>
      <c r="R14" s="3">
        <f t="shared" si="13"/>
        <v>796.42893692837333</v>
      </c>
      <c r="S14" s="3">
        <f t="shared" si="14"/>
        <v>582.07660913467407</v>
      </c>
      <c r="T14" t="str">
        <f>IF('Construction Planner'!$G$2="Goldmünzen","40000",IF('Construction Planner'!$G$2="Einlagerung",0,"Einstellung wählen"))</f>
        <v>40000</v>
      </c>
      <c r="U14">
        <v>28000</v>
      </c>
      <c r="V14" s="3">
        <f t="shared" si="15"/>
        <v>635.39822989878098</v>
      </c>
      <c r="W14" s="3"/>
    </row>
    <row r="15" spans="1:23" x14ac:dyDescent="0.25">
      <c r="A15">
        <v>13</v>
      </c>
      <c r="B15" s="3">
        <f t="shared" si="1"/>
        <v>1441.0831854104356</v>
      </c>
      <c r="C15" s="3">
        <f t="shared" si="2"/>
        <v>3202.407078689856</v>
      </c>
      <c r="D15" s="3">
        <f t="shared" si="16"/>
        <v>4323.2495562313052</v>
      </c>
      <c r="E15" s="3">
        <f t="shared" si="17"/>
        <v>4803.6106180347842</v>
      </c>
      <c r="F15" s="3">
        <f t="shared" si="17"/>
        <v>2561.9256629518845</v>
      </c>
      <c r="G15" s="3">
        <f t="shared" si="17"/>
        <v>256192.56629518844</v>
      </c>
      <c r="H15" s="3">
        <f t="shared" si="0"/>
        <v>78960.808584446248</v>
      </c>
      <c r="I15" s="3">
        <f t="shared" si="4"/>
        <v>61440000</v>
      </c>
      <c r="J15" s="3">
        <f t="shared" si="5"/>
        <v>3522.6477865588413</v>
      </c>
      <c r="K15" s="3">
        <f t="shared" si="6"/>
        <v>160.12035393449278</v>
      </c>
      <c r="L15" s="3">
        <f t="shared" si="7"/>
        <v>3522.6477865588413</v>
      </c>
      <c r="M15" s="3">
        <f t="shared" si="8"/>
        <v>1601.203539344928</v>
      </c>
      <c r="N15" s="3">
        <f t="shared" si="9"/>
        <v>727.59576141834259</v>
      </c>
      <c r="O15" s="3">
        <f t="shared" si="10"/>
        <v>1144.3477185543497</v>
      </c>
      <c r="P15" s="3">
        <f t="shared" si="11"/>
        <v>1112.5337889523714</v>
      </c>
      <c r="Q15" s="3">
        <f t="shared" si="12"/>
        <v>1048.4138305116455</v>
      </c>
      <c r="R15" s="3">
        <f t="shared" si="13"/>
        <v>1007.4826052143922</v>
      </c>
      <c r="S15" s="3">
        <f t="shared" si="14"/>
        <v>727.59576141834259</v>
      </c>
      <c r="T15" t="str">
        <f>IF('Construction Planner'!$G$2="Goldmünzen","40000",IF('Construction Planner'!$G$2="Einlagerung",0,"Einstellung wählen"))</f>
        <v>40000</v>
      </c>
      <c r="U15">
        <v>28000</v>
      </c>
      <c r="V15" s="3">
        <f t="shared" si="15"/>
        <v>800.601769672464</v>
      </c>
      <c r="W15" s="3"/>
    </row>
    <row r="16" spans="1:23" x14ac:dyDescent="0.25">
      <c r="A16">
        <v>14</v>
      </c>
      <c r="B16" s="3">
        <f t="shared" si="1"/>
        <v>1815.7648136171488</v>
      </c>
      <c r="C16" s="3">
        <f t="shared" si="2"/>
        <v>4035.0329191492187</v>
      </c>
      <c r="D16" s="3">
        <f t="shared" si="16"/>
        <v>5447.294440851445</v>
      </c>
      <c r="E16" s="3">
        <f t="shared" si="17"/>
        <v>6052.5493787238283</v>
      </c>
      <c r="F16" s="3">
        <f t="shared" si="17"/>
        <v>3228.0263353193745</v>
      </c>
      <c r="G16" s="3">
        <f t="shared" si="17"/>
        <v>322802.63353193743</v>
      </c>
      <c r="H16" s="3">
        <f t="shared" si="0"/>
        <v>92384.146043802102</v>
      </c>
      <c r="I16" s="3">
        <f t="shared" si="4"/>
        <v>122880000</v>
      </c>
      <c r="J16" s="3">
        <f t="shared" si="5"/>
        <v>4438.5362110641399</v>
      </c>
      <c r="K16" s="3">
        <f t="shared" si="6"/>
        <v>201.75164595746091</v>
      </c>
      <c r="L16" s="3">
        <f t="shared" si="7"/>
        <v>4438.5362110641399</v>
      </c>
      <c r="M16" s="3">
        <f t="shared" si="8"/>
        <v>2017.5164595746094</v>
      </c>
      <c r="N16" s="3">
        <f t="shared" si="9"/>
        <v>909.49470177292824</v>
      </c>
      <c r="O16" s="3">
        <f t="shared" si="10"/>
        <v>1453.3216025640243</v>
      </c>
      <c r="P16" s="3">
        <f t="shared" si="11"/>
        <v>1392.8923037683689</v>
      </c>
      <c r="Q16" s="3">
        <f t="shared" si="12"/>
        <v>1362.9379796651392</v>
      </c>
      <c r="R16" s="3">
        <f t="shared" si="13"/>
        <v>1274.465495596206</v>
      </c>
      <c r="S16" s="3">
        <f t="shared" si="14"/>
        <v>909.49470177292824</v>
      </c>
      <c r="T16" t="str">
        <f>IF('Construction Planner'!$G$2="Goldmünzen","40000",IF('Construction Planner'!$G$2="Einlagerung",0,"Einstellung wählen"))</f>
        <v>40000</v>
      </c>
      <c r="U16">
        <v>28000</v>
      </c>
      <c r="V16" s="3">
        <f t="shared" si="15"/>
        <v>1008.7582297873047</v>
      </c>
      <c r="W16" s="3"/>
    </row>
    <row r="17" spans="1:23" x14ac:dyDescent="0.25">
      <c r="A17">
        <v>15</v>
      </c>
      <c r="B17" s="3">
        <f t="shared" si="1"/>
        <v>2287.8636651576076</v>
      </c>
      <c r="C17" s="3">
        <f t="shared" si="2"/>
        <v>5084.1414781280155</v>
      </c>
      <c r="D17" s="3">
        <f t="shared" si="16"/>
        <v>6863.5909954728204</v>
      </c>
      <c r="E17" s="3">
        <f t="shared" si="17"/>
        <v>7626.2122171920237</v>
      </c>
      <c r="F17" s="3">
        <f t="shared" si="17"/>
        <v>4067.313182502412</v>
      </c>
      <c r="G17" s="3">
        <f t="shared" si="17"/>
        <v>406731.31825024117</v>
      </c>
      <c r="H17" s="3">
        <f t="shared" si="0"/>
        <v>108089.45087124845</v>
      </c>
      <c r="I17" s="3">
        <f t="shared" si="4"/>
        <v>245760000</v>
      </c>
      <c r="J17" s="3">
        <f t="shared" si="5"/>
        <v>5592.5556259408168</v>
      </c>
      <c r="K17" s="3">
        <f t="shared" si="6"/>
        <v>254.20707390640075</v>
      </c>
      <c r="L17" s="3">
        <f t="shared" si="7"/>
        <v>5592.5556259408168</v>
      </c>
      <c r="M17" s="3">
        <f t="shared" si="8"/>
        <v>2542.0707390640077</v>
      </c>
      <c r="N17" s="3">
        <f t="shared" si="9"/>
        <v>1136.8683772161603</v>
      </c>
      <c r="O17" s="3">
        <f t="shared" si="10"/>
        <v>1845.7184352563108</v>
      </c>
      <c r="P17" s="3">
        <f t="shared" si="11"/>
        <v>1743.9011643179979</v>
      </c>
      <c r="Q17" s="3">
        <f t="shared" si="12"/>
        <v>1771.819373564681</v>
      </c>
      <c r="R17" s="3">
        <f t="shared" si="13"/>
        <v>1612.1988519292004</v>
      </c>
      <c r="S17" s="3">
        <f t="shared" si="14"/>
        <v>1136.8683772161603</v>
      </c>
      <c r="T17" t="str">
        <f>IF('Construction Planner'!$G$2="Goldmünzen","40000",IF('Construction Planner'!$G$2="Einlagerung",0,"Einstellung wählen"))</f>
        <v>40000</v>
      </c>
      <c r="U17">
        <v>28000</v>
      </c>
      <c r="V17" s="3">
        <f t="shared" si="15"/>
        <v>1271.0353695320039</v>
      </c>
      <c r="W17" s="3"/>
    </row>
    <row r="18" spans="1:23" x14ac:dyDescent="0.25">
      <c r="A18">
        <v>16</v>
      </c>
      <c r="B18" s="3">
        <f t="shared" si="1"/>
        <v>2882.7082180985853</v>
      </c>
      <c r="C18" s="3">
        <f t="shared" si="2"/>
        <v>6406.0182624412992</v>
      </c>
      <c r="D18" s="3">
        <f t="shared" si="16"/>
        <v>8648.1246542957542</v>
      </c>
      <c r="E18" s="3">
        <f t="shared" si="17"/>
        <v>9609.0273936619506</v>
      </c>
      <c r="F18" s="3">
        <f t="shared" si="17"/>
        <v>5124.8146099530395</v>
      </c>
      <c r="G18" s="3">
        <f t="shared" si="17"/>
        <v>512481.46099530387</v>
      </c>
      <c r="H18" s="3">
        <f t="shared" si="0"/>
        <v>126464.65751936068</v>
      </c>
      <c r="I18" s="3">
        <f t="shared" si="4"/>
        <v>491520000</v>
      </c>
      <c r="J18" s="3">
        <f t="shared" si="5"/>
        <v>7046.6200886854294</v>
      </c>
      <c r="K18" s="3">
        <f t="shared" si="6"/>
        <v>320.30091312206497</v>
      </c>
      <c r="L18" s="3">
        <f t="shared" si="7"/>
        <v>7046.6200886854294</v>
      </c>
      <c r="M18" s="3">
        <f t="shared" si="8"/>
        <v>3203.0091312206496</v>
      </c>
      <c r="N18" s="3">
        <f t="shared" si="9"/>
        <v>1421.0854715202004</v>
      </c>
      <c r="O18" s="3">
        <f t="shared" si="10"/>
        <v>2344.062412775515</v>
      </c>
      <c r="P18" s="3">
        <f t="shared" si="11"/>
        <v>2183.3642577261335</v>
      </c>
      <c r="Q18" s="3">
        <f t="shared" si="12"/>
        <v>2303.3651856340853</v>
      </c>
      <c r="R18" s="3">
        <f t="shared" si="13"/>
        <v>2039.4315476904383</v>
      </c>
      <c r="S18" s="3">
        <f t="shared" si="14"/>
        <v>1421.0854715202004</v>
      </c>
      <c r="T18" t="str">
        <f>IF('Construction Planner'!$G$2="Goldmünzen","40000",IF('Construction Planner'!$G$2="Einlagerung",0,"Einstellung wählen"))</f>
        <v>40000</v>
      </c>
      <c r="U18">
        <v>28000</v>
      </c>
      <c r="V18" s="3">
        <f t="shared" si="15"/>
        <v>1601.5045656103248</v>
      </c>
      <c r="W18" s="3"/>
    </row>
    <row r="19" spans="1:23" x14ac:dyDescent="0.25">
      <c r="A19">
        <v>17</v>
      </c>
      <c r="B19" s="3">
        <f t="shared" si="1"/>
        <v>3632.2123548042177</v>
      </c>
      <c r="C19" s="3">
        <f t="shared" si="2"/>
        <v>8071.5830106760368</v>
      </c>
      <c r="D19" s="3">
        <f t="shared" si="16"/>
        <v>10896.637064412651</v>
      </c>
      <c r="E19" s="3">
        <f t="shared" si="17"/>
        <v>12107.374516014057</v>
      </c>
      <c r="F19" s="3">
        <f t="shared" si="17"/>
        <v>6457.2664085408296</v>
      </c>
      <c r="G19" s="3">
        <f t="shared" si="17"/>
        <v>645726.64085408289</v>
      </c>
      <c r="H19" s="3">
        <f t="shared" si="0"/>
        <v>147963.64929765198</v>
      </c>
      <c r="I19" s="3">
        <f t="shared" si="4"/>
        <v>983040000</v>
      </c>
      <c r="J19" s="3">
        <f t="shared" si="5"/>
        <v>8878.7413117436408</v>
      </c>
      <c r="K19" s="3">
        <f t="shared" si="6"/>
        <v>403.57915053380185</v>
      </c>
      <c r="L19" s="3">
        <f t="shared" si="7"/>
        <v>8878.7413117436408</v>
      </c>
      <c r="M19" s="3">
        <f t="shared" si="8"/>
        <v>4035.7915053380184</v>
      </c>
      <c r="N19" s="3">
        <f t="shared" si="9"/>
        <v>1776.3568394002505</v>
      </c>
      <c r="O19" s="3">
        <f t="shared" si="10"/>
        <v>2976.959264224904</v>
      </c>
      <c r="P19" s="3">
        <f t="shared" si="11"/>
        <v>2733.5720506731191</v>
      </c>
      <c r="Q19" s="3">
        <f t="shared" si="12"/>
        <v>2994.3747413243109</v>
      </c>
      <c r="R19" s="3">
        <f t="shared" si="13"/>
        <v>2579.8809078284044</v>
      </c>
      <c r="S19" s="3">
        <f t="shared" si="14"/>
        <v>1776.3568394002505</v>
      </c>
      <c r="T19" t="str">
        <f>IF('Construction Planner'!$G$2="Goldmünzen","40000",IF('Construction Planner'!$G$2="Einlagerung",0,"Einstellung wählen"))</f>
        <v>40000</v>
      </c>
      <c r="U19">
        <v>28000</v>
      </c>
      <c r="V19" s="3">
        <f t="shared" si="15"/>
        <v>2017.8957526690092</v>
      </c>
      <c r="W19" s="3"/>
    </row>
    <row r="20" spans="1:23" x14ac:dyDescent="0.25">
      <c r="A20">
        <v>18</v>
      </c>
      <c r="B20" s="3">
        <f t="shared" si="1"/>
        <v>4576.5875670533142</v>
      </c>
      <c r="C20" s="3">
        <f t="shared" si="2"/>
        <v>10170.194593451806</v>
      </c>
      <c r="D20" s="3">
        <f t="shared" si="16"/>
        <v>13729.76270115994</v>
      </c>
      <c r="E20" s="3">
        <f t="shared" si="17"/>
        <v>15255.291890177712</v>
      </c>
      <c r="F20" s="3">
        <f t="shared" si="17"/>
        <v>8136.155674761445</v>
      </c>
      <c r="G20" s="3">
        <f t="shared" si="17"/>
        <v>813615.56747614441</v>
      </c>
      <c r="H20" s="3">
        <f t="shared" si="17"/>
        <v>173117.46967825282</v>
      </c>
      <c r="I20" s="3">
        <f t="shared" si="4"/>
        <v>1966080000</v>
      </c>
      <c r="J20" s="3">
        <f t="shared" si="5"/>
        <v>11187.214052796988</v>
      </c>
      <c r="K20" s="3">
        <f t="shared" si="6"/>
        <v>508.50972967259031</v>
      </c>
      <c r="L20" s="3">
        <f t="shared" si="7"/>
        <v>11187.214052796988</v>
      </c>
      <c r="M20" s="3">
        <f t="shared" si="8"/>
        <v>5085.0972967259031</v>
      </c>
      <c r="N20" s="3">
        <f t="shared" si="9"/>
        <v>2220.4460492503131</v>
      </c>
      <c r="O20" s="3">
        <f t="shared" si="10"/>
        <v>3780.7382655656284</v>
      </c>
      <c r="P20" s="3">
        <f t="shared" si="11"/>
        <v>3422.432207442745</v>
      </c>
      <c r="Q20" s="3">
        <f t="shared" si="12"/>
        <v>3892.6871637216041</v>
      </c>
      <c r="R20" s="3">
        <f t="shared" si="13"/>
        <v>3263.5493484029312</v>
      </c>
      <c r="S20" s="3">
        <f t="shared" si="14"/>
        <v>2220.4460492503131</v>
      </c>
      <c r="T20" t="str">
        <f>IF('Construction Planner'!$G$2="Goldmünzen","40000",IF('Construction Planner'!$G$2="Einlagerung",0,"Einstellung wählen"))</f>
        <v>40000</v>
      </c>
      <c r="U20">
        <v>28000</v>
      </c>
      <c r="V20" s="3">
        <f t="shared" si="15"/>
        <v>2542.5486483629516</v>
      </c>
      <c r="W20" s="3"/>
    </row>
    <row r="21" spans="1:23" x14ac:dyDescent="0.25">
      <c r="A21">
        <v>19</v>
      </c>
      <c r="B21" s="3">
        <f t="shared" si="1"/>
        <v>5766.5003344871757</v>
      </c>
      <c r="C21" s="3">
        <f t="shared" si="2"/>
        <v>12814.445187749276</v>
      </c>
      <c r="D21" s="3">
        <f t="shared" si="16"/>
        <v>17299.501003461522</v>
      </c>
      <c r="E21" s="3">
        <f t="shared" si="17"/>
        <v>19221.667781623917</v>
      </c>
      <c r="F21" s="3">
        <f t="shared" si="17"/>
        <v>10251.556150199422</v>
      </c>
      <c r="G21" s="3">
        <f t="shared" si="17"/>
        <v>1025155.6150199419</v>
      </c>
      <c r="H21" s="3">
        <f t="shared" si="17"/>
        <v>202547.43952355577</v>
      </c>
      <c r="I21" s="3">
        <f t="shared" si="4"/>
        <v>3932160000</v>
      </c>
      <c r="J21" s="3">
        <f t="shared" si="5"/>
        <v>14095.889706524205</v>
      </c>
      <c r="K21" s="3">
        <f t="shared" si="6"/>
        <v>640.72225938746385</v>
      </c>
      <c r="L21" s="3">
        <f t="shared" si="7"/>
        <v>14095.889706524205</v>
      </c>
      <c r="M21" s="3">
        <f t="shared" si="8"/>
        <v>6407.2225938746378</v>
      </c>
      <c r="N21" s="3">
        <f t="shared" si="9"/>
        <v>2775.5575615628914</v>
      </c>
      <c r="O21" s="3">
        <f t="shared" si="10"/>
        <v>4801.5375972683478</v>
      </c>
      <c r="P21" s="3">
        <f t="shared" si="11"/>
        <v>4284.8851237183171</v>
      </c>
      <c r="Q21" s="3">
        <f t="shared" si="12"/>
        <v>5060.4933128380853</v>
      </c>
      <c r="R21" s="3">
        <f t="shared" si="13"/>
        <v>4128.389925729708</v>
      </c>
      <c r="S21" s="3">
        <f t="shared" si="14"/>
        <v>2775.5575615628914</v>
      </c>
      <c r="T21" t="str">
        <f>IF('Construction Planner'!$G$2="Goldmünzen","40000",IF('Construction Planner'!$G$2="Einlagerung",0,"Einstellung wählen"))</f>
        <v>40000</v>
      </c>
      <c r="U21">
        <v>28000</v>
      </c>
      <c r="V21" s="3">
        <f t="shared" si="15"/>
        <v>3203.6112969373189</v>
      </c>
      <c r="W21" s="3"/>
    </row>
    <row r="22" spans="1:23" x14ac:dyDescent="0.25">
      <c r="A22">
        <v>20</v>
      </c>
      <c r="B22" s="3">
        <f t="shared" si="1"/>
        <v>7265.7904214538412</v>
      </c>
      <c r="C22" s="3">
        <f t="shared" si="2"/>
        <v>16146.200936564088</v>
      </c>
      <c r="D22" s="3">
        <f t="shared" si="16"/>
        <v>21797.371264361518</v>
      </c>
      <c r="E22" s="3">
        <f t="shared" si="17"/>
        <v>24219.301404846137</v>
      </c>
      <c r="F22" s="3">
        <f t="shared" si="17"/>
        <v>12916.960749251271</v>
      </c>
      <c r="G22" s="3">
        <f t="shared" si="17"/>
        <v>1291696.0749251267</v>
      </c>
      <c r="H22" s="3">
        <f t="shared" si="17"/>
        <v>236980.50424256024</v>
      </c>
      <c r="I22" s="3">
        <f t="shared" si="4"/>
        <v>7864320000</v>
      </c>
      <c r="J22" s="3">
        <f t="shared" si="5"/>
        <v>17760.821030220501</v>
      </c>
      <c r="K22" s="3">
        <f t="shared" si="6"/>
        <v>807.31004682820446</v>
      </c>
      <c r="L22" s="3">
        <f t="shared" si="7"/>
        <v>17760.821030220501</v>
      </c>
      <c r="M22" s="3">
        <f t="shared" si="8"/>
        <v>8073.1004682820439</v>
      </c>
      <c r="N22" s="3">
        <f t="shared" si="9"/>
        <v>3469.4469519536142</v>
      </c>
      <c r="O22" s="3">
        <f t="shared" si="10"/>
        <v>6097.9527485308017</v>
      </c>
      <c r="P22" s="3">
        <f t="shared" si="11"/>
        <v>5364.6761748953331</v>
      </c>
      <c r="Q22" s="3">
        <f t="shared" si="12"/>
        <v>6578.6413066895111</v>
      </c>
      <c r="R22" s="3">
        <f t="shared" si="13"/>
        <v>5222.4132560480803</v>
      </c>
      <c r="S22" s="3">
        <f t="shared" si="14"/>
        <v>3469.4469519536142</v>
      </c>
      <c r="T22" t="str">
        <f>IF('Construction Planner'!$G$2="Goldmünzen","40000",IF('Construction Planner'!$G$2="Einlagerung",0,"Einstellung wählen"))</f>
        <v>40000</v>
      </c>
      <c r="U22">
        <v>28000</v>
      </c>
      <c r="V22" s="3">
        <f t="shared" si="15"/>
        <v>4036.550234141022</v>
      </c>
      <c r="W22" s="3"/>
    </row>
    <row r="23" spans="1:23" x14ac:dyDescent="0.25">
      <c r="A23">
        <v>21</v>
      </c>
      <c r="B23" s="3">
        <f t="shared" si="1"/>
        <v>9154.8959310318405</v>
      </c>
      <c r="C23" s="3">
        <f t="shared" si="2"/>
        <v>20344.21318007075</v>
      </c>
      <c r="D23" s="3">
        <f t="shared" si="16"/>
        <v>27464.687793095512</v>
      </c>
      <c r="E23" s="3">
        <f t="shared" si="17"/>
        <v>30516.319770106133</v>
      </c>
      <c r="F23" s="3">
        <f t="shared" si="17"/>
        <v>16275.370544056603</v>
      </c>
      <c r="G23" s="3">
        <f t="shared" si="17"/>
        <v>1627537.0544056597</v>
      </c>
      <c r="H23" s="3">
        <f t="shared" si="17"/>
        <v>277267.18996379548</v>
      </c>
      <c r="I23" s="3">
        <f t="shared" si="4"/>
        <v>15728640000</v>
      </c>
      <c r="J23" s="3">
        <f t="shared" si="5"/>
        <v>22378.63449807783</v>
      </c>
      <c r="K23" s="3">
        <f t="shared" si="6"/>
        <v>1017.2106590035377</v>
      </c>
      <c r="L23" s="3">
        <f t="shared" si="7"/>
        <v>22378.63449807783</v>
      </c>
      <c r="M23" s="3">
        <f t="shared" si="8"/>
        <v>10172.106590035375</v>
      </c>
      <c r="N23" s="3">
        <f t="shared" si="9"/>
        <v>4336.8086899420177</v>
      </c>
      <c r="O23" s="3">
        <f t="shared" si="10"/>
        <v>7744.3999906341187</v>
      </c>
      <c r="P23" s="3">
        <f t="shared" si="11"/>
        <v>6716.5745709689572</v>
      </c>
      <c r="Q23" s="3">
        <f t="shared" si="12"/>
        <v>8552.2336986963655</v>
      </c>
      <c r="R23" s="3">
        <f t="shared" si="13"/>
        <v>6606.3527689008206</v>
      </c>
      <c r="S23" s="3">
        <f t="shared" si="14"/>
        <v>4336.8086899420177</v>
      </c>
      <c r="T23" t="str">
        <f>IF('Construction Planner'!$G$2="Goldmünzen","40000",IF('Construction Planner'!$G$2="Einlagerung",0,"Einstellung wählen"))</f>
        <v>40000</v>
      </c>
      <c r="U23">
        <v>28000</v>
      </c>
      <c r="V23" s="3">
        <f t="shared" si="15"/>
        <v>5086.0532950176876</v>
      </c>
      <c r="W23" s="3"/>
    </row>
    <row r="24" spans="1:23" x14ac:dyDescent="0.25">
      <c r="A24">
        <v>22</v>
      </c>
      <c r="B24" s="3">
        <f t="shared" si="1"/>
        <v>11535.16887310012</v>
      </c>
      <c r="C24" s="3">
        <f t="shared" si="2"/>
        <v>25633.708606889144</v>
      </c>
      <c r="D24" s="3">
        <f t="shared" si="16"/>
        <v>34605.506619300344</v>
      </c>
      <c r="E24" s="3">
        <f t="shared" si="17"/>
        <v>38450.562910333727</v>
      </c>
      <c r="F24" s="3">
        <f t="shared" si="17"/>
        <v>20506.96688551132</v>
      </c>
      <c r="G24" s="3">
        <f t="shared" si="17"/>
        <v>2050696.6885511312</v>
      </c>
      <c r="H24" s="3">
        <f t="shared" si="17"/>
        <v>324402.61225764069</v>
      </c>
      <c r="I24" s="3">
        <f t="shared" si="4"/>
        <v>31457280000</v>
      </c>
      <c r="J24" s="3">
        <f t="shared" si="5"/>
        <v>28197.079467578067</v>
      </c>
      <c r="K24" s="3">
        <f t="shared" si="6"/>
        <v>1281.6854303444575</v>
      </c>
      <c r="L24" s="3">
        <f t="shared" si="7"/>
        <v>28197.079467578067</v>
      </c>
      <c r="M24" s="3">
        <f t="shared" si="8"/>
        <v>12816.854303444572</v>
      </c>
      <c r="N24" s="3">
        <f t="shared" si="9"/>
        <v>5421.0108624275217</v>
      </c>
      <c r="O24" s="3">
        <f t="shared" si="10"/>
        <v>9835.3879881053308</v>
      </c>
      <c r="P24" s="3">
        <f t="shared" si="11"/>
        <v>8409.1513628531338</v>
      </c>
      <c r="Q24" s="3">
        <f t="shared" si="12"/>
        <v>11117.903808305276</v>
      </c>
      <c r="R24" s="3">
        <f t="shared" si="13"/>
        <v>8357.0362526595381</v>
      </c>
      <c r="S24" s="3">
        <f t="shared" si="14"/>
        <v>5421.0108624275217</v>
      </c>
      <c r="T24" t="str">
        <f>IF('Construction Planner'!$G$2="Goldmünzen","40000",IF('Construction Planner'!$G$2="Einlagerung",0,"Einstellung wählen"))</f>
        <v>40000</v>
      </c>
      <c r="U24">
        <v>28000</v>
      </c>
      <c r="V24" s="3">
        <f t="shared" si="15"/>
        <v>6408.427151722286</v>
      </c>
      <c r="W24" s="3"/>
    </row>
    <row r="25" spans="1:23" x14ac:dyDescent="0.25">
      <c r="A25">
        <v>23</v>
      </c>
      <c r="B25" s="3">
        <f t="shared" si="1"/>
        <v>14534.312780106151</v>
      </c>
      <c r="C25" s="3">
        <f t="shared" si="2"/>
        <v>32298.47284468032</v>
      </c>
      <c r="D25" s="3">
        <f t="shared" si="16"/>
        <v>43602.938340318433</v>
      </c>
      <c r="E25" s="3">
        <f t="shared" si="17"/>
        <v>48447.709267020495</v>
      </c>
      <c r="F25" s="3">
        <f t="shared" si="17"/>
        <v>25838.778275744262</v>
      </c>
      <c r="G25" s="3">
        <f t="shared" si="17"/>
        <v>2583877.8275744254</v>
      </c>
      <c r="H25" s="3">
        <f t="shared" si="17"/>
        <v>379551.0563414396</v>
      </c>
      <c r="I25" s="3">
        <f t="shared" si="4"/>
        <v>62914560000</v>
      </c>
      <c r="J25" s="3">
        <f t="shared" si="5"/>
        <v>35528.320129148364</v>
      </c>
      <c r="K25" s="3">
        <f t="shared" si="6"/>
        <v>1614.9236422340164</v>
      </c>
      <c r="L25" s="3">
        <f t="shared" si="7"/>
        <v>35528.320129148364</v>
      </c>
      <c r="M25" s="3">
        <f t="shared" si="8"/>
        <v>16149.23642234016</v>
      </c>
      <c r="N25" s="3">
        <f t="shared" si="9"/>
        <v>6776.2635780344026</v>
      </c>
      <c r="O25" s="3">
        <f t="shared" si="10"/>
        <v>12490.942744893769</v>
      </c>
      <c r="P25" s="3">
        <f t="shared" si="11"/>
        <v>10528.257506292124</v>
      </c>
      <c r="Q25" s="3">
        <f t="shared" si="12"/>
        <v>14453.27495079686</v>
      </c>
      <c r="R25" s="3">
        <f t="shared" si="13"/>
        <v>10571.650859614316</v>
      </c>
      <c r="S25" s="3">
        <f t="shared" si="14"/>
        <v>6776.2635780344026</v>
      </c>
      <c r="T25" t="str">
        <f>IF('Construction Planner'!$G$2="Goldmünzen","40000",IF('Construction Planner'!$G$2="Einlagerung",0,"Einstellung wählen"))</f>
        <v>40000</v>
      </c>
      <c r="U25">
        <v>28000</v>
      </c>
      <c r="V25" s="3">
        <f t="shared" si="15"/>
        <v>8074.61821117008</v>
      </c>
      <c r="W25" s="3"/>
    </row>
    <row r="26" spans="1:23" x14ac:dyDescent="0.25">
      <c r="A26">
        <v>24</v>
      </c>
      <c r="B26" s="3">
        <f t="shared" si="1"/>
        <v>18313.234102933751</v>
      </c>
      <c r="C26" s="3">
        <f t="shared" si="2"/>
        <v>40696.075784297202</v>
      </c>
      <c r="D26" s="3">
        <f t="shared" si="16"/>
        <v>54939.702308801228</v>
      </c>
      <c r="E26" s="3">
        <f t="shared" si="17"/>
        <v>61044.113676445821</v>
      </c>
      <c r="F26" s="3">
        <f t="shared" si="17"/>
        <v>32556.860627437771</v>
      </c>
      <c r="G26" s="3">
        <f t="shared" si="17"/>
        <v>3255686.062743776</v>
      </c>
      <c r="H26" s="3">
        <f t="shared" si="17"/>
        <v>444074.73591948429</v>
      </c>
      <c r="I26" s="3">
        <f t="shared" si="4"/>
        <v>125829120000</v>
      </c>
      <c r="J26" s="3">
        <f t="shared" si="5"/>
        <v>44765.683362726937</v>
      </c>
      <c r="K26" s="3">
        <f t="shared" si="6"/>
        <v>2034.8037892148607</v>
      </c>
      <c r="L26" s="3">
        <f t="shared" si="7"/>
        <v>44765.683362726937</v>
      </c>
      <c r="M26" s="3">
        <f t="shared" si="8"/>
        <v>20348.037892148601</v>
      </c>
      <c r="N26" s="3">
        <f t="shared" si="9"/>
        <v>8470.3294725430023</v>
      </c>
      <c r="O26" s="3">
        <f t="shared" si="10"/>
        <v>15863.497286015088</v>
      </c>
      <c r="P26" s="3">
        <f t="shared" si="11"/>
        <v>13181.378397877739</v>
      </c>
      <c r="Q26" s="3">
        <f t="shared" si="12"/>
        <v>18789.257436035918</v>
      </c>
      <c r="R26" s="3">
        <f t="shared" si="13"/>
        <v>13373.138337412109</v>
      </c>
      <c r="S26" s="3">
        <f t="shared" si="14"/>
        <v>8470.3294725430023</v>
      </c>
      <c r="T26" t="str">
        <f>IF('Construction Planner'!$G$2="Goldmünzen","40000",IF('Construction Planner'!$G$2="Einlagerung",0,"Einstellung wählen"))</f>
        <v>40000</v>
      </c>
      <c r="U26">
        <v>28000</v>
      </c>
      <c r="V26" s="3">
        <f t="shared" si="15"/>
        <v>10174.0189460743</v>
      </c>
      <c r="W26" s="3"/>
    </row>
    <row r="27" spans="1:23" x14ac:dyDescent="0.25">
      <c r="A27">
        <v>25</v>
      </c>
      <c r="B27" s="3">
        <f t="shared" si="1"/>
        <v>23074.674969696527</v>
      </c>
      <c r="C27" s="3">
        <f t="shared" si="2"/>
        <v>51277.055488214472</v>
      </c>
      <c r="D27" s="3">
        <f t="shared" si="16"/>
        <v>69224.024909089552</v>
      </c>
      <c r="E27" s="3">
        <f t="shared" si="17"/>
        <v>76915.583232321733</v>
      </c>
      <c r="F27" s="3">
        <f t="shared" si="17"/>
        <v>41021.644390571593</v>
      </c>
      <c r="G27" s="3">
        <f t="shared" si="17"/>
        <v>4102164.4390571578</v>
      </c>
      <c r="H27" s="3">
        <f t="shared" si="17"/>
        <v>519567.44102579658</v>
      </c>
      <c r="I27" s="3">
        <f t="shared" si="4"/>
        <v>251658240000</v>
      </c>
      <c r="J27" s="3">
        <f t="shared" si="5"/>
        <v>56404.76103703594</v>
      </c>
      <c r="K27" s="3">
        <f t="shared" si="6"/>
        <v>2563.8527744107246</v>
      </c>
      <c r="L27" s="3">
        <f t="shared" si="7"/>
        <v>56404.76103703594</v>
      </c>
      <c r="M27" s="3">
        <f t="shared" si="8"/>
        <v>25638.527744107236</v>
      </c>
      <c r="N27" s="3">
        <f t="shared" si="9"/>
        <v>10587.911840678753</v>
      </c>
      <c r="O27" s="3">
        <f t="shared" si="10"/>
        <v>20146.641553239162</v>
      </c>
      <c r="P27" s="3">
        <f t="shared" si="11"/>
        <v>16503.085754142929</v>
      </c>
      <c r="Q27" s="3">
        <f t="shared" si="12"/>
        <v>24426.034666846695</v>
      </c>
      <c r="R27" s="3">
        <f t="shared" si="13"/>
        <v>16917.019996826315</v>
      </c>
      <c r="S27" s="3">
        <f t="shared" si="14"/>
        <v>10587.911840678753</v>
      </c>
      <c r="T27" t="str">
        <f>IF('Construction Planner'!$G$2="Goldmünzen","40000",IF('Construction Planner'!$G$2="Einlagerung",0,"Einstellung wählen"))</f>
        <v>40000</v>
      </c>
      <c r="U27">
        <v>28000</v>
      </c>
      <c r="V27" s="3">
        <f t="shared" si="15"/>
        <v>12819.263872053618</v>
      </c>
      <c r="W27" s="3"/>
    </row>
    <row r="28" spans="1:23" x14ac:dyDescent="0.25">
      <c r="A28">
        <v>26</v>
      </c>
      <c r="B28" s="3">
        <f t="shared" si="1"/>
        <v>29074.090461817625</v>
      </c>
      <c r="C28" s="3">
        <f t="shared" si="2"/>
        <v>64609.089915150238</v>
      </c>
      <c r="D28" s="3">
        <f t="shared" si="16"/>
        <v>87222.271385452841</v>
      </c>
      <c r="E28" s="3">
        <f t="shared" si="17"/>
        <v>96913.634872725379</v>
      </c>
      <c r="F28" s="3">
        <f t="shared" si="17"/>
        <v>51687.271932120209</v>
      </c>
      <c r="G28" s="3">
        <f t="shared" si="17"/>
        <v>5168727.1932120193</v>
      </c>
      <c r="H28" s="3">
        <f t="shared" si="17"/>
        <v>607893.90600018192</v>
      </c>
      <c r="I28" s="3">
        <f t="shared" si="4"/>
        <v>503316480000</v>
      </c>
      <c r="J28" s="3">
        <f t="shared" si="5"/>
        <v>71069.998906665278</v>
      </c>
      <c r="K28" s="3">
        <f t="shared" si="6"/>
        <v>3230.4544957575131</v>
      </c>
      <c r="L28" s="3">
        <f t="shared" si="7"/>
        <v>71069.998906665278</v>
      </c>
      <c r="M28" s="3">
        <f t="shared" si="8"/>
        <v>32304.544957575119</v>
      </c>
      <c r="N28" s="3">
        <f t="shared" si="9"/>
        <v>13234.889800848441</v>
      </c>
      <c r="O28" s="3">
        <f t="shared" si="10"/>
        <v>25586.234772613738</v>
      </c>
      <c r="P28" s="3">
        <f t="shared" si="11"/>
        <v>20661.863364186946</v>
      </c>
      <c r="Q28" s="3">
        <f t="shared" si="12"/>
        <v>31753.845066900703</v>
      </c>
      <c r="R28" s="3">
        <f t="shared" si="13"/>
        <v>21400.030295985285</v>
      </c>
      <c r="S28" s="3">
        <f t="shared" si="14"/>
        <v>13234.889800848441</v>
      </c>
      <c r="T28" t="str">
        <f>IF('Construction Planner'!$G$2="Goldmünzen","40000",IF('Construction Planner'!$G$2="Einlagerung",0,"Einstellung wählen"))</f>
        <v>40000</v>
      </c>
      <c r="U28">
        <v>28000</v>
      </c>
      <c r="V28" s="3">
        <f t="shared" si="15"/>
        <v>16152.27247878756</v>
      </c>
      <c r="W28" s="3"/>
    </row>
    <row r="29" spans="1:23" x14ac:dyDescent="0.25">
      <c r="A29">
        <v>27</v>
      </c>
      <c r="B29" s="3">
        <f t="shared" si="1"/>
        <v>36633.353981890206</v>
      </c>
      <c r="C29" s="3">
        <f t="shared" si="2"/>
        <v>81407.453293089304</v>
      </c>
      <c r="D29" s="3">
        <f t="shared" si="16"/>
        <v>109900.06194567058</v>
      </c>
      <c r="E29" s="3">
        <f t="shared" si="17"/>
        <v>122111.17993963398</v>
      </c>
      <c r="F29" s="3">
        <f t="shared" si="17"/>
        <v>65125.962634471463</v>
      </c>
      <c r="G29" s="3">
        <f t="shared" si="17"/>
        <v>6512596.2634471441</v>
      </c>
      <c r="H29" s="3">
        <f t="shared" si="17"/>
        <v>711235.87002021284</v>
      </c>
      <c r="I29" s="3">
        <f t="shared" si="4"/>
        <v>1006632960000</v>
      </c>
      <c r="J29" s="3">
        <f t="shared" si="5"/>
        <v>89548.198622398253</v>
      </c>
      <c r="K29" s="3">
        <f t="shared" si="6"/>
        <v>4070.3726646544665</v>
      </c>
      <c r="L29" s="3">
        <f t="shared" si="7"/>
        <v>89548.198622398253</v>
      </c>
      <c r="M29" s="3">
        <f t="shared" si="8"/>
        <v>40703.726646544652</v>
      </c>
      <c r="N29" s="3">
        <f t="shared" si="9"/>
        <v>16543.612251060553</v>
      </c>
      <c r="O29" s="3">
        <f t="shared" si="10"/>
        <v>32494.518161219446</v>
      </c>
      <c r="P29" s="3">
        <f t="shared" si="11"/>
        <v>25868.652931962057</v>
      </c>
      <c r="Q29" s="3">
        <f t="shared" si="12"/>
        <v>41279.998586970913</v>
      </c>
      <c r="R29" s="3">
        <f t="shared" si="13"/>
        <v>27071.038324421384</v>
      </c>
      <c r="S29" s="3">
        <f t="shared" si="14"/>
        <v>16543.612251060553</v>
      </c>
      <c r="T29" t="str">
        <f>IF('Construction Planner'!$G$2="Goldmünzen","40000",IF('Construction Planner'!$G$2="Einlagerung",0,"Einstellung wählen"))</f>
        <v>40000</v>
      </c>
      <c r="U29">
        <v>28000</v>
      </c>
      <c r="V29" s="3">
        <f t="shared" si="15"/>
        <v>20351.863323272326</v>
      </c>
      <c r="W29" s="3"/>
    </row>
    <row r="30" spans="1:23" x14ac:dyDescent="0.25">
      <c r="A30">
        <v>28</v>
      </c>
      <c r="B30" s="3">
        <f t="shared" si="1"/>
        <v>46158.026017181663</v>
      </c>
      <c r="C30" s="3">
        <f t="shared" si="2"/>
        <v>102573.39114929253</v>
      </c>
      <c r="D30" s="3">
        <f t="shared" si="16"/>
        <v>138474.07805154493</v>
      </c>
      <c r="E30" s="3">
        <f t="shared" si="17"/>
        <v>153860.08672393882</v>
      </c>
      <c r="F30" s="3">
        <f t="shared" si="17"/>
        <v>82058.712919434038</v>
      </c>
      <c r="G30" s="3">
        <f t="shared" si="17"/>
        <v>8205871.291943402</v>
      </c>
      <c r="H30" s="3">
        <f t="shared" si="17"/>
        <v>832145.967923649</v>
      </c>
      <c r="I30" s="3">
        <f t="shared" si="4"/>
        <v>2013265920000</v>
      </c>
      <c r="J30" s="3">
        <f t="shared" si="5"/>
        <v>112830.7302642218</v>
      </c>
      <c r="K30" s="3">
        <f t="shared" si="6"/>
        <v>5128.6695574646274</v>
      </c>
      <c r="L30" s="3">
        <f t="shared" si="7"/>
        <v>112830.7302642218</v>
      </c>
      <c r="M30" s="3">
        <f t="shared" si="8"/>
        <v>51286.695574646263</v>
      </c>
      <c r="N30" s="3">
        <f t="shared" si="9"/>
        <v>20679.51531382569</v>
      </c>
      <c r="O30" s="3">
        <f t="shared" si="10"/>
        <v>41268.038064748696</v>
      </c>
      <c r="P30" s="3">
        <f t="shared" si="11"/>
        <v>32387.553470816496</v>
      </c>
      <c r="Q30" s="3">
        <f t="shared" si="12"/>
        <v>53663.998163062191</v>
      </c>
      <c r="R30" s="3">
        <f t="shared" si="13"/>
        <v>34244.863480393047</v>
      </c>
      <c r="S30" s="3">
        <f t="shared" si="14"/>
        <v>20679.51531382569</v>
      </c>
      <c r="T30" t="str">
        <f>IF('Construction Planner'!$G$2="Goldmünzen","40000",IF('Construction Planner'!$G$2="Einlagerung",0,"Einstellung wählen"))</f>
        <v>40000</v>
      </c>
      <c r="U30">
        <v>28000</v>
      </c>
      <c r="V30" s="3">
        <f t="shared" si="15"/>
        <v>25643.347787323131</v>
      </c>
      <c r="W30" s="3"/>
    </row>
    <row r="31" spans="1:23" x14ac:dyDescent="0.25">
      <c r="A31">
        <v>29</v>
      </c>
      <c r="B31" s="3">
        <f t="shared" si="1"/>
        <v>58159.112781648895</v>
      </c>
      <c r="C31" s="3">
        <f t="shared" si="2"/>
        <v>129242.47284810858</v>
      </c>
      <c r="D31" s="3">
        <f t="shared" si="16"/>
        <v>174477.33834494662</v>
      </c>
      <c r="E31" s="3">
        <f t="shared" si="17"/>
        <v>193863.7092721629</v>
      </c>
      <c r="F31" s="3">
        <f t="shared" si="17"/>
        <v>103393.97827848689</v>
      </c>
      <c r="G31" s="3">
        <f t="shared" si="17"/>
        <v>10339397.827848686</v>
      </c>
      <c r="H31" s="3">
        <f t="shared" si="17"/>
        <v>973610.78247066925</v>
      </c>
      <c r="I31" s="3">
        <f t="shared" si="4"/>
        <v>4026531840000</v>
      </c>
      <c r="J31" s="3">
        <f t="shared" si="5"/>
        <v>142166.72013291946</v>
      </c>
      <c r="K31" s="3">
        <f t="shared" si="6"/>
        <v>6462.1236424054305</v>
      </c>
      <c r="L31" s="3">
        <f t="shared" si="7"/>
        <v>142166.72013291946</v>
      </c>
      <c r="M31" s="3">
        <f t="shared" si="8"/>
        <v>64621.236424054288</v>
      </c>
      <c r="N31" s="3">
        <f t="shared" si="9"/>
        <v>25849.394142282112</v>
      </c>
      <c r="O31" s="3">
        <f t="shared" si="10"/>
        <v>52410.408342230847</v>
      </c>
      <c r="P31" s="3">
        <f t="shared" si="11"/>
        <v>40549.216945462256</v>
      </c>
      <c r="Q31" s="3">
        <f t="shared" si="12"/>
        <v>69763.197611980853</v>
      </c>
      <c r="R31" s="3">
        <f t="shared" si="13"/>
        <v>43319.752302697205</v>
      </c>
      <c r="S31" s="3">
        <f t="shared" si="14"/>
        <v>25849.394142282112</v>
      </c>
      <c r="T31" t="str">
        <f>IF('Construction Planner'!$G$2="Goldmünzen","40000",IF('Construction Planner'!$G$2="Einlagerung",0,"Einstellung wählen"))</f>
        <v>40000</v>
      </c>
      <c r="U31">
        <v>28000</v>
      </c>
      <c r="V31" s="3">
        <f t="shared" si="15"/>
        <v>32310.618212027144</v>
      </c>
      <c r="W31" s="3"/>
    </row>
    <row r="32" spans="1:23" x14ac:dyDescent="0.25">
      <c r="A32">
        <v>30</v>
      </c>
      <c r="B32" s="3">
        <f t="shared" si="1"/>
        <v>73280.482104877607</v>
      </c>
      <c r="C32" s="3">
        <f t="shared" si="2"/>
        <v>162845.51578861682</v>
      </c>
      <c r="D32" s="3">
        <f t="shared" si="16"/>
        <v>219841.44631463275</v>
      </c>
      <c r="E32" s="3">
        <f t="shared" si="17"/>
        <v>244268.27368292527</v>
      </c>
      <c r="F32" s="3">
        <f t="shared" si="17"/>
        <v>130276.41263089348</v>
      </c>
      <c r="G32" s="3">
        <f t="shared" si="17"/>
        <v>13027641.263089344</v>
      </c>
      <c r="H32" s="3">
        <f t="shared" si="17"/>
        <v>1139124.6154906829</v>
      </c>
      <c r="I32" s="3">
        <f t="shared" si="4"/>
        <v>8053063680000</v>
      </c>
      <c r="J32" s="3">
        <f t="shared" si="5"/>
        <v>179130.06736747854</v>
      </c>
      <c r="K32" s="3">
        <f t="shared" si="6"/>
        <v>8142.2757894308425</v>
      </c>
      <c r="L32" s="3">
        <f t="shared" si="7"/>
        <v>179130.06736747854</v>
      </c>
      <c r="M32" s="3">
        <f t="shared" si="8"/>
        <v>81422.757894308408</v>
      </c>
      <c r="N32" s="3">
        <f t="shared" si="9"/>
        <v>32311.742677852639</v>
      </c>
      <c r="O32" s="3">
        <f t="shared" si="10"/>
        <v>66561.218594633174</v>
      </c>
      <c r="P32" s="3">
        <f t="shared" si="11"/>
        <v>50767.619615718744</v>
      </c>
      <c r="Q32" s="3">
        <f t="shared" si="12"/>
        <v>90692.156895575114</v>
      </c>
      <c r="R32" s="3">
        <f t="shared" si="13"/>
        <v>54799.486662911957</v>
      </c>
      <c r="S32" s="3">
        <f t="shared" si="14"/>
        <v>32311.742677852639</v>
      </c>
      <c r="T32" t="str">
        <f>IF('Construction Planner'!$G$2="Goldmünzen","40000",IF('Construction Planner'!$G$2="Einlagerung",0,"Einstellung wählen"))</f>
        <v>40000</v>
      </c>
      <c r="U32">
        <v>28000</v>
      </c>
      <c r="V32" s="3">
        <f t="shared" si="15"/>
        <v>40711.378947154204</v>
      </c>
      <c r="W32" s="3"/>
    </row>
  </sheetData>
  <pageMargins left="0.7" right="0.7" top="0.75" bottom="0.75"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opLeftCell="K1" workbookViewId="0">
      <selection activeCell="T1" sqref="T1"/>
    </sheetView>
  </sheetViews>
  <sheetFormatPr baseColWidth="10" defaultRowHeight="15" x14ac:dyDescent="0.25"/>
  <cols>
    <col min="1" max="259" width="9.140625" customWidth="1"/>
  </cols>
  <sheetData>
    <row r="1" spans="1:22" x14ac:dyDescent="0.25">
      <c r="B1" s="1" t="s">
        <v>0</v>
      </c>
      <c r="C1" s="1" t="s">
        <v>1</v>
      </c>
      <c r="D1" s="1" t="s">
        <v>2</v>
      </c>
      <c r="E1" s="1" t="s">
        <v>3</v>
      </c>
      <c r="F1" s="59" t="s">
        <v>59</v>
      </c>
      <c r="G1" s="59" t="s">
        <v>60</v>
      </c>
      <c r="H1" s="321" t="s">
        <v>64</v>
      </c>
      <c r="I1" s="1" t="s">
        <v>4</v>
      </c>
      <c r="J1" s="1" t="s">
        <v>5</v>
      </c>
      <c r="K1" s="1" t="s">
        <v>6</v>
      </c>
      <c r="L1" s="1" t="s">
        <v>7</v>
      </c>
      <c r="M1" s="1" t="s">
        <v>8</v>
      </c>
      <c r="N1" s="1" t="s">
        <v>9</v>
      </c>
      <c r="O1" s="1" t="s">
        <v>10</v>
      </c>
      <c r="P1" s="1" t="s">
        <v>11</v>
      </c>
      <c r="Q1" s="1" t="s">
        <v>12</v>
      </c>
      <c r="R1" s="1" t="s">
        <v>13</v>
      </c>
      <c r="S1" s="1" t="s">
        <v>14</v>
      </c>
      <c r="T1" s="1" t="s">
        <v>107</v>
      </c>
      <c r="U1" t="str">
        <f>IF('Construction Planner'!$G$2="Goldmünzen","Coin",IF('Construction Planner'!$G$2="Einlagerung","Package","Einstellung wählen"))</f>
        <v>Coin</v>
      </c>
      <c r="V1" s="1" t="s">
        <v>15</v>
      </c>
    </row>
    <row r="2" spans="1:22" x14ac:dyDescent="0.25">
      <c r="A2" s="6" t="s">
        <v>20</v>
      </c>
      <c r="B2" s="1">
        <v>1.2749999999999999</v>
      </c>
      <c r="C2" s="1">
        <v>1.28</v>
      </c>
      <c r="D2" s="1">
        <v>1.28</v>
      </c>
      <c r="E2" s="1">
        <v>1.28</v>
      </c>
      <c r="F2" s="1">
        <v>1.28</v>
      </c>
      <c r="G2" s="1">
        <v>1.28</v>
      </c>
      <c r="H2" s="1">
        <v>1.17</v>
      </c>
      <c r="I2" s="1">
        <v>2</v>
      </c>
      <c r="J2" s="1">
        <v>1.2749999999999999</v>
      </c>
      <c r="K2" s="1">
        <v>1.2749999999999999</v>
      </c>
      <c r="L2" s="1">
        <v>1.2749999999999999</v>
      </c>
      <c r="M2" s="1">
        <v>1.2749999999999999</v>
      </c>
      <c r="N2" s="1">
        <v>1.2749999999999999</v>
      </c>
      <c r="O2" s="1">
        <v>1.2649999999999999</v>
      </c>
      <c r="P2" s="1">
        <v>1.2749999999999999</v>
      </c>
      <c r="Q2" s="1">
        <v>1.32</v>
      </c>
      <c r="R2" s="1">
        <v>1.27</v>
      </c>
      <c r="S2" s="1">
        <v>1.25</v>
      </c>
      <c r="T2" s="1">
        <v>1</v>
      </c>
      <c r="U2" s="1">
        <v>1</v>
      </c>
      <c r="V2" s="1">
        <v>1.2749999999999999</v>
      </c>
    </row>
    <row r="3" spans="1:22" x14ac:dyDescent="0.25">
      <c r="A3">
        <v>1</v>
      </c>
      <c r="B3">
        <v>80</v>
      </c>
      <c r="C3">
        <v>170</v>
      </c>
      <c r="D3">
        <v>240</v>
      </c>
      <c r="E3">
        <v>240</v>
      </c>
      <c r="F3">
        <v>200</v>
      </c>
      <c r="G3">
        <v>20000</v>
      </c>
      <c r="H3">
        <v>14000</v>
      </c>
      <c r="I3">
        <v>25000</v>
      </c>
      <c r="J3">
        <v>180</v>
      </c>
      <c r="K3">
        <v>40</v>
      </c>
      <c r="L3">
        <v>220</v>
      </c>
      <c r="M3">
        <v>100</v>
      </c>
      <c r="N3">
        <v>60</v>
      </c>
      <c r="O3">
        <v>50</v>
      </c>
      <c r="P3">
        <v>65</v>
      </c>
      <c r="Q3">
        <v>40</v>
      </c>
      <c r="R3">
        <v>50</v>
      </c>
      <c r="S3">
        <v>60</v>
      </c>
      <c r="T3" t="str">
        <f>IF('Construction Planner'!$G$2="Goldmünzen","50000",IF('Construction Planner'!$G$2="Einlagerung",0,"Einstellung wählen"))</f>
        <v>50000</v>
      </c>
      <c r="U3">
        <v>30000</v>
      </c>
      <c r="V3">
        <v>100</v>
      </c>
    </row>
    <row r="4" spans="1:22" x14ac:dyDescent="0.25">
      <c r="A4">
        <v>2</v>
      </c>
      <c r="B4" s="3">
        <f>B3*B$2</f>
        <v>102</v>
      </c>
      <c r="C4" s="3">
        <f t="shared" ref="C4:V19" si="0">C3*C$2</f>
        <v>217.6</v>
      </c>
      <c r="D4" s="3">
        <f t="shared" si="0"/>
        <v>307.2</v>
      </c>
      <c r="E4" s="3">
        <f t="shared" si="0"/>
        <v>307.2</v>
      </c>
      <c r="F4" s="3">
        <f t="shared" si="0"/>
        <v>256</v>
      </c>
      <c r="G4" s="3">
        <f t="shared" si="0"/>
        <v>25600</v>
      </c>
      <c r="H4" s="3">
        <f t="shared" si="0"/>
        <v>16379.999999999998</v>
      </c>
      <c r="I4" s="3">
        <f t="shared" si="0"/>
        <v>50000</v>
      </c>
      <c r="J4" s="3">
        <f t="shared" si="0"/>
        <v>229.49999999999997</v>
      </c>
      <c r="K4" s="3">
        <f t="shared" si="0"/>
        <v>51</v>
      </c>
      <c r="L4" s="3">
        <f t="shared" si="0"/>
        <v>280.5</v>
      </c>
      <c r="M4" s="3">
        <f t="shared" si="0"/>
        <v>127.49999999999999</v>
      </c>
      <c r="N4" s="3">
        <f t="shared" si="0"/>
        <v>76.5</v>
      </c>
      <c r="O4" s="3">
        <f t="shared" si="0"/>
        <v>63.249999999999993</v>
      </c>
      <c r="P4" s="3">
        <f t="shared" si="0"/>
        <v>82.875</v>
      </c>
      <c r="Q4" s="3">
        <f t="shared" si="0"/>
        <v>52.800000000000004</v>
      </c>
      <c r="R4" s="3">
        <f t="shared" si="0"/>
        <v>63.5</v>
      </c>
      <c r="S4" s="3">
        <f t="shared" si="0"/>
        <v>75</v>
      </c>
      <c r="T4" t="str">
        <f>IF('Construction Planner'!$G$2="Goldmünzen","50000",IF('Construction Planner'!$G$2="Einlagerung",0,"Einstellung wählen"))</f>
        <v>50000</v>
      </c>
      <c r="U4">
        <v>30000</v>
      </c>
      <c r="V4" s="3">
        <f t="shared" si="0"/>
        <v>127.49999999999999</v>
      </c>
    </row>
    <row r="5" spans="1:22" x14ac:dyDescent="0.25">
      <c r="A5">
        <v>3</v>
      </c>
      <c r="B5" s="3">
        <f t="shared" ref="B5:B32" si="1">B4*B$2</f>
        <v>130.04999999999998</v>
      </c>
      <c r="C5" s="3">
        <f t="shared" ref="C5:C32" si="2">C4*C$2</f>
        <v>278.52800000000002</v>
      </c>
      <c r="D5" s="3">
        <f t="shared" ref="D5:H32" si="3">D4*D$2</f>
        <v>393.21600000000001</v>
      </c>
      <c r="E5" s="3">
        <f t="shared" si="3"/>
        <v>393.21600000000001</v>
      </c>
      <c r="F5" s="3">
        <f t="shared" si="3"/>
        <v>327.68</v>
      </c>
      <c r="G5" s="3">
        <f t="shared" si="3"/>
        <v>32768</v>
      </c>
      <c r="H5" s="3">
        <f t="shared" si="0"/>
        <v>19164.599999999995</v>
      </c>
      <c r="I5" s="3">
        <f t="shared" ref="I5:I32" si="4">I4*I$2</f>
        <v>100000</v>
      </c>
      <c r="J5" s="3">
        <f t="shared" ref="J5:J32" si="5">J4*J$2</f>
        <v>292.61249999999995</v>
      </c>
      <c r="K5" s="3">
        <f t="shared" ref="K5:K32" si="6">K4*K$2</f>
        <v>65.024999999999991</v>
      </c>
      <c r="L5" s="3">
        <f t="shared" ref="L5:L32" si="7">L4*L$2</f>
        <v>357.63749999999999</v>
      </c>
      <c r="M5" s="3">
        <f t="shared" ref="M5:M32" si="8">M4*M$2</f>
        <v>162.56249999999997</v>
      </c>
      <c r="N5" s="3">
        <f t="shared" ref="N5:N32" si="9">N4*N$2</f>
        <v>97.537499999999994</v>
      </c>
      <c r="O5" s="3">
        <f t="shared" ref="O5:O32" si="10">O4*O$2</f>
        <v>80.01124999999999</v>
      </c>
      <c r="P5" s="3">
        <f t="shared" ref="P5:P32" si="11">P4*P$2</f>
        <v>105.66562499999999</v>
      </c>
      <c r="Q5" s="3">
        <f t="shared" ref="Q5:Q32" si="12">Q4*Q$2</f>
        <v>69.696000000000012</v>
      </c>
      <c r="R5" s="3">
        <f t="shared" ref="R5:R32" si="13">R4*R$2</f>
        <v>80.644999999999996</v>
      </c>
      <c r="S5" s="3">
        <f t="shared" ref="S5:S32" si="14">S4*S$2</f>
        <v>93.75</v>
      </c>
      <c r="T5" t="str">
        <f>IF('Construction Planner'!$G$2="Goldmünzen","50000",IF('Construction Planner'!$G$2="Einlagerung",0,"Einstellung wählen"))</f>
        <v>50000</v>
      </c>
      <c r="U5">
        <v>30000</v>
      </c>
      <c r="V5" s="3">
        <f t="shared" ref="V5:V32" si="15">V4*V$2</f>
        <v>162.56249999999997</v>
      </c>
    </row>
    <row r="6" spans="1:22" x14ac:dyDescent="0.25">
      <c r="A6">
        <v>4</v>
      </c>
      <c r="B6" s="3">
        <f t="shared" si="1"/>
        <v>165.81374999999997</v>
      </c>
      <c r="C6" s="3">
        <f t="shared" si="2"/>
        <v>356.51584000000003</v>
      </c>
      <c r="D6" s="3">
        <f t="shared" si="3"/>
        <v>503.31648000000001</v>
      </c>
      <c r="E6" s="3">
        <f t="shared" si="3"/>
        <v>503.31648000000001</v>
      </c>
      <c r="F6" s="3">
        <f t="shared" si="3"/>
        <v>419.43040000000002</v>
      </c>
      <c r="G6" s="3">
        <f t="shared" si="3"/>
        <v>41943.040000000001</v>
      </c>
      <c r="H6" s="3">
        <f t="shared" si="0"/>
        <v>22422.581999999991</v>
      </c>
      <c r="I6" s="3">
        <f t="shared" si="4"/>
        <v>200000</v>
      </c>
      <c r="J6" s="3">
        <f t="shared" si="5"/>
        <v>373.08093749999989</v>
      </c>
      <c r="K6" s="3">
        <f t="shared" si="6"/>
        <v>82.906874999999985</v>
      </c>
      <c r="L6" s="3">
        <f t="shared" si="7"/>
        <v>455.98781249999996</v>
      </c>
      <c r="M6" s="3">
        <f t="shared" si="8"/>
        <v>207.26718749999995</v>
      </c>
      <c r="N6" s="3">
        <f t="shared" si="9"/>
        <v>124.36031249999998</v>
      </c>
      <c r="O6" s="3">
        <f t="shared" si="10"/>
        <v>101.21423124999998</v>
      </c>
      <c r="P6" s="3">
        <f t="shared" si="11"/>
        <v>134.72367187499998</v>
      </c>
      <c r="Q6" s="3">
        <f t="shared" si="12"/>
        <v>91.99872000000002</v>
      </c>
      <c r="R6" s="3">
        <f t="shared" si="13"/>
        <v>102.41915</v>
      </c>
      <c r="S6" s="3">
        <f t="shared" si="14"/>
        <v>117.1875</v>
      </c>
      <c r="T6" t="str">
        <f>IF('Construction Planner'!$G$2="Goldmünzen","50000",IF('Construction Planner'!$G$2="Einlagerung",0,"Einstellung wählen"))</f>
        <v>50000</v>
      </c>
      <c r="U6">
        <v>30000</v>
      </c>
      <c r="V6" s="3">
        <f t="shared" si="15"/>
        <v>207.26718749999995</v>
      </c>
    </row>
    <row r="7" spans="1:22" x14ac:dyDescent="0.25">
      <c r="A7">
        <v>5</v>
      </c>
      <c r="B7" s="3">
        <f t="shared" si="1"/>
        <v>211.41253124999994</v>
      </c>
      <c r="C7" s="3">
        <f t="shared" si="2"/>
        <v>456.34027520000006</v>
      </c>
      <c r="D7" s="3">
        <f t="shared" si="3"/>
        <v>644.24509440000008</v>
      </c>
      <c r="E7" s="3">
        <f t="shared" si="3"/>
        <v>644.24509440000008</v>
      </c>
      <c r="F7" s="3">
        <f t="shared" si="3"/>
        <v>536.87091200000009</v>
      </c>
      <c r="G7" s="3">
        <f t="shared" si="3"/>
        <v>53687.091200000003</v>
      </c>
      <c r="H7" s="3">
        <f t="shared" si="0"/>
        <v>26234.420939999989</v>
      </c>
      <c r="I7" s="3">
        <f t="shared" si="4"/>
        <v>400000</v>
      </c>
      <c r="J7" s="3">
        <f t="shared" si="5"/>
        <v>475.67819531249984</v>
      </c>
      <c r="K7" s="3">
        <f t="shared" si="6"/>
        <v>105.70626562499997</v>
      </c>
      <c r="L7" s="3">
        <f t="shared" si="7"/>
        <v>581.38446093749997</v>
      </c>
      <c r="M7" s="3">
        <f t="shared" si="8"/>
        <v>264.26566406249992</v>
      </c>
      <c r="N7" s="3">
        <f t="shared" si="9"/>
        <v>158.55939843749996</v>
      </c>
      <c r="O7" s="3">
        <f t="shared" si="10"/>
        <v>128.03600253124998</v>
      </c>
      <c r="P7" s="3">
        <f t="shared" si="11"/>
        <v>171.77268164062497</v>
      </c>
      <c r="Q7" s="3">
        <f t="shared" si="12"/>
        <v>121.43831040000003</v>
      </c>
      <c r="R7" s="3">
        <f t="shared" si="13"/>
        <v>130.07232050000002</v>
      </c>
      <c r="S7" s="3">
        <f t="shared" si="14"/>
        <v>146.484375</v>
      </c>
      <c r="T7" t="str">
        <f>IF('Construction Planner'!$G$2="Goldmünzen","50000",IF('Construction Planner'!$G$2="Einlagerung",0,"Einstellung wählen"))</f>
        <v>50000</v>
      </c>
      <c r="U7">
        <v>30000</v>
      </c>
      <c r="V7" s="3">
        <f t="shared" si="15"/>
        <v>264.26566406249992</v>
      </c>
    </row>
    <row r="8" spans="1:22" x14ac:dyDescent="0.25">
      <c r="A8">
        <v>6</v>
      </c>
      <c r="B8" s="3">
        <f t="shared" si="1"/>
        <v>269.55097734374993</v>
      </c>
      <c r="C8" s="3">
        <f t="shared" si="2"/>
        <v>584.11555225600011</v>
      </c>
      <c r="D8" s="3">
        <f t="shared" si="3"/>
        <v>824.63372083200011</v>
      </c>
      <c r="E8" s="3">
        <f t="shared" si="3"/>
        <v>824.63372083200011</v>
      </c>
      <c r="F8" s="3">
        <f t="shared" si="3"/>
        <v>687.19476736000013</v>
      </c>
      <c r="G8" s="3">
        <f t="shared" si="3"/>
        <v>68719.476736000011</v>
      </c>
      <c r="H8" s="3">
        <f t="shared" si="0"/>
        <v>30694.272499799987</v>
      </c>
      <c r="I8" s="3">
        <f t="shared" si="4"/>
        <v>800000</v>
      </c>
      <c r="J8" s="3">
        <f t="shared" si="5"/>
        <v>606.4896990234372</v>
      </c>
      <c r="K8" s="3">
        <f t="shared" si="6"/>
        <v>134.77548867187497</v>
      </c>
      <c r="L8" s="3">
        <f t="shared" si="7"/>
        <v>741.26518769531242</v>
      </c>
      <c r="M8" s="3">
        <f t="shared" si="8"/>
        <v>336.93872167968738</v>
      </c>
      <c r="N8" s="3">
        <f t="shared" si="9"/>
        <v>202.16323300781244</v>
      </c>
      <c r="O8" s="3">
        <f t="shared" si="10"/>
        <v>161.9655432020312</v>
      </c>
      <c r="P8" s="3">
        <f t="shared" si="11"/>
        <v>219.01016909179683</v>
      </c>
      <c r="Q8" s="3">
        <f t="shared" si="12"/>
        <v>160.29856972800005</v>
      </c>
      <c r="R8" s="3">
        <f t="shared" si="13"/>
        <v>165.19184703500002</v>
      </c>
      <c r="S8" s="3">
        <f t="shared" si="14"/>
        <v>183.10546875</v>
      </c>
      <c r="T8" t="str">
        <f>IF('Construction Planner'!$G$2="Goldmünzen","50000",IF('Construction Planner'!$G$2="Einlagerung",0,"Einstellung wählen"))</f>
        <v>50000</v>
      </c>
      <c r="U8">
        <v>30000</v>
      </c>
      <c r="V8" s="3">
        <f t="shared" si="15"/>
        <v>336.93872167968738</v>
      </c>
    </row>
    <row r="9" spans="1:22" x14ac:dyDescent="0.25">
      <c r="A9">
        <v>7</v>
      </c>
      <c r="B9" s="3">
        <f t="shared" si="1"/>
        <v>343.67749611328117</v>
      </c>
      <c r="C9" s="3">
        <f t="shared" si="2"/>
        <v>747.66790688768015</v>
      </c>
      <c r="D9" s="3">
        <f t="shared" si="3"/>
        <v>1055.5311626649602</v>
      </c>
      <c r="E9" s="3">
        <f t="shared" si="3"/>
        <v>1055.5311626649602</v>
      </c>
      <c r="F9" s="3">
        <f t="shared" si="3"/>
        <v>879.60930222080015</v>
      </c>
      <c r="G9" s="3">
        <f t="shared" si="3"/>
        <v>87960.930222080016</v>
      </c>
      <c r="H9" s="3">
        <f t="shared" si="0"/>
        <v>35912.298824765981</v>
      </c>
      <c r="I9" s="3">
        <f t="shared" si="4"/>
        <v>1600000</v>
      </c>
      <c r="J9" s="3">
        <f t="shared" si="5"/>
        <v>773.27436625488235</v>
      </c>
      <c r="K9" s="3">
        <f t="shared" si="6"/>
        <v>171.83874805664058</v>
      </c>
      <c r="L9" s="3">
        <f t="shared" si="7"/>
        <v>945.1131143115233</v>
      </c>
      <c r="M9" s="3">
        <f t="shared" si="8"/>
        <v>429.59687014160136</v>
      </c>
      <c r="N9" s="3">
        <f t="shared" si="9"/>
        <v>257.75812208496086</v>
      </c>
      <c r="O9" s="3">
        <f t="shared" si="10"/>
        <v>204.88641215056944</v>
      </c>
      <c r="P9" s="3">
        <f t="shared" si="11"/>
        <v>279.23796559204095</v>
      </c>
      <c r="Q9" s="3">
        <f t="shared" si="12"/>
        <v>211.59411204096008</v>
      </c>
      <c r="R9" s="3">
        <f t="shared" si="13"/>
        <v>209.79364573445002</v>
      </c>
      <c r="S9" s="3">
        <f t="shared" si="14"/>
        <v>228.8818359375</v>
      </c>
      <c r="T9" t="str">
        <f>IF('Construction Planner'!$G$2="Goldmünzen","50000",IF('Construction Planner'!$G$2="Einlagerung",0,"Einstellung wählen"))</f>
        <v>50000</v>
      </c>
      <c r="U9">
        <v>30000</v>
      </c>
      <c r="V9" s="3">
        <f t="shared" si="15"/>
        <v>429.59687014160136</v>
      </c>
    </row>
    <row r="10" spans="1:22" x14ac:dyDescent="0.25">
      <c r="A10">
        <v>8</v>
      </c>
      <c r="B10" s="3">
        <f t="shared" si="1"/>
        <v>438.18880754443347</v>
      </c>
      <c r="C10" s="3">
        <f t="shared" si="2"/>
        <v>957.01492081623064</v>
      </c>
      <c r="D10" s="3">
        <f t="shared" si="3"/>
        <v>1351.0798882111492</v>
      </c>
      <c r="E10" s="3">
        <f t="shared" si="3"/>
        <v>1351.0798882111492</v>
      </c>
      <c r="F10" s="3">
        <f t="shared" si="3"/>
        <v>1125.8999068426242</v>
      </c>
      <c r="G10" s="3">
        <f t="shared" si="3"/>
        <v>112589.99068426242</v>
      </c>
      <c r="H10" s="3">
        <f t="shared" si="0"/>
        <v>42017.389624976197</v>
      </c>
      <c r="I10" s="3">
        <f t="shared" si="4"/>
        <v>3200000</v>
      </c>
      <c r="J10" s="3">
        <f t="shared" si="5"/>
        <v>985.92481697497487</v>
      </c>
      <c r="K10" s="3">
        <f t="shared" si="6"/>
        <v>219.09440377221674</v>
      </c>
      <c r="L10" s="3">
        <f t="shared" si="7"/>
        <v>1205.0192207471921</v>
      </c>
      <c r="M10" s="3">
        <f t="shared" si="8"/>
        <v>547.73600943054169</v>
      </c>
      <c r="N10" s="3">
        <f t="shared" si="9"/>
        <v>328.64160565832509</v>
      </c>
      <c r="O10" s="3">
        <f t="shared" si="10"/>
        <v>259.18131137047033</v>
      </c>
      <c r="P10" s="3">
        <f t="shared" si="11"/>
        <v>356.02840612985221</v>
      </c>
      <c r="Q10" s="3">
        <f t="shared" si="12"/>
        <v>279.30422789406731</v>
      </c>
      <c r="R10" s="3">
        <f t="shared" si="13"/>
        <v>266.43793008275151</v>
      </c>
      <c r="S10" s="3">
        <f t="shared" si="14"/>
        <v>286.102294921875</v>
      </c>
      <c r="T10" t="str">
        <f>IF('Construction Planner'!$G$2="Goldmünzen","50000",IF('Construction Planner'!$G$2="Einlagerung",0,"Einstellung wählen"))</f>
        <v>50000</v>
      </c>
      <c r="U10">
        <v>30000</v>
      </c>
      <c r="V10" s="3">
        <f t="shared" si="15"/>
        <v>547.73600943054169</v>
      </c>
    </row>
    <row r="11" spans="1:22" x14ac:dyDescent="0.25">
      <c r="A11">
        <v>9</v>
      </c>
      <c r="B11" s="3">
        <f t="shared" si="1"/>
        <v>558.69072961915265</v>
      </c>
      <c r="C11" s="3">
        <f t="shared" si="2"/>
        <v>1224.9790986447751</v>
      </c>
      <c r="D11" s="3">
        <f t="shared" si="3"/>
        <v>1729.3822569102711</v>
      </c>
      <c r="E11" s="3">
        <f t="shared" si="3"/>
        <v>1729.3822569102711</v>
      </c>
      <c r="F11" s="3">
        <f t="shared" si="3"/>
        <v>1441.1518807585589</v>
      </c>
      <c r="G11" s="3">
        <f t="shared" si="3"/>
        <v>144115.1880758559</v>
      </c>
      <c r="H11" s="3">
        <f t="shared" si="0"/>
        <v>49160.345861222144</v>
      </c>
      <c r="I11" s="3">
        <f t="shared" si="4"/>
        <v>6400000</v>
      </c>
      <c r="J11" s="3">
        <f t="shared" si="5"/>
        <v>1257.0541416430929</v>
      </c>
      <c r="K11" s="3">
        <f t="shared" si="6"/>
        <v>279.34536480957632</v>
      </c>
      <c r="L11" s="3">
        <f t="shared" si="7"/>
        <v>1536.3995064526698</v>
      </c>
      <c r="M11" s="3">
        <f t="shared" si="8"/>
        <v>698.36341202394055</v>
      </c>
      <c r="N11" s="3">
        <f t="shared" si="9"/>
        <v>419.01804721436446</v>
      </c>
      <c r="O11" s="3">
        <f t="shared" si="10"/>
        <v>327.86435888364491</v>
      </c>
      <c r="P11" s="3">
        <f t="shared" si="11"/>
        <v>453.93621781556152</v>
      </c>
      <c r="Q11" s="3">
        <f t="shared" si="12"/>
        <v>368.68158082016885</v>
      </c>
      <c r="R11" s="3">
        <f t="shared" si="13"/>
        <v>338.37617120509441</v>
      </c>
      <c r="S11" s="3">
        <f t="shared" si="14"/>
        <v>357.62786865234375</v>
      </c>
      <c r="T11" t="str">
        <f>IF('Construction Planner'!$G$2="Goldmünzen","50000",IF('Construction Planner'!$G$2="Einlagerung",0,"Einstellung wählen"))</f>
        <v>50000</v>
      </c>
      <c r="U11">
        <v>30000</v>
      </c>
      <c r="V11" s="3">
        <f t="shared" si="15"/>
        <v>698.36341202394055</v>
      </c>
    </row>
    <row r="12" spans="1:22" x14ac:dyDescent="0.25">
      <c r="A12">
        <v>10</v>
      </c>
      <c r="B12" s="3">
        <f t="shared" si="1"/>
        <v>712.33068026441958</v>
      </c>
      <c r="C12" s="3">
        <f t="shared" si="2"/>
        <v>1567.9732462653121</v>
      </c>
      <c r="D12" s="3">
        <f t="shared" si="3"/>
        <v>2213.6092888451471</v>
      </c>
      <c r="E12" s="3">
        <f t="shared" si="3"/>
        <v>2213.6092888451471</v>
      </c>
      <c r="F12" s="3">
        <f t="shared" si="3"/>
        <v>1844.6744073709556</v>
      </c>
      <c r="G12" s="3">
        <f t="shared" si="3"/>
        <v>184467.44073709555</v>
      </c>
      <c r="H12" s="3">
        <f t="shared" si="0"/>
        <v>57517.604657629905</v>
      </c>
      <c r="I12" s="3">
        <f t="shared" si="4"/>
        <v>12800000</v>
      </c>
      <c r="J12" s="3">
        <f t="shared" si="5"/>
        <v>1602.7440305949433</v>
      </c>
      <c r="K12" s="3">
        <f t="shared" si="6"/>
        <v>356.16534013220979</v>
      </c>
      <c r="L12" s="3">
        <f t="shared" si="7"/>
        <v>1958.9093707271538</v>
      </c>
      <c r="M12" s="3">
        <f t="shared" si="8"/>
        <v>890.41335033052417</v>
      </c>
      <c r="N12" s="3">
        <f t="shared" si="9"/>
        <v>534.24801019831466</v>
      </c>
      <c r="O12" s="3">
        <f t="shared" si="10"/>
        <v>414.74841398781081</v>
      </c>
      <c r="P12" s="3">
        <f t="shared" si="11"/>
        <v>578.76867771484092</v>
      </c>
      <c r="Q12" s="3">
        <f t="shared" si="12"/>
        <v>486.65968668262292</v>
      </c>
      <c r="R12" s="3">
        <f t="shared" si="13"/>
        <v>429.73773743046991</v>
      </c>
      <c r="S12" s="3">
        <f t="shared" si="14"/>
        <v>447.03483581542969</v>
      </c>
      <c r="T12" t="str">
        <f>IF('Construction Planner'!$G$2="Goldmünzen","50000",IF('Construction Planner'!$G$2="Einlagerung",0,"Einstellung wählen"))</f>
        <v>50000</v>
      </c>
      <c r="U12">
        <v>30000</v>
      </c>
      <c r="V12" s="3">
        <f t="shared" si="15"/>
        <v>890.41335033052417</v>
      </c>
    </row>
    <row r="13" spans="1:22" x14ac:dyDescent="0.25">
      <c r="A13">
        <v>11</v>
      </c>
      <c r="B13" s="3">
        <f t="shared" si="1"/>
        <v>908.22161733713494</v>
      </c>
      <c r="C13" s="3">
        <f t="shared" si="2"/>
        <v>2007.0057552195997</v>
      </c>
      <c r="D13" s="3">
        <f t="shared" si="3"/>
        <v>2833.4198897217884</v>
      </c>
      <c r="E13" s="3">
        <f t="shared" si="3"/>
        <v>2833.4198897217884</v>
      </c>
      <c r="F13" s="3">
        <f t="shared" si="3"/>
        <v>2361.1832414348232</v>
      </c>
      <c r="G13" s="3">
        <f t="shared" si="3"/>
        <v>236118.32414348231</v>
      </c>
      <c r="H13" s="3">
        <f t="shared" si="0"/>
        <v>67295.59744942699</v>
      </c>
      <c r="I13" s="3">
        <f t="shared" si="4"/>
        <v>25600000</v>
      </c>
      <c r="J13" s="3">
        <f t="shared" si="5"/>
        <v>2043.4986390085526</v>
      </c>
      <c r="K13" s="3">
        <f t="shared" si="6"/>
        <v>454.11080866856747</v>
      </c>
      <c r="L13" s="3">
        <f t="shared" si="7"/>
        <v>2497.6094476771209</v>
      </c>
      <c r="M13" s="3">
        <f t="shared" si="8"/>
        <v>1135.2770216714182</v>
      </c>
      <c r="N13" s="3">
        <f t="shared" si="9"/>
        <v>681.16621300285112</v>
      </c>
      <c r="O13" s="3">
        <f t="shared" si="10"/>
        <v>524.65674369458065</v>
      </c>
      <c r="P13" s="3">
        <f t="shared" si="11"/>
        <v>737.93006408642214</v>
      </c>
      <c r="Q13" s="3">
        <f t="shared" si="12"/>
        <v>642.39078642106233</v>
      </c>
      <c r="R13" s="3">
        <f t="shared" si="13"/>
        <v>545.76692653669681</v>
      </c>
      <c r="S13" s="3">
        <f t="shared" si="14"/>
        <v>558.79354476928711</v>
      </c>
      <c r="T13" t="str">
        <f>IF('Construction Planner'!$G$2="Goldmünzen","50000",IF('Construction Planner'!$G$2="Einlagerung",0,"Einstellung wählen"))</f>
        <v>50000</v>
      </c>
      <c r="U13">
        <v>30000</v>
      </c>
      <c r="V13" s="3">
        <f t="shared" si="15"/>
        <v>1135.2770216714182</v>
      </c>
    </row>
    <row r="14" spans="1:22" x14ac:dyDescent="0.25">
      <c r="A14">
        <v>12</v>
      </c>
      <c r="B14" s="3">
        <f t="shared" si="1"/>
        <v>1157.9825621048469</v>
      </c>
      <c r="C14" s="3">
        <f t="shared" si="2"/>
        <v>2568.9673666810877</v>
      </c>
      <c r="D14" s="3">
        <f t="shared" si="3"/>
        <v>3626.7774588438892</v>
      </c>
      <c r="E14" s="3">
        <f t="shared" si="3"/>
        <v>3626.7774588438892</v>
      </c>
      <c r="F14" s="3">
        <f t="shared" si="3"/>
        <v>3022.3145490365737</v>
      </c>
      <c r="G14" s="3">
        <f t="shared" si="3"/>
        <v>302231.45490365737</v>
      </c>
      <c r="H14" s="3">
        <f t="shared" si="0"/>
        <v>78735.849015829575</v>
      </c>
      <c r="I14" s="3">
        <f t="shared" si="4"/>
        <v>51200000</v>
      </c>
      <c r="J14" s="3">
        <f t="shared" si="5"/>
        <v>2605.4607647359044</v>
      </c>
      <c r="K14" s="3">
        <f t="shared" si="6"/>
        <v>578.99128105242346</v>
      </c>
      <c r="L14" s="3">
        <f t="shared" si="7"/>
        <v>3184.4520457883291</v>
      </c>
      <c r="M14" s="3">
        <f t="shared" si="8"/>
        <v>1447.4782026310581</v>
      </c>
      <c r="N14" s="3">
        <f t="shared" si="9"/>
        <v>868.48692157863513</v>
      </c>
      <c r="O14" s="3">
        <f t="shared" si="10"/>
        <v>663.69078077364452</v>
      </c>
      <c r="P14" s="3">
        <f t="shared" si="11"/>
        <v>940.86083171018811</v>
      </c>
      <c r="Q14" s="3">
        <f t="shared" si="12"/>
        <v>847.95583807580226</v>
      </c>
      <c r="R14" s="3">
        <f t="shared" si="13"/>
        <v>693.12399670160494</v>
      </c>
      <c r="S14" s="3">
        <f t="shared" si="14"/>
        <v>698.49193096160889</v>
      </c>
      <c r="T14" t="str">
        <f>IF('Construction Planner'!$G$2="Goldmünzen","50000",IF('Construction Planner'!$G$2="Einlagerung",0,"Einstellung wählen"))</f>
        <v>50000</v>
      </c>
      <c r="U14">
        <v>30000</v>
      </c>
      <c r="V14" s="3">
        <f t="shared" si="15"/>
        <v>1447.4782026310581</v>
      </c>
    </row>
    <row r="15" spans="1:22" x14ac:dyDescent="0.25">
      <c r="A15">
        <v>13</v>
      </c>
      <c r="B15" s="3">
        <f t="shared" si="1"/>
        <v>1476.4277666836797</v>
      </c>
      <c r="C15" s="3">
        <f t="shared" si="2"/>
        <v>3288.2782293517921</v>
      </c>
      <c r="D15" s="3">
        <f t="shared" si="3"/>
        <v>4642.2751473201779</v>
      </c>
      <c r="E15" s="3">
        <f t="shared" si="3"/>
        <v>4642.2751473201779</v>
      </c>
      <c r="F15" s="3">
        <f t="shared" si="3"/>
        <v>3868.5626227668145</v>
      </c>
      <c r="G15" s="3">
        <f t="shared" si="3"/>
        <v>386856.26227668143</v>
      </c>
      <c r="H15" s="3">
        <f t="shared" si="0"/>
        <v>92120.943348520595</v>
      </c>
      <c r="I15" s="3">
        <f t="shared" si="4"/>
        <v>102400000</v>
      </c>
      <c r="J15" s="3">
        <f t="shared" si="5"/>
        <v>3321.9624750382777</v>
      </c>
      <c r="K15" s="3">
        <f t="shared" si="6"/>
        <v>738.21388334183985</v>
      </c>
      <c r="L15" s="3">
        <f t="shared" si="7"/>
        <v>4060.1763583801194</v>
      </c>
      <c r="M15" s="3">
        <f t="shared" si="8"/>
        <v>1845.5347083545989</v>
      </c>
      <c r="N15" s="3">
        <f t="shared" si="9"/>
        <v>1107.3208250127598</v>
      </c>
      <c r="O15" s="3">
        <f t="shared" si="10"/>
        <v>839.5688376786602</v>
      </c>
      <c r="P15" s="3">
        <f t="shared" si="11"/>
        <v>1199.5975604304897</v>
      </c>
      <c r="Q15" s="3">
        <f t="shared" si="12"/>
        <v>1119.3017062600591</v>
      </c>
      <c r="R15" s="3">
        <f t="shared" si="13"/>
        <v>880.26747581103825</v>
      </c>
      <c r="S15" s="3">
        <f t="shared" si="14"/>
        <v>873.11491370201111</v>
      </c>
      <c r="T15" t="str">
        <f>IF('Construction Planner'!$G$2="Goldmünzen","50000",IF('Construction Planner'!$G$2="Einlagerung",0,"Einstellung wählen"))</f>
        <v>50000</v>
      </c>
      <c r="U15">
        <v>30000</v>
      </c>
      <c r="V15" s="3">
        <f t="shared" si="15"/>
        <v>1845.5347083545989</v>
      </c>
    </row>
    <row r="16" spans="1:22" x14ac:dyDescent="0.25">
      <c r="A16">
        <v>14</v>
      </c>
      <c r="B16" s="3">
        <f t="shared" si="1"/>
        <v>1882.4454025216914</v>
      </c>
      <c r="C16" s="3">
        <f t="shared" si="2"/>
        <v>4208.9961335702938</v>
      </c>
      <c r="D16" s="3">
        <f t="shared" si="3"/>
        <v>5942.1121885698276</v>
      </c>
      <c r="E16" s="3">
        <f t="shared" si="3"/>
        <v>5942.1121885698276</v>
      </c>
      <c r="F16" s="3">
        <f t="shared" si="3"/>
        <v>4951.7601571415225</v>
      </c>
      <c r="G16" s="3">
        <f t="shared" si="3"/>
        <v>495176.01571415225</v>
      </c>
      <c r="H16" s="3">
        <f t="shared" si="0"/>
        <v>107781.50371776908</v>
      </c>
      <c r="I16" s="3">
        <f t="shared" si="4"/>
        <v>204800000</v>
      </c>
      <c r="J16" s="3">
        <f t="shared" si="5"/>
        <v>4235.5021556738038</v>
      </c>
      <c r="K16" s="3">
        <f t="shared" si="6"/>
        <v>941.22270126084572</v>
      </c>
      <c r="L16" s="3">
        <f t="shared" si="7"/>
        <v>5176.7248569346521</v>
      </c>
      <c r="M16" s="3">
        <f t="shared" si="8"/>
        <v>2353.0567531521133</v>
      </c>
      <c r="N16" s="3">
        <f t="shared" si="9"/>
        <v>1411.8340518912687</v>
      </c>
      <c r="O16" s="3">
        <f t="shared" si="10"/>
        <v>1062.0545796635051</v>
      </c>
      <c r="P16" s="3">
        <f t="shared" si="11"/>
        <v>1529.4868895488742</v>
      </c>
      <c r="Q16" s="3">
        <f t="shared" si="12"/>
        <v>1477.4782522632781</v>
      </c>
      <c r="R16" s="3">
        <f t="shared" si="13"/>
        <v>1117.9396942800186</v>
      </c>
      <c r="S16" s="3">
        <f t="shared" si="14"/>
        <v>1091.3936421275139</v>
      </c>
      <c r="T16" t="str">
        <f>IF('Construction Planner'!$G$2="Goldmünzen","50000",IF('Construction Planner'!$G$2="Einlagerung",0,"Einstellung wählen"))</f>
        <v>50000</v>
      </c>
      <c r="U16">
        <v>30000</v>
      </c>
      <c r="V16" s="3">
        <f t="shared" si="15"/>
        <v>2353.0567531521133</v>
      </c>
    </row>
    <row r="17" spans="1:22" x14ac:dyDescent="0.25">
      <c r="A17">
        <v>15</v>
      </c>
      <c r="B17" s="3">
        <f t="shared" si="1"/>
        <v>2400.1178882151567</v>
      </c>
      <c r="C17" s="3">
        <f t="shared" si="2"/>
        <v>5387.5150509699761</v>
      </c>
      <c r="D17" s="3">
        <f t="shared" si="3"/>
        <v>7605.9036013693794</v>
      </c>
      <c r="E17" s="3">
        <f t="shared" si="3"/>
        <v>7605.9036013693794</v>
      </c>
      <c r="F17" s="3">
        <f t="shared" si="3"/>
        <v>6338.2530011411491</v>
      </c>
      <c r="G17" s="3">
        <f t="shared" si="3"/>
        <v>633825.30011411489</v>
      </c>
      <c r="H17" s="3">
        <f t="shared" si="0"/>
        <v>126104.35934978983</v>
      </c>
      <c r="I17" s="3">
        <f t="shared" si="4"/>
        <v>409600000</v>
      </c>
      <c r="J17" s="3">
        <f t="shared" si="5"/>
        <v>5400.2652484840992</v>
      </c>
      <c r="K17" s="3">
        <f t="shared" si="6"/>
        <v>1200.0589441075783</v>
      </c>
      <c r="L17" s="3">
        <f t="shared" si="7"/>
        <v>6600.3241925916809</v>
      </c>
      <c r="M17" s="3">
        <f t="shared" si="8"/>
        <v>3000.1473602689443</v>
      </c>
      <c r="N17" s="3">
        <f t="shared" si="9"/>
        <v>1800.0884161613674</v>
      </c>
      <c r="O17" s="3">
        <f t="shared" si="10"/>
        <v>1343.4990432743339</v>
      </c>
      <c r="P17" s="3">
        <f t="shared" si="11"/>
        <v>1950.0957841748145</v>
      </c>
      <c r="Q17" s="3">
        <f t="shared" si="12"/>
        <v>1950.2712929875272</v>
      </c>
      <c r="R17" s="3">
        <f t="shared" si="13"/>
        <v>1419.7834117356235</v>
      </c>
      <c r="S17" s="3">
        <f t="shared" si="14"/>
        <v>1364.2420526593924</v>
      </c>
      <c r="T17" t="str">
        <f>IF('Construction Planner'!$G$2="Goldmünzen","50000",IF('Construction Planner'!$G$2="Einlagerung",0,"Einstellung wählen"))</f>
        <v>50000</v>
      </c>
      <c r="U17">
        <v>30000</v>
      </c>
      <c r="V17" s="3">
        <f t="shared" si="15"/>
        <v>3000.1473602689443</v>
      </c>
    </row>
    <row r="18" spans="1:22" x14ac:dyDescent="0.25">
      <c r="A18">
        <v>16</v>
      </c>
      <c r="B18" s="3">
        <f t="shared" si="1"/>
        <v>3060.1503074743246</v>
      </c>
      <c r="C18" s="3">
        <f t="shared" si="2"/>
        <v>6896.0192652415699</v>
      </c>
      <c r="D18" s="3">
        <f t="shared" si="3"/>
        <v>9735.5566097528063</v>
      </c>
      <c r="E18" s="3">
        <f t="shared" si="3"/>
        <v>9735.5566097528063</v>
      </c>
      <c r="F18" s="3">
        <f t="shared" si="3"/>
        <v>8112.9638414606707</v>
      </c>
      <c r="G18" s="3">
        <f t="shared" si="3"/>
        <v>811296.38414606708</v>
      </c>
      <c r="H18" s="3">
        <f t="shared" si="0"/>
        <v>147542.10043925408</v>
      </c>
      <c r="I18" s="3">
        <f t="shared" si="4"/>
        <v>819200000</v>
      </c>
      <c r="J18" s="3">
        <f t="shared" si="5"/>
        <v>6885.3381918172263</v>
      </c>
      <c r="K18" s="3">
        <f t="shared" si="6"/>
        <v>1530.0751537371623</v>
      </c>
      <c r="L18" s="3">
        <f t="shared" si="7"/>
        <v>8415.4133455543924</v>
      </c>
      <c r="M18" s="3">
        <f t="shared" si="8"/>
        <v>3825.1878843429035</v>
      </c>
      <c r="N18" s="3">
        <f t="shared" si="9"/>
        <v>2295.1127306057433</v>
      </c>
      <c r="O18" s="3">
        <f t="shared" si="10"/>
        <v>1699.5262897420323</v>
      </c>
      <c r="P18" s="3">
        <f t="shared" si="11"/>
        <v>2486.3721248228885</v>
      </c>
      <c r="Q18" s="3">
        <f t="shared" si="12"/>
        <v>2574.3581067435362</v>
      </c>
      <c r="R18" s="3">
        <f t="shared" si="13"/>
        <v>1803.1249329042419</v>
      </c>
      <c r="S18" s="3">
        <f t="shared" si="14"/>
        <v>1705.3025658242404</v>
      </c>
      <c r="T18" t="str">
        <f>IF('Construction Planner'!$G$2="Goldmünzen","50000",IF('Construction Planner'!$G$2="Einlagerung",0,"Einstellung wählen"))</f>
        <v>50000</v>
      </c>
      <c r="U18">
        <v>30000</v>
      </c>
      <c r="V18" s="3">
        <f t="shared" si="15"/>
        <v>3825.1878843429035</v>
      </c>
    </row>
    <row r="19" spans="1:22" x14ac:dyDescent="0.25">
      <c r="A19">
        <v>17</v>
      </c>
      <c r="B19" s="3">
        <f t="shared" si="1"/>
        <v>3901.6916420297634</v>
      </c>
      <c r="C19" s="3">
        <f t="shared" si="2"/>
        <v>8826.9046595092095</v>
      </c>
      <c r="D19" s="3">
        <f t="shared" si="3"/>
        <v>12461.512460483593</v>
      </c>
      <c r="E19" s="3">
        <f t="shared" si="3"/>
        <v>12461.512460483593</v>
      </c>
      <c r="F19" s="3">
        <f t="shared" si="3"/>
        <v>10384.593717069658</v>
      </c>
      <c r="G19" s="3">
        <f t="shared" si="3"/>
        <v>1038459.3717069658</v>
      </c>
      <c r="H19" s="3">
        <f t="shared" si="0"/>
        <v>172624.25751392727</v>
      </c>
      <c r="I19" s="3">
        <f t="shared" si="4"/>
        <v>1638400000</v>
      </c>
      <c r="J19" s="3">
        <f t="shared" si="5"/>
        <v>8778.8061945669633</v>
      </c>
      <c r="K19" s="3">
        <f t="shared" si="6"/>
        <v>1950.8458210148817</v>
      </c>
      <c r="L19" s="3">
        <f t="shared" si="7"/>
        <v>10729.652015581849</v>
      </c>
      <c r="M19" s="3">
        <f t="shared" si="8"/>
        <v>4877.1145525372012</v>
      </c>
      <c r="N19" s="3">
        <f t="shared" si="9"/>
        <v>2926.2687315223225</v>
      </c>
      <c r="O19" s="3">
        <f t="shared" si="10"/>
        <v>2149.9007565236707</v>
      </c>
      <c r="P19" s="3">
        <f t="shared" si="11"/>
        <v>3170.1244591491827</v>
      </c>
      <c r="Q19" s="3">
        <f t="shared" si="12"/>
        <v>3398.1527009014681</v>
      </c>
      <c r="R19" s="3">
        <f t="shared" si="13"/>
        <v>2289.9686647883873</v>
      </c>
      <c r="S19" s="3">
        <f t="shared" si="14"/>
        <v>2131.6282072803006</v>
      </c>
      <c r="T19" t="str">
        <f>IF('Construction Planner'!$G$2="Goldmünzen","50000",IF('Construction Planner'!$G$2="Einlagerung",0,"Einstellung wählen"))</f>
        <v>50000</v>
      </c>
      <c r="U19">
        <v>30000</v>
      </c>
      <c r="V19" s="3">
        <f t="shared" si="15"/>
        <v>4877.1145525372012</v>
      </c>
    </row>
    <row r="20" spans="1:22" x14ac:dyDescent="0.25">
      <c r="A20">
        <v>18</v>
      </c>
      <c r="B20" s="3">
        <f t="shared" si="1"/>
        <v>4974.6568435879481</v>
      </c>
      <c r="C20" s="3">
        <f t="shared" si="2"/>
        <v>11298.437964171788</v>
      </c>
      <c r="D20" s="3">
        <f t="shared" si="3"/>
        <v>15950.735949418999</v>
      </c>
      <c r="E20" s="3">
        <f t="shared" si="3"/>
        <v>15950.735949418999</v>
      </c>
      <c r="F20" s="3">
        <f t="shared" si="3"/>
        <v>13292.279957849163</v>
      </c>
      <c r="G20" s="3">
        <f t="shared" si="3"/>
        <v>1329227.9957849162</v>
      </c>
      <c r="H20" s="3">
        <f t="shared" si="3"/>
        <v>201970.38129129488</v>
      </c>
      <c r="I20" s="3">
        <f t="shared" si="4"/>
        <v>3276800000</v>
      </c>
      <c r="J20" s="3">
        <f t="shared" si="5"/>
        <v>11192.977898072877</v>
      </c>
      <c r="K20" s="3">
        <f t="shared" si="6"/>
        <v>2487.328421793974</v>
      </c>
      <c r="L20" s="3">
        <f t="shared" si="7"/>
        <v>13680.306319866857</v>
      </c>
      <c r="M20" s="3">
        <f t="shared" si="8"/>
        <v>6218.3210544849308</v>
      </c>
      <c r="N20" s="3">
        <f t="shared" si="9"/>
        <v>3730.9926326909608</v>
      </c>
      <c r="O20" s="3">
        <f t="shared" si="10"/>
        <v>2719.6244570024433</v>
      </c>
      <c r="P20" s="3">
        <f t="shared" si="11"/>
        <v>4041.9086854152079</v>
      </c>
      <c r="Q20" s="3">
        <f t="shared" si="12"/>
        <v>4485.5615651899379</v>
      </c>
      <c r="R20" s="3">
        <f t="shared" si="13"/>
        <v>2908.2602042812518</v>
      </c>
      <c r="S20" s="3">
        <f t="shared" si="14"/>
        <v>2664.5352591003757</v>
      </c>
      <c r="T20" t="str">
        <f>IF('Construction Planner'!$G$2="Goldmünzen","50000",IF('Construction Planner'!$G$2="Einlagerung",0,"Einstellung wählen"))</f>
        <v>50000</v>
      </c>
      <c r="U20">
        <v>30000</v>
      </c>
      <c r="V20" s="3">
        <f t="shared" si="15"/>
        <v>6218.3210544849308</v>
      </c>
    </row>
    <row r="21" spans="1:22" x14ac:dyDescent="0.25">
      <c r="A21">
        <v>19</v>
      </c>
      <c r="B21" s="3">
        <f t="shared" si="1"/>
        <v>6342.687475574633</v>
      </c>
      <c r="C21" s="3">
        <f t="shared" si="2"/>
        <v>14462.000594139889</v>
      </c>
      <c r="D21" s="3">
        <f t="shared" si="3"/>
        <v>20416.942015256318</v>
      </c>
      <c r="E21" s="3">
        <f t="shared" si="3"/>
        <v>20416.942015256318</v>
      </c>
      <c r="F21" s="3">
        <f t="shared" si="3"/>
        <v>17014.118346046929</v>
      </c>
      <c r="G21" s="3">
        <f t="shared" si="3"/>
        <v>1701411.8346046929</v>
      </c>
      <c r="H21" s="3">
        <f t="shared" si="3"/>
        <v>236305.34611081498</v>
      </c>
      <c r="I21" s="3">
        <f t="shared" si="4"/>
        <v>6553600000</v>
      </c>
      <c r="J21" s="3">
        <f t="shared" si="5"/>
        <v>14271.046820042917</v>
      </c>
      <c r="K21" s="3">
        <f t="shared" si="6"/>
        <v>3171.3437377873165</v>
      </c>
      <c r="L21" s="3">
        <f t="shared" si="7"/>
        <v>17442.39055783024</v>
      </c>
      <c r="M21" s="3">
        <f t="shared" si="8"/>
        <v>7928.3593444682865</v>
      </c>
      <c r="N21" s="3">
        <f t="shared" si="9"/>
        <v>4757.015606680975</v>
      </c>
      <c r="O21" s="3">
        <f t="shared" si="10"/>
        <v>3440.3249381080905</v>
      </c>
      <c r="P21" s="3">
        <f t="shared" si="11"/>
        <v>5153.43357390439</v>
      </c>
      <c r="Q21" s="3">
        <f t="shared" si="12"/>
        <v>5920.9412660507187</v>
      </c>
      <c r="R21" s="3">
        <f t="shared" si="13"/>
        <v>3693.4904594371901</v>
      </c>
      <c r="S21" s="3">
        <f t="shared" si="14"/>
        <v>3330.6690738754696</v>
      </c>
      <c r="T21" t="str">
        <f>IF('Construction Planner'!$G$2="Goldmünzen","50000",IF('Construction Planner'!$G$2="Einlagerung",0,"Einstellung wählen"))</f>
        <v>50000</v>
      </c>
      <c r="U21">
        <v>30000</v>
      </c>
      <c r="V21" s="3">
        <f t="shared" si="15"/>
        <v>7928.3593444682865</v>
      </c>
    </row>
    <row r="22" spans="1:22" x14ac:dyDescent="0.25">
      <c r="A22">
        <v>20</v>
      </c>
      <c r="B22" s="3">
        <f t="shared" si="1"/>
        <v>8086.9265313576561</v>
      </c>
      <c r="C22" s="3">
        <f t="shared" si="2"/>
        <v>18511.360760499058</v>
      </c>
      <c r="D22" s="3">
        <f t="shared" si="3"/>
        <v>26133.685779528088</v>
      </c>
      <c r="E22" s="3">
        <f t="shared" si="3"/>
        <v>26133.685779528088</v>
      </c>
      <c r="F22" s="3">
        <f t="shared" si="3"/>
        <v>21778.071482940071</v>
      </c>
      <c r="G22" s="3">
        <f t="shared" si="3"/>
        <v>2177807.1482940069</v>
      </c>
      <c r="H22" s="3">
        <f t="shared" si="3"/>
        <v>276477.25494965352</v>
      </c>
      <c r="I22" s="3">
        <f t="shared" si="4"/>
        <v>13107200000</v>
      </c>
      <c r="J22" s="3">
        <f t="shared" si="5"/>
        <v>18195.584695554717</v>
      </c>
      <c r="K22" s="3">
        <f t="shared" si="6"/>
        <v>4043.4632656788281</v>
      </c>
      <c r="L22" s="3">
        <f t="shared" si="7"/>
        <v>22239.047961233555</v>
      </c>
      <c r="M22" s="3">
        <f t="shared" si="8"/>
        <v>10108.658164197064</v>
      </c>
      <c r="N22" s="3">
        <f t="shared" si="9"/>
        <v>6065.1948985182426</v>
      </c>
      <c r="O22" s="3">
        <f t="shared" si="10"/>
        <v>4352.0110467067343</v>
      </c>
      <c r="P22" s="3">
        <f t="shared" si="11"/>
        <v>6570.6278067280964</v>
      </c>
      <c r="Q22" s="3">
        <f t="shared" si="12"/>
        <v>7815.6424711869495</v>
      </c>
      <c r="R22" s="3">
        <f t="shared" si="13"/>
        <v>4690.7328834852315</v>
      </c>
      <c r="S22" s="3">
        <f t="shared" si="14"/>
        <v>4163.336342344337</v>
      </c>
      <c r="T22" t="str">
        <f>IF('Construction Planner'!$G$2="Goldmünzen","50000",IF('Construction Planner'!$G$2="Einlagerung",0,"Einstellung wählen"))</f>
        <v>50000</v>
      </c>
      <c r="U22">
        <v>30000</v>
      </c>
      <c r="V22" s="3">
        <f t="shared" si="15"/>
        <v>10108.658164197064</v>
      </c>
    </row>
    <row r="23" spans="1:22" x14ac:dyDescent="0.25">
      <c r="A23">
        <v>21</v>
      </c>
      <c r="B23" s="3">
        <f t="shared" si="1"/>
        <v>10310.831327481012</v>
      </c>
      <c r="C23" s="3">
        <f t="shared" si="2"/>
        <v>23694.541773438796</v>
      </c>
      <c r="D23" s="3">
        <f t="shared" si="3"/>
        <v>33451.117797795952</v>
      </c>
      <c r="E23" s="3">
        <f t="shared" si="3"/>
        <v>33451.117797795952</v>
      </c>
      <c r="F23" s="3">
        <f t="shared" si="3"/>
        <v>27875.931498163292</v>
      </c>
      <c r="G23" s="3">
        <f t="shared" si="3"/>
        <v>2787593.1498163291</v>
      </c>
      <c r="H23" s="3">
        <f t="shared" si="3"/>
        <v>323478.38829109463</v>
      </c>
      <c r="I23" s="3">
        <f t="shared" si="4"/>
        <v>26214400000</v>
      </c>
      <c r="J23" s="3">
        <f t="shared" si="5"/>
        <v>23199.370486832264</v>
      </c>
      <c r="K23" s="3">
        <f t="shared" si="6"/>
        <v>5155.4156637405058</v>
      </c>
      <c r="L23" s="3">
        <f t="shared" si="7"/>
        <v>28354.786150572781</v>
      </c>
      <c r="M23" s="3">
        <f t="shared" si="8"/>
        <v>12888.539159351256</v>
      </c>
      <c r="N23" s="3">
        <f t="shared" si="9"/>
        <v>7733.1234956107592</v>
      </c>
      <c r="O23" s="3">
        <f t="shared" si="10"/>
        <v>5505.2939740840184</v>
      </c>
      <c r="P23" s="3">
        <f t="shared" si="11"/>
        <v>8377.550453578322</v>
      </c>
      <c r="Q23" s="3">
        <f t="shared" si="12"/>
        <v>10316.648061966775</v>
      </c>
      <c r="R23" s="3">
        <f t="shared" si="13"/>
        <v>5957.2307620262436</v>
      </c>
      <c r="S23" s="3">
        <f t="shared" si="14"/>
        <v>5204.1704279304213</v>
      </c>
      <c r="T23" t="str">
        <f>IF('Construction Planner'!$G$2="Goldmünzen","50000",IF('Construction Planner'!$G$2="Einlagerung",0,"Einstellung wählen"))</f>
        <v>50000</v>
      </c>
      <c r="U23">
        <v>30000</v>
      </c>
      <c r="V23" s="3">
        <f t="shared" si="15"/>
        <v>12888.539159351256</v>
      </c>
    </row>
    <row r="24" spans="1:22" x14ac:dyDescent="0.25">
      <c r="A24">
        <v>22</v>
      </c>
      <c r="B24" s="3">
        <f t="shared" si="1"/>
        <v>13146.30994253829</v>
      </c>
      <c r="C24" s="3">
        <f t="shared" si="2"/>
        <v>30329.013470001661</v>
      </c>
      <c r="D24" s="3">
        <f t="shared" si="3"/>
        <v>42817.430781178817</v>
      </c>
      <c r="E24" s="3">
        <f t="shared" si="3"/>
        <v>42817.430781178817</v>
      </c>
      <c r="F24" s="3">
        <f t="shared" si="3"/>
        <v>35681.192317649016</v>
      </c>
      <c r="G24" s="3">
        <f t="shared" si="3"/>
        <v>3568119.2317649014</v>
      </c>
      <c r="H24" s="3">
        <f t="shared" si="3"/>
        <v>378469.71430058067</v>
      </c>
      <c r="I24" s="3">
        <f t="shared" si="4"/>
        <v>52428800000</v>
      </c>
      <c r="J24" s="3">
        <f t="shared" si="5"/>
        <v>29579.197370711136</v>
      </c>
      <c r="K24" s="3">
        <f t="shared" si="6"/>
        <v>6573.1549712691449</v>
      </c>
      <c r="L24" s="3">
        <f t="shared" si="7"/>
        <v>36152.352341980295</v>
      </c>
      <c r="M24" s="3">
        <f t="shared" si="8"/>
        <v>16432.887428172849</v>
      </c>
      <c r="N24" s="3">
        <f t="shared" si="9"/>
        <v>9859.7324569037173</v>
      </c>
      <c r="O24" s="3">
        <f t="shared" si="10"/>
        <v>6964.1968772162827</v>
      </c>
      <c r="P24" s="3">
        <f t="shared" si="11"/>
        <v>10681.376828312359</v>
      </c>
      <c r="Q24" s="3">
        <f t="shared" si="12"/>
        <v>13617.975441796143</v>
      </c>
      <c r="R24" s="3">
        <f t="shared" si="13"/>
        <v>7565.6830677733296</v>
      </c>
      <c r="S24" s="3">
        <f t="shared" si="14"/>
        <v>6505.2130349130266</v>
      </c>
      <c r="T24" t="str">
        <f>IF('Construction Planner'!$G$2="Goldmünzen","50000",IF('Construction Planner'!$G$2="Einlagerung",0,"Einstellung wählen"))</f>
        <v>50000</v>
      </c>
      <c r="U24">
        <v>30000</v>
      </c>
      <c r="V24" s="3">
        <f t="shared" si="15"/>
        <v>16432.887428172849</v>
      </c>
    </row>
    <row r="25" spans="1:22" x14ac:dyDescent="0.25">
      <c r="A25">
        <v>23</v>
      </c>
      <c r="B25" s="3">
        <f t="shared" si="1"/>
        <v>16761.545176736319</v>
      </c>
      <c r="C25" s="3">
        <f t="shared" si="2"/>
        <v>38821.137241602126</v>
      </c>
      <c r="D25" s="3">
        <f t="shared" si="3"/>
        <v>54806.311399908889</v>
      </c>
      <c r="E25" s="3">
        <f t="shared" si="3"/>
        <v>54806.311399908889</v>
      </c>
      <c r="F25" s="3">
        <f t="shared" si="3"/>
        <v>45671.92616659074</v>
      </c>
      <c r="G25" s="3">
        <f t="shared" si="3"/>
        <v>4567192.6166590741</v>
      </c>
      <c r="H25" s="3">
        <f t="shared" si="3"/>
        <v>442809.56573167938</v>
      </c>
      <c r="I25" s="3">
        <f t="shared" si="4"/>
        <v>104857600000</v>
      </c>
      <c r="J25" s="3">
        <f t="shared" si="5"/>
        <v>37713.476647656695</v>
      </c>
      <c r="K25" s="3">
        <f t="shared" si="6"/>
        <v>8380.7725883681596</v>
      </c>
      <c r="L25" s="3">
        <f t="shared" si="7"/>
        <v>46094.249236024873</v>
      </c>
      <c r="M25" s="3">
        <f t="shared" si="8"/>
        <v>20951.931470920383</v>
      </c>
      <c r="N25" s="3">
        <f t="shared" si="9"/>
        <v>12571.158882552239</v>
      </c>
      <c r="O25" s="3">
        <f t="shared" si="10"/>
        <v>8809.7090496785968</v>
      </c>
      <c r="P25" s="3">
        <f t="shared" si="11"/>
        <v>13618.755456098257</v>
      </c>
      <c r="Q25" s="3">
        <f t="shared" si="12"/>
        <v>17975.727583170908</v>
      </c>
      <c r="R25" s="3">
        <f t="shared" si="13"/>
        <v>9608.4174960721284</v>
      </c>
      <c r="S25" s="3">
        <f t="shared" si="14"/>
        <v>8131.5162936412835</v>
      </c>
      <c r="T25" t="str">
        <f>IF('Construction Planner'!$G$2="Goldmünzen","50000",IF('Construction Planner'!$G$2="Einlagerung",0,"Einstellung wählen"))</f>
        <v>50000</v>
      </c>
      <c r="U25">
        <v>30000</v>
      </c>
      <c r="V25" s="3">
        <f t="shared" si="15"/>
        <v>20951.931470920383</v>
      </c>
    </row>
    <row r="26" spans="1:22" x14ac:dyDescent="0.25">
      <c r="A26">
        <v>24</v>
      </c>
      <c r="B26" s="3">
        <f t="shared" si="1"/>
        <v>21370.970100338807</v>
      </c>
      <c r="C26" s="3">
        <f t="shared" si="2"/>
        <v>49691.055669250723</v>
      </c>
      <c r="D26" s="3">
        <f t="shared" si="3"/>
        <v>70152.078591883386</v>
      </c>
      <c r="E26" s="3">
        <f t="shared" si="3"/>
        <v>70152.078591883386</v>
      </c>
      <c r="F26" s="3">
        <f t="shared" si="3"/>
        <v>58460.06549323615</v>
      </c>
      <c r="G26" s="3">
        <f t="shared" si="3"/>
        <v>5846006.5493236147</v>
      </c>
      <c r="H26" s="3">
        <f t="shared" si="3"/>
        <v>518087.19190606487</v>
      </c>
      <c r="I26" s="3">
        <f t="shared" si="4"/>
        <v>209715200000</v>
      </c>
      <c r="J26" s="3">
        <f t="shared" si="5"/>
        <v>48084.682725762279</v>
      </c>
      <c r="K26" s="3">
        <f t="shared" si="6"/>
        <v>10685.485050169404</v>
      </c>
      <c r="L26" s="3">
        <f t="shared" si="7"/>
        <v>58770.16777593171</v>
      </c>
      <c r="M26" s="3">
        <f t="shared" si="8"/>
        <v>26713.712625423486</v>
      </c>
      <c r="N26" s="3">
        <f t="shared" si="9"/>
        <v>16028.227575254105</v>
      </c>
      <c r="O26" s="3">
        <f t="shared" si="10"/>
        <v>11144.281947843425</v>
      </c>
      <c r="P26" s="3">
        <f t="shared" si="11"/>
        <v>17363.913206525278</v>
      </c>
      <c r="Q26" s="3">
        <f t="shared" si="12"/>
        <v>23727.960409785599</v>
      </c>
      <c r="R26" s="3">
        <f t="shared" si="13"/>
        <v>12202.690220011604</v>
      </c>
      <c r="S26" s="3">
        <f t="shared" si="14"/>
        <v>10164.395367051604</v>
      </c>
      <c r="T26" t="str">
        <f>IF('Construction Planner'!$G$2="Goldmünzen","50000",IF('Construction Planner'!$G$2="Einlagerung",0,"Einstellung wählen"))</f>
        <v>50000</v>
      </c>
      <c r="U26">
        <v>30000</v>
      </c>
      <c r="V26" s="3">
        <f t="shared" si="15"/>
        <v>26713.712625423486</v>
      </c>
    </row>
    <row r="27" spans="1:22" x14ac:dyDescent="0.25">
      <c r="A27">
        <v>25</v>
      </c>
      <c r="B27" s="3">
        <f t="shared" si="1"/>
        <v>27247.986877931977</v>
      </c>
      <c r="C27" s="3">
        <f t="shared" si="2"/>
        <v>63604.551256640931</v>
      </c>
      <c r="D27" s="3">
        <f t="shared" si="3"/>
        <v>89794.660597610738</v>
      </c>
      <c r="E27" s="3">
        <f t="shared" si="3"/>
        <v>89794.660597610738</v>
      </c>
      <c r="F27" s="3">
        <f t="shared" si="3"/>
        <v>74828.883831342275</v>
      </c>
      <c r="G27" s="3">
        <f t="shared" si="3"/>
        <v>7482888.3831342272</v>
      </c>
      <c r="H27" s="3">
        <f t="shared" si="3"/>
        <v>606162.01453009585</v>
      </c>
      <c r="I27" s="3">
        <f t="shared" si="4"/>
        <v>419430400000</v>
      </c>
      <c r="J27" s="3">
        <f t="shared" si="5"/>
        <v>61307.970475346905</v>
      </c>
      <c r="K27" s="3">
        <f t="shared" si="6"/>
        <v>13623.993438965988</v>
      </c>
      <c r="L27" s="3">
        <f t="shared" si="7"/>
        <v>74931.963914312932</v>
      </c>
      <c r="M27" s="3">
        <f t="shared" si="8"/>
        <v>34059.983597414939</v>
      </c>
      <c r="N27" s="3">
        <f t="shared" si="9"/>
        <v>20435.990158448982</v>
      </c>
      <c r="O27" s="3">
        <f t="shared" si="10"/>
        <v>14097.516664021932</v>
      </c>
      <c r="P27" s="3">
        <f t="shared" si="11"/>
        <v>22138.989338319727</v>
      </c>
      <c r="Q27" s="3">
        <f t="shared" si="12"/>
        <v>31320.907740916991</v>
      </c>
      <c r="R27" s="3">
        <f t="shared" si="13"/>
        <v>15497.416579414737</v>
      </c>
      <c r="S27" s="3">
        <f t="shared" si="14"/>
        <v>12705.494208814505</v>
      </c>
      <c r="T27" t="str">
        <f>IF('Construction Planner'!$G$2="Goldmünzen","50000",IF('Construction Planner'!$G$2="Einlagerung",0,"Einstellung wählen"))</f>
        <v>50000</v>
      </c>
      <c r="U27">
        <v>30000</v>
      </c>
      <c r="V27" s="3">
        <f t="shared" si="15"/>
        <v>34059.983597414939</v>
      </c>
    </row>
    <row r="28" spans="1:22" x14ac:dyDescent="0.25">
      <c r="A28">
        <v>26</v>
      </c>
      <c r="B28" s="3">
        <f t="shared" si="1"/>
        <v>34741.183269363268</v>
      </c>
      <c r="C28" s="3">
        <f t="shared" si="2"/>
        <v>81413.825608500396</v>
      </c>
      <c r="D28" s="3">
        <f t="shared" si="3"/>
        <v>114937.16556494175</v>
      </c>
      <c r="E28" s="3">
        <f t="shared" si="3"/>
        <v>114937.16556494175</v>
      </c>
      <c r="F28" s="3">
        <f t="shared" si="3"/>
        <v>95780.971304118109</v>
      </c>
      <c r="G28" s="3">
        <f t="shared" si="3"/>
        <v>9578097.1304118112</v>
      </c>
      <c r="H28" s="3">
        <f t="shared" si="3"/>
        <v>709209.55700021214</v>
      </c>
      <c r="I28" s="3">
        <f t="shared" si="4"/>
        <v>838860800000</v>
      </c>
      <c r="J28" s="3">
        <f t="shared" si="5"/>
        <v>78167.662356067303</v>
      </c>
      <c r="K28" s="3">
        <f t="shared" si="6"/>
        <v>17370.591634681634</v>
      </c>
      <c r="L28" s="3">
        <f t="shared" si="7"/>
        <v>95538.253990748985</v>
      </c>
      <c r="M28" s="3">
        <f t="shared" si="8"/>
        <v>43426.479086704043</v>
      </c>
      <c r="N28" s="3">
        <f t="shared" si="9"/>
        <v>26055.887452022449</v>
      </c>
      <c r="O28" s="3">
        <f t="shared" si="10"/>
        <v>17833.358579987744</v>
      </c>
      <c r="P28" s="3">
        <f t="shared" si="11"/>
        <v>28227.211406357648</v>
      </c>
      <c r="Q28" s="3">
        <f t="shared" si="12"/>
        <v>41343.598218010433</v>
      </c>
      <c r="R28" s="3">
        <f t="shared" si="13"/>
        <v>19681.719055856716</v>
      </c>
      <c r="S28" s="3">
        <f t="shared" si="14"/>
        <v>15881.867761018131</v>
      </c>
      <c r="T28" t="str">
        <f>IF('Construction Planner'!$G$2="Goldmünzen","50000",IF('Construction Planner'!$G$2="Einlagerung",0,"Einstellung wählen"))</f>
        <v>50000</v>
      </c>
      <c r="U28">
        <v>30000</v>
      </c>
      <c r="V28" s="3">
        <f t="shared" si="15"/>
        <v>43426.479086704043</v>
      </c>
    </row>
    <row r="29" spans="1:22" x14ac:dyDescent="0.25">
      <c r="A29">
        <v>27</v>
      </c>
      <c r="B29" s="3">
        <f t="shared" si="1"/>
        <v>44295.00866843816</v>
      </c>
      <c r="C29" s="3">
        <f t="shared" si="2"/>
        <v>104209.69677888051</v>
      </c>
      <c r="D29" s="3">
        <f t="shared" si="3"/>
        <v>147119.57192312545</v>
      </c>
      <c r="E29" s="3">
        <f t="shared" si="3"/>
        <v>147119.57192312545</v>
      </c>
      <c r="F29" s="3">
        <f t="shared" si="3"/>
        <v>122599.64326927118</v>
      </c>
      <c r="G29" s="3">
        <f t="shared" si="3"/>
        <v>12259964.326927118</v>
      </c>
      <c r="H29" s="3">
        <f t="shared" si="3"/>
        <v>829775.1816902482</v>
      </c>
      <c r="I29" s="3">
        <f t="shared" si="4"/>
        <v>1677721600000</v>
      </c>
      <c r="J29" s="3">
        <f t="shared" si="5"/>
        <v>99663.769503985808</v>
      </c>
      <c r="K29" s="3">
        <f t="shared" si="6"/>
        <v>22147.50433421908</v>
      </c>
      <c r="L29" s="3">
        <f t="shared" si="7"/>
        <v>121811.27383820494</v>
      </c>
      <c r="M29" s="3">
        <f t="shared" si="8"/>
        <v>55368.760835547648</v>
      </c>
      <c r="N29" s="3">
        <f t="shared" si="9"/>
        <v>33221.256501328622</v>
      </c>
      <c r="O29" s="3">
        <f t="shared" si="10"/>
        <v>22559.198603684494</v>
      </c>
      <c r="P29" s="3">
        <f t="shared" si="11"/>
        <v>35989.694543106001</v>
      </c>
      <c r="Q29" s="3">
        <f t="shared" si="12"/>
        <v>54573.549647773776</v>
      </c>
      <c r="R29" s="3">
        <f t="shared" si="13"/>
        <v>24995.783200938029</v>
      </c>
      <c r="S29" s="3">
        <f t="shared" si="14"/>
        <v>19852.334701272663</v>
      </c>
      <c r="T29" t="str">
        <f>IF('Construction Planner'!$G$2="Goldmünzen","50000",IF('Construction Planner'!$G$2="Einlagerung",0,"Einstellung wählen"))</f>
        <v>50000</v>
      </c>
      <c r="U29">
        <v>30000</v>
      </c>
      <c r="V29" s="3">
        <f t="shared" si="15"/>
        <v>55368.760835547648</v>
      </c>
    </row>
    <row r="30" spans="1:22" x14ac:dyDescent="0.25">
      <c r="A30">
        <v>28</v>
      </c>
      <c r="B30" s="3">
        <f t="shared" si="1"/>
        <v>56476.136052258647</v>
      </c>
      <c r="C30" s="3">
        <f t="shared" si="2"/>
        <v>133388.41187696706</v>
      </c>
      <c r="D30" s="3">
        <f t="shared" si="3"/>
        <v>188313.05206160058</v>
      </c>
      <c r="E30" s="3">
        <f t="shared" si="3"/>
        <v>188313.05206160058</v>
      </c>
      <c r="F30" s="3">
        <f t="shared" si="3"/>
        <v>156927.54338466711</v>
      </c>
      <c r="G30" s="3">
        <f t="shared" si="3"/>
        <v>15692754.338466711</v>
      </c>
      <c r="H30" s="3">
        <f t="shared" si="3"/>
        <v>970836.96257759037</v>
      </c>
      <c r="I30" s="3">
        <f t="shared" si="4"/>
        <v>3355443200000</v>
      </c>
      <c r="J30" s="3">
        <f t="shared" si="5"/>
        <v>127071.3061175819</v>
      </c>
      <c r="K30" s="3">
        <f t="shared" si="6"/>
        <v>28238.068026129324</v>
      </c>
      <c r="L30" s="3">
        <f t="shared" si="7"/>
        <v>155309.37414371129</v>
      </c>
      <c r="M30" s="3">
        <f t="shared" si="8"/>
        <v>70595.17006532324</v>
      </c>
      <c r="N30" s="3">
        <f t="shared" si="9"/>
        <v>42357.102039193989</v>
      </c>
      <c r="O30" s="3">
        <f t="shared" si="10"/>
        <v>28537.386233660884</v>
      </c>
      <c r="P30" s="3">
        <f t="shared" si="11"/>
        <v>45886.860542460148</v>
      </c>
      <c r="Q30" s="3">
        <f t="shared" si="12"/>
        <v>72037.085535061386</v>
      </c>
      <c r="R30" s="3">
        <f t="shared" si="13"/>
        <v>31744.644665191296</v>
      </c>
      <c r="S30" s="3">
        <f t="shared" si="14"/>
        <v>24815.418376590827</v>
      </c>
      <c r="T30" t="str">
        <f>IF('Construction Planner'!$G$2="Goldmünzen","50000",IF('Construction Planner'!$G$2="Einlagerung",0,"Einstellung wählen"))</f>
        <v>50000</v>
      </c>
      <c r="U30">
        <v>30000</v>
      </c>
      <c r="V30" s="3">
        <f t="shared" si="15"/>
        <v>70595.17006532324</v>
      </c>
    </row>
    <row r="31" spans="1:22" x14ac:dyDescent="0.25">
      <c r="A31">
        <v>29</v>
      </c>
      <c r="B31" s="3">
        <f t="shared" si="1"/>
        <v>72007.073466629765</v>
      </c>
      <c r="C31" s="3">
        <f t="shared" si="2"/>
        <v>170737.16720251783</v>
      </c>
      <c r="D31" s="3">
        <f t="shared" si="3"/>
        <v>241040.70663884876</v>
      </c>
      <c r="E31" s="3">
        <f t="shared" si="3"/>
        <v>241040.70663884876</v>
      </c>
      <c r="F31" s="3">
        <f t="shared" si="3"/>
        <v>200867.25553237391</v>
      </c>
      <c r="G31" s="3">
        <f t="shared" si="3"/>
        <v>20086725.55323739</v>
      </c>
      <c r="H31" s="3">
        <f t="shared" si="3"/>
        <v>1135879.2462157807</v>
      </c>
      <c r="I31" s="3">
        <f t="shared" si="4"/>
        <v>6710886400000</v>
      </c>
      <c r="J31" s="3">
        <f t="shared" si="5"/>
        <v>162015.9152999169</v>
      </c>
      <c r="K31" s="3">
        <f t="shared" si="6"/>
        <v>36003.536733314882</v>
      </c>
      <c r="L31" s="3">
        <f t="shared" si="7"/>
        <v>198019.45203323188</v>
      </c>
      <c r="M31" s="3">
        <f t="shared" si="8"/>
        <v>90008.841833287122</v>
      </c>
      <c r="N31" s="3">
        <f t="shared" si="9"/>
        <v>54005.305099972335</v>
      </c>
      <c r="O31" s="3">
        <f t="shared" si="10"/>
        <v>36099.793585581014</v>
      </c>
      <c r="P31" s="3">
        <f t="shared" si="11"/>
        <v>58505.747191636685</v>
      </c>
      <c r="Q31" s="3">
        <f t="shared" si="12"/>
        <v>95088.952906281032</v>
      </c>
      <c r="R31" s="3">
        <f t="shared" si="13"/>
        <v>40315.698724792943</v>
      </c>
      <c r="S31" s="3">
        <f t="shared" si="14"/>
        <v>31019.272970738533</v>
      </c>
      <c r="T31" t="str">
        <f>IF('Construction Planner'!$G$2="Goldmünzen","50000",IF('Construction Planner'!$G$2="Einlagerung",0,"Einstellung wählen"))</f>
        <v>50000</v>
      </c>
      <c r="U31">
        <v>30000</v>
      </c>
      <c r="V31" s="3">
        <f t="shared" si="15"/>
        <v>90008.841833287122</v>
      </c>
    </row>
    <row r="32" spans="1:22" x14ac:dyDescent="0.25">
      <c r="A32">
        <v>30</v>
      </c>
      <c r="B32" s="3">
        <f t="shared" si="1"/>
        <v>91809.018669952944</v>
      </c>
      <c r="C32" s="3">
        <f t="shared" si="2"/>
        <v>218543.57401922281</v>
      </c>
      <c r="D32" s="3">
        <f t="shared" si="3"/>
        <v>308532.10449772642</v>
      </c>
      <c r="E32" s="3">
        <f t="shared" si="3"/>
        <v>308532.10449772642</v>
      </c>
      <c r="F32" s="3">
        <f t="shared" si="3"/>
        <v>257110.0870814386</v>
      </c>
      <c r="G32" s="3">
        <f t="shared" si="3"/>
        <v>25711008.70814386</v>
      </c>
      <c r="H32" s="3">
        <f t="shared" si="3"/>
        <v>1328978.7180724633</v>
      </c>
      <c r="I32" s="3">
        <f t="shared" si="4"/>
        <v>13421772800000</v>
      </c>
      <c r="J32" s="3">
        <f t="shared" si="5"/>
        <v>206570.29200739405</v>
      </c>
      <c r="K32" s="3">
        <f t="shared" si="6"/>
        <v>45904.509334976472</v>
      </c>
      <c r="L32" s="3">
        <f t="shared" si="7"/>
        <v>252474.80134237063</v>
      </c>
      <c r="M32" s="3">
        <f t="shared" si="8"/>
        <v>114761.27333744107</v>
      </c>
      <c r="N32" s="3">
        <f t="shared" si="9"/>
        <v>68856.764002464726</v>
      </c>
      <c r="O32" s="3">
        <f t="shared" si="10"/>
        <v>45666.23888575998</v>
      </c>
      <c r="P32" s="3">
        <f t="shared" si="11"/>
        <v>74594.827669336766</v>
      </c>
      <c r="Q32" s="3">
        <f t="shared" si="12"/>
        <v>125517.41783629097</v>
      </c>
      <c r="R32" s="3">
        <f t="shared" si="13"/>
        <v>51200.937380487041</v>
      </c>
      <c r="S32" s="3">
        <f t="shared" si="14"/>
        <v>38774.091213423169</v>
      </c>
      <c r="T32" t="str">
        <f>IF('Construction Planner'!$G$2="Goldmünzen","50000",IF('Construction Planner'!$G$2="Einlagerung",0,"Einstellung wählen"))</f>
        <v>50000</v>
      </c>
      <c r="U32">
        <v>30000</v>
      </c>
      <c r="V32" s="3">
        <f t="shared" si="15"/>
        <v>114761.27333744107</v>
      </c>
    </row>
  </sheetData>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opLeftCell="K1" workbookViewId="0">
      <selection activeCell="T3" sqref="T3:T32"/>
    </sheetView>
  </sheetViews>
  <sheetFormatPr baseColWidth="10" defaultRowHeight="15" x14ac:dyDescent="0.25"/>
  <cols>
    <col min="1" max="259" width="9.140625" customWidth="1"/>
  </cols>
  <sheetData>
    <row r="1" spans="1:22" x14ac:dyDescent="0.25">
      <c r="B1" s="1" t="s">
        <v>0</v>
      </c>
      <c r="C1" s="1" t="s">
        <v>1</v>
      </c>
      <c r="D1" s="1" t="s">
        <v>2</v>
      </c>
      <c r="E1" s="1" t="s">
        <v>3</v>
      </c>
      <c r="F1" s="59" t="s">
        <v>59</v>
      </c>
      <c r="G1" s="59" t="s">
        <v>60</v>
      </c>
      <c r="H1" s="321" t="s">
        <v>64</v>
      </c>
      <c r="I1" s="1" t="s">
        <v>4</v>
      </c>
      <c r="J1" s="1" t="s">
        <v>5</v>
      </c>
      <c r="K1" s="1" t="s">
        <v>6</v>
      </c>
      <c r="L1" s="1" t="s">
        <v>7</v>
      </c>
      <c r="M1" s="1" t="s">
        <v>8</v>
      </c>
      <c r="N1" s="1" t="s">
        <v>9</v>
      </c>
      <c r="O1" s="1" t="s">
        <v>10</v>
      </c>
      <c r="P1" s="1" t="s">
        <v>11</v>
      </c>
      <c r="Q1" s="1" t="s">
        <v>12</v>
      </c>
      <c r="R1" s="1" t="s">
        <v>13</v>
      </c>
      <c r="S1" s="1" t="s">
        <v>14</v>
      </c>
      <c r="T1" s="1" t="s">
        <v>107</v>
      </c>
      <c r="U1" t="str">
        <f>IF('Construction Planner'!$G$2="Goldmünzen","Coin",IF('Construction Planner'!$G$2="Einlagerung","Package","Einstellung wählen"))</f>
        <v>Coin</v>
      </c>
      <c r="V1" s="1" t="s">
        <v>15</v>
      </c>
    </row>
    <row r="2" spans="1:22" x14ac:dyDescent="0.25">
      <c r="A2" s="6" t="s">
        <v>20</v>
      </c>
      <c r="B2" s="1">
        <v>1.26</v>
      </c>
      <c r="C2" s="1">
        <v>1.26</v>
      </c>
      <c r="D2" s="1">
        <v>1.26</v>
      </c>
      <c r="E2" s="1">
        <v>1.26</v>
      </c>
      <c r="F2" s="1">
        <v>1.26</v>
      </c>
      <c r="G2" s="1">
        <v>1.26</v>
      </c>
      <c r="H2" s="322">
        <v>1.18</v>
      </c>
      <c r="I2" s="1">
        <v>2</v>
      </c>
      <c r="J2" s="1">
        <v>1.26</v>
      </c>
      <c r="K2" s="1">
        <v>1.26</v>
      </c>
      <c r="L2" s="1">
        <v>1.26</v>
      </c>
      <c r="M2" s="1">
        <v>1.26</v>
      </c>
      <c r="N2" s="1">
        <v>1.2450000000000001</v>
      </c>
      <c r="O2" s="1">
        <v>1.24</v>
      </c>
      <c r="P2" s="1">
        <v>1.24</v>
      </c>
      <c r="Q2" s="1">
        <v>1.29</v>
      </c>
      <c r="R2" s="1">
        <v>1.2450000000000001</v>
      </c>
      <c r="S2" s="1">
        <v>1.25</v>
      </c>
      <c r="T2" s="1">
        <v>1</v>
      </c>
      <c r="U2" s="1">
        <v>1</v>
      </c>
      <c r="V2" s="1">
        <v>1.26</v>
      </c>
    </row>
    <row r="3" spans="1:22" x14ac:dyDescent="0.25">
      <c r="A3">
        <v>1</v>
      </c>
      <c r="B3">
        <v>70</v>
      </c>
      <c r="C3">
        <v>90</v>
      </c>
      <c r="D3">
        <v>260</v>
      </c>
      <c r="E3">
        <v>260</v>
      </c>
      <c r="F3">
        <v>50</v>
      </c>
      <c r="G3">
        <v>5000</v>
      </c>
      <c r="H3">
        <v>10000</v>
      </c>
      <c r="I3">
        <v>10000</v>
      </c>
      <c r="J3">
        <v>240</v>
      </c>
      <c r="K3">
        <v>30</v>
      </c>
      <c r="L3">
        <v>220</v>
      </c>
      <c r="M3">
        <v>100</v>
      </c>
      <c r="N3">
        <v>40</v>
      </c>
      <c r="O3">
        <v>40</v>
      </c>
      <c r="P3">
        <v>70</v>
      </c>
      <c r="Q3">
        <v>30</v>
      </c>
      <c r="R3">
        <v>40</v>
      </c>
      <c r="S3">
        <v>50</v>
      </c>
      <c r="T3" t="str">
        <f>IF('Construction Planner'!$G$2="Goldmünzen","50000",IF('Construction Planner'!$G$2="Einlagerung",0,"Einstellung wählen"))</f>
        <v>50000</v>
      </c>
      <c r="U3">
        <v>25000</v>
      </c>
      <c r="V3">
        <v>20</v>
      </c>
    </row>
    <row r="4" spans="1:22" x14ac:dyDescent="0.25">
      <c r="A4">
        <v>2</v>
      </c>
      <c r="B4" s="3">
        <f>B$2*B3</f>
        <v>88.2</v>
      </c>
      <c r="C4" s="3">
        <f t="shared" ref="C4:V19" si="0">C$2*C3</f>
        <v>113.4</v>
      </c>
      <c r="D4" s="3">
        <f t="shared" si="0"/>
        <v>327.60000000000002</v>
      </c>
      <c r="E4" s="3">
        <f t="shared" si="0"/>
        <v>327.60000000000002</v>
      </c>
      <c r="F4" s="3">
        <f t="shared" si="0"/>
        <v>63</v>
      </c>
      <c r="G4" s="3">
        <f t="shared" si="0"/>
        <v>6300</v>
      </c>
      <c r="H4" s="3">
        <f t="shared" si="0"/>
        <v>11800</v>
      </c>
      <c r="I4" s="3">
        <f t="shared" si="0"/>
        <v>20000</v>
      </c>
      <c r="J4" s="3">
        <f t="shared" si="0"/>
        <v>302.39999999999998</v>
      </c>
      <c r="K4" s="3">
        <f t="shared" si="0"/>
        <v>37.799999999999997</v>
      </c>
      <c r="L4" s="3">
        <f t="shared" si="0"/>
        <v>277.2</v>
      </c>
      <c r="M4" s="3">
        <f t="shared" si="0"/>
        <v>126</v>
      </c>
      <c r="N4" s="3">
        <f t="shared" si="0"/>
        <v>49.800000000000004</v>
      </c>
      <c r="O4" s="3">
        <f t="shared" si="0"/>
        <v>49.6</v>
      </c>
      <c r="P4" s="3">
        <f t="shared" si="0"/>
        <v>86.8</v>
      </c>
      <c r="Q4" s="3">
        <f t="shared" si="0"/>
        <v>38.700000000000003</v>
      </c>
      <c r="R4" s="3">
        <f t="shared" si="0"/>
        <v>49.800000000000004</v>
      </c>
      <c r="S4" s="3">
        <f t="shared" si="0"/>
        <v>62.5</v>
      </c>
      <c r="T4" t="str">
        <f>IF('Construction Planner'!$G$2="Goldmünzen","50000",IF('Construction Planner'!$G$2="Einlagerung",0,"Einstellung wählen"))</f>
        <v>50000</v>
      </c>
      <c r="U4">
        <v>25000</v>
      </c>
      <c r="V4" s="3">
        <f t="shared" si="0"/>
        <v>25.2</v>
      </c>
    </row>
    <row r="5" spans="1:22" x14ac:dyDescent="0.25">
      <c r="A5">
        <v>3</v>
      </c>
      <c r="B5" s="3">
        <f t="shared" ref="B5:B32" si="1">B$2*B4</f>
        <v>111.13200000000001</v>
      </c>
      <c r="C5" s="3">
        <f t="shared" ref="C5:C32" si="2">C$2*C4</f>
        <v>142.88400000000001</v>
      </c>
      <c r="D5" s="3">
        <f t="shared" ref="D5:D32" si="3">D$2*D4</f>
        <v>412.77600000000001</v>
      </c>
      <c r="E5" s="3">
        <f t="shared" ref="E5:G32" si="4">E$2*E4</f>
        <v>412.77600000000001</v>
      </c>
      <c r="F5" s="3">
        <f t="shared" si="4"/>
        <v>79.38</v>
      </c>
      <c r="G5" s="3">
        <f t="shared" si="4"/>
        <v>7938</v>
      </c>
      <c r="H5" s="3">
        <f t="shared" si="0"/>
        <v>13924</v>
      </c>
      <c r="I5" s="3">
        <f t="shared" ref="I5:I32" si="5">I$2*I4</f>
        <v>40000</v>
      </c>
      <c r="J5" s="3">
        <f t="shared" ref="J5:J32" si="6">J$2*J4</f>
        <v>381.024</v>
      </c>
      <c r="K5" s="3">
        <f t="shared" ref="K5:K32" si="7">K$2*K4</f>
        <v>47.628</v>
      </c>
      <c r="L5" s="3">
        <f t="shared" ref="L5:L32" si="8">L$2*L4</f>
        <v>349.27199999999999</v>
      </c>
      <c r="M5" s="3">
        <f t="shared" ref="M5:M32" si="9">M$2*M4</f>
        <v>158.76</v>
      </c>
      <c r="N5" s="3">
        <f t="shared" ref="N5:N32" si="10">N$2*N4</f>
        <v>62.001000000000012</v>
      </c>
      <c r="O5" s="3">
        <f t="shared" ref="O5:O32" si="11">O$2*O4</f>
        <v>61.503999999999998</v>
      </c>
      <c r="P5" s="3">
        <f t="shared" ref="P5:P32" si="12">P$2*P4</f>
        <v>107.63199999999999</v>
      </c>
      <c r="Q5" s="3">
        <f t="shared" ref="Q5:Q32" si="13">Q$2*Q4</f>
        <v>49.923000000000002</v>
      </c>
      <c r="R5" s="3">
        <f t="shared" ref="R5:R32" si="14">R$2*R4</f>
        <v>62.001000000000012</v>
      </c>
      <c r="S5" s="3">
        <f t="shared" ref="S5:S32" si="15">S$2*S4</f>
        <v>78.125</v>
      </c>
      <c r="T5" t="str">
        <f>IF('Construction Planner'!$G$2="Goldmünzen","50000",IF('Construction Planner'!$G$2="Einlagerung",0,"Einstellung wählen"))</f>
        <v>50000</v>
      </c>
      <c r="U5">
        <v>25000</v>
      </c>
      <c r="V5" s="3">
        <f t="shared" ref="V5:V32" si="16">V$2*V4</f>
        <v>31.751999999999999</v>
      </c>
    </row>
    <row r="6" spans="1:22" x14ac:dyDescent="0.25">
      <c r="A6">
        <v>4</v>
      </c>
      <c r="B6" s="3">
        <f t="shared" si="1"/>
        <v>140.02632</v>
      </c>
      <c r="C6" s="3">
        <f t="shared" si="2"/>
        <v>180.03384000000003</v>
      </c>
      <c r="D6" s="3">
        <f t="shared" si="3"/>
        <v>520.09775999999999</v>
      </c>
      <c r="E6" s="3">
        <f t="shared" si="4"/>
        <v>520.09775999999999</v>
      </c>
      <c r="F6" s="3">
        <f t="shared" si="4"/>
        <v>100.0188</v>
      </c>
      <c r="G6" s="3">
        <f t="shared" si="4"/>
        <v>10001.879999999999</v>
      </c>
      <c r="H6" s="3">
        <f t="shared" si="0"/>
        <v>16430.32</v>
      </c>
      <c r="I6" s="3">
        <f t="shared" si="5"/>
        <v>80000</v>
      </c>
      <c r="J6" s="3">
        <f t="shared" si="6"/>
        <v>480.09023999999999</v>
      </c>
      <c r="K6" s="3">
        <f t="shared" si="7"/>
        <v>60.011279999999999</v>
      </c>
      <c r="L6" s="3">
        <f t="shared" si="8"/>
        <v>440.08271999999999</v>
      </c>
      <c r="M6" s="3">
        <f t="shared" si="9"/>
        <v>200.0376</v>
      </c>
      <c r="N6" s="3">
        <f t="shared" si="10"/>
        <v>77.191245000000023</v>
      </c>
      <c r="O6" s="3">
        <f t="shared" si="11"/>
        <v>76.264960000000002</v>
      </c>
      <c r="P6" s="3">
        <f t="shared" si="12"/>
        <v>133.46367999999998</v>
      </c>
      <c r="Q6" s="3">
        <f t="shared" si="13"/>
        <v>64.400670000000005</v>
      </c>
      <c r="R6" s="3">
        <f t="shared" si="14"/>
        <v>77.191245000000023</v>
      </c>
      <c r="S6" s="3">
        <f t="shared" si="15"/>
        <v>97.65625</v>
      </c>
      <c r="T6" t="str">
        <f>IF('Construction Planner'!$G$2="Goldmünzen","50000",IF('Construction Planner'!$G$2="Einlagerung",0,"Einstellung wählen"))</f>
        <v>50000</v>
      </c>
      <c r="U6">
        <v>25000</v>
      </c>
      <c r="V6" s="3">
        <f t="shared" si="16"/>
        <v>40.00752</v>
      </c>
    </row>
    <row r="7" spans="1:22" x14ac:dyDescent="0.25">
      <c r="A7">
        <v>5</v>
      </c>
      <c r="B7" s="3">
        <f t="shared" si="1"/>
        <v>176.4331632</v>
      </c>
      <c r="C7" s="3">
        <f t="shared" si="2"/>
        <v>226.84263840000003</v>
      </c>
      <c r="D7" s="3">
        <f t="shared" si="3"/>
        <v>655.32317760000001</v>
      </c>
      <c r="E7" s="3">
        <f t="shared" si="4"/>
        <v>655.32317760000001</v>
      </c>
      <c r="F7" s="3">
        <f t="shared" si="4"/>
        <v>126.02368799999999</v>
      </c>
      <c r="G7" s="3">
        <f t="shared" si="4"/>
        <v>12602.368799999998</v>
      </c>
      <c r="H7" s="3">
        <f t="shared" si="0"/>
        <v>19387.777599999998</v>
      </c>
      <c r="I7" s="3">
        <f t="shared" si="5"/>
        <v>160000</v>
      </c>
      <c r="J7" s="3">
        <f t="shared" si="6"/>
        <v>604.91370240000003</v>
      </c>
      <c r="K7" s="3">
        <f t="shared" si="7"/>
        <v>75.614212800000004</v>
      </c>
      <c r="L7" s="3">
        <f t="shared" si="8"/>
        <v>554.50422719999995</v>
      </c>
      <c r="M7" s="3">
        <f t="shared" si="9"/>
        <v>252.04737599999999</v>
      </c>
      <c r="N7" s="3">
        <f t="shared" si="10"/>
        <v>96.103100025000032</v>
      </c>
      <c r="O7" s="3">
        <f t="shared" si="11"/>
        <v>94.568550400000007</v>
      </c>
      <c r="P7" s="3">
        <f t="shared" si="12"/>
        <v>165.49496319999997</v>
      </c>
      <c r="Q7" s="3">
        <f t="shared" si="13"/>
        <v>83.076864300000011</v>
      </c>
      <c r="R7" s="3">
        <f t="shared" si="14"/>
        <v>96.103100025000032</v>
      </c>
      <c r="S7" s="3">
        <f t="shared" si="15"/>
        <v>122.0703125</v>
      </c>
      <c r="T7" t="str">
        <f>IF('Construction Planner'!$G$2="Goldmünzen","50000",IF('Construction Planner'!$G$2="Einlagerung",0,"Einstellung wählen"))</f>
        <v>50000</v>
      </c>
      <c r="U7">
        <v>25000</v>
      </c>
      <c r="V7" s="3">
        <f t="shared" si="16"/>
        <v>50.409475200000003</v>
      </c>
    </row>
    <row r="8" spans="1:22" x14ac:dyDescent="0.25">
      <c r="A8">
        <v>6</v>
      </c>
      <c r="B8" s="3">
        <f t="shared" si="1"/>
        <v>222.30578563200001</v>
      </c>
      <c r="C8" s="3">
        <f t="shared" si="2"/>
        <v>285.82172438400005</v>
      </c>
      <c r="D8" s="3">
        <f t="shared" si="3"/>
        <v>825.70720377600003</v>
      </c>
      <c r="E8" s="3">
        <f t="shared" si="4"/>
        <v>825.70720377600003</v>
      </c>
      <c r="F8" s="3">
        <f t="shared" si="4"/>
        <v>158.78984688</v>
      </c>
      <c r="G8" s="3">
        <f t="shared" si="4"/>
        <v>15878.984687999999</v>
      </c>
      <c r="H8" s="3">
        <f t="shared" si="0"/>
        <v>22877.577567999997</v>
      </c>
      <c r="I8" s="3">
        <f t="shared" si="5"/>
        <v>320000</v>
      </c>
      <c r="J8" s="3">
        <f t="shared" si="6"/>
        <v>762.19126502400002</v>
      </c>
      <c r="K8" s="3">
        <f t="shared" si="7"/>
        <v>95.273908128000002</v>
      </c>
      <c r="L8" s="3">
        <f t="shared" si="8"/>
        <v>698.67532627199989</v>
      </c>
      <c r="M8" s="3">
        <f t="shared" si="9"/>
        <v>317.57969376</v>
      </c>
      <c r="N8" s="3">
        <f t="shared" si="10"/>
        <v>119.64835953112505</v>
      </c>
      <c r="O8" s="3">
        <f t="shared" si="11"/>
        <v>117.26500249600001</v>
      </c>
      <c r="P8" s="3">
        <f t="shared" si="12"/>
        <v>205.21375436799997</v>
      </c>
      <c r="Q8" s="3">
        <f t="shared" si="13"/>
        <v>107.16915494700002</v>
      </c>
      <c r="R8" s="3">
        <f t="shared" si="14"/>
        <v>119.64835953112505</v>
      </c>
      <c r="S8" s="3">
        <f t="shared" si="15"/>
        <v>152.587890625</v>
      </c>
      <c r="T8" t="str">
        <f>IF('Construction Planner'!$G$2="Goldmünzen","50000",IF('Construction Planner'!$G$2="Einlagerung",0,"Einstellung wählen"))</f>
        <v>50000</v>
      </c>
      <c r="U8">
        <v>25000</v>
      </c>
      <c r="V8" s="3">
        <f t="shared" si="16"/>
        <v>63.515938752000004</v>
      </c>
    </row>
    <row r="9" spans="1:22" x14ac:dyDescent="0.25">
      <c r="A9">
        <v>7</v>
      </c>
      <c r="B9" s="3">
        <f t="shared" si="1"/>
        <v>280.10528989632002</v>
      </c>
      <c r="C9" s="3">
        <f t="shared" si="2"/>
        <v>360.13537272384008</v>
      </c>
      <c r="D9" s="3">
        <f t="shared" si="3"/>
        <v>1040.3910767577599</v>
      </c>
      <c r="E9" s="3">
        <f t="shared" si="4"/>
        <v>1040.3910767577599</v>
      </c>
      <c r="F9" s="3">
        <f t="shared" si="4"/>
        <v>200.07520706880001</v>
      </c>
      <c r="G9" s="3">
        <f t="shared" si="4"/>
        <v>20007.520706879997</v>
      </c>
      <c r="H9" s="3">
        <f t="shared" si="0"/>
        <v>26995.541530239996</v>
      </c>
      <c r="I9" s="3">
        <f t="shared" si="5"/>
        <v>640000</v>
      </c>
      <c r="J9" s="3">
        <f t="shared" si="6"/>
        <v>960.36099393024006</v>
      </c>
      <c r="K9" s="3">
        <f t="shared" si="7"/>
        <v>120.04512424128001</v>
      </c>
      <c r="L9" s="3">
        <f t="shared" si="8"/>
        <v>880.33091110271982</v>
      </c>
      <c r="M9" s="3">
        <f t="shared" si="9"/>
        <v>400.15041413760002</v>
      </c>
      <c r="N9" s="3">
        <f t="shared" si="10"/>
        <v>148.96220761625071</v>
      </c>
      <c r="O9" s="3">
        <f t="shared" si="11"/>
        <v>145.40860309504001</v>
      </c>
      <c r="P9" s="3">
        <f t="shared" si="12"/>
        <v>254.46505541631996</v>
      </c>
      <c r="Q9" s="3">
        <f t="shared" si="13"/>
        <v>138.24820988163003</v>
      </c>
      <c r="R9" s="3">
        <f t="shared" si="14"/>
        <v>148.96220761625071</v>
      </c>
      <c r="S9" s="3">
        <f t="shared" si="15"/>
        <v>190.73486328125</v>
      </c>
      <c r="T9" t="str">
        <f>IF('Construction Planner'!$G$2="Goldmünzen","50000",IF('Construction Planner'!$G$2="Einlagerung",0,"Einstellung wählen"))</f>
        <v>50000</v>
      </c>
      <c r="U9">
        <v>25000</v>
      </c>
      <c r="V9" s="3">
        <f t="shared" si="16"/>
        <v>80.030082827520005</v>
      </c>
    </row>
    <row r="10" spans="1:22" x14ac:dyDescent="0.25">
      <c r="A10">
        <v>8</v>
      </c>
      <c r="B10" s="3">
        <f t="shared" si="1"/>
        <v>352.93266526936321</v>
      </c>
      <c r="C10" s="3">
        <f t="shared" si="2"/>
        <v>453.77056963203847</v>
      </c>
      <c r="D10" s="3">
        <f t="shared" si="3"/>
        <v>1310.8927567147775</v>
      </c>
      <c r="E10" s="3">
        <f t="shared" si="4"/>
        <v>1310.8927567147775</v>
      </c>
      <c r="F10" s="3">
        <f t="shared" si="4"/>
        <v>252.09476090668801</v>
      </c>
      <c r="G10" s="3">
        <f t="shared" si="4"/>
        <v>25209.476090668795</v>
      </c>
      <c r="H10" s="3">
        <f t="shared" si="0"/>
        <v>31854.739005683194</v>
      </c>
      <c r="I10" s="3">
        <f t="shared" si="5"/>
        <v>1280000</v>
      </c>
      <c r="J10" s="3">
        <f t="shared" si="6"/>
        <v>1210.0548523521024</v>
      </c>
      <c r="K10" s="3">
        <f t="shared" si="7"/>
        <v>151.25685654401281</v>
      </c>
      <c r="L10" s="3">
        <f t="shared" si="8"/>
        <v>1109.2169479894269</v>
      </c>
      <c r="M10" s="3">
        <f t="shared" si="9"/>
        <v>504.18952181337602</v>
      </c>
      <c r="N10" s="3">
        <f t="shared" si="10"/>
        <v>185.45794848223215</v>
      </c>
      <c r="O10" s="3">
        <f t="shared" si="11"/>
        <v>180.3066678378496</v>
      </c>
      <c r="P10" s="3">
        <f t="shared" si="12"/>
        <v>315.53666871623676</v>
      </c>
      <c r="Q10" s="3">
        <f t="shared" si="13"/>
        <v>178.34019074730276</v>
      </c>
      <c r="R10" s="3">
        <f t="shared" si="14"/>
        <v>185.45794848223215</v>
      </c>
      <c r="S10" s="3">
        <f t="shared" si="15"/>
        <v>238.4185791015625</v>
      </c>
      <c r="T10" t="str">
        <f>IF('Construction Planner'!$G$2="Goldmünzen","50000",IF('Construction Planner'!$G$2="Einlagerung",0,"Einstellung wählen"))</f>
        <v>50000</v>
      </c>
      <c r="U10">
        <v>25000</v>
      </c>
      <c r="V10" s="3">
        <f t="shared" si="16"/>
        <v>100.8379043626752</v>
      </c>
    </row>
    <row r="11" spans="1:22" x14ac:dyDescent="0.25">
      <c r="A11">
        <v>9</v>
      </c>
      <c r="B11" s="3">
        <f t="shared" si="1"/>
        <v>444.69515823939764</v>
      </c>
      <c r="C11" s="3">
        <f t="shared" si="2"/>
        <v>571.75091773636848</v>
      </c>
      <c r="D11" s="3">
        <f t="shared" si="3"/>
        <v>1651.7248734606196</v>
      </c>
      <c r="E11" s="3">
        <f t="shared" si="4"/>
        <v>1651.7248734606196</v>
      </c>
      <c r="F11" s="3">
        <f t="shared" si="4"/>
        <v>317.63939874242692</v>
      </c>
      <c r="G11" s="3">
        <f t="shared" si="4"/>
        <v>31763.939874242682</v>
      </c>
      <c r="H11" s="3">
        <f t="shared" si="0"/>
        <v>37588.592026706167</v>
      </c>
      <c r="I11" s="3">
        <f t="shared" si="5"/>
        <v>2560000</v>
      </c>
      <c r="J11" s="3">
        <f t="shared" si="6"/>
        <v>1524.6691139636491</v>
      </c>
      <c r="K11" s="3">
        <f t="shared" si="7"/>
        <v>190.58363924545614</v>
      </c>
      <c r="L11" s="3">
        <f t="shared" si="8"/>
        <v>1397.6133544666779</v>
      </c>
      <c r="M11" s="3">
        <f t="shared" si="9"/>
        <v>635.27879748485384</v>
      </c>
      <c r="N11" s="3">
        <f t="shared" si="10"/>
        <v>230.89514586037905</v>
      </c>
      <c r="O11" s="3">
        <f t="shared" si="11"/>
        <v>223.5802681189335</v>
      </c>
      <c r="P11" s="3">
        <f t="shared" si="12"/>
        <v>391.2654692081336</v>
      </c>
      <c r="Q11" s="3">
        <f t="shared" si="13"/>
        <v>230.05884606402057</v>
      </c>
      <c r="R11" s="3">
        <f t="shared" si="14"/>
        <v>230.89514586037905</v>
      </c>
      <c r="S11" s="3">
        <f t="shared" si="15"/>
        <v>298.02322387695312</v>
      </c>
      <c r="T11" t="str">
        <f>IF('Construction Planner'!$G$2="Goldmünzen","50000",IF('Construction Planner'!$G$2="Einlagerung",0,"Einstellung wählen"))</f>
        <v>50000</v>
      </c>
      <c r="U11">
        <v>25000</v>
      </c>
      <c r="V11" s="3">
        <f t="shared" si="16"/>
        <v>127.05575949697075</v>
      </c>
    </row>
    <row r="12" spans="1:22" x14ac:dyDescent="0.25">
      <c r="A12">
        <v>10</v>
      </c>
      <c r="B12" s="3">
        <f t="shared" si="1"/>
        <v>560.31589938164109</v>
      </c>
      <c r="C12" s="3">
        <f t="shared" si="2"/>
        <v>720.40615634782432</v>
      </c>
      <c r="D12" s="3">
        <f t="shared" si="3"/>
        <v>2081.1733405603809</v>
      </c>
      <c r="E12" s="3">
        <f t="shared" si="4"/>
        <v>2081.1733405603809</v>
      </c>
      <c r="F12" s="3">
        <f t="shared" si="4"/>
        <v>400.22564241545791</v>
      </c>
      <c r="G12" s="3">
        <f t="shared" si="4"/>
        <v>40022.564241545777</v>
      </c>
      <c r="H12" s="3">
        <f t="shared" si="0"/>
        <v>44354.538591513272</v>
      </c>
      <c r="I12" s="3">
        <f t="shared" si="5"/>
        <v>5120000</v>
      </c>
      <c r="J12" s="3">
        <f t="shared" si="6"/>
        <v>1921.0830835941979</v>
      </c>
      <c r="K12" s="3">
        <f t="shared" si="7"/>
        <v>240.13538544927474</v>
      </c>
      <c r="L12" s="3">
        <f t="shared" si="8"/>
        <v>1760.9928266280142</v>
      </c>
      <c r="M12" s="3">
        <f t="shared" si="9"/>
        <v>800.45128483091582</v>
      </c>
      <c r="N12" s="3">
        <f t="shared" si="10"/>
        <v>287.46445659617194</v>
      </c>
      <c r="O12" s="3">
        <f t="shared" si="11"/>
        <v>277.23953246747755</v>
      </c>
      <c r="P12" s="3">
        <f t="shared" si="12"/>
        <v>485.16918181808563</v>
      </c>
      <c r="Q12" s="3">
        <f t="shared" si="13"/>
        <v>296.77591142258655</v>
      </c>
      <c r="R12" s="3">
        <f t="shared" si="14"/>
        <v>287.46445659617194</v>
      </c>
      <c r="S12" s="3">
        <f t="shared" si="15"/>
        <v>372.52902984619141</v>
      </c>
      <c r="T12" t="str">
        <f>IF('Construction Planner'!$G$2="Goldmünzen","50000",IF('Construction Planner'!$G$2="Einlagerung",0,"Einstellung wählen"))</f>
        <v>50000</v>
      </c>
      <c r="U12">
        <v>25000</v>
      </c>
      <c r="V12" s="3">
        <f t="shared" si="16"/>
        <v>160.09025696618315</v>
      </c>
    </row>
    <row r="13" spans="1:22" x14ac:dyDescent="0.25">
      <c r="A13">
        <v>11</v>
      </c>
      <c r="B13" s="3">
        <f t="shared" si="1"/>
        <v>705.9980332208678</v>
      </c>
      <c r="C13" s="3">
        <f t="shared" si="2"/>
        <v>907.71175699825869</v>
      </c>
      <c r="D13" s="3">
        <f t="shared" si="3"/>
        <v>2622.2784091060798</v>
      </c>
      <c r="E13" s="3">
        <f t="shared" si="4"/>
        <v>2622.2784091060798</v>
      </c>
      <c r="F13" s="3">
        <f t="shared" ref="F13:G18" si="17">F$2*F12</f>
        <v>504.28430944347696</v>
      </c>
      <c r="G13" s="3">
        <f t="shared" si="17"/>
        <v>50428.430944347681</v>
      </c>
      <c r="H13" s="3">
        <f t="shared" si="0"/>
        <v>52338.355537985655</v>
      </c>
      <c r="I13" s="3">
        <f t="shared" si="5"/>
        <v>10240000</v>
      </c>
      <c r="J13" s="3">
        <f t="shared" si="6"/>
        <v>2420.5646853286894</v>
      </c>
      <c r="K13" s="3">
        <f t="shared" si="7"/>
        <v>302.57058566608617</v>
      </c>
      <c r="L13" s="3">
        <f t="shared" si="8"/>
        <v>2218.850961551298</v>
      </c>
      <c r="M13" s="3">
        <f t="shared" si="9"/>
        <v>1008.5686188869539</v>
      </c>
      <c r="N13" s="3">
        <f t="shared" si="10"/>
        <v>357.89324846223411</v>
      </c>
      <c r="O13" s="3">
        <f t="shared" si="11"/>
        <v>343.77702025967216</v>
      </c>
      <c r="P13" s="3">
        <f t="shared" si="12"/>
        <v>601.60978545442617</v>
      </c>
      <c r="Q13" s="3">
        <f t="shared" si="13"/>
        <v>382.84092573513664</v>
      </c>
      <c r="R13" s="3">
        <f t="shared" si="14"/>
        <v>357.89324846223411</v>
      </c>
      <c r="S13" s="3">
        <f t="shared" si="15"/>
        <v>465.66128730773926</v>
      </c>
      <c r="T13" t="str">
        <f>IF('Construction Planner'!$G$2="Goldmünzen","50000",IF('Construction Planner'!$G$2="Einlagerung",0,"Einstellung wählen"))</f>
        <v>50000</v>
      </c>
      <c r="U13">
        <v>25000</v>
      </c>
      <c r="V13" s="3">
        <f t="shared" si="16"/>
        <v>201.71372377739075</v>
      </c>
    </row>
    <row r="14" spans="1:22" x14ac:dyDescent="0.25">
      <c r="A14">
        <v>12</v>
      </c>
      <c r="B14" s="3">
        <f t="shared" si="1"/>
        <v>889.5575218582934</v>
      </c>
      <c r="C14" s="3">
        <f t="shared" si="2"/>
        <v>1143.716813817806</v>
      </c>
      <c r="D14" s="3">
        <f t="shared" si="3"/>
        <v>3304.0707954736608</v>
      </c>
      <c r="E14" s="3">
        <f t="shared" si="4"/>
        <v>3304.0707954736608</v>
      </c>
      <c r="F14" s="3">
        <f t="shared" si="17"/>
        <v>635.39822989878098</v>
      </c>
      <c r="G14" s="3">
        <f t="shared" si="17"/>
        <v>63539.822989878077</v>
      </c>
      <c r="H14" s="3">
        <f t="shared" si="0"/>
        <v>61759.259534823068</v>
      </c>
      <c r="I14" s="3">
        <f t="shared" si="5"/>
        <v>20480000</v>
      </c>
      <c r="J14" s="3">
        <f t="shared" si="6"/>
        <v>3049.9115035141485</v>
      </c>
      <c r="K14" s="3">
        <f t="shared" si="7"/>
        <v>381.23893793926857</v>
      </c>
      <c r="L14" s="3">
        <f t="shared" si="8"/>
        <v>2795.7522115546358</v>
      </c>
      <c r="M14" s="3">
        <f t="shared" si="9"/>
        <v>1270.796459797562</v>
      </c>
      <c r="N14" s="3">
        <f t="shared" si="10"/>
        <v>445.57709433548149</v>
      </c>
      <c r="O14" s="3">
        <f t="shared" si="11"/>
        <v>426.28350512199347</v>
      </c>
      <c r="P14" s="3">
        <f t="shared" si="12"/>
        <v>745.99613396348843</v>
      </c>
      <c r="Q14" s="3">
        <f t="shared" si="13"/>
        <v>493.86479419832625</v>
      </c>
      <c r="R14" s="3">
        <f t="shared" si="14"/>
        <v>445.57709433548149</v>
      </c>
      <c r="S14" s="3">
        <f t="shared" si="15"/>
        <v>582.07660913467407</v>
      </c>
      <c r="T14" t="str">
        <f>IF('Construction Planner'!$G$2="Goldmünzen","50000",IF('Construction Planner'!$G$2="Einlagerung",0,"Einstellung wählen"))</f>
        <v>50000</v>
      </c>
      <c r="U14">
        <v>25000</v>
      </c>
      <c r="V14" s="3">
        <f t="shared" si="16"/>
        <v>254.15929195951236</v>
      </c>
    </row>
    <row r="15" spans="1:22" x14ac:dyDescent="0.25">
      <c r="A15">
        <v>13</v>
      </c>
      <c r="B15" s="3">
        <f t="shared" si="1"/>
        <v>1120.8424775414496</v>
      </c>
      <c r="C15" s="3">
        <f t="shared" si="2"/>
        <v>1441.0831854104356</v>
      </c>
      <c r="D15" s="3">
        <f t="shared" si="3"/>
        <v>4163.1292022968128</v>
      </c>
      <c r="E15" s="3">
        <f t="shared" si="4"/>
        <v>4163.1292022968128</v>
      </c>
      <c r="F15" s="3">
        <f t="shared" si="17"/>
        <v>800.601769672464</v>
      </c>
      <c r="G15" s="3">
        <f t="shared" si="17"/>
        <v>80060.176967246385</v>
      </c>
      <c r="H15" s="3">
        <f t="shared" si="0"/>
        <v>72875.926251091223</v>
      </c>
      <c r="I15" s="3">
        <f t="shared" si="5"/>
        <v>40960000</v>
      </c>
      <c r="J15" s="3">
        <f t="shared" si="6"/>
        <v>3842.888494427827</v>
      </c>
      <c r="K15" s="3">
        <f t="shared" si="7"/>
        <v>480.36106180347838</v>
      </c>
      <c r="L15" s="3">
        <f t="shared" si="8"/>
        <v>3522.6477865588413</v>
      </c>
      <c r="M15" s="3">
        <f t="shared" si="9"/>
        <v>1601.203539344928</v>
      </c>
      <c r="N15" s="3">
        <f t="shared" si="10"/>
        <v>554.74348244767452</v>
      </c>
      <c r="O15" s="3">
        <f t="shared" si="11"/>
        <v>528.59154635127186</v>
      </c>
      <c r="P15" s="3">
        <f t="shared" si="12"/>
        <v>925.03520611472561</v>
      </c>
      <c r="Q15" s="3">
        <f t="shared" si="13"/>
        <v>637.08558451584088</v>
      </c>
      <c r="R15" s="3">
        <f t="shared" si="14"/>
        <v>554.74348244767452</v>
      </c>
      <c r="S15" s="3">
        <f t="shared" si="15"/>
        <v>727.59576141834259</v>
      </c>
      <c r="T15" t="str">
        <f>IF('Construction Planner'!$G$2="Goldmünzen","50000",IF('Construction Planner'!$G$2="Einlagerung",0,"Einstellung wählen"))</f>
        <v>50000</v>
      </c>
      <c r="U15">
        <v>25000</v>
      </c>
      <c r="V15" s="3">
        <f t="shared" si="16"/>
        <v>320.24070786898557</v>
      </c>
    </row>
    <row r="16" spans="1:22" x14ac:dyDescent="0.25">
      <c r="A16">
        <v>14</v>
      </c>
      <c r="B16" s="3">
        <f t="shared" si="1"/>
        <v>1412.2615217022264</v>
      </c>
      <c r="C16" s="3">
        <f t="shared" si="2"/>
        <v>1815.7648136171488</v>
      </c>
      <c r="D16" s="3">
        <f t="shared" si="3"/>
        <v>5245.5427948939841</v>
      </c>
      <c r="E16" s="3">
        <f t="shared" si="4"/>
        <v>5245.5427948939841</v>
      </c>
      <c r="F16" s="3">
        <f t="shared" si="17"/>
        <v>1008.7582297873047</v>
      </c>
      <c r="G16" s="3">
        <f t="shared" si="17"/>
        <v>100875.82297873044</v>
      </c>
      <c r="H16" s="3">
        <f t="shared" si="0"/>
        <v>85993.592976287633</v>
      </c>
      <c r="I16" s="3">
        <f t="shared" si="5"/>
        <v>81920000</v>
      </c>
      <c r="J16" s="3">
        <f t="shared" si="6"/>
        <v>4842.0395029790625</v>
      </c>
      <c r="K16" s="3">
        <f t="shared" si="7"/>
        <v>605.25493787238281</v>
      </c>
      <c r="L16" s="3">
        <f t="shared" si="8"/>
        <v>4438.5362110641399</v>
      </c>
      <c r="M16" s="3">
        <f t="shared" si="9"/>
        <v>2017.5164595746094</v>
      </c>
      <c r="N16" s="3">
        <f t="shared" si="10"/>
        <v>690.65563564735487</v>
      </c>
      <c r="O16" s="3">
        <f t="shared" si="11"/>
        <v>655.45351747557709</v>
      </c>
      <c r="P16" s="3">
        <f t="shared" si="12"/>
        <v>1147.0436555822598</v>
      </c>
      <c r="Q16" s="3">
        <f t="shared" si="13"/>
        <v>821.84040402543474</v>
      </c>
      <c r="R16" s="3">
        <f t="shared" si="14"/>
        <v>690.65563564735487</v>
      </c>
      <c r="S16" s="3">
        <f t="shared" si="15"/>
        <v>909.49470177292824</v>
      </c>
      <c r="T16" t="str">
        <f>IF('Construction Planner'!$G$2="Goldmünzen","50000",IF('Construction Planner'!$G$2="Einlagerung",0,"Einstellung wählen"))</f>
        <v>50000</v>
      </c>
      <c r="U16">
        <v>25000</v>
      </c>
      <c r="V16" s="3">
        <f t="shared" si="16"/>
        <v>403.50329191492182</v>
      </c>
    </row>
    <row r="17" spans="1:22" x14ac:dyDescent="0.25">
      <c r="A17">
        <v>15</v>
      </c>
      <c r="B17" s="3">
        <f t="shared" si="1"/>
        <v>1779.4495173448054</v>
      </c>
      <c r="C17" s="3">
        <f t="shared" si="2"/>
        <v>2287.8636651576076</v>
      </c>
      <c r="D17" s="3">
        <f t="shared" si="3"/>
        <v>6609.3839215664202</v>
      </c>
      <c r="E17" s="3">
        <f t="shared" si="4"/>
        <v>6609.3839215664202</v>
      </c>
      <c r="F17" s="3">
        <f t="shared" si="17"/>
        <v>1271.0353695320039</v>
      </c>
      <c r="G17" s="3">
        <f t="shared" si="17"/>
        <v>127103.53695320037</v>
      </c>
      <c r="H17" s="3">
        <f t="shared" si="0"/>
        <v>101472.4397120194</v>
      </c>
      <c r="I17" s="3">
        <f t="shared" si="5"/>
        <v>163840000</v>
      </c>
      <c r="J17" s="3">
        <f t="shared" si="6"/>
        <v>6100.9697737536189</v>
      </c>
      <c r="K17" s="3">
        <f t="shared" si="7"/>
        <v>762.62122171920237</v>
      </c>
      <c r="L17" s="3">
        <f t="shared" si="8"/>
        <v>5592.5556259408168</v>
      </c>
      <c r="M17" s="3">
        <f t="shared" si="9"/>
        <v>2542.0707390640077</v>
      </c>
      <c r="N17" s="3">
        <f t="shared" si="10"/>
        <v>859.86626638095686</v>
      </c>
      <c r="O17" s="3">
        <f t="shared" si="11"/>
        <v>812.76236166971557</v>
      </c>
      <c r="P17" s="3">
        <f t="shared" si="12"/>
        <v>1422.3341329220023</v>
      </c>
      <c r="Q17" s="3">
        <f t="shared" si="13"/>
        <v>1060.1741211928108</v>
      </c>
      <c r="R17" s="3">
        <f t="shared" si="14"/>
        <v>859.86626638095686</v>
      </c>
      <c r="S17" s="3">
        <f t="shared" si="15"/>
        <v>1136.8683772161603</v>
      </c>
      <c r="T17" t="str">
        <f>IF('Construction Planner'!$G$2="Goldmünzen","50000",IF('Construction Planner'!$G$2="Einlagerung",0,"Einstellung wählen"))</f>
        <v>50000</v>
      </c>
      <c r="U17">
        <v>25000</v>
      </c>
      <c r="V17" s="3">
        <f t="shared" si="16"/>
        <v>508.4141478128015</v>
      </c>
    </row>
    <row r="18" spans="1:22" x14ac:dyDescent="0.25">
      <c r="A18">
        <v>16</v>
      </c>
      <c r="B18" s="3">
        <f t="shared" si="1"/>
        <v>2242.1063918544546</v>
      </c>
      <c r="C18" s="3">
        <f t="shared" si="2"/>
        <v>2882.7082180985853</v>
      </c>
      <c r="D18" s="3">
        <f t="shared" si="3"/>
        <v>8327.82374117369</v>
      </c>
      <c r="E18" s="3">
        <f t="shared" si="4"/>
        <v>8327.82374117369</v>
      </c>
      <c r="F18" s="3">
        <f t="shared" si="17"/>
        <v>1601.5045656103248</v>
      </c>
      <c r="G18" s="3">
        <f t="shared" si="17"/>
        <v>160150.45656103248</v>
      </c>
      <c r="H18" s="3">
        <f t="shared" si="0"/>
        <v>119737.47886018289</v>
      </c>
      <c r="I18" s="3">
        <f t="shared" si="5"/>
        <v>327680000</v>
      </c>
      <c r="J18" s="3">
        <f t="shared" si="6"/>
        <v>7687.2219149295597</v>
      </c>
      <c r="K18" s="3">
        <f t="shared" si="7"/>
        <v>960.90273936619496</v>
      </c>
      <c r="L18" s="3">
        <f t="shared" si="8"/>
        <v>7046.6200886854294</v>
      </c>
      <c r="M18" s="3">
        <f t="shared" si="9"/>
        <v>3203.0091312206496</v>
      </c>
      <c r="N18" s="3">
        <f t="shared" si="10"/>
        <v>1070.5335016442914</v>
      </c>
      <c r="O18" s="3">
        <f t="shared" si="11"/>
        <v>1007.8253284704473</v>
      </c>
      <c r="P18" s="3">
        <f t="shared" si="12"/>
        <v>1763.6943248232828</v>
      </c>
      <c r="Q18" s="3">
        <f t="shared" si="13"/>
        <v>1367.6246163387261</v>
      </c>
      <c r="R18" s="3">
        <f t="shared" si="14"/>
        <v>1070.5335016442914</v>
      </c>
      <c r="S18" s="3">
        <f t="shared" si="15"/>
        <v>1421.0854715202004</v>
      </c>
      <c r="T18" t="str">
        <f>IF('Construction Planner'!$G$2="Goldmünzen","50000",IF('Construction Planner'!$G$2="Einlagerung",0,"Einstellung wählen"))</f>
        <v>50000</v>
      </c>
      <c r="U18">
        <v>25000</v>
      </c>
      <c r="V18" s="3">
        <f t="shared" si="16"/>
        <v>640.60182624412994</v>
      </c>
    </row>
    <row r="19" spans="1:22" x14ac:dyDescent="0.25">
      <c r="A19">
        <v>17</v>
      </c>
      <c r="B19" s="3">
        <f t="shared" si="1"/>
        <v>2825.0540537366128</v>
      </c>
      <c r="C19" s="3">
        <f t="shared" si="2"/>
        <v>3632.2123548042177</v>
      </c>
      <c r="D19" s="3">
        <f t="shared" si="3"/>
        <v>10493.057913878849</v>
      </c>
      <c r="E19" s="3">
        <f t="shared" si="4"/>
        <v>10493.057913878849</v>
      </c>
      <c r="F19" s="3">
        <f t="shared" si="4"/>
        <v>2017.8957526690092</v>
      </c>
      <c r="G19" s="3">
        <f t="shared" si="4"/>
        <v>201789.57526690094</v>
      </c>
      <c r="H19" s="3">
        <f t="shared" si="0"/>
        <v>141290.22505501579</v>
      </c>
      <c r="I19" s="3">
        <f t="shared" si="5"/>
        <v>655360000</v>
      </c>
      <c r="J19" s="3">
        <f t="shared" si="6"/>
        <v>9685.8996128112449</v>
      </c>
      <c r="K19" s="3">
        <f t="shared" si="7"/>
        <v>1210.7374516014056</v>
      </c>
      <c r="L19" s="3">
        <f t="shared" si="8"/>
        <v>8878.7413117436408</v>
      </c>
      <c r="M19" s="3">
        <f t="shared" si="9"/>
        <v>4035.7915053380184</v>
      </c>
      <c r="N19" s="3">
        <f t="shared" si="10"/>
        <v>1332.8142095471428</v>
      </c>
      <c r="O19" s="3">
        <f t="shared" si="11"/>
        <v>1249.7034073033547</v>
      </c>
      <c r="P19" s="3">
        <f t="shared" si="12"/>
        <v>2186.9809627808709</v>
      </c>
      <c r="Q19" s="3">
        <f t="shared" si="13"/>
        <v>1764.2357550769568</v>
      </c>
      <c r="R19" s="3">
        <f t="shared" si="14"/>
        <v>1332.8142095471428</v>
      </c>
      <c r="S19" s="3">
        <f t="shared" si="15"/>
        <v>1776.3568394002505</v>
      </c>
      <c r="T19" t="str">
        <f>IF('Construction Planner'!$G$2="Goldmünzen","50000",IF('Construction Planner'!$G$2="Einlagerung",0,"Einstellung wählen"))</f>
        <v>50000</v>
      </c>
      <c r="U19">
        <v>25000</v>
      </c>
      <c r="V19" s="3">
        <f t="shared" si="16"/>
        <v>807.1583010676037</v>
      </c>
    </row>
    <row r="20" spans="1:22" x14ac:dyDescent="0.25">
      <c r="A20">
        <v>18</v>
      </c>
      <c r="B20" s="3">
        <f t="shared" si="1"/>
        <v>3559.5681077081322</v>
      </c>
      <c r="C20" s="3">
        <f t="shared" si="2"/>
        <v>4576.5875670533142</v>
      </c>
      <c r="D20" s="3">
        <f t="shared" si="3"/>
        <v>13221.252971487349</v>
      </c>
      <c r="E20" s="3">
        <f t="shared" si="4"/>
        <v>13221.252971487349</v>
      </c>
      <c r="F20" s="3">
        <f t="shared" ref="F20:H32" si="18">F$2*F19</f>
        <v>2542.5486483629516</v>
      </c>
      <c r="G20" s="3">
        <f t="shared" si="18"/>
        <v>254254.86483629519</v>
      </c>
      <c r="H20" s="3">
        <f t="shared" si="18"/>
        <v>166722.46556491862</v>
      </c>
      <c r="I20" s="3">
        <f t="shared" si="5"/>
        <v>1310720000</v>
      </c>
      <c r="J20" s="3">
        <f t="shared" si="6"/>
        <v>12204.233512142169</v>
      </c>
      <c r="K20" s="3">
        <f t="shared" si="7"/>
        <v>1525.5291890177712</v>
      </c>
      <c r="L20" s="3">
        <f t="shared" si="8"/>
        <v>11187.214052796988</v>
      </c>
      <c r="M20" s="3">
        <f t="shared" si="9"/>
        <v>5085.0972967259031</v>
      </c>
      <c r="N20" s="3">
        <f t="shared" si="10"/>
        <v>1659.3536908861929</v>
      </c>
      <c r="O20" s="3">
        <f t="shared" si="11"/>
        <v>1549.6322250561598</v>
      </c>
      <c r="P20" s="3">
        <f t="shared" si="12"/>
        <v>2711.8563938482798</v>
      </c>
      <c r="Q20" s="3">
        <f t="shared" si="13"/>
        <v>2275.8641240492743</v>
      </c>
      <c r="R20" s="3">
        <f t="shared" si="14"/>
        <v>1659.3536908861929</v>
      </c>
      <c r="S20" s="3">
        <f t="shared" si="15"/>
        <v>2220.4460492503131</v>
      </c>
      <c r="T20" t="str">
        <f>IF('Construction Planner'!$G$2="Goldmünzen","50000",IF('Construction Planner'!$G$2="Einlagerung",0,"Einstellung wählen"))</f>
        <v>50000</v>
      </c>
      <c r="U20">
        <v>25000</v>
      </c>
      <c r="V20" s="3">
        <f t="shared" si="16"/>
        <v>1017.0194593451806</v>
      </c>
    </row>
    <row r="21" spans="1:22" x14ac:dyDescent="0.25">
      <c r="A21">
        <v>19</v>
      </c>
      <c r="B21" s="3">
        <f t="shared" si="1"/>
        <v>4485.0558157122468</v>
      </c>
      <c r="C21" s="3">
        <f t="shared" si="2"/>
        <v>5766.5003344871757</v>
      </c>
      <c r="D21" s="3">
        <f t="shared" si="3"/>
        <v>16658.778744074061</v>
      </c>
      <c r="E21" s="3">
        <f t="shared" si="4"/>
        <v>16658.778744074061</v>
      </c>
      <c r="F21" s="3">
        <f t="shared" si="18"/>
        <v>3203.6112969373189</v>
      </c>
      <c r="G21" s="3">
        <f t="shared" si="18"/>
        <v>320361.12969373196</v>
      </c>
      <c r="H21" s="3">
        <f t="shared" si="18"/>
        <v>196732.50936660395</v>
      </c>
      <c r="I21" s="3">
        <f t="shared" si="5"/>
        <v>2621440000</v>
      </c>
      <c r="J21" s="3">
        <f t="shared" si="6"/>
        <v>15377.334225299133</v>
      </c>
      <c r="K21" s="3">
        <f t="shared" si="7"/>
        <v>1922.1667781623917</v>
      </c>
      <c r="L21" s="3">
        <f t="shared" si="8"/>
        <v>14095.889706524205</v>
      </c>
      <c r="M21" s="3">
        <f t="shared" si="9"/>
        <v>6407.2225938746378</v>
      </c>
      <c r="N21" s="3">
        <f t="shared" si="10"/>
        <v>2065.8953451533102</v>
      </c>
      <c r="O21" s="3">
        <f t="shared" si="11"/>
        <v>1921.543959069638</v>
      </c>
      <c r="P21" s="3">
        <f t="shared" si="12"/>
        <v>3362.7019283718669</v>
      </c>
      <c r="Q21" s="3">
        <f t="shared" si="13"/>
        <v>2935.8647200235641</v>
      </c>
      <c r="R21" s="3">
        <f t="shared" si="14"/>
        <v>2065.8953451533102</v>
      </c>
      <c r="S21" s="3">
        <f t="shared" si="15"/>
        <v>2775.5575615628914</v>
      </c>
      <c r="T21" t="str">
        <f>IF('Construction Planner'!$G$2="Goldmünzen","50000",IF('Construction Planner'!$G$2="Einlagerung",0,"Einstellung wählen"))</f>
        <v>50000</v>
      </c>
      <c r="U21">
        <v>25000</v>
      </c>
      <c r="V21" s="3">
        <f t="shared" si="16"/>
        <v>1281.4445187749277</v>
      </c>
    </row>
    <row r="22" spans="1:22" x14ac:dyDescent="0.25">
      <c r="A22">
        <v>20</v>
      </c>
      <c r="B22" s="3">
        <f t="shared" si="1"/>
        <v>5651.1703277974311</v>
      </c>
      <c r="C22" s="3">
        <f t="shared" si="2"/>
        <v>7265.7904214538412</v>
      </c>
      <c r="D22" s="3">
        <f t="shared" si="3"/>
        <v>20990.061217533319</v>
      </c>
      <c r="E22" s="3">
        <f t="shared" si="4"/>
        <v>20990.061217533319</v>
      </c>
      <c r="F22" s="3">
        <f t="shared" si="18"/>
        <v>4036.550234141022</v>
      </c>
      <c r="G22" s="3">
        <f t="shared" si="18"/>
        <v>403655.02341410227</v>
      </c>
      <c r="H22" s="3">
        <f t="shared" si="18"/>
        <v>232144.36105259263</v>
      </c>
      <c r="I22" s="3">
        <f t="shared" si="5"/>
        <v>5242880000</v>
      </c>
      <c r="J22" s="3">
        <f t="shared" si="6"/>
        <v>19375.44112387691</v>
      </c>
      <c r="K22" s="3">
        <f t="shared" si="7"/>
        <v>2421.9301404846137</v>
      </c>
      <c r="L22" s="3">
        <f t="shared" si="8"/>
        <v>17760.821030220501</v>
      </c>
      <c r="M22" s="3">
        <f t="shared" si="9"/>
        <v>8073.1004682820439</v>
      </c>
      <c r="N22" s="3">
        <f t="shared" si="10"/>
        <v>2572.0397047158713</v>
      </c>
      <c r="O22" s="3">
        <f t="shared" si="11"/>
        <v>2382.7145092463511</v>
      </c>
      <c r="P22" s="3">
        <f t="shared" si="12"/>
        <v>4169.7503911811145</v>
      </c>
      <c r="Q22" s="3">
        <f t="shared" si="13"/>
        <v>3787.2654888303978</v>
      </c>
      <c r="R22" s="3">
        <f t="shared" si="14"/>
        <v>2572.0397047158713</v>
      </c>
      <c r="S22" s="3">
        <f t="shared" si="15"/>
        <v>3469.4469519536142</v>
      </c>
      <c r="T22" t="str">
        <f>IF('Construction Planner'!$G$2="Goldmünzen","50000",IF('Construction Planner'!$G$2="Einlagerung",0,"Einstellung wählen"))</f>
        <v>50000</v>
      </c>
      <c r="U22">
        <v>25000</v>
      </c>
      <c r="V22" s="3">
        <f t="shared" si="16"/>
        <v>1614.6200936564089</v>
      </c>
    </row>
    <row r="23" spans="1:22" x14ac:dyDescent="0.25">
      <c r="A23">
        <v>21</v>
      </c>
      <c r="B23" s="3">
        <f t="shared" si="1"/>
        <v>7120.4746130247631</v>
      </c>
      <c r="C23" s="3">
        <f t="shared" si="2"/>
        <v>9154.8959310318405</v>
      </c>
      <c r="D23" s="3">
        <f t="shared" si="3"/>
        <v>26447.477134091983</v>
      </c>
      <c r="E23" s="3">
        <f t="shared" si="4"/>
        <v>26447.477134091983</v>
      </c>
      <c r="F23" s="3">
        <f t="shared" si="18"/>
        <v>5086.0532950176876</v>
      </c>
      <c r="G23" s="3">
        <f t="shared" si="18"/>
        <v>508605.32950176887</v>
      </c>
      <c r="H23" s="3">
        <f t="shared" si="18"/>
        <v>273930.3460420593</v>
      </c>
      <c r="I23" s="3">
        <f t="shared" si="5"/>
        <v>10485760000</v>
      </c>
      <c r="J23" s="3">
        <f t="shared" si="6"/>
        <v>24413.055816084907</v>
      </c>
      <c r="K23" s="3">
        <f t="shared" si="7"/>
        <v>3051.6319770106134</v>
      </c>
      <c r="L23" s="3">
        <f t="shared" si="8"/>
        <v>22378.63449807783</v>
      </c>
      <c r="M23" s="3">
        <f t="shared" si="9"/>
        <v>10172.106590035375</v>
      </c>
      <c r="N23" s="3">
        <f t="shared" si="10"/>
        <v>3202.18943237126</v>
      </c>
      <c r="O23" s="3">
        <f t="shared" si="11"/>
        <v>2954.5659914654752</v>
      </c>
      <c r="P23" s="3">
        <f t="shared" si="12"/>
        <v>5170.4904850645817</v>
      </c>
      <c r="Q23" s="3">
        <f t="shared" si="13"/>
        <v>4885.5724805912132</v>
      </c>
      <c r="R23" s="3">
        <f t="shared" si="14"/>
        <v>3202.18943237126</v>
      </c>
      <c r="S23" s="3">
        <f t="shared" si="15"/>
        <v>4336.8086899420177</v>
      </c>
      <c r="T23" t="str">
        <f>IF('Construction Planner'!$G$2="Goldmünzen","50000",IF('Construction Planner'!$G$2="Einlagerung",0,"Einstellung wählen"))</f>
        <v>50000</v>
      </c>
      <c r="U23">
        <v>25000</v>
      </c>
      <c r="V23" s="3">
        <f t="shared" si="16"/>
        <v>2034.4213180070753</v>
      </c>
    </row>
    <row r="24" spans="1:22" x14ac:dyDescent="0.25">
      <c r="A24">
        <v>22</v>
      </c>
      <c r="B24" s="3">
        <f t="shared" si="1"/>
        <v>8971.7980124112019</v>
      </c>
      <c r="C24" s="3">
        <f t="shared" si="2"/>
        <v>11535.16887310012</v>
      </c>
      <c r="D24" s="3">
        <f t="shared" si="3"/>
        <v>33323.821188955902</v>
      </c>
      <c r="E24" s="3">
        <f t="shared" si="4"/>
        <v>33323.821188955902</v>
      </c>
      <c r="F24" s="3">
        <f t="shared" si="18"/>
        <v>6408.427151722286</v>
      </c>
      <c r="G24" s="3">
        <f t="shared" si="18"/>
        <v>640842.71517222875</v>
      </c>
      <c r="H24" s="3">
        <f t="shared" si="18"/>
        <v>323237.80832962994</v>
      </c>
      <c r="I24" s="3">
        <f t="shared" si="5"/>
        <v>20971520000</v>
      </c>
      <c r="J24" s="3">
        <f t="shared" si="6"/>
        <v>30760.450328266983</v>
      </c>
      <c r="K24" s="3">
        <f t="shared" si="7"/>
        <v>3845.0562910333729</v>
      </c>
      <c r="L24" s="3">
        <f t="shared" si="8"/>
        <v>28197.079467578067</v>
      </c>
      <c r="M24" s="3">
        <f t="shared" si="9"/>
        <v>12816.854303444572</v>
      </c>
      <c r="N24" s="3">
        <f t="shared" si="10"/>
        <v>3986.7258433022189</v>
      </c>
      <c r="O24" s="3">
        <f t="shared" si="11"/>
        <v>3663.6618294171894</v>
      </c>
      <c r="P24" s="3">
        <f t="shared" si="12"/>
        <v>6411.4082014800815</v>
      </c>
      <c r="Q24" s="3">
        <f t="shared" si="13"/>
        <v>6302.3884999626653</v>
      </c>
      <c r="R24" s="3">
        <f t="shared" si="14"/>
        <v>3986.7258433022189</v>
      </c>
      <c r="S24" s="3">
        <f t="shared" si="15"/>
        <v>5421.0108624275217</v>
      </c>
      <c r="T24" t="str">
        <f>IF('Construction Planner'!$G$2="Goldmünzen","50000",IF('Construction Planner'!$G$2="Einlagerung",0,"Einstellung wählen"))</f>
        <v>50000</v>
      </c>
      <c r="U24">
        <v>25000</v>
      </c>
      <c r="V24" s="3">
        <f t="shared" si="16"/>
        <v>2563.3708606889149</v>
      </c>
    </row>
    <row r="25" spans="1:22" x14ac:dyDescent="0.25">
      <c r="A25">
        <v>23</v>
      </c>
      <c r="B25" s="3">
        <f t="shared" si="1"/>
        <v>11304.465495638115</v>
      </c>
      <c r="C25" s="3">
        <f t="shared" si="2"/>
        <v>14534.312780106151</v>
      </c>
      <c r="D25" s="3">
        <f t="shared" si="3"/>
        <v>41988.014698084437</v>
      </c>
      <c r="E25" s="3">
        <f t="shared" si="4"/>
        <v>41988.014698084437</v>
      </c>
      <c r="F25" s="3">
        <f t="shared" si="18"/>
        <v>8074.61821117008</v>
      </c>
      <c r="G25" s="3">
        <f t="shared" si="18"/>
        <v>807461.82111700822</v>
      </c>
      <c r="H25" s="3">
        <f t="shared" si="18"/>
        <v>381420.61382896331</v>
      </c>
      <c r="I25" s="3">
        <f t="shared" si="5"/>
        <v>41943040000</v>
      </c>
      <c r="J25" s="3">
        <f t="shared" si="6"/>
        <v>38758.1674136164</v>
      </c>
      <c r="K25" s="3">
        <f t="shared" si="7"/>
        <v>4844.77092670205</v>
      </c>
      <c r="L25" s="3">
        <f t="shared" si="8"/>
        <v>35528.320129148364</v>
      </c>
      <c r="M25" s="3">
        <f t="shared" si="9"/>
        <v>16149.23642234016</v>
      </c>
      <c r="N25" s="3">
        <f t="shared" si="10"/>
        <v>4963.4736749112626</v>
      </c>
      <c r="O25" s="3">
        <f t="shared" si="11"/>
        <v>4542.9406684773148</v>
      </c>
      <c r="P25" s="3">
        <f t="shared" si="12"/>
        <v>7950.1461698353014</v>
      </c>
      <c r="Q25" s="3">
        <f t="shared" si="13"/>
        <v>8130.0811649518382</v>
      </c>
      <c r="R25" s="3">
        <f t="shared" si="14"/>
        <v>4963.4736749112626</v>
      </c>
      <c r="S25" s="3">
        <f t="shared" si="15"/>
        <v>6776.2635780344026</v>
      </c>
      <c r="T25" t="str">
        <f>IF('Construction Planner'!$G$2="Goldmünzen","50000",IF('Construction Planner'!$G$2="Einlagerung",0,"Einstellung wählen"))</f>
        <v>50000</v>
      </c>
      <c r="U25">
        <v>25000</v>
      </c>
      <c r="V25" s="3">
        <f t="shared" si="16"/>
        <v>3229.8472844680327</v>
      </c>
    </row>
    <row r="26" spans="1:22" x14ac:dyDescent="0.25">
      <c r="A26">
        <v>24</v>
      </c>
      <c r="B26" s="3">
        <f t="shared" si="1"/>
        <v>14243.626524504025</v>
      </c>
      <c r="C26" s="3">
        <f t="shared" si="2"/>
        <v>18313.234102933751</v>
      </c>
      <c r="D26" s="3">
        <f t="shared" si="3"/>
        <v>52904.898519586393</v>
      </c>
      <c r="E26" s="3">
        <f t="shared" si="4"/>
        <v>52904.898519586393</v>
      </c>
      <c r="F26" s="3">
        <f t="shared" si="18"/>
        <v>10174.0189460743</v>
      </c>
      <c r="G26" s="3">
        <f t="shared" si="18"/>
        <v>1017401.8946074303</v>
      </c>
      <c r="H26" s="3">
        <f t="shared" si="18"/>
        <v>450076.32431817666</v>
      </c>
      <c r="I26" s="3">
        <f t="shared" si="5"/>
        <v>83886080000</v>
      </c>
      <c r="J26" s="3">
        <f t="shared" si="6"/>
        <v>48835.290941156665</v>
      </c>
      <c r="K26" s="3">
        <f t="shared" si="7"/>
        <v>6104.4113676445832</v>
      </c>
      <c r="L26" s="3">
        <f t="shared" si="8"/>
        <v>44765.683362726937</v>
      </c>
      <c r="M26" s="3">
        <f t="shared" si="9"/>
        <v>20348.037892148601</v>
      </c>
      <c r="N26" s="3">
        <f t="shared" si="10"/>
        <v>6179.5247252645222</v>
      </c>
      <c r="O26" s="3">
        <f t="shared" si="11"/>
        <v>5633.2464289118707</v>
      </c>
      <c r="P26" s="3">
        <f t="shared" si="12"/>
        <v>9858.1812505957732</v>
      </c>
      <c r="Q26" s="3">
        <f t="shared" si="13"/>
        <v>10487.804702787871</v>
      </c>
      <c r="R26" s="3">
        <f t="shared" si="14"/>
        <v>6179.5247252645222</v>
      </c>
      <c r="S26" s="3">
        <f t="shared" si="15"/>
        <v>8470.3294725430023</v>
      </c>
      <c r="T26" t="str">
        <f>IF('Construction Planner'!$G$2="Goldmünzen","50000",IF('Construction Planner'!$G$2="Einlagerung",0,"Einstellung wählen"))</f>
        <v>50000</v>
      </c>
      <c r="U26">
        <v>25000</v>
      </c>
      <c r="V26" s="3">
        <f t="shared" si="16"/>
        <v>4069.6075784297213</v>
      </c>
    </row>
    <row r="27" spans="1:22" x14ac:dyDescent="0.25">
      <c r="A27">
        <v>25</v>
      </c>
      <c r="B27" s="3">
        <f t="shared" si="1"/>
        <v>17946.96942087507</v>
      </c>
      <c r="C27" s="3">
        <f t="shared" si="2"/>
        <v>23074.674969696527</v>
      </c>
      <c r="D27" s="3">
        <f t="shared" si="3"/>
        <v>66660.172134678854</v>
      </c>
      <c r="E27" s="3">
        <f t="shared" si="4"/>
        <v>66660.172134678854</v>
      </c>
      <c r="F27" s="3">
        <f t="shared" si="18"/>
        <v>12819.263872053618</v>
      </c>
      <c r="G27" s="3">
        <f t="shared" si="18"/>
        <v>1281926.3872053623</v>
      </c>
      <c r="H27" s="3">
        <f t="shared" si="18"/>
        <v>531090.0626954484</v>
      </c>
      <c r="I27" s="3">
        <f t="shared" si="5"/>
        <v>167772160000</v>
      </c>
      <c r="J27" s="3">
        <f t="shared" si="6"/>
        <v>61532.466585857401</v>
      </c>
      <c r="K27" s="3">
        <f t="shared" si="7"/>
        <v>7691.5583232321751</v>
      </c>
      <c r="L27" s="3">
        <f t="shared" si="8"/>
        <v>56404.76103703594</v>
      </c>
      <c r="M27" s="3">
        <f t="shared" si="9"/>
        <v>25638.527744107236</v>
      </c>
      <c r="N27" s="3">
        <f t="shared" si="10"/>
        <v>7693.5082829543308</v>
      </c>
      <c r="O27" s="3">
        <f t="shared" si="11"/>
        <v>6985.2255718507195</v>
      </c>
      <c r="P27" s="3">
        <f t="shared" si="12"/>
        <v>12224.144750738758</v>
      </c>
      <c r="Q27" s="3">
        <f t="shared" si="13"/>
        <v>13529.268066596354</v>
      </c>
      <c r="R27" s="3">
        <f t="shared" si="14"/>
        <v>7693.5082829543308</v>
      </c>
      <c r="S27" s="3">
        <f t="shared" si="15"/>
        <v>10587.911840678753</v>
      </c>
      <c r="T27" t="str">
        <f>IF('Construction Planner'!$G$2="Goldmünzen","50000",IF('Construction Planner'!$G$2="Einlagerung",0,"Einstellung wählen"))</f>
        <v>50000</v>
      </c>
      <c r="U27">
        <v>25000</v>
      </c>
      <c r="V27" s="3">
        <f t="shared" si="16"/>
        <v>5127.7055488214492</v>
      </c>
    </row>
    <row r="28" spans="1:22" x14ac:dyDescent="0.25">
      <c r="A28">
        <v>26</v>
      </c>
      <c r="B28" s="3">
        <f t="shared" si="1"/>
        <v>22613.181470302588</v>
      </c>
      <c r="C28" s="3">
        <f t="shared" si="2"/>
        <v>29074.090461817625</v>
      </c>
      <c r="D28" s="3">
        <f t="shared" si="3"/>
        <v>83991.816889695358</v>
      </c>
      <c r="E28" s="3">
        <f t="shared" si="4"/>
        <v>83991.816889695358</v>
      </c>
      <c r="F28" s="3">
        <f t="shared" si="4"/>
        <v>16152.27247878756</v>
      </c>
      <c r="G28" s="3">
        <f t="shared" si="4"/>
        <v>1615227.2478787566</v>
      </c>
      <c r="H28" s="3">
        <f t="shared" si="18"/>
        <v>626686.27398062905</v>
      </c>
      <c r="I28" s="3">
        <f t="shared" si="5"/>
        <v>335544320000</v>
      </c>
      <c r="J28" s="3">
        <f t="shared" si="6"/>
        <v>77530.907898180332</v>
      </c>
      <c r="K28" s="3">
        <f t="shared" si="7"/>
        <v>9691.3634872725415</v>
      </c>
      <c r="L28" s="3">
        <f t="shared" si="8"/>
        <v>71069.998906665278</v>
      </c>
      <c r="M28" s="3">
        <f t="shared" si="9"/>
        <v>32304.544957575119</v>
      </c>
      <c r="N28" s="3">
        <f t="shared" si="10"/>
        <v>9578.4178122781432</v>
      </c>
      <c r="O28" s="3">
        <f t="shared" si="11"/>
        <v>8661.6797090948912</v>
      </c>
      <c r="P28" s="3">
        <f t="shared" si="12"/>
        <v>15157.93949091606</v>
      </c>
      <c r="Q28" s="3">
        <f t="shared" si="13"/>
        <v>17452.755805909299</v>
      </c>
      <c r="R28" s="3">
        <f t="shared" si="14"/>
        <v>9578.4178122781432</v>
      </c>
      <c r="S28" s="3">
        <f t="shared" si="15"/>
        <v>13234.889800848441</v>
      </c>
      <c r="T28" t="str">
        <f>IF('Construction Planner'!$G$2="Goldmünzen","50000",IF('Construction Planner'!$G$2="Einlagerung",0,"Einstellung wählen"))</f>
        <v>50000</v>
      </c>
      <c r="U28">
        <v>25000</v>
      </c>
      <c r="V28" s="3">
        <f t="shared" si="16"/>
        <v>6460.9089915150262</v>
      </c>
    </row>
    <row r="29" spans="1:22" x14ac:dyDescent="0.25">
      <c r="A29">
        <v>27</v>
      </c>
      <c r="B29" s="3">
        <f t="shared" si="1"/>
        <v>28492.608652581261</v>
      </c>
      <c r="C29" s="3">
        <f t="shared" si="2"/>
        <v>36633.353981890206</v>
      </c>
      <c r="D29" s="3">
        <f t="shared" si="3"/>
        <v>105829.68928101615</v>
      </c>
      <c r="E29" s="3">
        <f t="shared" si="4"/>
        <v>105829.68928101615</v>
      </c>
      <c r="F29" s="3">
        <f t="shared" si="4"/>
        <v>20351.863323272326</v>
      </c>
      <c r="G29" s="3">
        <f t="shared" si="4"/>
        <v>2035186.3323272334</v>
      </c>
      <c r="H29" s="3">
        <f t="shared" si="18"/>
        <v>739489.80329714227</v>
      </c>
      <c r="I29" s="3">
        <f t="shared" si="5"/>
        <v>671088640000</v>
      </c>
      <c r="J29" s="3">
        <f t="shared" si="6"/>
        <v>97688.943951707217</v>
      </c>
      <c r="K29" s="3">
        <f t="shared" si="7"/>
        <v>12211.117993963402</v>
      </c>
      <c r="L29" s="3">
        <f t="shared" si="8"/>
        <v>89548.198622398253</v>
      </c>
      <c r="M29" s="3">
        <f t="shared" si="9"/>
        <v>40703.726646544652</v>
      </c>
      <c r="N29" s="3">
        <f t="shared" si="10"/>
        <v>11925.130176286289</v>
      </c>
      <c r="O29" s="3">
        <f t="shared" si="11"/>
        <v>10740.482839277665</v>
      </c>
      <c r="P29" s="3">
        <f t="shared" si="12"/>
        <v>18795.844968735913</v>
      </c>
      <c r="Q29" s="3">
        <f t="shared" si="13"/>
        <v>22514.054989622997</v>
      </c>
      <c r="R29" s="3">
        <f t="shared" si="14"/>
        <v>11925.130176286289</v>
      </c>
      <c r="S29" s="3">
        <f t="shared" si="15"/>
        <v>16543.612251060553</v>
      </c>
      <c r="T29" t="str">
        <f>IF('Construction Planner'!$G$2="Goldmünzen","50000",IF('Construction Planner'!$G$2="Einlagerung",0,"Einstellung wählen"))</f>
        <v>50000</v>
      </c>
      <c r="U29">
        <v>25000</v>
      </c>
      <c r="V29" s="3">
        <f t="shared" si="16"/>
        <v>8140.7453293089329</v>
      </c>
    </row>
    <row r="30" spans="1:22" x14ac:dyDescent="0.25">
      <c r="A30">
        <v>28</v>
      </c>
      <c r="B30" s="3">
        <f t="shared" si="1"/>
        <v>35900.68690225239</v>
      </c>
      <c r="C30" s="3">
        <f t="shared" si="2"/>
        <v>46158.026017181663</v>
      </c>
      <c r="D30" s="3">
        <f t="shared" si="3"/>
        <v>133345.40849408036</v>
      </c>
      <c r="E30" s="3">
        <f t="shared" si="4"/>
        <v>133345.40849408036</v>
      </c>
      <c r="F30" s="3">
        <f t="shared" si="4"/>
        <v>25643.347787323131</v>
      </c>
      <c r="G30" s="3">
        <f t="shared" si="4"/>
        <v>2564334.7787323142</v>
      </c>
      <c r="H30" s="3">
        <f t="shared" si="18"/>
        <v>872597.9678906278</v>
      </c>
      <c r="I30" s="3">
        <f t="shared" si="5"/>
        <v>1342177280000</v>
      </c>
      <c r="J30" s="3">
        <f t="shared" si="6"/>
        <v>123088.0693791511</v>
      </c>
      <c r="K30" s="3">
        <f t="shared" si="7"/>
        <v>15386.008672393888</v>
      </c>
      <c r="L30" s="3">
        <f t="shared" si="8"/>
        <v>112830.7302642218</v>
      </c>
      <c r="M30" s="3">
        <f t="shared" si="9"/>
        <v>51286.695574646263</v>
      </c>
      <c r="N30" s="3">
        <f t="shared" si="10"/>
        <v>14846.787069476431</v>
      </c>
      <c r="O30" s="3">
        <f t="shared" si="11"/>
        <v>13318.198720704306</v>
      </c>
      <c r="P30" s="3">
        <f t="shared" si="12"/>
        <v>23306.847761232533</v>
      </c>
      <c r="Q30" s="3">
        <f t="shared" si="13"/>
        <v>29043.130936613667</v>
      </c>
      <c r="R30" s="3">
        <f t="shared" si="14"/>
        <v>14846.787069476431</v>
      </c>
      <c r="S30" s="3">
        <f t="shared" si="15"/>
        <v>20679.51531382569</v>
      </c>
      <c r="T30" t="str">
        <f>IF('Construction Planner'!$G$2="Goldmünzen","50000",IF('Construction Planner'!$G$2="Einlagerung",0,"Einstellung wählen"))</f>
        <v>50000</v>
      </c>
      <c r="U30">
        <v>25000</v>
      </c>
      <c r="V30" s="3">
        <f t="shared" si="16"/>
        <v>10257.339114929255</v>
      </c>
    </row>
    <row r="31" spans="1:22" x14ac:dyDescent="0.25">
      <c r="A31">
        <v>29</v>
      </c>
      <c r="B31" s="3">
        <f t="shared" si="1"/>
        <v>45234.865496838014</v>
      </c>
      <c r="C31" s="3">
        <f t="shared" si="2"/>
        <v>58159.112781648895</v>
      </c>
      <c r="D31" s="3">
        <f t="shared" si="3"/>
        <v>168015.21470254124</v>
      </c>
      <c r="E31" s="3">
        <f t="shared" si="4"/>
        <v>168015.21470254124</v>
      </c>
      <c r="F31" s="3">
        <f t="shared" si="4"/>
        <v>32310.618212027144</v>
      </c>
      <c r="G31" s="3">
        <f t="shared" si="4"/>
        <v>3231061.8212027159</v>
      </c>
      <c r="H31" s="3">
        <f t="shared" si="18"/>
        <v>1029665.6021109407</v>
      </c>
      <c r="I31" s="3">
        <f t="shared" si="5"/>
        <v>2684354560000</v>
      </c>
      <c r="J31" s="3">
        <f t="shared" si="6"/>
        <v>155090.9674177304</v>
      </c>
      <c r="K31" s="3">
        <f t="shared" si="7"/>
        <v>19386.3709272163</v>
      </c>
      <c r="L31" s="3">
        <f t="shared" si="8"/>
        <v>142166.72013291946</v>
      </c>
      <c r="M31" s="3">
        <f t="shared" si="9"/>
        <v>64621.236424054288</v>
      </c>
      <c r="N31" s="3">
        <f t="shared" si="10"/>
        <v>18484.249901498159</v>
      </c>
      <c r="O31" s="3">
        <f t="shared" si="11"/>
        <v>16514.566413673339</v>
      </c>
      <c r="P31" s="3">
        <f t="shared" si="12"/>
        <v>28900.49122392834</v>
      </c>
      <c r="Q31" s="3">
        <f t="shared" si="13"/>
        <v>37465.638908231631</v>
      </c>
      <c r="R31" s="3">
        <f t="shared" si="14"/>
        <v>18484.249901498159</v>
      </c>
      <c r="S31" s="3">
        <f t="shared" si="15"/>
        <v>25849.394142282112</v>
      </c>
      <c r="T31" t="str">
        <f>IF('Construction Planner'!$G$2="Goldmünzen","50000",IF('Construction Planner'!$G$2="Einlagerung",0,"Einstellung wählen"))</f>
        <v>50000</v>
      </c>
      <c r="U31">
        <v>25000</v>
      </c>
      <c r="V31" s="3">
        <f t="shared" si="16"/>
        <v>12924.247284810861</v>
      </c>
    </row>
    <row r="32" spans="1:22" x14ac:dyDescent="0.25">
      <c r="A32">
        <v>30</v>
      </c>
      <c r="B32" s="3">
        <f t="shared" si="1"/>
        <v>56995.930526015902</v>
      </c>
      <c r="C32" s="3">
        <f t="shared" si="2"/>
        <v>73280.482104877607</v>
      </c>
      <c r="D32" s="3">
        <f t="shared" si="3"/>
        <v>211699.17052520197</v>
      </c>
      <c r="E32" s="3">
        <f t="shared" si="4"/>
        <v>211699.17052520197</v>
      </c>
      <c r="F32" s="3">
        <f t="shared" si="4"/>
        <v>40711.378947154204</v>
      </c>
      <c r="G32" s="3">
        <f t="shared" si="4"/>
        <v>4071137.8947154218</v>
      </c>
      <c r="H32" s="3">
        <f t="shared" si="18"/>
        <v>1215005.4104909101</v>
      </c>
      <c r="I32" s="3">
        <f t="shared" si="5"/>
        <v>5368709120000</v>
      </c>
      <c r="J32" s="3">
        <f t="shared" si="6"/>
        <v>195414.61894634031</v>
      </c>
      <c r="K32" s="3">
        <f t="shared" si="7"/>
        <v>24426.827368292539</v>
      </c>
      <c r="L32" s="3">
        <f t="shared" si="8"/>
        <v>179130.06736747854</v>
      </c>
      <c r="M32" s="3">
        <f t="shared" si="9"/>
        <v>81422.757894308408</v>
      </c>
      <c r="N32" s="3">
        <f t="shared" si="10"/>
        <v>23012.891127365208</v>
      </c>
      <c r="O32" s="3">
        <f t="shared" si="11"/>
        <v>20478.062352954941</v>
      </c>
      <c r="P32" s="3">
        <f t="shared" si="12"/>
        <v>35836.609117671142</v>
      </c>
      <c r="Q32" s="3">
        <f t="shared" si="13"/>
        <v>48330.674191618804</v>
      </c>
      <c r="R32" s="3">
        <f t="shared" si="14"/>
        <v>23012.891127365208</v>
      </c>
      <c r="S32" s="3">
        <f t="shared" si="15"/>
        <v>32311.742677852639</v>
      </c>
      <c r="T32" t="str">
        <f>IF('Construction Planner'!$G$2="Goldmünzen","50000",IF('Construction Planner'!$G$2="Einlagerung",0,"Einstellung wählen"))</f>
        <v>50000</v>
      </c>
      <c r="U32">
        <v>25000</v>
      </c>
      <c r="V32" s="3">
        <f t="shared" si="16"/>
        <v>16284.551578861685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workbookViewId="0">
      <selection activeCell="A3" sqref="A3"/>
    </sheetView>
  </sheetViews>
  <sheetFormatPr baseColWidth="10" defaultRowHeight="15" x14ac:dyDescent="0.25"/>
  <cols>
    <col min="1" max="259" width="9.140625" customWidth="1"/>
  </cols>
  <sheetData>
    <row r="1" spans="1:24" x14ac:dyDescent="0.25">
      <c r="B1" s="1" t="s">
        <v>0</v>
      </c>
      <c r="C1" s="1" t="s">
        <v>1</v>
      </c>
      <c r="D1" s="1" t="s">
        <v>2</v>
      </c>
      <c r="E1" s="1" t="s">
        <v>3</v>
      </c>
      <c r="F1" s="75" t="s">
        <v>59</v>
      </c>
      <c r="G1" s="75" t="s">
        <v>60</v>
      </c>
      <c r="H1" s="75" t="s">
        <v>64</v>
      </c>
      <c r="I1" s="1" t="s">
        <v>4</v>
      </c>
      <c r="J1" s="1" t="s">
        <v>5</v>
      </c>
      <c r="K1" s="1" t="s">
        <v>6</v>
      </c>
      <c r="L1" s="1" t="s">
        <v>7</v>
      </c>
      <c r="M1" s="1" t="s">
        <v>8</v>
      </c>
      <c r="N1" s="1" t="s">
        <v>9</v>
      </c>
      <c r="O1" s="1" t="s">
        <v>10</v>
      </c>
      <c r="P1" s="1" t="s">
        <v>11</v>
      </c>
      <c r="Q1" s="1" t="s">
        <v>12</v>
      </c>
      <c r="R1" s="1" t="s">
        <v>13</v>
      </c>
      <c r="S1" s="1" t="s">
        <v>14</v>
      </c>
      <c r="T1" s="1" t="s">
        <v>107</v>
      </c>
      <c r="U1" s="1" t="s">
        <v>106</v>
      </c>
      <c r="V1" s="1" t="s">
        <v>15</v>
      </c>
      <c r="W1" s="1"/>
    </row>
    <row r="2" spans="1:24" x14ac:dyDescent="0.25">
      <c r="A2" s="6" t="s">
        <v>20</v>
      </c>
      <c r="B2">
        <v>1.17</v>
      </c>
      <c r="C2">
        <v>1.17</v>
      </c>
      <c r="D2">
        <v>1.17</v>
      </c>
      <c r="E2">
        <v>1.17</v>
      </c>
      <c r="F2">
        <v>1.55</v>
      </c>
      <c r="G2">
        <v>1.55</v>
      </c>
      <c r="H2">
        <v>1.18</v>
      </c>
      <c r="I2">
        <v>1.17</v>
      </c>
      <c r="J2">
        <v>1.17</v>
      </c>
      <c r="K2">
        <v>1.17</v>
      </c>
      <c r="L2">
        <v>1.17</v>
      </c>
      <c r="M2">
        <v>1.17</v>
      </c>
      <c r="N2" s="1">
        <v>1.155</v>
      </c>
      <c r="O2" s="1">
        <v>1.1399999999999999</v>
      </c>
      <c r="P2">
        <v>1.17</v>
      </c>
      <c r="Q2" s="1">
        <v>1</v>
      </c>
      <c r="R2" s="1">
        <v>1.1499999999999999</v>
      </c>
      <c r="S2">
        <v>1.17</v>
      </c>
      <c r="T2" s="1">
        <v>1</v>
      </c>
      <c r="U2" s="1">
        <v>1</v>
      </c>
      <c r="V2">
        <v>1.17</v>
      </c>
    </row>
    <row r="3" spans="1:24" x14ac:dyDescent="0.25">
      <c r="A3" s="6">
        <v>0</v>
      </c>
      <c r="B3">
        <v>0</v>
      </c>
      <c r="C3">
        <v>0</v>
      </c>
      <c r="D3">
        <v>0</v>
      </c>
      <c r="E3">
        <v>0</v>
      </c>
      <c r="F3">
        <v>0</v>
      </c>
      <c r="G3">
        <v>0</v>
      </c>
      <c r="H3">
        <v>0</v>
      </c>
      <c r="I3">
        <v>0</v>
      </c>
      <c r="J3">
        <v>0</v>
      </c>
      <c r="K3">
        <v>0</v>
      </c>
      <c r="L3">
        <v>0</v>
      </c>
      <c r="M3">
        <v>0</v>
      </c>
      <c r="N3" s="1">
        <v>0</v>
      </c>
      <c r="O3" s="1">
        <v>0</v>
      </c>
      <c r="P3">
        <v>0</v>
      </c>
      <c r="Q3" s="1">
        <v>0</v>
      </c>
      <c r="R3" s="1">
        <v>0</v>
      </c>
      <c r="S3" s="1">
        <v>0</v>
      </c>
      <c r="T3" s="1">
        <v>0</v>
      </c>
      <c r="U3" s="1">
        <v>0</v>
      </c>
      <c r="V3" s="1">
        <v>0</v>
      </c>
      <c r="W3" s="1"/>
      <c r="X3" s="1"/>
    </row>
    <row r="4" spans="1:24" x14ac:dyDescent="0.25">
      <c r="A4">
        <v>1</v>
      </c>
      <c r="B4">
        <v>5</v>
      </c>
      <c r="C4">
        <v>7</v>
      </c>
      <c r="D4">
        <v>8</v>
      </c>
      <c r="E4">
        <v>8</v>
      </c>
      <c r="F4">
        <v>5</v>
      </c>
      <c r="G4">
        <v>5000</v>
      </c>
      <c r="H4">
        <v>500</v>
      </c>
      <c r="I4">
        <v>80</v>
      </c>
      <c r="J4">
        <v>20</v>
      </c>
      <c r="K4">
        <v>0</v>
      </c>
      <c r="L4">
        <v>10</v>
      </c>
      <c r="M4">
        <v>20</v>
      </c>
      <c r="N4">
        <v>5</v>
      </c>
      <c r="O4">
        <v>10</v>
      </c>
      <c r="P4">
        <v>10</v>
      </c>
      <c r="Q4">
        <v>0</v>
      </c>
      <c r="R4">
        <v>0</v>
      </c>
      <c r="S4">
        <v>2</v>
      </c>
      <c r="T4">
        <v>100</v>
      </c>
      <c r="U4">
        <v>0</v>
      </c>
      <c r="V4">
        <v>5</v>
      </c>
    </row>
    <row r="5" spans="1:24" x14ac:dyDescent="0.25">
      <c r="A5">
        <v>2</v>
      </c>
      <c r="B5" s="3">
        <f t="shared" ref="B5:V5" si="0">B$2*B4</f>
        <v>5.85</v>
      </c>
      <c r="C5" s="3">
        <f t="shared" si="0"/>
        <v>8.19</v>
      </c>
      <c r="D5" s="3">
        <f t="shared" si="0"/>
        <v>9.36</v>
      </c>
      <c r="E5" s="3">
        <f t="shared" si="0"/>
        <v>9.36</v>
      </c>
      <c r="F5" s="3">
        <f t="shared" si="0"/>
        <v>7.75</v>
      </c>
      <c r="G5" s="3">
        <f t="shared" si="0"/>
        <v>7750</v>
      </c>
      <c r="H5" s="3">
        <f>H$2*H4</f>
        <v>590</v>
      </c>
      <c r="I5" s="3">
        <f t="shared" si="0"/>
        <v>93.6</v>
      </c>
      <c r="J5" s="3">
        <f t="shared" si="0"/>
        <v>23.4</v>
      </c>
      <c r="K5" s="3">
        <f t="shared" si="0"/>
        <v>0</v>
      </c>
      <c r="L5" s="3">
        <f t="shared" si="0"/>
        <v>11.7</v>
      </c>
      <c r="M5" s="3">
        <f t="shared" si="0"/>
        <v>23.4</v>
      </c>
      <c r="N5" s="3">
        <f t="shared" si="0"/>
        <v>5.7750000000000004</v>
      </c>
      <c r="O5" s="3">
        <f t="shared" si="0"/>
        <v>11.399999999999999</v>
      </c>
      <c r="P5" s="3">
        <f t="shared" si="0"/>
        <v>11.7</v>
      </c>
      <c r="Q5" s="3">
        <f t="shared" si="0"/>
        <v>0</v>
      </c>
      <c r="R5" s="3">
        <f t="shared" si="0"/>
        <v>0</v>
      </c>
      <c r="S5" s="3">
        <f t="shared" si="0"/>
        <v>2.34</v>
      </c>
      <c r="T5" s="3">
        <f>$T$4*A5</f>
        <v>200</v>
      </c>
      <c r="U5">
        <v>0</v>
      </c>
      <c r="V5" s="3">
        <f t="shared" si="0"/>
        <v>5.85</v>
      </c>
    </row>
    <row r="6" spans="1:24" x14ac:dyDescent="0.25">
      <c r="A6">
        <v>3</v>
      </c>
      <c r="B6" s="3">
        <f t="shared" ref="B6:B33" si="1">B$2*B5</f>
        <v>6.8444999999999991</v>
      </c>
      <c r="C6" s="3">
        <f t="shared" ref="C6:C20" si="2">C$2*C5</f>
        <v>9.5822999999999983</v>
      </c>
      <c r="D6" s="3">
        <f t="shared" ref="D6:D20" si="3">D$2*D5</f>
        <v>10.951199999999998</v>
      </c>
      <c r="E6" s="3">
        <f t="shared" ref="E6:E20" si="4">E$2*E5</f>
        <v>10.951199999999998</v>
      </c>
      <c r="F6" s="3">
        <f t="shared" ref="F6:F20" si="5">F$2*F5</f>
        <v>12.012500000000001</v>
      </c>
      <c r="G6" s="3">
        <f t="shared" ref="G6:H20" si="6">G$2*G5</f>
        <v>12012.5</v>
      </c>
      <c r="H6" s="3">
        <f t="shared" si="6"/>
        <v>696.19999999999993</v>
      </c>
      <c r="I6" s="3">
        <f t="shared" ref="I6:I20" si="7">I$2*I5</f>
        <v>109.51199999999999</v>
      </c>
      <c r="J6" s="3">
        <f t="shared" ref="J6:J20" si="8">J$2*J5</f>
        <v>27.377999999999997</v>
      </c>
      <c r="K6" s="3">
        <f t="shared" ref="K6:K20" si="9">K$2*K5</f>
        <v>0</v>
      </c>
      <c r="L6" s="3">
        <f t="shared" ref="L6:L20" si="10">L$2*L5</f>
        <v>13.688999999999998</v>
      </c>
      <c r="M6" s="3">
        <f t="shared" ref="M6:M20" si="11">M$2*M5</f>
        <v>27.377999999999997</v>
      </c>
      <c r="N6" s="3">
        <f t="shared" ref="N6:N20" si="12">N$2*N5</f>
        <v>6.6701250000000005</v>
      </c>
      <c r="O6" s="3">
        <f t="shared" ref="O6:O20" si="13">O$2*O5</f>
        <v>12.995999999999997</v>
      </c>
      <c r="P6" s="3">
        <f t="shared" ref="P6:P20" si="14">P$2*P5</f>
        <v>13.688999999999998</v>
      </c>
      <c r="Q6" s="3">
        <f t="shared" ref="Q6:Q20" si="15">Q$2*Q5</f>
        <v>0</v>
      </c>
      <c r="R6" s="3">
        <f t="shared" ref="R6:R20" si="16">R$2*R5</f>
        <v>0</v>
      </c>
      <c r="S6" s="3">
        <f t="shared" ref="S6:S20" si="17">S$2*S5</f>
        <v>2.7377999999999996</v>
      </c>
      <c r="T6" s="3">
        <f t="shared" ref="T6:T33" si="18">$T$4*A6</f>
        <v>300</v>
      </c>
      <c r="U6">
        <v>0</v>
      </c>
      <c r="V6" s="3">
        <f t="shared" ref="V6:V20" si="19">V$2*V5</f>
        <v>6.8444999999999991</v>
      </c>
    </row>
    <row r="7" spans="1:24" x14ac:dyDescent="0.25">
      <c r="A7">
        <v>4</v>
      </c>
      <c r="B7" s="3">
        <f t="shared" si="1"/>
        <v>8.0080649999999984</v>
      </c>
      <c r="C7" s="3">
        <f t="shared" si="2"/>
        <v>11.211290999999997</v>
      </c>
      <c r="D7" s="3">
        <f t="shared" si="3"/>
        <v>12.812903999999998</v>
      </c>
      <c r="E7" s="3">
        <f t="shared" si="4"/>
        <v>12.812903999999998</v>
      </c>
      <c r="F7" s="3">
        <f t="shared" si="5"/>
        <v>18.619375000000002</v>
      </c>
      <c r="G7" s="3">
        <f t="shared" si="6"/>
        <v>18619.375</v>
      </c>
      <c r="H7" s="3">
        <f t="shared" si="6"/>
        <v>821.51599999999985</v>
      </c>
      <c r="I7" s="3">
        <f t="shared" si="7"/>
        <v>128.12903999999997</v>
      </c>
      <c r="J7" s="3">
        <f t="shared" si="8"/>
        <v>32.032259999999994</v>
      </c>
      <c r="K7" s="3">
        <f t="shared" si="9"/>
        <v>0</v>
      </c>
      <c r="L7" s="3">
        <f t="shared" si="10"/>
        <v>16.016129999999997</v>
      </c>
      <c r="M7" s="3">
        <f t="shared" si="11"/>
        <v>32.032259999999994</v>
      </c>
      <c r="N7" s="3">
        <f t="shared" si="12"/>
        <v>7.7039943750000006</v>
      </c>
      <c r="O7" s="3">
        <f t="shared" si="13"/>
        <v>14.815439999999995</v>
      </c>
      <c r="P7" s="3">
        <f t="shared" si="14"/>
        <v>16.016129999999997</v>
      </c>
      <c r="Q7" s="3">
        <f t="shared" si="15"/>
        <v>0</v>
      </c>
      <c r="R7" s="3">
        <f t="shared" si="16"/>
        <v>0</v>
      </c>
      <c r="S7" s="3">
        <f t="shared" si="17"/>
        <v>3.2032259999999995</v>
      </c>
      <c r="T7" s="3">
        <f t="shared" si="18"/>
        <v>400</v>
      </c>
      <c r="U7">
        <v>0</v>
      </c>
      <c r="V7" s="3">
        <f t="shared" si="19"/>
        <v>8.0080649999999984</v>
      </c>
    </row>
    <row r="8" spans="1:24" x14ac:dyDescent="0.25">
      <c r="A8">
        <v>5</v>
      </c>
      <c r="B8" s="3">
        <f t="shared" si="1"/>
        <v>9.3694360499999974</v>
      </c>
      <c r="C8" s="3">
        <f t="shared" si="2"/>
        <v>13.117210469999996</v>
      </c>
      <c r="D8" s="3">
        <f t="shared" si="3"/>
        <v>14.991097679999996</v>
      </c>
      <c r="E8" s="3">
        <f t="shared" si="4"/>
        <v>14.991097679999996</v>
      </c>
      <c r="F8" s="3">
        <f t="shared" si="5"/>
        <v>28.860031250000002</v>
      </c>
      <c r="G8" s="3">
        <f t="shared" si="6"/>
        <v>28860.03125</v>
      </c>
      <c r="H8" s="3">
        <f t="shared" si="6"/>
        <v>969.38887999999974</v>
      </c>
      <c r="I8" s="3">
        <f t="shared" si="7"/>
        <v>149.91097679999996</v>
      </c>
      <c r="J8" s="3">
        <f t="shared" si="8"/>
        <v>37.477744199999989</v>
      </c>
      <c r="K8" s="3">
        <f t="shared" si="9"/>
        <v>0</v>
      </c>
      <c r="L8" s="3">
        <f t="shared" si="10"/>
        <v>18.738872099999995</v>
      </c>
      <c r="M8" s="3">
        <f t="shared" si="11"/>
        <v>37.477744199999989</v>
      </c>
      <c r="N8" s="3">
        <f t="shared" si="12"/>
        <v>8.8981135031250016</v>
      </c>
      <c r="O8" s="3">
        <f t="shared" si="13"/>
        <v>16.889601599999992</v>
      </c>
      <c r="P8" s="3">
        <f t="shared" si="14"/>
        <v>18.738872099999995</v>
      </c>
      <c r="Q8" s="3">
        <f t="shared" si="15"/>
        <v>0</v>
      </c>
      <c r="R8" s="3">
        <f t="shared" si="16"/>
        <v>0</v>
      </c>
      <c r="S8" s="3">
        <f t="shared" si="17"/>
        <v>3.7477744199999989</v>
      </c>
      <c r="T8" s="3">
        <f t="shared" si="18"/>
        <v>500</v>
      </c>
      <c r="U8">
        <v>0</v>
      </c>
      <c r="V8" s="3">
        <f t="shared" si="19"/>
        <v>9.3694360499999974</v>
      </c>
    </row>
    <row r="9" spans="1:24" x14ac:dyDescent="0.25">
      <c r="A9">
        <v>6</v>
      </c>
      <c r="B9" s="3">
        <f t="shared" si="1"/>
        <v>10.962240178499997</v>
      </c>
      <c r="C9" s="3">
        <f t="shared" si="2"/>
        <v>15.347136249899995</v>
      </c>
      <c r="D9" s="3">
        <f t="shared" si="3"/>
        <v>17.539584285599993</v>
      </c>
      <c r="E9" s="3">
        <f t="shared" si="4"/>
        <v>17.539584285599993</v>
      </c>
      <c r="F9" s="3">
        <f t="shared" si="5"/>
        <v>44.733048437500003</v>
      </c>
      <c r="G9" s="3">
        <f t="shared" si="6"/>
        <v>44733.048437500001</v>
      </c>
      <c r="H9" s="3">
        <f t="shared" si="6"/>
        <v>1143.8788783999996</v>
      </c>
      <c r="I9" s="3">
        <f t="shared" si="7"/>
        <v>175.39584285599994</v>
      </c>
      <c r="J9" s="3">
        <f t="shared" si="8"/>
        <v>43.848960713999986</v>
      </c>
      <c r="K9" s="3">
        <f t="shared" si="9"/>
        <v>0</v>
      </c>
      <c r="L9" s="3">
        <f t="shared" si="10"/>
        <v>21.924480356999993</v>
      </c>
      <c r="M9" s="3">
        <f t="shared" si="11"/>
        <v>43.848960713999986</v>
      </c>
      <c r="N9" s="3">
        <f t="shared" si="12"/>
        <v>10.277321096109377</v>
      </c>
      <c r="O9" s="3">
        <f t="shared" si="13"/>
        <v>19.254145823999988</v>
      </c>
      <c r="P9" s="3">
        <f t="shared" si="14"/>
        <v>21.924480356999993</v>
      </c>
      <c r="Q9" s="3">
        <f t="shared" si="15"/>
        <v>0</v>
      </c>
      <c r="R9" s="3">
        <f t="shared" si="16"/>
        <v>0</v>
      </c>
      <c r="S9" s="3">
        <f t="shared" si="17"/>
        <v>4.3848960713999983</v>
      </c>
      <c r="T9" s="3">
        <f t="shared" si="18"/>
        <v>600</v>
      </c>
      <c r="U9">
        <v>0</v>
      </c>
      <c r="V9" s="3">
        <f t="shared" si="19"/>
        <v>10.962240178499997</v>
      </c>
    </row>
    <row r="10" spans="1:24" x14ac:dyDescent="0.25">
      <c r="A10">
        <v>7</v>
      </c>
      <c r="B10" s="3">
        <f t="shared" si="1"/>
        <v>12.825821008844995</v>
      </c>
      <c r="C10" s="3">
        <f t="shared" si="2"/>
        <v>17.956149412382992</v>
      </c>
      <c r="D10" s="3">
        <f t="shared" si="3"/>
        <v>20.521313614151989</v>
      </c>
      <c r="E10" s="3">
        <f t="shared" si="4"/>
        <v>20.521313614151989</v>
      </c>
      <c r="F10" s="3">
        <f t="shared" si="5"/>
        <v>69.336225078125011</v>
      </c>
      <c r="G10" s="3">
        <f t="shared" si="6"/>
        <v>69336.225078125004</v>
      </c>
      <c r="H10" s="3">
        <f t="shared" si="6"/>
        <v>1349.7770765119994</v>
      </c>
      <c r="I10" s="3">
        <f t="shared" si="7"/>
        <v>205.21313614151993</v>
      </c>
      <c r="J10" s="3">
        <f t="shared" si="8"/>
        <v>51.303284035379981</v>
      </c>
      <c r="K10" s="3">
        <f t="shared" si="9"/>
        <v>0</v>
      </c>
      <c r="L10" s="3">
        <f t="shared" si="10"/>
        <v>25.651642017689991</v>
      </c>
      <c r="M10" s="3">
        <f t="shared" si="11"/>
        <v>51.303284035379981</v>
      </c>
      <c r="N10" s="3">
        <f t="shared" si="12"/>
        <v>11.870305866006332</v>
      </c>
      <c r="O10" s="3">
        <f t="shared" si="13"/>
        <v>21.949726239359983</v>
      </c>
      <c r="P10" s="3">
        <f t="shared" si="14"/>
        <v>25.651642017689991</v>
      </c>
      <c r="Q10" s="3">
        <f t="shared" si="15"/>
        <v>0</v>
      </c>
      <c r="R10" s="3">
        <f t="shared" si="16"/>
        <v>0</v>
      </c>
      <c r="S10" s="3">
        <f t="shared" si="17"/>
        <v>5.1303284035379972</v>
      </c>
      <c r="T10" s="3">
        <f t="shared" si="18"/>
        <v>700</v>
      </c>
      <c r="U10">
        <v>0</v>
      </c>
      <c r="V10" s="3">
        <f t="shared" si="19"/>
        <v>12.825821008844995</v>
      </c>
    </row>
    <row r="11" spans="1:24" x14ac:dyDescent="0.25">
      <c r="A11">
        <v>8</v>
      </c>
      <c r="B11" s="3">
        <f t="shared" si="1"/>
        <v>15.006210580348643</v>
      </c>
      <c r="C11" s="3">
        <f t="shared" si="2"/>
        <v>21.008694812488098</v>
      </c>
      <c r="D11" s="3">
        <f t="shared" si="3"/>
        <v>24.009936928557824</v>
      </c>
      <c r="E11" s="3">
        <f t="shared" si="4"/>
        <v>24.009936928557824</v>
      </c>
      <c r="F11" s="3">
        <f t="shared" si="5"/>
        <v>107.47114887109377</v>
      </c>
      <c r="G11" s="3">
        <f t="shared" si="6"/>
        <v>107471.14887109376</v>
      </c>
      <c r="H11" s="3">
        <f t="shared" si="6"/>
        <v>1592.7369502841593</v>
      </c>
      <c r="I11" s="3">
        <f t="shared" si="7"/>
        <v>240.09936928557829</v>
      </c>
      <c r="J11" s="3">
        <f t="shared" si="8"/>
        <v>60.024842321394573</v>
      </c>
      <c r="K11" s="3">
        <f t="shared" si="9"/>
        <v>0</v>
      </c>
      <c r="L11" s="3">
        <f t="shared" si="10"/>
        <v>30.012421160697286</v>
      </c>
      <c r="M11" s="3">
        <f t="shared" si="11"/>
        <v>60.024842321394573</v>
      </c>
      <c r="N11" s="3">
        <f t="shared" si="12"/>
        <v>13.710203275237314</v>
      </c>
      <c r="O11" s="3">
        <f t="shared" si="13"/>
        <v>25.022687912870378</v>
      </c>
      <c r="P11" s="3">
        <f t="shared" si="14"/>
        <v>30.012421160697286</v>
      </c>
      <c r="Q11" s="3">
        <f t="shared" si="15"/>
        <v>0</v>
      </c>
      <c r="R11" s="3">
        <f t="shared" si="16"/>
        <v>0</v>
      </c>
      <c r="S11" s="3">
        <f t="shared" si="17"/>
        <v>6.002484232139456</v>
      </c>
      <c r="T11" s="3">
        <f t="shared" si="18"/>
        <v>800</v>
      </c>
      <c r="U11">
        <v>0</v>
      </c>
      <c r="V11" s="3">
        <f t="shared" si="19"/>
        <v>15.006210580348643</v>
      </c>
    </row>
    <row r="12" spans="1:24" x14ac:dyDescent="0.25">
      <c r="A12">
        <v>9</v>
      </c>
      <c r="B12" s="3">
        <f t="shared" si="1"/>
        <v>17.55726637900791</v>
      </c>
      <c r="C12" s="3">
        <f t="shared" si="2"/>
        <v>24.580172930611074</v>
      </c>
      <c r="D12" s="3">
        <f t="shared" si="3"/>
        <v>28.091626206412652</v>
      </c>
      <c r="E12" s="3">
        <f t="shared" si="4"/>
        <v>28.091626206412652</v>
      </c>
      <c r="F12" s="3">
        <f t="shared" si="5"/>
        <v>166.58028075019536</v>
      </c>
      <c r="G12" s="3">
        <f t="shared" si="6"/>
        <v>166580.28075019532</v>
      </c>
      <c r="H12" s="3">
        <f t="shared" si="6"/>
        <v>1879.429601335308</v>
      </c>
      <c r="I12" s="3">
        <f t="shared" si="7"/>
        <v>280.91626206412656</v>
      </c>
      <c r="J12" s="3">
        <f t="shared" si="8"/>
        <v>70.229065516031639</v>
      </c>
      <c r="K12" s="3">
        <f t="shared" si="9"/>
        <v>0</v>
      </c>
      <c r="L12" s="3">
        <f t="shared" si="10"/>
        <v>35.11453275801582</v>
      </c>
      <c r="M12" s="3">
        <f t="shared" si="11"/>
        <v>70.229065516031639</v>
      </c>
      <c r="N12" s="3">
        <f t="shared" si="12"/>
        <v>15.835284782899098</v>
      </c>
      <c r="O12" s="3">
        <f t="shared" si="13"/>
        <v>28.525864220672229</v>
      </c>
      <c r="P12" s="3">
        <f t="shared" si="14"/>
        <v>35.11453275801582</v>
      </c>
      <c r="Q12" s="3">
        <f t="shared" si="15"/>
        <v>0</v>
      </c>
      <c r="R12" s="3">
        <f t="shared" si="16"/>
        <v>0</v>
      </c>
      <c r="S12" s="3">
        <f t="shared" si="17"/>
        <v>7.022906551603163</v>
      </c>
      <c r="T12" s="3">
        <f t="shared" si="18"/>
        <v>900</v>
      </c>
      <c r="U12">
        <v>0</v>
      </c>
      <c r="V12" s="3">
        <f t="shared" si="19"/>
        <v>17.55726637900791</v>
      </c>
    </row>
    <row r="13" spans="1:24" x14ac:dyDescent="0.25">
      <c r="A13">
        <v>10</v>
      </c>
      <c r="B13" s="3">
        <f t="shared" si="1"/>
        <v>20.542001663439255</v>
      </c>
      <c r="C13" s="3">
        <f t="shared" si="2"/>
        <v>28.758802328814955</v>
      </c>
      <c r="D13" s="3">
        <f t="shared" si="3"/>
        <v>32.867202661502802</v>
      </c>
      <c r="E13" s="3">
        <f t="shared" si="4"/>
        <v>32.867202661502802</v>
      </c>
      <c r="F13" s="3">
        <f t="shared" si="5"/>
        <v>258.19943516280279</v>
      </c>
      <c r="G13" s="3">
        <f t="shared" si="6"/>
        <v>258199.43516280275</v>
      </c>
      <c r="H13" s="3">
        <f t="shared" si="6"/>
        <v>2217.7269295756632</v>
      </c>
      <c r="I13" s="3">
        <f t="shared" si="7"/>
        <v>328.67202661502807</v>
      </c>
      <c r="J13" s="3">
        <f t="shared" si="8"/>
        <v>82.168006653757018</v>
      </c>
      <c r="K13" s="3">
        <f t="shared" si="9"/>
        <v>0</v>
      </c>
      <c r="L13" s="3">
        <f t="shared" si="10"/>
        <v>41.084003326878509</v>
      </c>
      <c r="M13" s="3">
        <f t="shared" si="11"/>
        <v>82.168006653757018</v>
      </c>
      <c r="N13" s="3">
        <f t="shared" si="12"/>
        <v>18.289753924248458</v>
      </c>
      <c r="O13" s="3">
        <f t="shared" si="13"/>
        <v>32.519485211566341</v>
      </c>
      <c r="P13" s="3">
        <f t="shared" si="14"/>
        <v>41.084003326878509</v>
      </c>
      <c r="Q13" s="3">
        <f t="shared" si="15"/>
        <v>0</v>
      </c>
      <c r="R13" s="3">
        <f t="shared" si="16"/>
        <v>0</v>
      </c>
      <c r="S13" s="3">
        <f t="shared" si="17"/>
        <v>8.2168006653757004</v>
      </c>
      <c r="T13" s="3">
        <f t="shared" si="18"/>
        <v>1000</v>
      </c>
      <c r="U13">
        <v>0</v>
      </c>
      <c r="V13" s="3">
        <f t="shared" si="19"/>
        <v>20.542001663439255</v>
      </c>
    </row>
    <row r="14" spans="1:24" x14ac:dyDescent="0.25">
      <c r="A14">
        <v>11</v>
      </c>
      <c r="B14" s="3">
        <f t="shared" si="1"/>
        <v>24.034141946223926</v>
      </c>
      <c r="C14" s="3">
        <f t="shared" si="2"/>
        <v>33.647798724713496</v>
      </c>
      <c r="D14" s="3">
        <f t="shared" si="3"/>
        <v>38.454627113958274</v>
      </c>
      <c r="E14" s="3">
        <f t="shared" si="4"/>
        <v>38.454627113958274</v>
      </c>
      <c r="F14" s="3">
        <f t="shared" si="5"/>
        <v>400.20912450234431</v>
      </c>
      <c r="G14" s="3">
        <f t="shared" si="6"/>
        <v>400209.12450234429</v>
      </c>
      <c r="H14" s="3">
        <f t="shared" si="6"/>
        <v>2616.9177768992827</v>
      </c>
      <c r="I14" s="3">
        <f t="shared" si="7"/>
        <v>384.54627113958281</v>
      </c>
      <c r="J14" s="3">
        <f t="shared" si="8"/>
        <v>96.136567784895703</v>
      </c>
      <c r="K14" s="3">
        <f t="shared" si="9"/>
        <v>0</v>
      </c>
      <c r="L14" s="3">
        <f t="shared" si="10"/>
        <v>48.068283892447852</v>
      </c>
      <c r="M14" s="3">
        <f t="shared" si="11"/>
        <v>96.136567784895703</v>
      </c>
      <c r="N14" s="3">
        <f t="shared" si="12"/>
        <v>21.12466578250697</v>
      </c>
      <c r="O14" s="3">
        <f t="shared" si="13"/>
        <v>37.072213141185628</v>
      </c>
      <c r="P14" s="3">
        <f t="shared" si="14"/>
        <v>48.068283892447852</v>
      </c>
      <c r="Q14" s="3">
        <f t="shared" si="15"/>
        <v>0</v>
      </c>
      <c r="R14" s="3">
        <f t="shared" si="16"/>
        <v>0</v>
      </c>
      <c r="S14" s="3">
        <f t="shared" si="17"/>
        <v>9.6136567784895686</v>
      </c>
      <c r="T14" s="3">
        <f t="shared" si="18"/>
        <v>1100</v>
      </c>
      <c r="U14">
        <v>0</v>
      </c>
      <c r="V14" s="3">
        <f t="shared" si="19"/>
        <v>24.034141946223926</v>
      </c>
    </row>
    <row r="15" spans="1:24" x14ac:dyDescent="0.25">
      <c r="A15">
        <v>12</v>
      </c>
      <c r="B15" s="3">
        <f t="shared" si="1"/>
        <v>28.119946077081991</v>
      </c>
      <c r="C15" s="3">
        <f t="shared" si="2"/>
        <v>39.367924507914786</v>
      </c>
      <c r="D15" s="3">
        <f t="shared" si="3"/>
        <v>44.99191372333118</v>
      </c>
      <c r="E15" s="3">
        <f t="shared" si="4"/>
        <v>44.99191372333118</v>
      </c>
      <c r="F15" s="3">
        <f t="shared" si="5"/>
        <v>620.32414297863374</v>
      </c>
      <c r="G15" s="3">
        <f t="shared" si="6"/>
        <v>620324.14297863364</v>
      </c>
      <c r="H15" s="3">
        <f t="shared" si="6"/>
        <v>3087.9629767411534</v>
      </c>
      <c r="I15" s="3">
        <f t="shared" si="7"/>
        <v>449.91913723331186</v>
      </c>
      <c r="J15" s="3">
        <f t="shared" si="8"/>
        <v>112.47978430832796</v>
      </c>
      <c r="K15" s="3">
        <f t="shared" si="9"/>
        <v>0</v>
      </c>
      <c r="L15" s="3">
        <f t="shared" si="10"/>
        <v>56.239892154163982</v>
      </c>
      <c r="M15" s="3">
        <f t="shared" si="11"/>
        <v>112.47978430832796</v>
      </c>
      <c r="N15" s="3">
        <f t="shared" si="12"/>
        <v>24.398988978795551</v>
      </c>
      <c r="O15" s="3">
        <f t="shared" si="13"/>
        <v>42.262322980951609</v>
      </c>
      <c r="P15" s="3">
        <f t="shared" si="14"/>
        <v>56.239892154163982</v>
      </c>
      <c r="Q15" s="3">
        <f t="shared" si="15"/>
        <v>0</v>
      </c>
      <c r="R15" s="3">
        <f t="shared" si="16"/>
        <v>0</v>
      </c>
      <c r="S15" s="3">
        <f t="shared" si="17"/>
        <v>11.247978430832795</v>
      </c>
      <c r="T15" s="3">
        <f t="shared" si="18"/>
        <v>1200</v>
      </c>
      <c r="U15">
        <v>0</v>
      </c>
      <c r="V15" s="3">
        <f t="shared" si="19"/>
        <v>28.119946077081991</v>
      </c>
    </row>
    <row r="16" spans="1:24" x14ac:dyDescent="0.25">
      <c r="A16">
        <v>13</v>
      </c>
      <c r="B16" s="3">
        <f t="shared" si="1"/>
        <v>32.900336910185928</v>
      </c>
      <c r="C16" s="3">
        <f t="shared" si="2"/>
        <v>46.060471674260299</v>
      </c>
      <c r="D16" s="3">
        <f t="shared" si="3"/>
        <v>52.640539056297477</v>
      </c>
      <c r="E16" s="3">
        <f t="shared" si="4"/>
        <v>52.640539056297477</v>
      </c>
      <c r="F16" s="3">
        <f t="shared" si="5"/>
        <v>961.50242161688232</v>
      </c>
      <c r="G16" s="3">
        <f t="shared" si="6"/>
        <v>961502.4216168822</v>
      </c>
      <c r="H16" s="3">
        <f t="shared" si="6"/>
        <v>3643.7963125545607</v>
      </c>
      <c r="I16" s="3">
        <f t="shared" si="7"/>
        <v>526.40539056297484</v>
      </c>
      <c r="J16" s="3">
        <f t="shared" si="8"/>
        <v>131.60134764074371</v>
      </c>
      <c r="K16" s="3">
        <f t="shared" si="9"/>
        <v>0</v>
      </c>
      <c r="L16" s="3">
        <f t="shared" si="10"/>
        <v>65.800673820371856</v>
      </c>
      <c r="M16" s="3">
        <f t="shared" si="11"/>
        <v>131.60134764074371</v>
      </c>
      <c r="N16" s="3">
        <f t="shared" si="12"/>
        <v>28.180832270508862</v>
      </c>
      <c r="O16" s="3">
        <f t="shared" si="13"/>
        <v>48.179048198284832</v>
      </c>
      <c r="P16" s="3">
        <f t="shared" si="14"/>
        <v>65.800673820371856</v>
      </c>
      <c r="Q16" s="3">
        <f t="shared" si="15"/>
        <v>0</v>
      </c>
      <c r="R16" s="3">
        <f t="shared" si="16"/>
        <v>0</v>
      </c>
      <c r="S16" s="3">
        <f t="shared" si="17"/>
        <v>13.160134764074369</v>
      </c>
      <c r="T16" s="3">
        <f t="shared" si="18"/>
        <v>1300</v>
      </c>
      <c r="U16">
        <v>0</v>
      </c>
      <c r="V16" s="3">
        <f t="shared" si="19"/>
        <v>32.900336910185928</v>
      </c>
    </row>
    <row r="17" spans="1:22" x14ac:dyDescent="0.25">
      <c r="A17">
        <v>14</v>
      </c>
      <c r="B17" s="3">
        <f t="shared" si="1"/>
        <v>38.493394184917534</v>
      </c>
      <c r="C17" s="3">
        <f t="shared" si="2"/>
        <v>53.890751858884549</v>
      </c>
      <c r="D17" s="3">
        <f t="shared" si="3"/>
        <v>61.589430695868046</v>
      </c>
      <c r="E17" s="3">
        <f t="shared" si="4"/>
        <v>61.589430695868046</v>
      </c>
      <c r="F17" s="3">
        <f t="shared" si="5"/>
        <v>1490.3287535061677</v>
      </c>
      <c r="G17" s="3">
        <f t="shared" si="6"/>
        <v>1490328.7535061676</v>
      </c>
      <c r="H17" s="3">
        <f t="shared" si="6"/>
        <v>4299.6796488143818</v>
      </c>
      <c r="I17" s="3">
        <f t="shared" si="7"/>
        <v>615.89430695868054</v>
      </c>
      <c r="J17" s="3">
        <f t="shared" si="8"/>
        <v>153.97357673967014</v>
      </c>
      <c r="K17" s="3">
        <f t="shared" si="9"/>
        <v>0</v>
      </c>
      <c r="L17" s="3">
        <f t="shared" si="10"/>
        <v>76.986788369835068</v>
      </c>
      <c r="M17" s="3">
        <f t="shared" si="11"/>
        <v>153.97357673967014</v>
      </c>
      <c r="N17" s="3">
        <f t="shared" si="12"/>
        <v>32.548861272437733</v>
      </c>
      <c r="O17" s="3">
        <f t="shared" si="13"/>
        <v>54.924114946044703</v>
      </c>
      <c r="P17" s="3">
        <f t="shared" si="14"/>
        <v>76.986788369835068</v>
      </c>
      <c r="Q17" s="3">
        <f t="shared" si="15"/>
        <v>0</v>
      </c>
      <c r="R17" s="3">
        <f t="shared" si="16"/>
        <v>0</v>
      </c>
      <c r="S17" s="3">
        <f t="shared" si="17"/>
        <v>15.397357673967011</v>
      </c>
      <c r="T17" s="3">
        <f t="shared" si="18"/>
        <v>1400</v>
      </c>
      <c r="U17">
        <v>0</v>
      </c>
      <c r="V17" s="3">
        <f t="shared" si="19"/>
        <v>38.493394184917534</v>
      </c>
    </row>
    <row r="18" spans="1:22" x14ac:dyDescent="0.25">
      <c r="A18">
        <v>15</v>
      </c>
      <c r="B18" s="3">
        <f t="shared" si="1"/>
        <v>45.037271196353515</v>
      </c>
      <c r="C18" s="3">
        <f t="shared" si="2"/>
        <v>63.052179674894916</v>
      </c>
      <c r="D18" s="3">
        <f t="shared" si="3"/>
        <v>72.059633914165616</v>
      </c>
      <c r="E18" s="3">
        <f t="shared" si="4"/>
        <v>72.059633914165616</v>
      </c>
      <c r="F18" s="3">
        <f t="shared" si="5"/>
        <v>2310.00956793456</v>
      </c>
      <c r="G18" s="3">
        <f t="shared" si="6"/>
        <v>2310009.5679345597</v>
      </c>
      <c r="H18" s="3">
        <f t="shared" si="6"/>
        <v>5073.6219856009702</v>
      </c>
      <c r="I18" s="3">
        <f t="shared" si="7"/>
        <v>720.59633914165624</v>
      </c>
      <c r="J18" s="3">
        <f t="shared" si="8"/>
        <v>180.14908478541406</v>
      </c>
      <c r="K18" s="3">
        <f t="shared" si="9"/>
        <v>0</v>
      </c>
      <c r="L18" s="3">
        <f t="shared" si="10"/>
        <v>90.074542392707031</v>
      </c>
      <c r="M18" s="3">
        <f t="shared" si="11"/>
        <v>180.14908478541406</v>
      </c>
      <c r="N18" s="3">
        <f t="shared" si="12"/>
        <v>37.59393476966558</v>
      </c>
      <c r="O18" s="3">
        <f t="shared" si="13"/>
        <v>62.613491038490956</v>
      </c>
      <c r="P18" s="3">
        <f t="shared" si="14"/>
        <v>90.074542392707031</v>
      </c>
      <c r="Q18" s="3">
        <f t="shared" si="15"/>
        <v>0</v>
      </c>
      <c r="R18" s="3">
        <f t="shared" si="16"/>
        <v>0</v>
      </c>
      <c r="S18" s="3">
        <f t="shared" si="17"/>
        <v>18.014908478541404</v>
      </c>
      <c r="T18" s="3">
        <f t="shared" si="18"/>
        <v>1500</v>
      </c>
      <c r="U18">
        <v>0</v>
      </c>
      <c r="V18" s="3">
        <f t="shared" si="19"/>
        <v>45.037271196353515</v>
      </c>
    </row>
    <row r="19" spans="1:22" x14ac:dyDescent="0.25">
      <c r="A19">
        <v>16</v>
      </c>
      <c r="B19" s="3">
        <f t="shared" si="1"/>
        <v>52.693607299733607</v>
      </c>
      <c r="C19" s="3">
        <f t="shared" si="2"/>
        <v>73.771050219627043</v>
      </c>
      <c r="D19" s="3">
        <f t="shared" si="3"/>
        <v>84.309771679573771</v>
      </c>
      <c r="E19" s="3">
        <f t="shared" si="4"/>
        <v>84.309771679573771</v>
      </c>
      <c r="F19" s="3">
        <f t="shared" si="5"/>
        <v>3580.5148302985681</v>
      </c>
      <c r="G19" s="3">
        <f t="shared" si="6"/>
        <v>3580514.8302985677</v>
      </c>
      <c r="H19" s="3">
        <f t="shared" si="6"/>
        <v>5986.8739430091446</v>
      </c>
      <c r="I19" s="3">
        <f t="shared" si="7"/>
        <v>843.09771679573771</v>
      </c>
      <c r="J19" s="3">
        <f t="shared" si="8"/>
        <v>210.77442919893443</v>
      </c>
      <c r="K19" s="3">
        <f t="shared" si="9"/>
        <v>0</v>
      </c>
      <c r="L19" s="3">
        <f t="shared" si="10"/>
        <v>105.38721459946721</v>
      </c>
      <c r="M19" s="3">
        <f t="shared" si="11"/>
        <v>210.77442919893443</v>
      </c>
      <c r="N19" s="3">
        <f t="shared" si="12"/>
        <v>43.420994658963743</v>
      </c>
      <c r="O19" s="3">
        <f t="shared" si="13"/>
        <v>71.379379783879685</v>
      </c>
      <c r="P19" s="3">
        <f t="shared" si="14"/>
        <v>105.38721459946721</v>
      </c>
      <c r="Q19" s="3">
        <f t="shared" si="15"/>
        <v>0</v>
      </c>
      <c r="R19" s="3">
        <f t="shared" si="16"/>
        <v>0</v>
      </c>
      <c r="S19" s="3">
        <f t="shared" si="17"/>
        <v>21.077442919893443</v>
      </c>
      <c r="T19" s="3">
        <f t="shared" si="18"/>
        <v>1600</v>
      </c>
      <c r="U19">
        <v>0</v>
      </c>
      <c r="V19" s="3">
        <f t="shared" si="19"/>
        <v>52.693607299733607</v>
      </c>
    </row>
    <row r="20" spans="1:22" x14ac:dyDescent="0.25">
      <c r="A20">
        <v>17</v>
      </c>
      <c r="B20" s="3">
        <f t="shared" si="1"/>
        <v>61.651520540688317</v>
      </c>
      <c r="C20" s="3">
        <f t="shared" si="2"/>
        <v>86.312128756963631</v>
      </c>
      <c r="D20" s="3">
        <f t="shared" si="3"/>
        <v>98.642432865101313</v>
      </c>
      <c r="E20" s="3">
        <f t="shared" si="4"/>
        <v>98.642432865101313</v>
      </c>
      <c r="F20" s="3">
        <f t="shared" si="5"/>
        <v>5549.7979869627807</v>
      </c>
      <c r="G20" s="3">
        <f t="shared" si="6"/>
        <v>5549797.9869627804</v>
      </c>
      <c r="H20" s="3">
        <f t="shared" si="6"/>
        <v>7064.5112527507899</v>
      </c>
      <c r="I20" s="3">
        <f t="shared" si="7"/>
        <v>986.42432865101307</v>
      </c>
      <c r="J20" s="3">
        <f t="shared" si="8"/>
        <v>246.60608216275327</v>
      </c>
      <c r="K20" s="3">
        <f t="shared" si="9"/>
        <v>0</v>
      </c>
      <c r="L20" s="3">
        <f t="shared" si="10"/>
        <v>123.30304108137663</v>
      </c>
      <c r="M20" s="3">
        <f t="shared" si="11"/>
        <v>246.60608216275327</v>
      </c>
      <c r="N20" s="3">
        <f t="shared" si="12"/>
        <v>50.151248831103125</v>
      </c>
      <c r="O20" s="3">
        <f t="shared" si="13"/>
        <v>81.372492953622839</v>
      </c>
      <c r="P20" s="3">
        <f t="shared" si="14"/>
        <v>123.30304108137663</v>
      </c>
      <c r="Q20" s="3">
        <f t="shared" si="15"/>
        <v>0</v>
      </c>
      <c r="R20" s="3">
        <f t="shared" si="16"/>
        <v>0</v>
      </c>
      <c r="S20" s="3">
        <f t="shared" si="17"/>
        <v>24.660608216275328</v>
      </c>
      <c r="T20" s="3">
        <f t="shared" si="18"/>
        <v>1700</v>
      </c>
      <c r="U20">
        <v>0</v>
      </c>
      <c r="V20" s="3">
        <f t="shared" si="19"/>
        <v>61.651520540688317</v>
      </c>
    </row>
    <row r="21" spans="1:22" x14ac:dyDescent="0.25">
      <c r="A21">
        <v>18</v>
      </c>
      <c r="B21" s="3">
        <f t="shared" si="1"/>
        <v>72.132279032605325</v>
      </c>
      <c r="C21" s="3">
        <f t="shared" ref="C21:C33" si="20">C$2*C20</f>
        <v>100.98519064564744</v>
      </c>
      <c r="D21" s="3">
        <f t="shared" ref="D21:G33" si="21">D$2*D20</f>
        <v>115.41164645216853</v>
      </c>
      <c r="E21" s="3">
        <f t="shared" si="21"/>
        <v>115.41164645216853</v>
      </c>
      <c r="F21" s="3">
        <f t="shared" si="21"/>
        <v>8602.1868797923107</v>
      </c>
      <c r="G21" s="3">
        <f t="shared" si="21"/>
        <v>8602186.8797923103</v>
      </c>
      <c r="H21" s="3">
        <f t="shared" ref="H21:H33" si="22">H$2*H20</f>
        <v>8336.1232782459319</v>
      </c>
      <c r="I21" s="3">
        <f t="shared" ref="I21:I33" si="23">I$2*I20</f>
        <v>1154.1164645216852</v>
      </c>
      <c r="J21" s="3">
        <f t="shared" ref="J21:J33" si="24">J$2*J20</f>
        <v>288.5291161304213</v>
      </c>
      <c r="K21" s="3">
        <f t="shared" ref="K21:K33" si="25">K$2*K20</f>
        <v>0</v>
      </c>
      <c r="L21" s="3">
        <f t="shared" ref="L21:L33" si="26">L$2*L20</f>
        <v>144.26455806521065</v>
      </c>
      <c r="M21" s="3">
        <f t="shared" ref="M21:M33" si="27">M$2*M20</f>
        <v>288.5291161304213</v>
      </c>
      <c r="N21" s="3">
        <f t="shared" ref="N21:N33" si="28">N$2*N20</f>
        <v>57.924692399924112</v>
      </c>
      <c r="O21" s="3">
        <f t="shared" ref="O21:O33" si="29">O$2*O20</f>
        <v>92.764641967130032</v>
      </c>
      <c r="P21" s="3">
        <f t="shared" ref="P21:P33" si="30">P$2*P20</f>
        <v>144.26455806521065</v>
      </c>
      <c r="Q21" s="3">
        <f t="shared" ref="Q21:Q33" si="31">Q$2*Q20</f>
        <v>0</v>
      </c>
      <c r="R21" s="3">
        <f t="shared" ref="R21:R33" si="32">R$2*R20</f>
        <v>0</v>
      </c>
      <c r="S21" s="3">
        <f t="shared" ref="S21:S33" si="33">S$2*S20</f>
        <v>28.852911613042131</v>
      </c>
      <c r="T21" s="3">
        <f t="shared" si="18"/>
        <v>1800</v>
      </c>
      <c r="U21">
        <v>0</v>
      </c>
      <c r="V21" s="3">
        <f t="shared" ref="V21:V33" si="34">V$2*V20</f>
        <v>72.132279032605325</v>
      </c>
    </row>
    <row r="22" spans="1:22" x14ac:dyDescent="0.25">
      <c r="A22">
        <v>19</v>
      </c>
      <c r="B22" s="3">
        <f t="shared" si="1"/>
        <v>84.394766468148219</v>
      </c>
      <c r="C22" s="3">
        <f t="shared" si="20"/>
        <v>118.15267305540749</v>
      </c>
      <c r="D22" s="3">
        <f t="shared" si="21"/>
        <v>135.03162634903717</v>
      </c>
      <c r="E22" s="3">
        <f t="shared" si="21"/>
        <v>135.03162634903717</v>
      </c>
      <c r="F22" s="3">
        <f t="shared" si="21"/>
        <v>13333.389663678083</v>
      </c>
      <c r="G22" s="3">
        <f t="shared" si="21"/>
        <v>13333389.663678082</v>
      </c>
      <c r="H22" s="3">
        <f t="shared" si="22"/>
        <v>9836.6254683301995</v>
      </c>
      <c r="I22" s="3">
        <f t="shared" si="23"/>
        <v>1350.3162634903715</v>
      </c>
      <c r="J22" s="3">
        <f t="shared" si="24"/>
        <v>337.57906587259288</v>
      </c>
      <c r="K22" s="3">
        <f t="shared" si="25"/>
        <v>0</v>
      </c>
      <c r="L22" s="3">
        <f t="shared" si="26"/>
        <v>168.78953293629644</v>
      </c>
      <c r="M22" s="3">
        <f t="shared" si="27"/>
        <v>337.57906587259288</v>
      </c>
      <c r="N22" s="3">
        <f t="shared" si="28"/>
        <v>66.903019721912344</v>
      </c>
      <c r="O22" s="3">
        <f t="shared" si="29"/>
        <v>105.75169184252823</v>
      </c>
      <c r="P22" s="3">
        <f t="shared" si="30"/>
        <v>168.78953293629644</v>
      </c>
      <c r="Q22" s="3">
        <f t="shared" si="31"/>
        <v>0</v>
      </c>
      <c r="R22" s="3">
        <f t="shared" si="32"/>
        <v>0</v>
      </c>
      <c r="S22" s="3">
        <f t="shared" si="33"/>
        <v>33.757906587259292</v>
      </c>
      <c r="T22" s="3">
        <f t="shared" si="18"/>
        <v>1900</v>
      </c>
      <c r="U22">
        <v>0</v>
      </c>
      <c r="V22" s="3">
        <f t="shared" si="34"/>
        <v>84.394766468148219</v>
      </c>
    </row>
    <row r="23" spans="1:22" x14ac:dyDescent="0.25">
      <c r="A23">
        <v>20</v>
      </c>
      <c r="B23" s="3">
        <f t="shared" si="1"/>
        <v>98.741876767733416</v>
      </c>
      <c r="C23" s="3">
        <f t="shared" si="20"/>
        <v>138.23862747482676</v>
      </c>
      <c r="D23" s="3">
        <f t="shared" si="21"/>
        <v>157.98700282837348</v>
      </c>
      <c r="E23" s="3">
        <f t="shared" si="21"/>
        <v>157.98700282837348</v>
      </c>
      <c r="F23" s="3">
        <f t="shared" si="21"/>
        <v>20666.753978701028</v>
      </c>
      <c r="G23" s="3">
        <f t="shared" si="21"/>
        <v>20666753.978701029</v>
      </c>
      <c r="H23" s="3">
        <f t="shared" si="22"/>
        <v>11607.218052629634</v>
      </c>
      <c r="I23" s="3">
        <f t="shared" si="23"/>
        <v>1579.8700282837347</v>
      </c>
      <c r="J23" s="3">
        <f t="shared" si="24"/>
        <v>394.96750707093366</v>
      </c>
      <c r="K23" s="3">
        <f t="shared" si="25"/>
        <v>0</v>
      </c>
      <c r="L23" s="3">
        <f t="shared" si="26"/>
        <v>197.48375353546683</v>
      </c>
      <c r="M23" s="3">
        <f t="shared" si="27"/>
        <v>394.96750707093366</v>
      </c>
      <c r="N23" s="3">
        <f t="shared" si="28"/>
        <v>77.272987778808755</v>
      </c>
      <c r="O23" s="3">
        <f t="shared" si="29"/>
        <v>120.55692870048217</v>
      </c>
      <c r="P23" s="3">
        <f t="shared" si="30"/>
        <v>197.48375353546683</v>
      </c>
      <c r="Q23" s="3">
        <f t="shared" si="31"/>
        <v>0</v>
      </c>
      <c r="R23" s="3">
        <f t="shared" si="32"/>
        <v>0</v>
      </c>
      <c r="S23" s="3">
        <f t="shared" si="33"/>
        <v>39.496750707093369</v>
      </c>
      <c r="T23" s="3">
        <f t="shared" si="18"/>
        <v>2000</v>
      </c>
      <c r="U23">
        <v>0</v>
      </c>
      <c r="V23" s="3">
        <f t="shared" si="34"/>
        <v>98.741876767733416</v>
      </c>
    </row>
    <row r="24" spans="1:22" x14ac:dyDescent="0.25">
      <c r="A24">
        <v>21</v>
      </c>
      <c r="B24" s="3">
        <f t="shared" si="1"/>
        <v>115.52799581824809</v>
      </c>
      <c r="C24" s="3">
        <f t="shared" si="20"/>
        <v>161.73919414554729</v>
      </c>
      <c r="D24" s="3">
        <f t="shared" si="21"/>
        <v>184.84479330919694</v>
      </c>
      <c r="E24" s="3">
        <f t="shared" si="21"/>
        <v>184.84479330919694</v>
      </c>
      <c r="F24" s="3">
        <f t="shared" si="21"/>
        <v>32033.468666986595</v>
      </c>
      <c r="G24" s="3">
        <f t="shared" si="21"/>
        <v>32033468.666986596</v>
      </c>
      <c r="H24" s="3">
        <f t="shared" si="22"/>
        <v>13696.517302102968</v>
      </c>
      <c r="I24" s="3">
        <f t="shared" si="23"/>
        <v>1848.4479330919694</v>
      </c>
      <c r="J24" s="3">
        <f t="shared" si="24"/>
        <v>462.11198327299235</v>
      </c>
      <c r="K24" s="3">
        <f t="shared" si="25"/>
        <v>0</v>
      </c>
      <c r="L24" s="3">
        <f t="shared" si="26"/>
        <v>231.05599163649617</v>
      </c>
      <c r="M24" s="3">
        <f t="shared" si="27"/>
        <v>462.11198327299235</v>
      </c>
      <c r="N24" s="3">
        <f t="shared" si="28"/>
        <v>89.250300884524108</v>
      </c>
      <c r="O24" s="3">
        <f t="shared" si="29"/>
        <v>137.43489871854968</v>
      </c>
      <c r="P24" s="3">
        <f t="shared" si="30"/>
        <v>231.05599163649617</v>
      </c>
      <c r="Q24" s="3">
        <f t="shared" si="31"/>
        <v>0</v>
      </c>
      <c r="R24" s="3">
        <f t="shared" si="32"/>
        <v>0</v>
      </c>
      <c r="S24" s="3">
        <f t="shared" si="33"/>
        <v>46.211198327299236</v>
      </c>
      <c r="T24" s="3">
        <f t="shared" si="18"/>
        <v>2100</v>
      </c>
      <c r="U24">
        <v>0</v>
      </c>
      <c r="V24" s="3">
        <f t="shared" si="34"/>
        <v>115.52799581824809</v>
      </c>
    </row>
    <row r="25" spans="1:22" x14ac:dyDescent="0.25">
      <c r="A25">
        <v>22</v>
      </c>
      <c r="B25" s="3">
        <f t="shared" si="1"/>
        <v>135.16775510735025</v>
      </c>
      <c r="C25" s="3">
        <f t="shared" si="20"/>
        <v>189.23485715029031</v>
      </c>
      <c r="D25" s="3">
        <f t="shared" si="21"/>
        <v>216.2684081717604</v>
      </c>
      <c r="E25" s="3">
        <f t="shared" si="21"/>
        <v>216.2684081717604</v>
      </c>
      <c r="F25" s="3">
        <f t="shared" si="21"/>
        <v>49651.876433829224</v>
      </c>
      <c r="G25" s="3">
        <f t="shared" si="21"/>
        <v>49651876.433829226</v>
      </c>
      <c r="H25" s="3">
        <f t="shared" si="22"/>
        <v>16161.890416481501</v>
      </c>
      <c r="I25" s="3">
        <f t="shared" si="23"/>
        <v>2162.6840817176039</v>
      </c>
      <c r="J25" s="3">
        <f t="shared" si="24"/>
        <v>540.67102042940098</v>
      </c>
      <c r="K25" s="3">
        <f t="shared" si="25"/>
        <v>0</v>
      </c>
      <c r="L25" s="3">
        <f t="shared" si="26"/>
        <v>270.33551021470049</v>
      </c>
      <c r="M25" s="3">
        <f t="shared" si="27"/>
        <v>540.67102042940098</v>
      </c>
      <c r="N25" s="3">
        <f t="shared" si="28"/>
        <v>103.08409752162535</v>
      </c>
      <c r="O25" s="3">
        <f t="shared" si="29"/>
        <v>156.6757845391466</v>
      </c>
      <c r="P25" s="3">
        <f t="shared" si="30"/>
        <v>270.33551021470049</v>
      </c>
      <c r="Q25" s="3">
        <f t="shared" si="31"/>
        <v>0</v>
      </c>
      <c r="R25" s="3">
        <f t="shared" si="32"/>
        <v>0</v>
      </c>
      <c r="S25" s="3">
        <f t="shared" si="33"/>
        <v>54.0671020429401</v>
      </c>
      <c r="T25" s="3">
        <f t="shared" si="18"/>
        <v>2200</v>
      </c>
      <c r="U25">
        <v>0</v>
      </c>
      <c r="V25" s="3">
        <f t="shared" si="34"/>
        <v>135.16775510735025</v>
      </c>
    </row>
    <row r="26" spans="1:22" x14ac:dyDescent="0.25">
      <c r="A26">
        <v>23</v>
      </c>
      <c r="B26" s="3">
        <f t="shared" si="1"/>
        <v>158.14627347559977</v>
      </c>
      <c r="C26" s="3">
        <f t="shared" si="20"/>
        <v>221.40478286583965</v>
      </c>
      <c r="D26" s="3">
        <f t="shared" si="21"/>
        <v>253.03403756095966</v>
      </c>
      <c r="E26" s="3">
        <f t="shared" si="21"/>
        <v>253.03403756095966</v>
      </c>
      <c r="F26" s="3">
        <f t="shared" si="21"/>
        <v>76960.408472435302</v>
      </c>
      <c r="G26" s="3">
        <f t="shared" si="21"/>
        <v>76960408.472435296</v>
      </c>
      <c r="H26" s="3">
        <f t="shared" si="22"/>
        <v>19071.03069144817</v>
      </c>
      <c r="I26" s="3">
        <f t="shared" si="23"/>
        <v>2530.3403756095963</v>
      </c>
      <c r="J26" s="3">
        <f t="shared" si="24"/>
        <v>632.58509390239908</v>
      </c>
      <c r="K26" s="3">
        <f t="shared" si="25"/>
        <v>0</v>
      </c>
      <c r="L26" s="3">
        <f t="shared" si="26"/>
        <v>316.29254695119954</v>
      </c>
      <c r="M26" s="3">
        <f t="shared" si="27"/>
        <v>632.58509390239908</v>
      </c>
      <c r="N26" s="3">
        <f t="shared" si="28"/>
        <v>119.06213263747729</v>
      </c>
      <c r="O26" s="3">
        <f t="shared" si="29"/>
        <v>178.61039437462711</v>
      </c>
      <c r="P26" s="3">
        <f t="shared" si="30"/>
        <v>316.29254695119954</v>
      </c>
      <c r="Q26" s="3">
        <f t="shared" si="31"/>
        <v>0</v>
      </c>
      <c r="R26" s="3">
        <f t="shared" si="32"/>
        <v>0</v>
      </c>
      <c r="S26" s="3">
        <f t="shared" si="33"/>
        <v>63.258509390239915</v>
      </c>
      <c r="T26" s="3">
        <f t="shared" si="18"/>
        <v>2300</v>
      </c>
      <c r="U26">
        <v>0</v>
      </c>
      <c r="V26" s="3">
        <f t="shared" si="34"/>
        <v>158.14627347559977</v>
      </c>
    </row>
    <row r="27" spans="1:22" x14ac:dyDescent="0.25">
      <c r="A27">
        <v>24</v>
      </c>
      <c r="B27" s="3">
        <f t="shared" si="1"/>
        <v>185.03113996645172</v>
      </c>
      <c r="C27" s="3">
        <f t="shared" si="20"/>
        <v>259.04359595303237</v>
      </c>
      <c r="D27" s="3">
        <f t="shared" si="21"/>
        <v>296.04982394632276</v>
      </c>
      <c r="E27" s="3">
        <f t="shared" si="21"/>
        <v>296.04982394632276</v>
      </c>
      <c r="F27" s="3">
        <f t="shared" si="21"/>
        <v>119288.63313227471</v>
      </c>
      <c r="G27" s="3">
        <f t="shared" si="21"/>
        <v>119288633.13227472</v>
      </c>
      <c r="H27" s="3">
        <f t="shared" si="22"/>
        <v>22503.816215908839</v>
      </c>
      <c r="I27" s="3">
        <f t="shared" si="23"/>
        <v>2960.4982394632275</v>
      </c>
      <c r="J27" s="3">
        <f t="shared" si="24"/>
        <v>740.12455986580687</v>
      </c>
      <c r="K27" s="3">
        <f t="shared" si="25"/>
        <v>0</v>
      </c>
      <c r="L27" s="3">
        <f t="shared" si="26"/>
        <v>370.06227993290344</v>
      </c>
      <c r="M27" s="3">
        <f t="shared" si="27"/>
        <v>740.12455986580687</v>
      </c>
      <c r="N27" s="3">
        <f t="shared" si="28"/>
        <v>137.51676319628626</v>
      </c>
      <c r="O27" s="3">
        <f t="shared" si="29"/>
        <v>203.61584958707488</v>
      </c>
      <c r="P27" s="3">
        <f t="shared" si="30"/>
        <v>370.06227993290344</v>
      </c>
      <c r="Q27" s="3">
        <f t="shared" si="31"/>
        <v>0</v>
      </c>
      <c r="R27" s="3">
        <f t="shared" si="32"/>
        <v>0</v>
      </c>
      <c r="S27" s="3">
        <f t="shared" si="33"/>
        <v>74.01245598658069</v>
      </c>
      <c r="T27" s="3">
        <f t="shared" si="18"/>
        <v>2400</v>
      </c>
      <c r="U27">
        <v>0</v>
      </c>
      <c r="V27" s="3">
        <f t="shared" si="34"/>
        <v>185.03113996645172</v>
      </c>
    </row>
    <row r="28" spans="1:22" x14ac:dyDescent="0.25">
      <c r="A28">
        <v>25</v>
      </c>
      <c r="B28" s="3">
        <f t="shared" si="1"/>
        <v>216.4864337607485</v>
      </c>
      <c r="C28" s="3">
        <f t="shared" si="20"/>
        <v>303.08100726504784</v>
      </c>
      <c r="D28" s="3">
        <f t="shared" si="21"/>
        <v>346.37829401719762</v>
      </c>
      <c r="E28" s="3">
        <f t="shared" si="21"/>
        <v>346.37829401719762</v>
      </c>
      <c r="F28" s="3">
        <f t="shared" si="21"/>
        <v>184897.38135502581</v>
      </c>
      <c r="G28" s="3">
        <f t="shared" si="21"/>
        <v>184897381.35502583</v>
      </c>
      <c r="H28" s="3">
        <f t="shared" si="22"/>
        <v>26554.503134772429</v>
      </c>
      <c r="I28" s="3">
        <f t="shared" si="23"/>
        <v>3463.782940171976</v>
      </c>
      <c r="J28" s="3">
        <f t="shared" si="24"/>
        <v>865.94573504299399</v>
      </c>
      <c r="K28" s="3">
        <f t="shared" si="25"/>
        <v>0</v>
      </c>
      <c r="L28" s="3">
        <f t="shared" si="26"/>
        <v>432.97286752149699</v>
      </c>
      <c r="M28" s="3">
        <f t="shared" si="27"/>
        <v>865.94573504299399</v>
      </c>
      <c r="N28" s="3">
        <f t="shared" si="28"/>
        <v>158.83186149171064</v>
      </c>
      <c r="O28" s="3">
        <f t="shared" si="29"/>
        <v>232.12206852926533</v>
      </c>
      <c r="P28" s="3">
        <f t="shared" si="30"/>
        <v>432.97286752149699</v>
      </c>
      <c r="Q28" s="3">
        <f t="shared" si="31"/>
        <v>0</v>
      </c>
      <c r="R28" s="3">
        <f t="shared" si="32"/>
        <v>0</v>
      </c>
      <c r="S28" s="3">
        <f t="shared" si="33"/>
        <v>86.594573504299404</v>
      </c>
      <c r="T28" s="3">
        <f t="shared" si="18"/>
        <v>2500</v>
      </c>
      <c r="U28">
        <v>0</v>
      </c>
      <c r="V28" s="3">
        <f t="shared" si="34"/>
        <v>216.4864337607485</v>
      </c>
    </row>
    <row r="29" spans="1:22" x14ac:dyDescent="0.25">
      <c r="A29">
        <v>26</v>
      </c>
      <c r="B29" s="3">
        <f t="shared" si="1"/>
        <v>253.28912750007572</v>
      </c>
      <c r="C29" s="3">
        <f t="shared" si="20"/>
        <v>354.60477850010597</v>
      </c>
      <c r="D29" s="3">
        <f t="shared" si="21"/>
        <v>405.2626040001212</v>
      </c>
      <c r="E29" s="3">
        <f t="shared" si="21"/>
        <v>405.2626040001212</v>
      </c>
      <c r="F29" s="3">
        <f t="shared" si="21"/>
        <v>286590.94110028999</v>
      </c>
      <c r="G29" s="3">
        <f t="shared" si="21"/>
        <v>286590941.10029006</v>
      </c>
      <c r="H29" s="3">
        <f t="shared" si="22"/>
        <v>31334.313699031463</v>
      </c>
      <c r="I29" s="3">
        <f t="shared" si="23"/>
        <v>4052.6260400012115</v>
      </c>
      <c r="J29" s="3">
        <f t="shared" si="24"/>
        <v>1013.1565100003029</v>
      </c>
      <c r="K29" s="3">
        <f t="shared" si="25"/>
        <v>0</v>
      </c>
      <c r="L29" s="3">
        <f t="shared" si="26"/>
        <v>506.57825500015144</v>
      </c>
      <c r="M29" s="3">
        <f t="shared" si="27"/>
        <v>1013.1565100003029</v>
      </c>
      <c r="N29" s="3">
        <f t="shared" si="28"/>
        <v>183.45080002292579</v>
      </c>
      <c r="O29" s="3">
        <f t="shared" si="29"/>
        <v>264.61915812336247</v>
      </c>
      <c r="P29" s="3">
        <f t="shared" si="30"/>
        <v>506.57825500015144</v>
      </c>
      <c r="Q29" s="3">
        <f t="shared" si="31"/>
        <v>0</v>
      </c>
      <c r="R29" s="3">
        <f t="shared" si="32"/>
        <v>0</v>
      </c>
      <c r="S29" s="3">
        <f t="shared" si="33"/>
        <v>101.3156510000303</v>
      </c>
      <c r="T29" s="3">
        <f t="shared" si="18"/>
        <v>2600</v>
      </c>
      <c r="U29">
        <v>0</v>
      </c>
      <c r="V29" s="3">
        <f t="shared" si="34"/>
        <v>253.28912750007572</v>
      </c>
    </row>
    <row r="30" spans="1:22" x14ac:dyDescent="0.25">
      <c r="A30">
        <v>27</v>
      </c>
      <c r="B30" s="3">
        <f t="shared" si="1"/>
        <v>296.34827917508858</v>
      </c>
      <c r="C30" s="3">
        <f t="shared" si="20"/>
        <v>414.88759084512395</v>
      </c>
      <c r="D30" s="3">
        <f t="shared" si="21"/>
        <v>474.15724668014178</v>
      </c>
      <c r="E30" s="3">
        <f t="shared" si="21"/>
        <v>474.15724668014178</v>
      </c>
      <c r="F30" s="3">
        <f t="shared" si="21"/>
        <v>444215.95870544948</v>
      </c>
      <c r="G30" s="3">
        <f t="shared" si="21"/>
        <v>444215958.70544958</v>
      </c>
      <c r="H30" s="3">
        <f t="shared" si="22"/>
        <v>36974.490164857125</v>
      </c>
      <c r="I30" s="3">
        <f t="shared" si="23"/>
        <v>4741.5724668014172</v>
      </c>
      <c r="J30" s="3">
        <f t="shared" si="24"/>
        <v>1185.3931167003543</v>
      </c>
      <c r="K30" s="3">
        <f t="shared" si="25"/>
        <v>0</v>
      </c>
      <c r="L30" s="3">
        <f t="shared" si="26"/>
        <v>592.69655835017716</v>
      </c>
      <c r="M30" s="3">
        <f t="shared" si="27"/>
        <v>1185.3931167003543</v>
      </c>
      <c r="N30" s="3">
        <f t="shared" si="28"/>
        <v>211.88567402647928</v>
      </c>
      <c r="O30" s="3">
        <f t="shared" si="29"/>
        <v>301.66584026063316</v>
      </c>
      <c r="P30" s="3">
        <f t="shared" si="30"/>
        <v>592.69655835017716</v>
      </c>
      <c r="Q30" s="3">
        <f t="shared" si="31"/>
        <v>0</v>
      </c>
      <c r="R30" s="3">
        <f t="shared" si="32"/>
        <v>0</v>
      </c>
      <c r="S30" s="3">
        <f t="shared" si="33"/>
        <v>118.53931167003545</v>
      </c>
      <c r="T30" s="3">
        <f t="shared" si="18"/>
        <v>2700</v>
      </c>
      <c r="U30">
        <v>0</v>
      </c>
      <c r="V30" s="3">
        <f t="shared" si="34"/>
        <v>296.34827917508858</v>
      </c>
    </row>
    <row r="31" spans="1:22" x14ac:dyDescent="0.25">
      <c r="A31">
        <v>28</v>
      </c>
      <c r="B31" s="3">
        <f t="shared" si="1"/>
        <v>346.72748663485362</v>
      </c>
      <c r="C31" s="3">
        <f t="shared" si="20"/>
        <v>485.41848128879502</v>
      </c>
      <c r="D31" s="3">
        <f t="shared" si="21"/>
        <v>554.76397861576584</v>
      </c>
      <c r="E31" s="3">
        <f t="shared" si="21"/>
        <v>554.76397861576584</v>
      </c>
      <c r="F31" s="3">
        <f t="shared" si="21"/>
        <v>688534.73599344667</v>
      </c>
      <c r="G31" s="3">
        <f t="shared" si="21"/>
        <v>688534735.99344683</v>
      </c>
      <c r="H31" s="3">
        <f t="shared" si="22"/>
        <v>43629.898394531403</v>
      </c>
      <c r="I31" s="3">
        <f t="shared" si="23"/>
        <v>5547.6397861576579</v>
      </c>
      <c r="J31" s="3">
        <f t="shared" si="24"/>
        <v>1386.9099465394145</v>
      </c>
      <c r="K31" s="3">
        <f t="shared" si="25"/>
        <v>0</v>
      </c>
      <c r="L31" s="3">
        <f t="shared" si="26"/>
        <v>693.45497326970724</v>
      </c>
      <c r="M31" s="3">
        <f t="shared" si="27"/>
        <v>1386.9099465394145</v>
      </c>
      <c r="N31" s="3">
        <f t="shared" si="28"/>
        <v>244.72795350058357</v>
      </c>
      <c r="O31" s="3">
        <f t="shared" si="29"/>
        <v>343.89905789712179</v>
      </c>
      <c r="P31" s="3">
        <f t="shared" si="30"/>
        <v>693.45497326970724</v>
      </c>
      <c r="Q31" s="3">
        <f t="shared" si="31"/>
        <v>0</v>
      </c>
      <c r="R31" s="3">
        <f t="shared" si="32"/>
        <v>0</v>
      </c>
      <c r="S31" s="3">
        <f t="shared" si="33"/>
        <v>138.69099465394146</v>
      </c>
      <c r="T31" s="3">
        <f t="shared" si="18"/>
        <v>2800</v>
      </c>
      <c r="U31">
        <v>0</v>
      </c>
      <c r="V31" s="3">
        <f t="shared" si="34"/>
        <v>346.72748663485362</v>
      </c>
    </row>
    <row r="32" spans="1:22" x14ac:dyDescent="0.25">
      <c r="A32">
        <v>29</v>
      </c>
      <c r="B32" s="3">
        <f t="shared" si="1"/>
        <v>405.67115936277872</v>
      </c>
      <c r="C32" s="3">
        <f t="shared" si="20"/>
        <v>567.93962310789016</v>
      </c>
      <c r="D32" s="3">
        <f t="shared" si="21"/>
        <v>649.07385498044596</v>
      </c>
      <c r="E32" s="3">
        <f t="shared" si="21"/>
        <v>649.07385498044596</v>
      </c>
      <c r="F32" s="3">
        <f t="shared" si="21"/>
        <v>1067228.8407898424</v>
      </c>
      <c r="G32" s="3">
        <f t="shared" si="21"/>
        <v>1067228840.7898426</v>
      </c>
      <c r="H32" s="3">
        <f t="shared" si="22"/>
        <v>51483.280105547055</v>
      </c>
      <c r="I32" s="3">
        <f t="shared" si="23"/>
        <v>6490.7385498044596</v>
      </c>
      <c r="J32" s="3">
        <f t="shared" si="24"/>
        <v>1622.6846374511149</v>
      </c>
      <c r="K32" s="3">
        <f t="shared" si="25"/>
        <v>0</v>
      </c>
      <c r="L32" s="3">
        <f t="shared" si="26"/>
        <v>811.34231872555745</v>
      </c>
      <c r="M32" s="3">
        <f t="shared" si="27"/>
        <v>1622.6846374511149</v>
      </c>
      <c r="N32" s="3">
        <f t="shared" si="28"/>
        <v>282.660786293174</v>
      </c>
      <c r="O32" s="3">
        <f t="shared" si="29"/>
        <v>392.0449260027188</v>
      </c>
      <c r="P32" s="3">
        <f t="shared" si="30"/>
        <v>811.34231872555745</v>
      </c>
      <c r="Q32" s="3">
        <f t="shared" si="31"/>
        <v>0</v>
      </c>
      <c r="R32" s="3">
        <f t="shared" si="32"/>
        <v>0</v>
      </c>
      <c r="S32" s="3">
        <f t="shared" si="33"/>
        <v>162.26846374511149</v>
      </c>
      <c r="T32" s="3">
        <f t="shared" si="18"/>
        <v>2900</v>
      </c>
      <c r="U32">
        <v>0</v>
      </c>
      <c r="V32" s="3">
        <f t="shared" si="34"/>
        <v>405.67115936277872</v>
      </c>
    </row>
    <row r="33" spans="1:22" x14ac:dyDescent="0.25">
      <c r="A33">
        <v>30</v>
      </c>
      <c r="B33" s="3">
        <f t="shared" si="1"/>
        <v>474.63525645445105</v>
      </c>
      <c r="C33" s="3">
        <f t="shared" si="20"/>
        <v>664.48935903623146</v>
      </c>
      <c r="D33" s="3">
        <f t="shared" si="21"/>
        <v>759.41641032712175</v>
      </c>
      <c r="E33" s="3">
        <f t="shared" si="21"/>
        <v>759.41641032712175</v>
      </c>
      <c r="F33" s="3">
        <f t="shared" si="21"/>
        <v>1654204.7032242557</v>
      </c>
      <c r="G33" s="3">
        <f t="shared" si="21"/>
        <v>1654204703.224256</v>
      </c>
      <c r="H33" s="3">
        <f t="shared" si="22"/>
        <v>60750.270524545522</v>
      </c>
      <c r="I33" s="3">
        <f t="shared" si="23"/>
        <v>7594.1641032712168</v>
      </c>
      <c r="J33" s="3">
        <f t="shared" si="24"/>
        <v>1898.5410258178042</v>
      </c>
      <c r="K33" s="3">
        <f t="shared" si="25"/>
        <v>0</v>
      </c>
      <c r="L33" s="3">
        <f t="shared" si="26"/>
        <v>949.27051290890211</v>
      </c>
      <c r="M33" s="3">
        <f t="shared" si="27"/>
        <v>1898.5410258178042</v>
      </c>
      <c r="N33" s="3">
        <f t="shared" si="28"/>
        <v>326.473208168616</v>
      </c>
      <c r="O33" s="3">
        <f t="shared" si="29"/>
        <v>446.93121564309939</v>
      </c>
      <c r="P33" s="3">
        <f t="shared" si="30"/>
        <v>949.27051290890211</v>
      </c>
      <c r="Q33" s="3">
        <f t="shared" si="31"/>
        <v>0</v>
      </c>
      <c r="R33" s="3">
        <f t="shared" si="32"/>
        <v>0</v>
      </c>
      <c r="S33" s="3">
        <f t="shared" si="33"/>
        <v>189.85410258178044</v>
      </c>
      <c r="T33" s="3">
        <f t="shared" si="18"/>
        <v>3000</v>
      </c>
      <c r="U33">
        <v>0</v>
      </c>
      <c r="V33" s="3">
        <f t="shared" si="34"/>
        <v>474.63525645445105</v>
      </c>
    </row>
  </sheetData>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workbookViewId="0">
      <selection activeCell="G9" sqref="G9"/>
    </sheetView>
  </sheetViews>
  <sheetFormatPr baseColWidth="10" defaultRowHeight="15" x14ac:dyDescent="0.25"/>
  <sheetData>
    <row r="1" spans="1:21" x14ac:dyDescent="0.25">
      <c r="B1" s="1" t="s">
        <v>0</v>
      </c>
      <c r="C1" s="1" t="s">
        <v>1</v>
      </c>
      <c r="D1" s="1" t="s">
        <v>2</v>
      </c>
      <c r="E1" s="1" t="s">
        <v>3</v>
      </c>
      <c r="F1" s="275" t="s">
        <v>59</v>
      </c>
      <c r="G1" s="275" t="s">
        <v>60</v>
      </c>
      <c r="H1" s="275" t="s">
        <v>64</v>
      </c>
      <c r="I1" s="1" t="s">
        <v>4</v>
      </c>
      <c r="J1" s="1" t="s">
        <v>5</v>
      </c>
      <c r="K1" s="1" t="s">
        <v>6</v>
      </c>
      <c r="L1" s="1" t="s">
        <v>7</v>
      </c>
      <c r="M1" s="1" t="s">
        <v>8</v>
      </c>
      <c r="N1" s="1" t="s">
        <v>9</v>
      </c>
      <c r="O1" s="1" t="s">
        <v>10</v>
      </c>
      <c r="P1" s="1" t="s">
        <v>11</v>
      </c>
      <c r="Q1" s="1" t="s">
        <v>12</v>
      </c>
      <c r="R1" s="1" t="s">
        <v>13</v>
      </c>
      <c r="S1" s="1" t="s">
        <v>14</v>
      </c>
      <c r="T1" s="1" t="s">
        <v>15</v>
      </c>
    </row>
    <row r="2" spans="1:21" x14ac:dyDescent="0.25">
      <c r="A2" t="s">
        <v>20</v>
      </c>
      <c r="B2">
        <v>1.2</v>
      </c>
      <c r="C2">
        <v>1.2</v>
      </c>
      <c r="D2">
        <v>1.2</v>
      </c>
      <c r="E2">
        <v>1.2</v>
      </c>
      <c r="F2">
        <v>1.2</v>
      </c>
      <c r="G2">
        <v>1.2</v>
      </c>
      <c r="H2">
        <v>1.2</v>
      </c>
      <c r="I2">
        <v>1.2</v>
      </c>
      <c r="J2">
        <v>1.2</v>
      </c>
      <c r="K2">
        <v>1.2</v>
      </c>
      <c r="L2">
        <v>1.2</v>
      </c>
      <c r="M2">
        <v>1.2</v>
      </c>
      <c r="N2">
        <v>1.2</v>
      </c>
      <c r="O2">
        <v>1.2</v>
      </c>
      <c r="P2">
        <v>1.2</v>
      </c>
      <c r="Q2">
        <v>1.2</v>
      </c>
      <c r="R2">
        <v>1.2</v>
      </c>
      <c r="S2">
        <v>1.2</v>
      </c>
      <c r="T2">
        <v>1.2</v>
      </c>
    </row>
    <row r="3" spans="1:21" x14ac:dyDescent="0.25">
      <c r="A3">
        <v>1</v>
      </c>
      <c r="B3">
        <v>10</v>
      </c>
      <c r="C3">
        <v>16</v>
      </c>
      <c r="D3">
        <v>20</v>
      </c>
      <c r="E3">
        <v>24</v>
      </c>
      <c r="F3">
        <v>10</v>
      </c>
      <c r="G3">
        <v>10</v>
      </c>
      <c r="H3">
        <v>42</v>
      </c>
      <c r="I3">
        <v>512</v>
      </c>
      <c r="J3">
        <v>19</v>
      </c>
      <c r="K3">
        <v>0</v>
      </c>
      <c r="L3">
        <v>24</v>
      </c>
      <c r="M3">
        <v>10</v>
      </c>
      <c r="N3">
        <v>6</v>
      </c>
      <c r="O3">
        <v>6</v>
      </c>
      <c r="P3">
        <v>6</v>
      </c>
      <c r="Q3">
        <v>5</v>
      </c>
      <c r="R3">
        <v>6</v>
      </c>
      <c r="S3">
        <v>5</v>
      </c>
      <c r="T3">
        <v>8</v>
      </c>
    </row>
    <row r="4" spans="1:21" x14ac:dyDescent="0.25">
      <c r="A4">
        <v>2</v>
      </c>
      <c r="B4">
        <v>12</v>
      </c>
      <c r="C4">
        <v>19</v>
      </c>
      <c r="D4">
        <v>24</v>
      </c>
      <c r="E4">
        <v>29</v>
      </c>
      <c r="G4">
        <v>12</v>
      </c>
      <c r="H4">
        <v>50</v>
      </c>
      <c r="I4">
        <v>614</v>
      </c>
      <c r="J4">
        <v>23</v>
      </c>
      <c r="M4">
        <v>12</v>
      </c>
      <c r="N4">
        <v>7</v>
      </c>
      <c r="O4">
        <v>7</v>
      </c>
      <c r="P4">
        <v>7</v>
      </c>
      <c r="Q4">
        <v>6</v>
      </c>
      <c r="R4">
        <v>7</v>
      </c>
      <c r="S4">
        <v>6</v>
      </c>
      <c r="T4">
        <v>10</v>
      </c>
      <c r="U4" s="61"/>
    </row>
    <row r="5" spans="1:21" x14ac:dyDescent="0.25">
      <c r="A5">
        <v>3</v>
      </c>
      <c r="B5">
        <v>14</v>
      </c>
      <c r="C5">
        <v>23</v>
      </c>
      <c r="D5">
        <v>29</v>
      </c>
      <c r="E5">
        <v>35</v>
      </c>
      <c r="G5">
        <v>14</v>
      </c>
      <c r="H5">
        <v>60</v>
      </c>
      <c r="I5">
        <v>737</v>
      </c>
      <c r="J5">
        <v>27</v>
      </c>
      <c r="M5">
        <v>14</v>
      </c>
      <c r="N5">
        <v>9</v>
      </c>
      <c r="O5">
        <v>9</v>
      </c>
      <c r="P5">
        <v>9</v>
      </c>
      <c r="Q5">
        <v>7</v>
      </c>
      <c r="R5">
        <v>9</v>
      </c>
      <c r="S5">
        <v>7</v>
      </c>
      <c r="T5">
        <v>12</v>
      </c>
      <c r="U5" s="61"/>
    </row>
    <row r="6" spans="1:21" x14ac:dyDescent="0.25">
      <c r="A6">
        <v>4</v>
      </c>
      <c r="B6">
        <v>17</v>
      </c>
      <c r="C6">
        <v>28</v>
      </c>
      <c r="D6">
        <v>35</v>
      </c>
      <c r="E6">
        <v>41</v>
      </c>
      <c r="H6">
        <v>73</v>
      </c>
      <c r="J6">
        <v>33</v>
      </c>
      <c r="M6">
        <v>17</v>
      </c>
      <c r="N6">
        <v>10</v>
      </c>
      <c r="O6">
        <v>10</v>
      </c>
      <c r="P6">
        <v>10</v>
      </c>
      <c r="Q6">
        <v>9</v>
      </c>
      <c r="R6">
        <v>10</v>
      </c>
      <c r="S6">
        <v>9</v>
      </c>
      <c r="T6">
        <v>14</v>
      </c>
      <c r="U6" s="61"/>
    </row>
    <row r="7" spans="1:21" x14ac:dyDescent="0.25">
      <c r="A7">
        <v>5</v>
      </c>
      <c r="B7">
        <v>21</v>
      </c>
      <c r="C7">
        <v>33</v>
      </c>
      <c r="D7">
        <v>41</v>
      </c>
      <c r="E7">
        <v>50</v>
      </c>
      <c r="H7">
        <v>87</v>
      </c>
      <c r="J7">
        <v>39</v>
      </c>
      <c r="M7">
        <v>21</v>
      </c>
      <c r="N7">
        <v>12</v>
      </c>
      <c r="O7">
        <v>12</v>
      </c>
      <c r="P7">
        <v>12</v>
      </c>
      <c r="Q7">
        <v>10</v>
      </c>
      <c r="R7">
        <v>12</v>
      </c>
      <c r="S7">
        <v>10</v>
      </c>
      <c r="T7">
        <v>17</v>
      </c>
      <c r="U7" s="61"/>
    </row>
    <row r="8" spans="1:21" x14ac:dyDescent="0.25">
      <c r="A8">
        <v>6</v>
      </c>
      <c r="B8">
        <v>25</v>
      </c>
      <c r="C8">
        <v>40</v>
      </c>
      <c r="D8">
        <v>50</v>
      </c>
      <c r="E8">
        <v>60</v>
      </c>
      <c r="H8">
        <v>105</v>
      </c>
      <c r="J8">
        <v>47</v>
      </c>
      <c r="M8">
        <v>25</v>
      </c>
      <c r="N8">
        <v>15</v>
      </c>
      <c r="O8">
        <v>15</v>
      </c>
      <c r="P8">
        <v>15</v>
      </c>
      <c r="Q8">
        <v>12</v>
      </c>
      <c r="R8">
        <v>15</v>
      </c>
      <c r="S8">
        <v>12</v>
      </c>
      <c r="T8">
        <v>20</v>
      </c>
      <c r="U8" s="61"/>
    </row>
    <row r="9" spans="1:21" x14ac:dyDescent="0.25">
      <c r="A9">
        <v>7</v>
      </c>
      <c r="B9">
        <v>30</v>
      </c>
      <c r="C9">
        <v>48</v>
      </c>
      <c r="D9">
        <v>60</v>
      </c>
      <c r="E9">
        <v>72</v>
      </c>
      <c r="H9">
        <v>125</v>
      </c>
      <c r="J9">
        <v>57</v>
      </c>
      <c r="M9">
        <v>30</v>
      </c>
      <c r="N9">
        <v>18</v>
      </c>
      <c r="O9">
        <v>18</v>
      </c>
      <c r="P9">
        <v>18</v>
      </c>
      <c r="Q9">
        <v>15</v>
      </c>
      <c r="R9">
        <v>18</v>
      </c>
      <c r="S9">
        <v>15</v>
      </c>
      <c r="T9">
        <v>24</v>
      </c>
      <c r="U9" s="61"/>
    </row>
    <row r="10" spans="1:21" x14ac:dyDescent="0.25">
      <c r="A10">
        <v>8</v>
      </c>
      <c r="B10">
        <v>36</v>
      </c>
      <c r="C10">
        <v>57</v>
      </c>
      <c r="D10">
        <v>72</v>
      </c>
      <c r="E10">
        <v>86</v>
      </c>
      <c r="H10">
        <v>150</v>
      </c>
      <c r="J10">
        <v>68</v>
      </c>
      <c r="M10">
        <v>36</v>
      </c>
      <c r="N10">
        <v>21</v>
      </c>
      <c r="O10">
        <v>21</v>
      </c>
      <c r="P10">
        <v>21</v>
      </c>
      <c r="Q10">
        <v>18</v>
      </c>
      <c r="R10">
        <v>21</v>
      </c>
      <c r="S10">
        <v>18</v>
      </c>
      <c r="T10">
        <v>29</v>
      </c>
      <c r="U10" s="61"/>
    </row>
    <row r="11" spans="1:21" x14ac:dyDescent="0.25">
      <c r="A11">
        <v>9</v>
      </c>
      <c r="B11">
        <v>43</v>
      </c>
      <c r="C11">
        <v>69</v>
      </c>
      <c r="D11">
        <v>86</v>
      </c>
      <c r="E11">
        <v>103</v>
      </c>
      <c r="H11">
        <v>181</v>
      </c>
      <c r="J11">
        <v>82</v>
      </c>
      <c r="M11">
        <v>43</v>
      </c>
      <c r="N11">
        <v>26</v>
      </c>
      <c r="O11">
        <v>26</v>
      </c>
      <c r="P11">
        <v>26</v>
      </c>
      <c r="Q11">
        <v>21</v>
      </c>
      <c r="R11">
        <v>26</v>
      </c>
      <c r="S11">
        <v>21</v>
      </c>
      <c r="T11">
        <v>34</v>
      </c>
      <c r="U11" s="61"/>
    </row>
    <row r="12" spans="1:21" x14ac:dyDescent="0.25">
      <c r="A12">
        <v>10</v>
      </c>
      <c r="B12">
        <v>52</v>
      </c>
      <c r="C12">
        <v>83</v>
      </c>
      <c r="D12">
        <v>103</v>
      </c>
      <c r="E12">
        <v>124</v>
      </c>
      <c r="H12">
        <v>217</v>
      </c>
      <c r="J12">
        <v>98</v>
      </c>
      <c r="M12">
        <v>52</v>
      </c>
      <c r="N12">
        <v>31</v>
      </c>
      <c r="O12">
        <v>31</v>
      </c>
      <c r="P12">
        <v>31</v>
      </c>
      <c r="Q12">
        <v>26</v>
      </c>
      <c r="R12">
        <v>31</v>
      </c>
      <c r="S12">
        <v>26</v>
      </c>
      <c r="T12">
        <v>41</v>
      </c>
      <c r="U12" s="61"/>
    </row>
    <row r="13" spans="1:21" x14ac:dyDescent="0.25">
      <c r="A13">
        <v>11</v>
      </c>
      <c r="B13">
        <v>62</v>
      </c>
      <c r="C13">
        <v>99</v>
      </c>
      <c r="D13">
        <v>124</v>
      </c>
      <c r="E13">
        <v>149</v>
      </c>
      <c r="H13">
        <v>260</v>
      </c>
      <c r="J13">
        <v>118</v>
      </c>
      <c r="M13">
        <v>62</v>
      </c>
      <c r="N13">
        <v>37</v>
      </c>
      <c r="O13">
        <v>37</v>
      </c>
      <c r="P13">
        <v>37</v>
      </c>
      <c r="Q13">
        <v>31</v>
      </c>
      <c r="R13">
        <v>37</v>
      </c>
      <c r="T13">
        <v>50</v>
      </c>
      <c r="U13" s="61"/>
    </row>
    <row r="14" spans="1:21" x14ac:dyDescent="0.25">
      <c r="A14">
        <v>12</v>
      </c>
      <c r="B14">
        <v>74</v>
      </c>
      <c r="C14">
        <v>119</v>
      </c>
      <c r="D14">
        <v>149</v>
      </c>
      <c r="E14">
        <v>178</v>
      </c>
      <c r="H14">
        <v>312</v>
      </c>
      <c r="J14">
        <v>141</v>
      </c>
      <c r="M14">
        <v>74</v>
      </c>
      <c r="N14">
        <v>45</v>
      </c>
      <c r="O14">
        <v>45</v>
      </c>
      <c r="P14">
        <v>45</v>
      </c>
      <c r="Q14">
        <v>37</v>
      </c>
      <c r="R14">
        <v>45</v>
      </c>
      <c r="T14">
        <v>59</v>
      </c>
      <c r="U14" s="61"/>
    </row>
    <row r="15" spans="1:21" x14ac:dyDescent="0.25">
      <c r="A15">
        <v>13</v>
      </c>
      <c r="B15">
        <v>89</v>
      </c>
      <c r="C15">
        <v>143</v>
      </c>
      <c r="D15">
        <v>178</v>
      </c>
      <c r="E15">
        <v>214</v>
      </c>
      <c r="H15">
        <v>374</v>
      </c>
      <c r="J15">
        <v>169</v>
      </c>
      <c r="M15">
        <v>89</v>
      </c>
      <c r="N15">
        <v>53</v>
      </c>
      <c r="O15">
        <v>53</v>
      </c>
      <c r="P15">
        <v>53</v>
      </c>
      <c r="Q15">
        <v>45</v>
      </c>
      <c r="R15">
        <v>53</v>
      </c>
      <c r="T15">
        <v>71</v>
      </c>
      <c r="U15" s="61"/>
    </row>
    <row r="16" spans="1:21" x14ac:dyDescent="0.25">
      <c r="A16">
        <v>14</v>
      </c>
      <c r="B16">
        <v>107</v>
      </c>
      <c r="C16">
        <v>171</v>
      </c>
      <c r="D16">
        <v>214</v>
      </c>
      <c r="E16">
        <v>257</v>
      </c>
      <c r="H16">
        <v>449</v>
      </c>
      <c r="J16">
        <v>203</v>
      </c>
      <c r="M16">
        <v>107</v>
      </c>
      <c r="N16">
        <v>64</v>
      </c>
      <c r="O16">
        <v>64</v>
      </c>
      <c r="P16">
        <v>64</v>
      </c>
      <c r="Q16">
        <v>53</v>
      </c>
      <c r="R16">
        <v>64</v>
      </c>
      <c r="T16">
        <v>86</v>
      </c>
      <c r="U16" s="61"/>
    </row>
    <row r="17" spans="1:21" x14ac:dyDescent="0.25">
      <c r="A17">
        <v>15</v>
      </c>
      <c r="B17">
        <v>128</v>
      </c>
      <c r="C17">
        <v>205</v>
      </c>
      <c r="D17">
        <v>257</v>
      </c>
      <c r="E17">
        <v>308</v>
      </c>
      <c r="H17">
        <v>539</v>
      </c>
      <c r="J17">
        <v>244</v>
      </c>
      <c r="M17">
        <v>128</v>
      </c>
      <c r="N17">
        <v>77</v>
      </c>
      <c r="O17">
        <v>77</v>
      </c>
      <c r="P17">
        <v>77</v>
      </c>
      <c r="Q17">
        <v>64</v>
      </c>
      <c r="R17">
        <v>77</v>
      </c>
      <c r="T17">
        <v>103</v>
      </c>
      <c r="U17" s="61"/>
    </row>
    <row r="18" spans="1:21" x14ac:dyDescent="0.25">
      <c r="A18">
        <v>16</v>
      </c>
      <c r="B18">
        <v>154</v>
      </c>
      <c r="C18">
        <v>247</v>
      </c>
      <c r="D18">
        <v>308</v>
      </c>
      <c r="H18">
        <v>647</v>
      </c>
      <c r="J18">
        <v>293</v>
      </c>
      <c r="M18">
        <v>154</v>
      </c>
      <c r="N18">
        <v>92</v>
      </c>
      <c r="O18">
        <v>92</v>
      </c>
      <c r="P18">
        <v>92</v>
      </c>
      <c r="Q18">
        <v>77</v>
      </c>
      <c r="R18">
        <v>92</v>
      </c>
      <c r="T18">
        <v>123</v>
      </c>
      <c r="U18" s="61"/>
    </row>
    <row r="19" spans="1:21" x14ac:dyDescent="0.25">
      <c r="A19">
        <v>17</v>
      </c>
      <c r="B19">
        <v>185</v>
      </c>
      <c r="C19">
        <v>296</v>
      </c>
      <c r="D19">
        <v>370</v>
      </c>
      <c r="H19">
        <v>777</v>
      </c>
      <c r="J19">
        <v>351</v>
      </c>
      <c r="M19">
        <v>185</v>
      </c>
      <c r="N19">
        <v>111</v>
      </c>
      <c r="O19">
        <v>111</v>
      </c>
      <c r="P19">
        <v>111</v>
      </c>
      <c r="Q19">
        <v>92</v>
      </c>
      <c r="R19">
        <v>111</v>
      </c>
      <c r="T19">
        <v>148</v>
      </c>
      <c r="U19" s="61"/>
    </row>
    <row r="20" spans="1:21" x14ac:dyDescent="0.25">
      <c r="A20">
        <v>18</v>
      </c>
      <c r="B20">
        <v>222</v>
      </c>
      <c r="C20">
        <v>355</v>
      </c>
      <c r="D20">
        <v>444</v>
      </c>
      <c r="H20">
        <v>932</v>
      </c>
      <c r="J20">
        <v>422</v>
      </c>
      <c r="M20">
        <v>222</v>
      </c>
      <c r="N20">
        <v>133</v>
      </c>
      <c r="O20">
        <v>133</v>
      </c>
      <c r="P20">
        <v>133</v>
      </c>
      <c r="Q20">
        <v>111</v>
      </c>
      <c r="R20">
        <v>133</v>
      </c>
      <c r="T20">
        <v>177</v>
      </c>
      <c r="U20" s="61"/>
    </row>
    <row r="21" spans="1:21" x14ac:dyDescent="0.25">
      <c r="A21">
        <v>19</v>
      </c>
      <c r="B21">
        <v>266</v>
      </c>
      <c r="C21">
        <v>426</v>
      </c>
      <c r="D21">
        <v>532</v>
      </c>
      <c r="H21" s="154">
        <v>1118</v>
      </c>
      <c r="J21">
        <v>506</v>
      </c>
      <c r="M21">
        <v>266</v>
      </c>
      <c r="N21">
        <v>160</v>
      </c>
      <c r="O21">
        <v>160</v>
      </c>
      <c r="P21">
        <v>160</v>
      </c>
      <c r="Q21">
        <v>133</v>
      </c>
      <c r="R21">
        <v>160</v>
      </c>
      <c r="T21">
        <v>213</v>
      </c>
      <c r="U21" s="61"/>
    </row>
    <row r="22" spans="1:21" x14ac:dyDescent="0.25">
      <c r="A22">
        <v>20</v>
      </c>
      <c r="B22">
        <v>319</v>
      </c>
      <c r="C22">
        <v>511</v>
      </c>
      <c r="D22">
        <v>639</v>
      </c>
      <c r="H22" s="154">
        <v>1342</v>
      </c>
      <c r="J22">
        <v>607</v>
      </c>
      <c r="M22">
        <v>319</v>
      </c>
      <c r="N22">
        <v>192</v>
      </c>
      <c r="O22">
        <v>192</v>
      </c>
      <c r="P22">
        <v>192</v>
      </c>
      <c r="Q22">
        <v>160</v>
      </c>
      <c r="R22">
        <v>192</v>
      </c>
      <c r="T22">
        <v>256</v>
      </c>
      <c r="U22" s="61"/>
    </row>
    <row r="23" spans="1:21" x14ac:dyDescent="0.25">
      <c r="A23">
        <v>21</v>
      </c>
      <c r="B23">
        <v>383</v>
      </c>
      <c r="C23">
        <v>613</v>
      </c>
      <c r="M23">
        <v>383</v>
      </c>
      <c r="N23">
        <v>230</v>
      </c>
      <c r="O23">
        <v>230</v>
      </c>
      <c r="P23">
        <v>230</v>
      </c>
      <c r="Q23">
        <v>192</v>
      </c>
      <c r="R23">
        <v>230</v>
      </c>
    </row>
    <row r="24" spans="1:21" x14ac:dyDescent="0.25">
      <c r="A24">
        <v>22</v>
      </c>
      <c r="B24">
        <v>460</v>
      </c>
      <c r="C24">
        <v>736</v>
      </c>
      <c r="M24">
        <v>460</v>
      </c>
      <c r="N24">
        <v>276</v>
      </c>
      <c r="O24">
        <v>276</v>
      </c>
      <c r="P24">
        <v>276</v>
      </c>
      <c r="Q24">
        <v>230</v>
      </c>
      <c r="R24">
        <v>276</v>
      </c>
    </row>
    <row r="25" spans="1:21" x14ac:dyDescent="0.25">
      <c r="A25">
        <v>23</v>
      </c>
      <c r="B25">
        <v>552</v>
      </c>
      <c r="C25">
        <v>883</v>
      </c>
      <c r="M25">
        <v>552</v>
      </c>
      <c r="N25">
        <v>331</v>
      </c>
      <c r="O25">
        <v>331</v>
      </c>
      <c r="P25">
        <v>331</v>
      </c>
      <c r="Q25">
        <v>276</v>
      </c>
      <c r="R25">
        <v>331</v>
      </c>
    </row>
    <row r="26" spans="1:21" x14ac:dyDescent="0.25">
      <c r="A26">
        <v>24</v>
      </c>
      <c r="B26">
        <v>662</v>
      </c>
      <c r="C26" s="154">
        <v>1060</v>
      </c>
      <c r="M26">
        <v>662</v>
      </c>
      <c r="N26">
        <v>397</v>
      </c>
      <c r="O26">
        <v>397</v>
      </c>
      <c r="P26">
        <v>397</v>
      </c>
      <c r="Q26">
        <v>331</v>
      </c>
      <c r="R26">
        <v>397</v>
      </c>
    </row>
    <row r="27" spans="1:21" x14ac:dyDescent="0.25">
      <c r="A27">
        <v>25</v>
      </c>
      <c r="B27">
        <v>795</v>
      </c>
      <c r="C27" s="154">
        <v>1272</v>
      </c>
      <c r="M27">
        <v>795</v>
      </c>
      <c r="N27">
        <v>477</v>
      </c>
      <c r="O27">
        <v>477</v>
      </c>
      <c r="P27">
        <v>477</v>
      </c>
      <c r="Q27">
        <v>397</v>
      </c>
      <c r="R27">
        <v>477</v>
      </c>
    </row>
    <row r="28" spans="1:21" x14ac:dyDescent="0.25">
      <c r="A28">
        <v>26</v>
      </c>
      <c r="B28">
        <v>954</v>
      </c>
      <c r="M28">
        <v>954</v>
      </c>
      <c r="N28">
        <v>572</v>
      </c>
      <c r="O28">
        <v>572</v>
      </c>
      <c r="P28">
        <v>572</v>
      </c>
      <c r="Q28">
        <v>477</v>
      </c>
      <c r="R28">
        <v>572</v>
      </c>
    </row>
    <row r="29" spans="1:21" x14ac:dyDescent="0.25">
      <c r="A29">
        <v>27</v>
      </c>
      <c r="B29" s="154">
        <v>1145</v>
      </c>
      <c r="M29" s="154">
        <v>1145</v>
      </c>
      <c r="N29">
        <v>687</v>
      </c>
      <c r="O29">
        <v>687</v>
      </c>
      <c r="P29">
        <v>687</v>
      </c>
      <c r="Q29">
        <v>572</v>
      </c>
      <c r="R29">
        <v>687</v>
      </c>
    </row>
    <row r="30" spans="1:21" x14ac:dyDescent="0.25">
      <c r="A30">
        <v>28</v>
      </c>
      <c r="B30" s="154">
        <v>1374</v>
      </c>
      <c r="M30" s="154">
        <v>1374</v>
      </c>
      <c r="N30">
        <v>824</v>
      </c>
      <c r="O30">
        <v>824</v>
      </c>
      <c r="P30">
        <v>824</v>
      </c>
      <c r="Q30">
        <v>687</v>
      </c>
      <c r="R30">
        <v>824</v>
      </c>
    </row>
    <row r="31" spans="1:21" x14ac:dyDescent="0.25">
      <c r="A31">
        <v>29</v>
      </c>
      <c r="B31" s="154">
        <v>1648</v>
      </c>
      <c r="M31" s="154">
        <v>1648</v>
      </c>
      <c r="N31">
        <v>989</v>
      </c>
      <c r="O31">
        <v>989</v>
      </c>
      <c r="P31">
        <v>989</v>
      </c>
      <c r="Q31">
        <v>824</v>
      </c>
      <c r="R31">
        <v>989</v>
      </c>
    </row>
    <row r="32" spans="1:21" x14ac:dyDescent="0.25">
      <c r="A32">
        <v>30</v>
      </c>
      <c r="B32" s="154">
        <v>1978</v>
      </c>
      <c r="M32" s="154">
        <v>1978</v>
      </c>
      <c r="N32" s="154">
        <v>1187</v>
      </c>
      <c r="O32" s="154">
        <v>1187</v>
      </c>
      <c r="P32" s="154">
        <v>1187</v>
      </c>
      <c r="Q32">
        <v>989</v>
      </c>
      <c r="R32" s="154">
        <v>1187</v>
      </c>
    </row>
    <row r="62" spans="9:9" x14ac:dyDescent="0.25">
      <c r="I62" s="154"/>
    </row>
    <row r="63" spans="9:9" x14ac:dyDescent="0.25">
      <c r="I63" s="154"/>
    </row>
    <row r="67" spans="3:18" x14ac:dyDescent="0.25">
      <c r="D67" s="154"/>
    </row>
    <row r="68" spans="3:18" x14ac:dyDescent="0.25">
      <c r="D68" s="154"/>
    </row>
    <row r="70" spans="3:18" x14ac:dyDescent="0.25">
      <c r="C70" s="154"/>
      <c r="M70" s="154"/>
    </row>
    <row r="71" spans="3:18" x14ac:dyDescent="0.25">
      <c r="C71" s="154"/>
      <c r="M71" s="154"/>
    </row>
    <row r="72" spans="3:18" x14ac:dyDescent="0.25">
      <c r="C72" s="154"/>
      <c r="M72" s="154"/>
    </row>
    <row r="73" spans="3:18" x14ac:dyDescent="0.25">
      <c r="C73" s="154"/>
      <c r="M73" s="154"/>
      <c r="N73" s="154"/>
      <c r="O73" s="154"/>
      <c r="P73" s="154"/>
      <c r="R73" s="154"/>
    </row>
  </sheetData>
  <pageMargins left="0.7" right="0.7" top="0.78740157499999996" bottom="0.78740157499999996"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F6" sqref="F6"/>
    </sheetView>
  </sheetViews>
  <sheetFormatPr baseColWidth="10" defaultRowHeight="15" x14ac:dyDescent="0.25"/>
  <cols>
    <col min="1" max="1" width="9.140625" customWidth="1"/>
    <col min="2" max="2" width="16.7109375" bestFit="1" customWidth="1"/>
    <col min="3" max="3" width="20.140625" bestFit="1" customWidth="1"/>
    <col min="4" max="4" width="12" bestFit="1" customWidth="1"/>
    <col min="5" max="5" width="13.140625" bestFit="1" customWidth="1"/>
    <col min="6" max="6" width="17.42578125" bestFit="1" customWidth="1"/>
    <col min="7" max="256" width="9.140625" customWidth="1"/>
  </cols>
  <sheetData>
    <row r="1" spans="1:6" x14ac:dyDescent="0.25">
      <c r="B1" t="s">
        <v>23</v>
      </c>
      <c r="C1" t="s">
        <v>22</v>
      </c>
      <c r="D1" t="s">
        <v>21</v>
      </c>
      <c r="E1" t="s">
        <v>98</v>
      </c>
      <c r="F1" t="s">
        <v>428</v>
      </c>
    </row>
    <row r="2" spans="1:6" x14ac:dyDescent="0.25">
      <c r="A2" s="6" t="s">
        <v>20</v>
      </c>
      <c r="B2" s="21">
        <f>1.05</f>
        <v>1.05</v>
      </c>
      <c r="C2">
        <f>117.2103/100</f>
        <v>1.1721030000000001</v>
      </c>
      <c r="D2">
        <f>122.94934/100</f>
        <v>1.2294934</v>
      </c>
      <c r="E2">
        <v>1.1000000000000001</v>
      </c>
      <c r="F2">
        <v>1.145</v>
      </c>
    </row>
    <row r="3" spans="1:6" x14ac:dyDescent="0.25">
      <c r="A3">
        <v>0</v>
      </c>
      <c r="B3" s="9">
        <v>100</v>
      </c>
      <c r="E3">
        <v>100</v>
      </c>
      <c r="F3">
        <v>0</v>
      </c>
    </row>
    <row r="4" spans="1:6" x14ac:dyDescent="0.25">
      <c r="A4">
        <v>1</v>
      </c>
      <c r="B4" s="3">
        <f>$B$3*($B$2^(-A4))</f>
        <v>95.238095238095227</v>
      </c>
      <c r="C4">
        <v>240</v>
      </c>
      <c r="D4">
        <v>1000</v>
      </c>
      <c r="E4" s="112">
        <f>$E$3*($E$2^(-A4))</f>
        <v>90.909090909090907</v>
      </c>
      <c r="F4" s="190">
        <f>$F$2^A4</f>
        <v>1.145</v>
      </c>
    </row>
    <row r="5" spans="1:6" x14ac:dyDescent="0.25">
      <c r="A5">
        <v>2</v>
      </c>
      <c r="B5" s="3">
        <f t="shared" ref="B5:B33" si="0">$B$3*($B$2^(-A5))</f>
        <v>90.702947845804985</v>
      </c>
      <c r="C5">
        <f>C4*C$2</f>
        <v>281.30472000000003</v>
      </c>
      <c r="D5">
        <f>D4*D$2</f>
        <v>1229.4934000000001</v>
      </c>
      <c r="E5" s="112">
        <f t="shared" ref="E5:E23" si="1">$E$3*($E$2^(-A5))</f>
        <v>82.644628099173545</v>
      </c>
      <c r="F5" s="190">
        <f t="shared" ref="F5:F23" si="2">$F$2^A5</f>
        <v>1.3110250000000001</v>
      </c>
    </row>
    <row r="6" spans="1:6" x14ac:dyDescent="0.25">
      <c r="A6">
        <v>3</v>
      </c>
      <c r="B6" s="3">
        <f t="shared" si="0"/>
        <v>86.383759853147595</v>
      </c>
      <c r="C6">
        <f t="shared" ref="C6:C33" si="3">C5*C$2</f>
        <v>329.71810622616005</v>
      </c>
      <c r="D6">
        <f t="shared" ref="D6:D33" si="4">D5*D$2</f>
        <v>1511.65402064356</v>
      </c>
      <c r="E6" s="112">
        <f t="shared" si="1"/>
        <v>75.131480090157751</v>
      </c>
      <c r="F6" s="190">
        <f t="shared" si="2"/>
        <v>1.5011236250000002</v>
      </c>
    </row>
    <row r="7" spans="1:6" x14ac:dyDescent="0.25">
      <c r="A7">
        <v>4</v>
      </c>
      <c r="B7" s="3">
        <f t="shared" si="0"/>
        <v>82.2702474791882</v>
      </c>
      <c r="C7">
        <f t="shared" si="3"/>
        <v>386.46358146200089</v>
      </c>
      <c r="D7">
        <f t="shared" si="4"/>
        <v>1858.5686414647207</v>
      </c>
      <c r="E7" s="112">
        <f t="shared" si="1"/>
        <v>68.301345536507057</v>
      </c>
      <c r="F7" s="190">
        <f t="shared" si="2"/>
        <v>1.7187865506250002</v>
      </c>
    </row>
    <row r="8" spans="1:6" x14ac:dyDescent="0.25">
      <c r="A8">
        <v>5</v>
      </c>
      <c r="B8" s="3">
        <f t="shared" si="0"/>
        <v>78.352616646845902</v>
      </c>
      <c r="C8">
        <f t="shared" si="3"/>
        <v>452.97512322235565</v>
      </c>
      <c r="D8">
        <f t="shared" si="4"/>
        <v>2285.0978781278404</v>
      </c>
      <c r="E8" s="112">
        <f t="shared" si="1"/>
        <v>62.092132305915491</v>
      </c>
      <c r="F8" s="190">
        <f t="shared" si="2"/>
        <v>1.9680106004656253</v>
      </c>
    </row>
    <row r="9" spans="1:6" x14ac:dyDescent="0.25">
      <c r="A9">
        <v>6</v>
      </c>
      <c r="B9" s="3">
        <f t="shared" si="0"/>
        <v>74.621539663662759</v>
      </c>
      <c r="C9">
        <f t="shared" si="3"/>
        <v>530.93350085429279</v>
      </c>
      <c r="D9">
        <f t="shared" si="4"/>
        <v>2809.5127595121839</v>
      </c>
      <c r="E9" s="112">
        <f t="shared" si="1"/>
        <v>56.44739300537772</v>
      </c>
      <c r="F9" s="190">
        <f t="shared" si="2"/>
        <v>2.253372137533141</v>
      </c>
    </row>
    <row r="10" spans="1:6" x14ac:dyDescent="0.25">
      <c r="A10">
        <v>7</v>
      </c>
      <c r="B10" s="3">
        <f t="shared" si="0"/>
        <v>71.068133013012144</v>
      </c>
      <c r="C10">
        <f t="shared" si="3"/>
        <v>622.30874915181926</v>
      </c>
      <c r="D10">
        <f t="shared" si="4"/>
        <v>3454.2773950360174</v>
      </c>
      <c r="E10" s="112">
        <f t="shared" si="1"/>
        <v>51.315811823070646</v>
      </c>
      <c r="F10" s="190">
        <f t="shared" si="2"/>
        <v>2.5801110974754464</v>
      </c>
    </row>
    <row r="11" spans="1:6" x14ac:dyDescent="0.25">
      <c r="A11">
        <v>8</v>
      </c>
      <c r="B11" s="3">
        <f t="shared" si="0"/>
        <v>67.683936202868722</v>
      </c>
      <c r="C11">
        <f t="shared" si="3"/>
        <v>729.4099518070949</v>
      </c>
      <c r="D11">
        <f t="shared" si="4"/>
        <v>4247.0112589659757</v>
      </c>
      <c r="E11" s="112">
        <f t="shared" si="1"/>
        <v>46.650738020973314</v>
      </c>
      <c r="F11" s="190">
        <f t="shared" si="2"/>
        <v>2.9542272066093864</v>
      </c>
    </row>
    <row r="12" spans="1:6" x14ac:dyDescent="0.25">
      <c r="A12">
        <v>9</v>
      </c>
      <c r="B12" s="3">
        <f t="shared" si="0"/>
        <v>64.460891621779723</v>
      </c>
      <c r="C12">
        <f t="shared" si="3"/>
        <v>854.94359274295141</v>
      </c>
      <c r="D12">
        <f t="shared" si="4"/>
        <v>5221.6723126243578</v>
      </c>
      <c r="E12" s="112">
        <f t="shared" si="1"/>
        <v>42.409761837248467</v>
      </c>
      <c r="F12" s="190">
        <f t="shared" si="2"/>
        <v>3.3825901515677477</v>
      </c>
    </row>
    <row r="13" spans="1:6" x14ac:dyDescent="0.25">
      <c r="A13">
        <v>10</v>
      </c>
      <c r="B13" s="3">
        <f t="shared" si="0"/>
        <v>61.391325354075931</v>
      </c>
      <c r="C13">
        <f t="shared" si="3"/>
        <v>1002.0819498847917</v>
      </c>
      <c r="D13">
        <f t="shared" si="4"/>
        <v>6420.0116453343844</v>
      </c>
      <c r="E13" s="112">
        <f t="shared" si="1"/>
        <v>38.554328942953148</v>
      </c>
      <c r="F13" s="190">
        <f t="shared" si="2"/>
        <v>3.8730657235450709</v>
      </c>
    </row>
    <row r="14" spans="1:6" x14ac:dyDescent="0.25">
      <c r="A14">
        <v>11</v>
      </c>
      <c r="B14" s="3">
        <f t="shared" si="0"/>
        <v>58.467928908643742</v>
      </c>
      <c r="C14">
        <f t="shared" si="3"/>
        <v>1174.5432597058141</v>
      </c>
      <c r="D14">
        <f t="shared" si="4"/>
        <v>7893.3619458617659</v>
      </c>
      <c r="E14" s="112">
        <f t="shared" si="1"/>
        <v>35.049389948139222</v>
      </c>
      <c r="F14" s="190">
        <f t="shared" si="2"/>
        <v>4.4346602534591071</v>
      </c>
    </row>
    <row r="15" spans="1:6" x14ac:dyDescent="0.25">
      <c r="A15">
        <v>12</v>
      </c>
      <c r="B15" s="3">
        <f t="shared" si="0"/>
        <v>55.683741817755951</v>
      </c>
      <c r="C15">
        <f t="shared" si="3"/>
        <v>1376.685678330964</v>
      </c>
      <c r="D15">
        <f t="shared" si="4"/>
        <v>9704.8364162481976</v>
      </c>
      <c r="E15" s="112">
        <f t="shared" si="1"/>
        <v>31.863081771035656</v>
      </c>
      <c r="F15" s="190">
        <f t="shared" si="2"/>
        <v>5.0776859902106768</v>
      </c>
    </row>
    <row r="16" spans="1:6" x14ac:dyDescent="0.25">
      <c r="A16">
        <v>13</v>
      </c>
      <c r="B16" s="3">
        <f t="shared" si="0"/>
        <v>53.032135064529463</v>
      </c>
      <c r="C16">
        <f t="shared" si="3"/>
        <v>1613.6174136287582</v>
      </c>
      <c r="D16">
        <f t="shared" si="4"/>
        <v>11932.032321856812</v>
      </c>
      <c r="E16" s="112">
        <f t="shared" si="1"/>
        <v>28.966437973668778</v>
      </c>
      <c r="F16" s="190">
        <f t="shared" si="2"/>
        <v>5.8139504587912256</v>
      </c>
    </row>
    <row r="17" spans="1:6" x14ac:dyDescent="0.25">
      <c r="A17">
        <v>14</v>
      </c>
      <c r="B17" s="3">
        <f t="shared" si="0"/>
        <v>50.506795299551889</v>
      </c>
      <c r="C17">
        <f t="shared" si="3"/>
        <v>1891.3258113665086</v>
      </c>
      <c r="D17">
        <f t="shared" si="4"/>
        <v>14670.354988309626</v>
      </c>
      <c r="E17" s="112">
        <f t="shared" si="1"/>
        <v>26.333125430607971</v>
      </c>
      <c r="F17" s="190">
        <f t="shared" si="2"/>
        <v>6.656973275315953</v>
      </c>
    </row>
    <row r="18" spans="1:6" x14ac:dyDescent="0.25">
      <c r="A18">
        <v>15</v>
      </c>
      <c r="B18" s="3">
        <f t="shared" si="0"/>
        <v>48.101709809097024</v>
      </c>
      <c r="C18">
        <f t="shared" si="3"/>
        <v>2216.8286574801191</v>
      </c>
      <c r="D18">
        <f t="shared" si="4"/>
        <v>18037.104633783762</v>
      </c>
      <c r="E18" s="112">
        <f t="shared" si="1"/>
        <v>23.93920493691634</v>
      </c>
      <c r="F18" s="190">
        <f t="shared" si="2"/>
        <v>7.6222344002367661</v>
      </c>
    </row>
    <row r="19" spans="1:6" x14ac:dyDescent="0.25">
      <c r="A19">
        <v>16</v>
      </c>
      <c r="B19" s="3">
        <f t="shared" si="0"/>
        <v>45.811152199140018</v>
      </c>
      <c r="C19">
        <f t="shared" si="3"/>
        <v>2598.3515199184203</v>
      </c>
      <c r="D19">
        <f t="shared" si="4"/>
        <v>22176.501102346552</v>
      </c>
      <c r="E19" s="112">
        <f t="shared" si="1"/>
        <v>21.762913579014853</v>
      </c>
      <c r="F19" s="190">
        <f t="shared" si="2"/>
        <v>8.7274583882710992</v>
      </c>
    </row>
    <row r="20" spans="1:6" x14ac:dyDescent="0.25">
      <c r="A20">
        <v>17</v>
      </c>
      <c r="B20" s="3">
        <f t="shared" si="0"/>
        <v>43.629668761085725</v>
      </c>
      <c r="C20">
        <f t="shared" si="3"/>
        <v>3045.5356115509403</v>
      </c>
      <c r="D20">
        <f t="shared" si="4"/>
        <v>27265.861740427808</v>
      </c>
      <c r="E20" s="112">
        <f t="shared" si="1"/>
        <v>19.784466890013501</v>
      </c>
      <c r="F20" s="190">
        <f t="shared" si="2"/>
        <v>9.9929398545704089</v>
      </c>
    </row>
    <row r="21" spans="1:6" x14ac:dyDescent="0.25">
      <c r="A21">
        <v>18</v>
      </c>
      <c r="B21" s="3">
        <f t="shared" si="0"/>
        <v>41.552065486748312</v>
      </c>
      <c r="C21">
        <f t="shared" si="3"/>
        <v>3569.6814269056922</v>
      </c>
      <c r="D21">
        <f t="shared" si="4"/>
        <v>33523.197055168501</v>
      </c>
      <c r="E21" s="112">
        <f t="shared" si="1"/>
        <v>17.985878990921364</v>
      </c>
      <c r="F21" s="190">
        <f t="shared" si="2"/>
        <v>11.441916133483119</v>
      </c>
    </row>
    <row r="22" spans="1:6" x14ac:dyDescent="0.25">
      <c r="A22">
        <v>19</v>
      </c>
      <c r="B22" s="3">
        <f t="shared" si="0"/>
        <v>39.573395701665056</v>
      </c>
      <c r="C22">
        <f t="shared" si="3"/>
        <v>4184.0343095204425</v>
      </c>
      <c r="D22">
        <f t="shared" si="4"/>
        <v>41216.549526229108</v>
      </c>
      <c r="E22" s="112">
        <f t="shared" si="1"/>
        <v>16.350799082655783</v>
      </c>
      <c r="F22" s="190">
        <f t="shared" si="2"/>
        <v>13.100993972838172</v>
      </c>
    </row>
    <row r="23" spans="1:6" x14ac:dyDescent="0.25">
      <c r="A23">
        <v>20</v>
      </c>
      <c r="B23" s="3">
        <f t="shared" si="0"/>
        <v>37.688948287300065</v>
      </c>
      <c r="C23">
        <f t="shared" si="3"/>
        <v>4904.11916629184</v>
      </c>
      <c r="D23">
        <f t="shared" si="4"/>
        <v>50675.47561327181</v>
      </c>
      <c r="E23" s="112">
        <f t="shared" si="1"/>
        <v>14.86436280241435</v>
      </c>
      <c r="F23" s="190">
        <f t="shared" si="2"/>
        <v>15.000638098899707</v>
      </c>
    </row>
    <row r="24" spans="1:6" x14ac:dyDescent="0.25">
      <c r="A24">
        <v>21</v>
      </c>
      <c r="B24" s="3">
        <f t="shared" si="0"/>
        <v>35.8942364640953</v>
      </c>
      <c r="C24">
        <f t="shared" si="3"/>
        <v>5748.1327871681651</v>
      </c>
      <c r="D24">
        <f t="shared" si="4"/>
        <v>62305.162808378642</v>
      </c>
      <c r="E24" s="112"/>
      <c r="F24" s="190"/>
    </row>
    <row r="25" spans="1:6" x14ac:dyDescent="0.25">
      <c r="A25">
        <v>22</v>
      </c>
      <c r="B25" s="3">
        <f t="shared" si="0"/>
        <v>34.184987108662192</v>
      </c>
      <c r="C25">
        <f t="shared" si="3"/>
        <v>6737.4036842381684</v>
      </c>
      <c r="D25">
        <f t="shared" si="4"/>
        <v>76603.786458827002</v>
      </c>
      <c r="E25" s="112"/>
      <c r="F25" s="190"/>
    </row>
    <row r="26" spans="1:6" x14ac:dyDescent="0.25">
      <c r="A26">
        <v>23</v>
      </c>
      <c r="B26" s="3">
        <f t="shared" si="0"/>
        <v>32.557130579678265</v>
      </c>
      <c r="C26">
        <f t="shared" si="3"/>
        <v>7896.9310705066109</v>
      </c>
      <c r="D26">
        <f t="shared" si="4"/>
        <v>94183.84986613717</v>
      </c>
      <c r="E26" s="112"/>
      <c r="F26" s="190"/>
    </row>
    <row r="27" spans="1:6" x14ac:dyDescent="0.25">
      <c r="A27">
        <v>24</v>
      </c>
      <c r="B27" s="3">
        <f t="shared" si="0"/>
        <v>31.006791028265024</v>
      </c>
      <c r="C27">
        <f t="shared" si="3"/>
        <v>9256.0165985340118</v>
      </c>
      <c r="D27">
        <f t="shared" si="4"/>
        <v>115798.42179700654</v>
      </c>
      <c r="E27" s="112"/>
      <c r="F27" s="190"/>
    </row>
    <row r="28" spans="1:6" x14ac:dyDescent="0.25">
      <c r="A28">
        <v>25</v>
      </c>
      <c r="B28" s="3">
        <f t="shared" si="0"/>
        <v>29.530277169776209</v>
      </c>
      <c r="C28">
        <f t="shared" si="3"/>
        <v>10849.004823191512</v>
      </c>
      <c r="D28">
        <f t="shared" si="4"/>
        <v>142373.39532983568</v>
      </c>
      <c r="E28" s="112"/>
      <c r="F28" s="190"/>
    </row>
    <row r="29" spans="1:6" x14ac:dyDescent="0.25">
      <c r="A29">
        <v>26</v>
      </c>
      <c r="B29" s="3">
        <f t="shared" si="0"/>
        <v>28.124073495024959</v>
      </c>
      <c r="C29">
        <f t="shared" si="3"/>
        <v>12716.151100277242</v>
      </c>
      <c r="D29">
        <f t="shared" si="4"/>
        <v>175047.14989362378</v>
      </c>
      <c r="E29" s="112"/>
      <c r="F29" s="190"/>
    </row>
    <row r="30" spans="1:6" x14ac:dyDescent="0.25">
      <c r="A30">
        <v>27</v>
      </c>
      <c r="B30" s="3">
        <f t="shared" si="0"/>
        <v>26.784831900023772</v>
      </c>
      <c r="C30">
        <f t="shared" si="3"/>
        <v>14904.638853088258</v>
      </c>
      <c r="D30">
        <f t="shared" si="4"/>
        <v>215219.31548302114</v>
      </c>
      <c r="E30" s="112"/>
      <c r="F30" s="190"/>
    </row>
    <row r="31" spans="1:6" x14ac:dyDescent="0.25">
      <c r="A31">
        <v>28</v>
      </c>
      <c r="B31" s="3">
        <f t="shared" si="0"/>
        <v>25.509363714308357</v>
      </c>
      <c r="C31">
        <f t="shared" si="3"/>
        <v>17469.771913621309</v>
      </c>
      <c r="D31">
        <f t="shared" si="4"/>
        <v>264610.72793889232</v>
      </c>
      <c r="E31" s="112"/>
      <c r="F31" s="190"/>
    </row>
    <row r="32" spans="1:6" x14ac:dyDescent="0.25">
      <c r="A32">
        <v>29</v>
      </c>
      <c r="B32" s="3">
        <f t="shared" si="0"/>
        <v>24.294632108865098</v>
      </c>
      <c r="C32">
        <f t="shared" si="3"/>
        <v>20476.372069271278</v>
      </c>
      <c r="D32">
        <f t="shared" si="4"/>
        <v>325337.14357006369</v>
      </c>
      <c r="E32" s="112"/>
      <c r="F32" s="190"/>
    </row>
    <row r="33" spans="1:6" x14ac:dyDescent="0.25">
      <c r="A33">
        <v>30</v>
      </c>
      <c r="B33" s="3">
        <f t="shared" si="0"/>
        <v>23.137744865585812</v>
      </c>
      <c r="C33">
        <f t="shared" si="3"/>
        <v>24000.417131509075</v>
      </c>
      <c r="D33">
        <f t="shared" si="4"/>
        <v>399999.87079424574</v>
      </c>
      <c r="E33" s="112"/>
      <c r="F33" s="190"/>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7"/>
  <sheetViews>
    <sheetView workbookViewId="0">
      <selection activeCell="U1" sqref="U1"/>
    </sheetView>
  </sheetViews>
  <sheetFormatPr baseColWidth="10" defaultRowHeight="15" x14ac:dyDescent="0.25"/>
  <cols>
    <col min="27" max="27" width="15.140625" bestFit="1" customWidth="1"/>
    <col min="31" max="31" width="12.140625" bestFit="1" customWidth="1"/>
    <col min="32" max="33" width="14.140625" bestFit="1" customWidth="1"/>
    <col min="34" max="34" width="18.85546875" bestFit="1" customWidth="1"/>
    <col min="37" max="48" width="7.140625" customWidth="1"/>
    <col min="49" max="87" width="9.7109375" customWidth="1"/>
  </cols>
  <sheetData>
    <row r="1" spans="1:88" ht="15.75" thickBot="1" x14ac:dyDescent="0.3">
      <c r="A1" t="s">
        <v>66</v>
      </c>
      <c r="B1" s="4">
        <f>'Construction Planner'!E1</f>
        <v>1</v>
      </c>
      <c r="N1" t="s">
        <v>81</v>
      </c>
      <c r="W1" s="133"/>
      <c r="X1" s="133"/>
    </row>
    <row r="2" spans="1:88" x14ac:dyDescent="0.25">
      <c r="B2" s="408" t="s">
        <v>67</v>
      </c>
      <c r="C2" s="413"/>
      <c r="D2" s="413"/>
      <c r="E2" s="409"/>
      <c r="F2" s="408" t="s">
        <v>69</v>
      </c>
      <c r="G2" s="413"/>
      <c r="H2" s="470"/>
      <c r="I2" s="409"/>
      <c r="J2" s="408" t="s">
        <v>80</v>
      </c>
      <c r="K2" s="409"/>
      <c r="L2" s="135" t="s">
        <v>142</v>
      </c>
      <c r="O2" s="408" t="s">
        <v>67</v>
      </c>
      <c r="P2" s="413"/>
      <c r="Q2" s="413"/>
      <c r="R2" s="409"/>
      <c r="S2" s="410" t="s">
        <v>69</v>
      </c>
      <c r="T2" s="411"/>
      <c r="U2" s="411"/>
      <c r="V2" s="412"/>
      <c r="W2" s="410" t="s">
        <v>80</v>
      </c>
      <c r="X2" s="411"/>
      <c r="Y2" s="135" t="s">
        <v>142</v>
      </c>
      <c r="AB2" t="s">
        <v>84</v>
      </c>
      <c r="AC2" t="s">
        <v>85</v>
      </c>
      <c r="AD2" t="s">
        <v>86</v>
      </c>
      <c r="AE2" t="s">
        <v>209</v>
      </c>
      <c r="AF2" t="s">
        <v>210</v>
      </c>
      <c r="AG2" t="s">
        <v>211</v>
      </c>
      <c r="AH2" t="s">
        <v>212</v>
      </c>
      <c r="AK2" s="471" t="s">
        <v>73</v>
      </c>
      <c r="AL2" s="472"/>
      <c r="AM2" s="472"/>
      <c r="AN2" s="443"/>
      <c r="AO2" s="471" t="s">
        <v>74</v>
      </c>
      <c r="AP2" s="472"/>
      <c r="AQ2" s="472"/>
      <c r="AR2" s="443"/>
      <c r="AS2" s="471" t="s">
        <v>75</v>
      </c>
      <c r="AT2" s="472"/>
      <c r="AU2" s="472"/>
      <c r="AV2" s="443"/>
      <c r="AW2" s="471" t="s">
        <v>190</v>
      </c>
      <c r="AX2" s="472"/>
      <c r="AY2" s="472"/>
      <c r="AZ2" s="443"/>
      <c r="BA2" s="471" t="s">
        <v>71</v>
      </c>
      <c r="BB2" s="472"/>
      <c r="BC2" s="472"/>
      <c r="BD2" s="443"/>
      <c r="BE2" s="471" t="s">
        <v>76</v>
      </c>
      <c r="BF2" s="472"/>
      <c r="BG2" s="472"/>
      <c r="BH2" s="443"/>
      <c r="BI2" s="471" t="s">
        <v>191</v>
      </c>
      <c r="BJ2" s="472"/>
      <c r="BK2" s="472"/>
      <c r="BL2" s="443"/>
      <c r="BM2" s="471" t="s">
        <v>77</v>
      </c>
      <c r="BN2" s="472"/>
      <c r="BO2" s="472"/>
      <c r="BP2" s="443"/>
      <c r="BQ2" s="471" t="s">
        <v>78</v>
      </c>
      <c r="BR2" s="472"/>
      <c r="BS2" s="472"/>
      <c r="BT2" s="443"/>
      <c r="BU2" s="471" t="s">
        <v>79</v>
      </c>
      <c r="BV2" s="472"/>
      <c r="BW2" s="472"/>
      <c r="BX2" s="443"/>
      <c r="BY2" s="471" t="s">
        <v>192</v>
      </c>
      <c r="BZ2" s="472"/>
      <c r="CA2" s="472"/>
      <c r="CB2" s="443"/>
      <c r="CC2" s="471" t="s">
        <v>193</v>
      </c>
      <c r="CD2" s="472"/>
      <c r="CE2" s="472"/>
      <c r="CF2" s="443"/>
      <c r="CG2" s="473" t="s">
        <v>194</v>
      </c>
      <c r="CH2" s="414"/>
      <c r="CI2" s="414"/>
      <c r="CJ2" s="414"/>
    </row>
    <row r="3" spans="1:88" x14ac:dyDescent="0.25">
      <c r="B3" s="81" t="s">
        <v>73</v>
      </c>
      <c r="C3" s="79" t="s">
        <v>74</v>
      </c>
      <c r="D3" s="79" t="s">
        <v>75</v>
      </c>
      <c r="E3" s="82" t="s">
        <v>190</v>
      </c>
      <c r="F3" s="81" t="s">
        <v>71</v>
      </c>
      <c r="G3" s="79" t="s">
        <v>76</v>
      </c>
      <c r="H3" s="143" t="s">
        <v>191</v>
      </c>
      <c r="I3" s="82" t="s">
        <v>77</v>
      </c>
      <c r="J3" s="81" t="s">
        <v>78</v>
      </c>
      <c r="K3" s="82" t="s">
        <v>79</v>
      </c>
      <c r="L3" s="146" t="s">
        <v>193</v>
      </c>
      <c r="O3" s="81" t="s">
        <v>73</v>
      </c>
      <c r="P3" s="79" t="s">
        <v>74</v>
      </c>
      <c r="Q3" s="79" t="s">
        <v>75</v>
      </c>
      <c r="R3" s="82" t="s">
        <v>190</v>
      </c>
      <c r="S3" s="81" t="s">
        <v>71</v>
      </c>
      <c r="T3" s="79" t="s">
        <v>76</v>
      </c>
      <c r="U3" s="143" t="s">
        <v>195</v>
      </c>
      <c r="V3" s="82" t="s">
        <v>77</v>
      </c>
      <c r="W3" s="81" t="s">
        <v>78</v>
      </c>
      <c r="X3" s="143" t="s">
        <v>79</v>
      </c>
      <c r="Y3" s="146" t="s">
        <v>193</v>
      </c>
      <c r="AA3" t="s">
        <v>73</v>
      </c>
      <c r="AB3">
        <v>50</v>
      </c>
      <c r="AC3">
        <v>30</v>
      </c>
      <c r="AD3">
        <v>10</v>
      </c>
      <c r="AE3">
        <v>10</v>
      </c>
      <c r="AF3">
        <v>15</v>
      </c>
      <c r="AG3">
        <v>45</v>
      </c>
      <c r="AH3">
        <v>20</v>
      </c>
      <c r="AJ3" t="s">
        <v>216</v>
      </c>
      <c r="AK3" s="79" t="s">
        <v>213</v>
      </c>
      <c r="AL3" s="79" t="s">
        <v>214</v>
      </c>
      <c r="AM3" s="79" t="s">
        <v>215</v>
      </c>
      <c r="AN3" s="79" t="s">
        <v>217</v>
      </c>
      <c r="AO3" s="79" t="s">
        <v>213</v>
      </c>
      <c r="AP3" s="79" t="s">
        <v>214</v>
      </c>
      <c r="AQ3" s="79" t="s">
        <v>215</v>
      </c>
      <c r="AR3" s="79" t="s">
        <v>217</v>
      </c>
      <c r="AS3" s="79" t="s">
        <v>213</v>
      </c>
      <c r="AT3" s="79" t="s">
        <v>214</v>
      </c>
      <c r="AU3" s="79" t="s">
        <v>215</v>
      </c>
      <c r="AV3" s="79" t="s">
        <v>217</v>
      </c>
      <c r="AW3" s="79" t="s">
        <v>213</v>
      </c>
      <c r="AX3" s="79" t="s">
        <v>214</v>
      </c>
      <c r="AY3" s="79" t="s">
        <v>215</v>
      </c>
      <c r="AZ3" s="79" t="s">
        <v>217</v>
      </c>
      <c r="BA3" s="79" t="s">
        <v>213</v>
      </c>
      <c r="BB3" s="79" t="s">
        <v>214</v>
      </c>
      <c r="BC3" s="79" t="s">
        <v>215</v>
      </c>
      <c r="BD3" s="79" t="s">
        <v>217</v>
      </c>
      <c r="BE3" s="79" t="s">
        <v>213</v>
      </c>
      <c r="BF3" s="79" t="s">
        <v>214</v>
      </c>
      <c r="BG3" s="79" t="s">
        <v>215</v>
      </c>
      <c r="BH3" s="79" t="s">
        <v>217</v>
      </c>
      <c r="BI3" s="79" t="s">
        <v>213</v>
      </c>
      <c r="BJ3" s="79" t="s">
        <v>214</v>
      </c>
      <c r="BK3" s="79" t="s">
        <v>215</v>
      </c>
      <c r="BL3" s="79" t="s">
        <v>217</v>
      </c>
      <c r="BM3" s="79" t="s">
        <v>213</v>
      </c>
      <c r="BN3" s="79" t="s">
        <v>214</v>
      </c>
      <c r="BO3" s="79" t="s">
        <v>215</v>
      </c>
      <c r="BP3" s="79" t="s">
        <v>217</v>
      </c>
      <c r="BQ3" s="79" t="s">
        <v>213</v>
      </c>
      <c r="BR3" s="79" t="s">
        <v>214</v>
      </c>
      <c r="BS3" s="79" t="s">
        <v>215</v>
      </c>
      <c r="BT3" s="79" t="s">
        <v>217</v>
      </c>
      <c r="BU3" s="79" t="s">
        <v>213</v>
      </c>
      <c r="BV3" s="79" t="s">
        <v>214</v>
      </c>
      <c r="BW3" s="79" t="s">
        <v>215</v>
      </c>
      <c r="BX3" s="79" t="s">
        <v>217</v>
      </c>
      <c r="BY3" s="79" t="s">
        <v>213</v>
      </c>
      <c r="BZ3" s="79" t="s">
        <v>214</v>
      </c>
      <c r="CA3" s="79" t="s">
        <v>215</v>
      </c>
      <c r="CB3" s="79" t="s">
        <v>217</v>
      </c>
      <c r="CC3" s="79" t="s">
        <v>213</v>
      </c>
      <c r="CD3" s="79" t="s">
        <v>214</v>
      </c>
      <c r="CE3" s="79" t="s">
        <v>215</v>
      </c>
      <c r="CF3" s="79" t="s">
        <v>217</v>
      </c>
      <c r="CG3" s="79" t="s">
        <v>213</v>
      </c>
      <c r="CH3" s="79" t="s">
        <v>214</v>
      </c>
      <c r="CI3" s="79" t="s">
        <v>215</v>
      </c>
      <c r="CJ3" s="79" t="s">
        <v>217</v>
      </c>
    </row>
    <row r="4" spans="1:88" x14ac:dyDescent="0.25">
      <c r="A4" t="s">
        <v>68</v>
      </c>
      <c r="B4" s="83"/>
      <c r="C4" s="80"/>
      <c r="D4" s="80"/>
      <c r="E4" s="84"/>
      <c r="F4" s="83"/>
      <c r="G4" s="80"/>
      <c r="H4" s="144"/>
      <c r="I4" s="84"/>
      <c r="J4" s="83"/>
      <c r="K4" s="84"/>
      <c r="L4" s="147"/>
      <c r="N4" t="s">
        <v>68</v>
      </c>
      <c r="O4" s="83"/>
      <c r="P4" s="80"/>
      <c r="Q4" s="80"/>
      <c r="R4" s="84"/>
      <c r="S4" s="81"/>
      <c r="T4" s="79"/>
      <c r="U4" s="143"/>
      <c r="V4" s="82"/>
      <c r="W4" s="81"/>
      <c r="X4" s="143"/>
      <c r="Y4" s="147"/>
      <c r="AA4" t="s">
        <v>74</v>
      </c>
      <c r="AB4">
        <v>30</v>
      </c>
      <c r="AC4">
        <v>30</v>
      </c>
      <c r="AD4">
        <v>70</v>
      </c>
      <c r="AE4">
        <v>25</v>
      </c>
      <c r="AF4">
        <v>50</v>
      </c>
      <c r="AG4">
        <v>25</v>
      </c>
      <c r="AH4">
        <v>40</v>
      </c>
      <c r="AJ4">
        <v>1</v>
      </c>
      <c r="AK4" s="79">
        <f>VLOOKUP(AK2,$AA$2:$AH$15,5,FALSE)</f>
        <v>10</v>
      </c>
      <c r="AL4" s="79">
        <f>VLOOKUP(AK2,$AA$2:$AH$15,6,FALSE)</f>
        <v>15</v>
      </c>
      <c r="AM4" s="79">
        <f>VLOOKUP(AK2,$AA$2:$AH$15,7,FALSE)</f>
        <v>45</v>
      </c>
      <c r="AN4" s="79">
        <f>VLOOKUP(AK2,$AA$2:$AH$15,8,FALSE)</f>
        <v>20</v>
      </c>
      <c r="AO4" s="79">
        <f>VLOOKUP(AO2,$AA$2:$AH$15,5,FALSE)</f>
        <v>25</v>
      </c>
      <c r="AP4" s="79">
        <f>VLOOKUP(AO2,$AA$2:$AH$15,6,FALSE)</f>
        <v>50</v>
      </c>
      <c r="AQ4" s="79">
        <f>VLOOKUP(AO2,$AA$2:$AH$15,7,FALSE)</f>
        <v>25</v>
      </c>
      <c r="AR4" s="79">
        <f>VLOOKUP(AO2,$AA$2:$AH$15,8,FALSE)</f>
        <v>40</v>
      </c>
      <c r="AS4" s="79">
        <f>VLOOKUP(AS2,$AA$2:$AH$15,5,FALSE)</f>
        <v>40</v>
      </c>
      <c r="AT4" s="79">
        <f>VLOOKUP(AS2,$AA$2:$AH$15,6,FALSE)</f>
        <v>10</v>
      </c>
      <c r="AU4" s="79">
        <f>VLOOKUP(AS2,$AA$2:$AH$15,7,FALSE)</f>
        <v>5</v>
      </c>
      <c r="AV4" s="79">
        <f>VLOOKUP(AS2,$AA$2:$AH$15,8,FALSE)</f>
        <v>10</v>
      </c>
      <c r="AW4" s="79">
        <f>VLOOKUP(AW2,$AA$2:$AH$15,5,FALSE)</f>
        <v>15</v>
      </c>
      <c r="AX4" s="79">
        <f>VLOOKUP(AW2,$AA$2:$AH$15,6,FALSE)</f>
        <v>50</v>
      </c>
      <c r="AY4" s="79">
        <f>VLOOKUP(AW2,$AA$2:$AH$15,7,FALSE)</f>
        <v>40</v>
      </c>
      <c r="AZ4" s="79">
        <f>VLOOKUP(AW2,$AA$2:$AH$15,8,FALSE)</f>
        <v>5</v>
      </c>
      <c r="BA4" s="79">
        <f>VLOOKUP(BA2,$AA$2:$AH$15,5,FALSE)</f>
        <v>0</v>
      </c>
      <c r="BB4" s="79">
        <f>VLOOKUP(BA2,$AA$2:$AH$15,6,FALSE)</f>
        <v>2</v>
      </c>
      <c r="BC4" s="79">
        <f>VLOOKUP(BA2,$AA$2:$AH$15,7,FALSE)</f>
        <v>1</v>
      </c>
      <c r="BD4" s="79">
        <f>VLOOKUP(BA2,$AA$2:$AH$15,8,FALSE)</f>
        <v>2</v>
      </c>
      <c r="BE4" s="79">
        <f>VLOOKUP(BE2,$AA$2:$AH$15,5,FALSE)</f>
        <v>130</v>
      </c>
      <c r="BF4" s="79">
        <f>VLOOKUP(BE2,$AA$2:$AH$15,6,FALSE)</f>
        <v>30</v>
      </c>
      <c r="BG4" s="79">
        <f>VLOOKUP(BE2,$AA$2:$AH$15,7,FALSE)</f>
        <v>40</v>
      </c>
      <c r="BH4" s="79">
        <f>VLOOKUP(BE2,$AA$2:$AH$15,8,FALSE)</f>
        <v>30</v>
      </c>
      <c r="BI4" s="79">
        <f>VLOOKUP(BI2,$AA$2:$AH$15,5,FALSE)</f>
        <v>120</v>
      </c>
      <c r="BJ4" s="79">
        <f>VLOOKUP(BI2,$AA$2:$AH$15,6,FALSE)</f>
        <v>40</v>
      </c>
      <c r="BK4" s="79">
        <f>VLOOKUP(BI2,$AA$2:$AH$15,7,FALSE)</f>
        <v>30</v>
      </c>
      <c r="BL4" s="79">
        <f>VLOOKUP(BI2,$AA$2:$AH$15,8,FALSE)</f>
        <v>50</v>
      </c>
      <c r="BM4" s="79">
        <f>VLOOKUP(BM2,$AA$2:$AH$15,5,FALSE)</f>
        <v>150</v>
      </c>
      <c r="BN4" s="79">
        <f>VLOOKUP(BM2,$AA$2:$AH$15,6,FALSE)</f>
        <v>200</v>
      </c>
      <c r="BO4" s="79">
        <f>VLOOKUP(BM2,$AA$2:$AH$15,7,FALSE)</f>
        <v>80</v>
      </c>
      <c r="BP4" s="79">
        <f>VLOOKUP(BM2,$AA$2:$AH$15,8,FALSE)</f>
        <v>180</v>
      </c>
      <c r="BQ4" s="79">
        <f>VLOOKUP(BQ2,$AA$2:$AH$15,5,FALSE)</f>
        <v>2</v>
      </c>
      <c r="BR4" s="79">
        <f>VLOOKUP(BQ2,$AA$2:$AH$15,6,FALSE)</f>
        <v>20</v>
      </c>
      <c r="BS4" s="79">
        <f>VLOOKUP(BQ2,$AA$2:$AH$15,7,FALSE)</f>
        <v>50</v>
      </c>
      <c r="BT4" s="79">
        <f>VLOOKUP(BQ2,$AA$2:$AH$15,8,FALSE)</f>
        <v>20</v>
      </c>
      <c r="BU4" s="79">
        <f>VLOOKUP(BU2,$AA$2:$AH$15,5,FALSE)</f>
        <v>100</v>
      </c>
      <c r="BV4" s="79">
        <f>VLOOKUP(BU2,$AA$2:$AH$15,6,FALSE)</f>
        <v>100</v>
      </c>
      <c r="BW4" s="79">
        <f>VLOOKUP(BU2,$AA$2:$AH$15,7,FALSE)</f>
        <v>50</v>
      </c>
      <c r="BX4" s="79">
        <f>VLOOKUP(BU2,$AA$2:$AH$15,8,FALSE)</f>
        <v>100</v>
      </c>
      <c r="BY4" s="79">
        <f>VLOOKUP(BY2,$AA$2:$AH$15,5,FALSE)</f>
        <v>150</v>
      </c>
      <c r="BZ4" s="79">
        <f>VLOOKUP(BY2,$AA$2:$AH$15,6,FALSE)</f>
        <v>250</v>
      </c>
      <c r="CA4" s="79">
        <f>VLOOKUP(BY2,$AA$2:$AH$15,7,FALSE)</f>
        <v>400</v>
      </c>
      <c r="CB4" s="79">
        <f>VLOOKUP(BY2,$AA$2:$AH$15,8,FALSE)</f>
        <v>150</v>
      </c>
      <c r="CC4" s="79">
        <f>VLOOKUP(CC2,$AA$2:$AH$15,5,FALSE)</f>
        <v>30</v>
      </c>
      <c r="CD4" s="79">
        <f>VLOOKUP(CC2,$AA$2:$AH$15,6,FALSE)</f>
        <v>100</v>
      </c>
      <c r="CE4" s="79">
        <f>VLOOKUP(CC2,$AA$2:$AH$15,7,FALSE)</f>
        <v>50</v>
      </c>
      <c r="CF4" s="79">
        <f>VLOOKUP(CC2,$AA$2:$AH$15,8,FALSE)</f>
        <v>100</v>
      </c>
      <c r="CG4" s="79">
        <f>VLOOKUP(CG2,$AA$2:$AH$15,5,FALSE)</f>
        <v>0</v>
      </c>
      <c r="CH4" s="79">
        <f>VLOOKUP(CG2,$AA$2:$AH$15,6,FALSE)</f>
        <v>15</v>
      </c>
      <c r="CI4" s="79">
        <f>VLOOKUP(CG2,$AA$2:$AH$15,7,FALSE)</f>
        <v>45</v>
      </c>
      <c r="CJ4" s="79">
        <f>VLOOKUP(CG2,$AA$2:$AH$15,8,FALSE)</f>
        <v>25</v>
      </c>
    </row>
    <row r="5" spans="1:88" x14ac:dyDescent="0.25">
      <c r="A5">
        <v>1</v>
      </c>
      <c r="B5" s="83">
        <f>O5/$B$1</f>
        <v>7.8703703703703713E-3</v>
      </c>
      <c r="C5" s="80">
        <f>P5/$B$1</f>
        <v>1.1574074074074075E-2</v>
      </c>
      <c r="D5" s="80">
        <f>Q5/$B$1</f>
        <v>1.0185185185185184E-2</v>
      </c>
      <c r="E5" s="80">
        <f t="shared" ref="E5:E28" si="0">R5/$B$1</f>
        <v>1.3121547448551894E-2</v>
      </c>
      <c r="F5" s="83">
        <f t="shared" ref="F5:L6" si="1">S5/$B$1</f>
        <v>6.5543333333333348E-3</v>
      </c>
      <c r="G5" s="80">
        <f t="shared" si="1"/>
        <v>1.310866666666667E-2</v>
      </c>
      <c r="H5" s="80">
        <f t="shared" si="1"/>
        <v>1.968040416867161E-2</v>
      </c>
      <c r="I5" s="84">
        <f t="shared" si="1"/>
        <v>2.6217333333333339E-2</v>
      </c>
      <c r="J5" s="83">
        <f t="shared" si="1"/>
        <v>3.4956444444444443E-2</v>
      </c>
      <c r="K5" s="84">
        <f t="shared" si="1"/>
        <v>5.2434666666666671E-2</v>
      </c>
      <c r="L5" s="84">
        <f t="shared" si="1"/>
        <v>0.1310277777777778</v>
      </c>
      <c r="N5">
        <v>1</v>
      </c>
      <c r="O5" s="83">
        <v>7.8703703703703713E-3</v>
      </c>
      <c r="P5" s="80">
        <v>1.1574074074074075E-2</v>
      </c>
      <c r="Q5" s="80">
        <v>1.0185185185185184E-2</v>
      </c>
      <c r="R5" s="84">
        <f t="shared" ref="R5:R27" si="2">R6*1.06</f>
        <v>1.3121547448551894E-2</v>
      </c>
      <c r="S5" s="83">
        <f t="shared" ref="S5:V6" si="3">S6*1.06</f>
        <v>6.5543333333333348E-3</v>
      </c>
      <c r="T5" s="80">
        <f t="shared" si="3"/>
        <v>1.310866666666667E-2</v>
      </c>
      <c r="U5" s="144">
        <f t="shared" si="3"/>
        <v>1.968040416867161E-2</v>
      </c>
      <c r="V5" s="84">
        <f t="shared" si="3"/>
        <v>2.6217333333333339E-2</v>
      </c>
      <c r="W5" s="83">
        <v>3.4956444444444443E-2</v>
      </c>
      <c r="X5" s="144">
        <v>5.2434666666666671E-2</v>
      </c>
      <c r="Y5" s="148">
        <v>0.1310277777777778</v>
      </c>
      <c r="AA5" t="s">
        <v>75</v>
      </c>
      <c r="AB5">
        <v>60</v>
      </c>
      <c r="AC5">
        <v>30</v>
      </c>
      <c r="AD5">
        <v>40</v>
      </c>
      <c r="AE5">
        <v>40</v>
      </c>
      <c r="AF5">
        <v>10</v>
      </c>
      <c r="AG5">
        <v>5</v>
      </c>
      <c r="AH5">
        <v>10</v>
      </c>
      <c r="AJ5">
        <v>2</v>
      </c>
      <c r="AK5" s="181">
        <f t="shared" ref="AK5:AK13" si="4">1.04608*AK4</f>
        <v>10.460799999999999</v>
      </c>
      <c r="AL5" s="181">
        <f t="shared" ref="AL5:AL13" si="5">1.04608*AL4</f>
        <v>15.691199999999998</v>
      </c>
      <c r="AM5" s="181">
        <f t="shared" ref="AM5:AN13" si="6">1.04608*AM4</f>
        <v>47.073599999999999</v>
      </c>
      <c r="AN5" s="181">
        <f t="shared" si="6"/>
        <v>20.921599999999998</v>
      </c>
      <c r="AO5" s="181">
        <f t="shared" ref="AO5:AO13" si="7">1.04608*AO4</f>
        <v>26.151999999999997</v>
      </c>
      <c r="AP5" s="181">
        <f t="shared" ref="AP5:AP13" si="8">1.04608*AP4</f>
        <v>52.303999999999995</v>
      </c>
      <c r="AQ5" s="181">
        <f t="shared" ref="AQ5:AQ13" si="9">1.04608*AQ4</f>
        <v>26.151999999999997</v>
      </c>
      <c r="AR5" s="181">
        <f t="shared" ref="AR5:AR13" si="10">1.04608*AR4</f>
        <v>41.843199999999996</v>
      </c>
      <c r="AS5" s="181">
        <f t="shared" ref="AS5:AS13" si="11">1.04608*AS4</f>
        <v>41.843199999999996</v>
      </c>
      <c r="AT5" s="181">
        <f t="shared" ref="AT5:AT13" si="12">1.04608*AT4</f>
        <v>10.460799999999999</v>
      </c>
      <c r="AU5" s="181">
        <f t="shared" ref="AU5:AU13" si="13">1.04608*AU4</f>
        <v>5.2303999999999995</v>
      </c>
      <c r="AV5" s="181">
        <f t="shared" ref="AV5:AV13" si="14">1.04608*AV4</f>
        <v>10.460799999999999</v>
      </c>
      <c r="AW5" s="181">
        <f t="shared" ref="AW5:AW13" si="15">1.04608*AW4</f>
        <v>15.691199999999998</v>
      </c>
      <c r="AX5" s="181">
        <f t="shared" ref="AX5:AX13" si="16">1.04608*AX4</f>
        <v>52.303999999999995</v>
      </c>
      <c r="AY5" s="181">
        <f t="shared" ref="AY5:AY13" si="17">1.04608*AY4</f>
        <v>41.843199999999996</v>
      </c>
      <c r="AZ5" s="181">
        <f t="shared" ref="AZ5:AZ13" si="18">1.04608*AZ4</f>
        <v>5.2303999999999995</v>
      </c>
      <c r="BA5" s="181">
        <f t="shared" ref="BA5:BA13" si="19">1.04608*BA4</f>
        <v>0</v>
      </c>
      <c r="BB5" s="181">
        <f t="shared" ref="BB5:BB13" si="20">1.04608*BB4</f>
        <v>2.0921599999999998</v>
      </c>
      <c r="BC5" s="181">
        <f t="shared" ref="BC5:BC13" si="21">1.04608*BC4</f>
        <v>1.0460799999999999</v>
      </c>
      <c r="BD5" s="181">
        <f t="shared" ref="BD5:BD13" si="22">1.04608*BD4</f>
        <v>2.0921599999999998</v>
      </c>
      <c r="BE5" s="181">
        <f t="shared" ref="BE5:BE13" si="23">1.04608*BE4</f>
        <v>135.99039999999999</v>
      </c>
      <c r="BF5" s="181">
        <f t="shared" ref="BF5:BF13" si="24">1.04608*BF4</f>
        <v>31.382399999999997</v>
      </c>
      <c r="BG5" s="181">
        <f t="shared" ref="BG5:BG13" si="25">1.04608*BG4</f>
        <v>41.843199999999996</v>
      </c>
      <c r="BH5" s="181">
        <f t="shared" ref="BH5:BH13" si="26">1.04608*BH4</f>
        <v>31.382399999999997</v>
      </c>
      <c r="BI5" s="181">
        <f t="shared" ref="BI5:BI13" si="27">1.04608*BI4</f>
        <v>125.52959999999999</v>
      </c>
      <c r="BJ5" s="181">
        <f t="shared" ref="BJ5:BJ13" si="28">1.04608*BJ4</f>
        <v>41.843199999999996</v>
      </c>
      <c r="BK5" s="181">
        <f t="shared" ref="BK5:BK13" si="29">1.04608*BK4</f>
        <v>31.382399999999997</v>
      </c>
      <c r="BL5" s="181">
        <f t="shared" ref="BL5:BL13" si="30">1.04608*BL4</f>
        <v>52.303999999999995</v>
      </c>
      <c r="BM5" s="181">
        <f t="shared" ref="BM5:BM13" si="31">1.04608*BM4</f>
        <v>156.91199999999998</v>
      </c>
      <c r="BN5" s="181">
        <f t="shared" ref="BN5:BN13" si="32">1.04608*BN4</f>
        <v>209.21599999999998</v>
      </c>
      <c r="BO5" s="181">
        <f t="shared" ref="BO5:BO13" si="33">1.04608*BO4</f>
        <v>83.686399999999992</v>
      </c>
      <c r="BP5" s="181">
        <f t="shared" ref="BP5:BP13" si="34">1.04608*BP4</f>
        <v>188.2944</v>
      </c>
      <c r="BQ5" s="181">
        <f t="shared" ref="BQ5:BQ13" si="35">1.04608*BQ4</f>
        <v>2.0921599999999998</v>
      </c>
      <c r="BR5" s="181">
        <f t="shared" ref="BR5:BR13" si="36">1.04608*BR4</f>
        <v>20.921599999999998</v>
      </c>
      <c r="BS5" s="181">
        <f t="shared" ref="BS5:BS13" si="37">1.04608*BS4</f>
        <v>52.303999999999995</v>
      </c>
      <c r="BT5" s="181">
        <f t="shared" ref="BT5:BT13" si="38">1.04608*BT4</f>
        <v>20.921599999999998</v>
      </c>
      <c r="BU5" s="181">
        <f t="shared" ref="BU5:BU13" si="39">1.04608*BU4</f>
        <v>104.60799999999999</v>
      </c>
      <c r="BV5" s="181">
        <f t="shared" ref="BV5:BV13" si="40">1.04608*BV4</f>
        <v>104.60799999999999</v>
      </c>
      <c r="BW5" s="181">
        <f t="shared" ref="BW5:BW13" si="41">1.04608*BW4</f>
        <v>52.303999999999995</v>
      </c>
      <c r="BX5" s="181">
        <f t="shared" ref="BX5:BX13" si="42">1.04608*BX4</f>
        <v>104.60799999999999</v>
      </c>
      <c r="BY5" s="181"/>
      <c r="BZ5" s="181"/>
      <c r="CA5" s="181"/>
      <c r="CB5" s="181"/>
      <c r="CC5" s="181"/>
      <c r="CD5" s="181"/>
      <c r="CE5" s="181"/>
      <c r="CF5" s="181"/>
      <c r="CG5" s="181"/>
      <c r="CH5" s="181"/>
      <c r="CI5" s="181"/>
      <c r="CJ5" s="181"/>
    </row>
    <row r="6" spans="1:88" x14ac:dyDescent="0.25">
      <c r="A6">
        <v>2</v>
      </c>
      <c r="B6" s="83">
        <f t="shared" ref="B6:B29" si="43">O6/$B$1</f>
        <v>7.0271164021164026E-3</v>
      </c>
      <c r="C6" s="80">
        <f t="shared" ref="C6:C20" si="44">P6/$B$1</f>
        <v>1.0324074074074074E-2</v>
      </c>
      <c r="D6" s="80">
        <f t="shared" ref="D6:D20" si="45">Q6/$B$1</f>
        <v>9.0740740740740729E-3</v>
      </c>
      <c r="E6" s="80">
        <f t="shared" si="0"/>
        <v>1.2378818347690466E-2</v>
      </c>
      <c r="F6" s="83">
        <f t="shared" si="1"/>
        <v>6.1833333333333341E-3</v>
      </c>
      <c r="G6" s="80">
        <f t="shared" si="1"/>
        <v>1.2366666666666668E-2</v>
      </c>
      <c r="H6" s="80">
        <f t="shared" si="1"/>
        <v>1.8566419027048687E-2</v>
      </c>
      <c r="I6" s="84">
        <f t="shared" si="1"/>
        <v>2.4733333333333336E-2</v>
      </c>
      <c r="J6" s="83">
        <f t="shared" si="1"/>
        <v>3.2977777777777773E-2</v>
      </c>
      <c r="K6" s="84">
        <f t="shared" si="1"/>
        <v>4.9466666666666666E-2</v>
      </c>
      <c r="L6" s="84">
        <f t="shared" si="1"/>
        <v>0.12361111111111112</v>
      </c>
      <c r="N6">
        <v>2</v>
      </c>
      <c r="O6" s="83">
        <v>7.0271164021164026E-3</v>
      </c>
      <c r="P6" s="80">
        <v>1.0324074074074074E-2</v>
      </c>
      <c r="Q6" s="80">
        <v>9.0740740740740729E-3</v>
      </c>
      <c r="R6" s="84">
        <f t="shared" si="2"/>
        <v>1.2378818347690466E-2</v>
      </c>
      <c r="S6" s="83">
        <f t="shared" si="3"/>
        <v>6.1833333333333341E-3</v>
      </c>
      <c r="T6" s="80">
        <f t="shared" si="3"/>
        <v>1.2366666666666668E-2</v>
      </c>
      <c r="U6" s="144">
        <f t="shared" si="3"/>
        <v>1.8566419027048687E-2</v>
      </c>
      <c r="V6" s="84">
        <f t="shared" si="3"/>
        <v>2.4733333333333336E-2</v>
      </c>
      <c r="W6" s="83">
        <v>3.2977777777777773E-2</v>
      </c>
      <c r="X6" s="144">
        <v>4.9466666666666666E-2</v>
      </c>
      <c r="Y6" s="148">
        <v>0.12361111111111112</v>
      </c>
      <c r="AA6" t="s">
        <v>190</v>
      </c>
      <c r="AB6">
        <v>100</v>
      </c>
      <c r="AC6">
        <v>30</v>
      </c>
      <c r="AD6">
        <v>60</v>
      </c>
      <c r="AE6">
        <v>15</v>
      </c>
      <c r="AF6">
        <v>50</v>
      </c>
      <c r="AG6">
        <v>40</v>
      </c>
      <c r="AH6">
        <v>5</v>
      </c>
      <c r="AJ6">
        <v>3</v>
      </c>
      <c r="AK6" s="181">
        <f t="shared" si="4"/>
        <v>10.942833663999998</v>
      </c>
      <c r="AL6" s="181">
        <f t="shared" si="5"/>
        <v>16.414250495999998</v>
      </c>
      <c r="AM6" s="181">
        <f t="shared" si="6"/>
        <v>49.242751487999996</v>
      </c>
      <c r="AN6" s="181">
        <f t="shared" si="6"/>
        <v>21.885667327999997</v>
      </c>
      <c r="AO6" s="181">
        <f t="shared" si="7"/>
        <v>27.357084159999996</v>
      </c>
      <c r="AP6" s="181">
        <f t="shared" si="8"/>
        <v>54.714168319999992</v>
      </c>
      <c r="AQ6" s="181">
        <f t="shared" si="9"/>
        <v>27.357084159999996</v>
      </c>
      <c r="AR6" s="181">
        <f t="shared" si="10"/>
        <v>43.771334655999993</v>
      </c>
      <c r="AS6" s="181">
        <f t="shared" si="11"/>
        <v>43.771334655999993</v>
      </c>
      <c r="AT6" s="181">
        <f t="shared" si="12"/>
        <v>10.942833663999998</v>
      </c>
      <c r="AU6" s="181">
        <f t="shared" si="13"/>
        <v>5.4714168319999992</v>
      </c>
      <c r="AV6" s="181">
        <f t="shared" si="14"/>
        <v>10.942833663999998</v>
      </c>
      <c r="AW6" s="181">
        <f t="shared" si="15"/>
        <v>16.414250495999998</v>
      </c>
      <c r="AX6" s="181">
        <f t="shared" si="16"/>
        <v>54.714168319999992</v>
      </c>
      <c r="AY6" s="181">
        <f t="shared" si="17"/>
        <v>43.771334655999993</v>
      </c>
      <c r="AZ6" s="181">
        <f t="shared" si="18"/>
        <v>5.4714168319999992</v>
      </c>
      <c r="BA6" s="181">
        <f t="shared" si="19"/>
        <v>0</v>
      </c>
      <c r="BB6" s="181">
        <f t="shared" si="20"/>
        <v>2.1885667327999996</v>
      </c>
      <c r="BC6" s="181">
        <f t="shared" si="21"/>
        <v>1.0942833663999998</v>
      </c>
      <c r="BD6" s="181">
        <f t="shared" si="22"/>
        <v>2.1885667327999996</v>
      </c>
      <c r="BE6" s="181">
        <f t="shared" si="23"/>
        <v>142.25683763199999</v>
      </c>
      <c r="BF6" s="181">
        <f t="shared" si="24"/>
        <v>32.828500991999995</v>
      </c>
      <c r="BG6" s="181">
        <f t="shared" si="25"/>
        <v>43.771334655999993</v>
      </c>
      <c r="BH6" s="181">
        <f t="shared" si="26"/>
        <v>32.828500991999995</v>
      </c>
      <c r="BI6" s="181">
        <f t="shared" si="27"/>
        <v>131.31400396799998</v>
      </c>
      <c r="BJ6" s="181">
        <f t="shared" si="28"/>
        <v>43.771334655999993</v>
      </c>
      <c r="BK6" s="181">
        <f t="shared" si="29"/>
        <v>32.828500991999995</v>
      </c>
      <c r="BL6" s="181">
        <f t="shared" si="30"/>
        <v>54.714168319999992</v>
      </c>
      <c r="BM6" s="181">
        <f t="shared" si="31"/>
        <v>164.14250495999997</v>
      </c>
      <c r="BN6" s="181">
        <f t="shared" si="32"/>
        <v>218.85667327999997</v>
      </c>
      <c r="BO6" s="181">
        <f t="shared" si="33"/>
        <v>87.542669311999987</v>
      </c>
      <c r="BP6" s="181">
        <f t="shared" si="34"/>
        <v>196.97100595199998</v>
      </c>
      <c r="BQ6" s="181">
        <f t="shared" si="35"/>
        <v>2.1885667327999996</v>
      </c>
      <c r="BR6" s="181">
        <f t="shared" si="36"/>
        <v>21.885667327999997</v>
      </c>
      <c r="BS6" s="181">
        <f t="shared" si="37"/>
        <v>54.714168319999992</v>
      </c>
      <c r="BT6" s="181">
        <f t="shared" si="38"/>
        <v>21.885667327999997</v>
      </c>
      <c r="BU6" s="181">
        <f t="shared" si="39"/>
        <v>109.42833663999998</v>
      </c>
      <c r="BV6" s="181">
        <f t="shared" si="40"/>
        <v>109.42833663999998</v>
      </c>
      <c r="BW6" s="181">
        <f t="shared" si="41"/>
        <v>54.714168319999992</v>
      </c>
      <c r="BX6" s="181">
        <f t="shared" si="42"/>
        <v>109.42833663999998</v>
      </c>
      <c r="BY6" s="181"/>
      <c r="BZ6" s="181"/>
      <c r="CA6" s="181"/>
      <c r="CB6" s="181"/>
      <c r="CC6" s="181"/>
      <c r="CD6" s="181"/>
      <c r="CE6" s="181"/>
      <c r="CF6" s="181"/>
      <c r="CG6" s="181"/>
      <c r="CH6" s="181"/>
      <c r="CI6" s="181"/>
      <c r="CJ6" s="181"/>
    </row>
    <row r="7" spans="1:88" x14ac:dyDescent="0.25">
      <c r="A7">
        <v>3</v>
      </c>
      <c r="B7" s="83">
        <f t="shared" si="43"/>
        <v>6.6203703703703702E-3</v>
      </c>
      <c r="C7" s="80">
        <f t="shared" si="44"/>
        <v>9.7222222222222224E-3</v>
      </c>
      <c r="D7" s="80">
        <f t="shared" si="45"/>
        <v>8.564814814814815E-3</v>
      </c>
      <c r="E7" s="80">
        <f t="shared" si="0"/>
        <v>1.1678130516689119E-2</v>
      </c>
      <c r="F7" s="83">
        <f t="shared" ref="F7:F20" si="46">S7/$B$1</f>
        <v>5.8333333333333336E-3</v>
      </c>
      <c r="G7" s="80">
        <f t="shared" ref="G7:G20" si="47">T7/$B$1</f>
        <v>1.1666666666666667E-2</v>
      </c>
      <c r="H7" s="80">
        <f t="shared" ref="H7:H20" si="48">U7/$B$1</f>
        <v>1.7515489648159136E-2</v>
      </c>
      <c r="I7" s="84">
        <f t="shared" ref="I7:L20" si="49">V7/$B$1</f>
        <v>2.3333333333333334E-2</v>
      </c>
      <c r="J7" s="83">
        <f t="shared" si="49"/>
        <v>3.1111111111111103E-2</v>
      </c>
      <c r="K7" s="84">
        <f t="shared" si="49"/>
        <v>4.6666666666666662E-2</v>
      </c>
      <c r="L7" s="84">
        <f t="shared" si="49"/>
        <v>0.11661425576519915</v>
      </c>
      <c r="N7">
        <v>3</v>
      </c>
      <c r="O7" s="83">
        <v>6.6203703703703702E-3</v>
      </c>
      <c r="P7" s="80">
        <v>9.7222222222222224E-3</v>
      </c>
      <c r="Q7" s="80">
        <v>8.564814814814815E-3</v>
      </c>
      <c r="R7" s="84">
        <f t="shared" si="2"/>
        <v>1.1678130516689119E-2</v>
      </c>
      <c r="S7" s="83">
        <v>5.8333333333333336E-3</v>
      </c>
      <c r="T7" s="80">
        <v>1.1666666666666667E-2</v>
      </c>
      <c r="U7" s="144">
        <f t="shared" ref="U7:U23" si="50">U8*1.06</f>
        <v>1.7515489648159136E-2</v>
      </c>
      <c r="V7" s="84">
        <v>2.3333333333333334E-2</v>
      </c>
      <c r="W7" s="83">
        <v>3.1111111111111103E-2</v>
      </c>
      <c r="X7" s="144">
        <v>4.6666666666666662E-2</v>
      </c>
      <c r="Y7" s="148">
        <v>0.11661425576519915</v>
      </c>
      <c r="AA7" t="s">
        <v>71</v>
      </c>
      <c r="AB7">
        <v>50</v>
      </c>
      <c r="AC7">
        <v>50</v>
      </c>
      <c r="AD7">
        <v>20</v>
      </c>
      <c r="AE7">
        <v>0</v>
      </c>
      <c r="AF7">
        <v>2</v>
      </c>
      <c r="AG7">
        <v>1</v>
      </c>
      <c r="AH7">
        <v>2</v>
      </c>
      <c r="AJ7">
        <v>4</v>
      </c>
      <c r="AK7" s="181">
        <f t="shared" si="4"/>
        <v>11.447079439237116</v>
      </c>
      <c r="AL7" s="181">
        <f t="shared" si="5"/>
        <v>17.170619158855676</v>
      </c>
      <c r="AM7" s="181">
        <f t="shared" si="6"/>
        <v>51.51185747656703</v>
      </c>
      <c r="AN7" s="181">
        <f t="shared" si="6"/>
        <v>22.894158878474233</v>
      </c>
      <c r="AO7" s="181">
        <f t="shared" si="7"/>
        <v>28.617698598092794</v>
      </c>
      <c r="AP7" s="181">
        <f t="shared" si="8"/>
        <v>57.235397196185588</v>
      </c>
      <c r="AQ7" s="181">
        <f t="shared" si="9"/>
        <v>28.617698598092794</v>
      </c>
      <c r="AR7" s="181">
        <f t="shared" si="10"/>
        <v>45.788317756948466</v>
      </c>
      <c r="AS7" s="181">
        <f t="shared" si="11"/>
        <v>45.788317756948466</v>
      </c>
      <c r="AT7" s="181">
        <f t="shared" si="12"/>
        <v>11.447079439237116</v>
      </c>
      <c r="AU7" s="181">
        <f t="shared" si="13"/>
        <v>5.7235397196185582</v>
      </c>
      <c r="AV7" s="181">
        <f t="shared" si="14"/>
        <v>11.447079439237116</v>
      </c>
      <c r="AW7" s="181">
        <f t="shared" si="15"/>
        <v>17.170619158855676</v>
      </c>
      <c r="AX7" s="181">
        <f t="shared" si="16"/>
        <v>57.235397196185588</v>
      </c>
      <c r="AY7" s="181">
        <f t="shared" si="17"/>
        <v>45.788317756948466</v>
      </c>
      <c r="AZ7" s="181">
        <f t="shared" si="18"/>
        <v>5.7235397196185582</v>
      </c>
      <c r="BA7" s="181">
        <f t="shared" si="19"/>
        <v>0</v>
      </c>
      <c r="BB7" s="181">
        <f t="shared" si="20"/>
        <v>2.2894158878474236</v>
      </c>
      <c r="BC7" s="181">
        <f t="shared" si="21"/>
        <v>1.1447079439237118</v>
      </c>
      <c r="BD7" s="181">
        <f t="shared" si="22"/>
        <v>2.2894158878474236</v>
      </c>
      <c r="BE7" s="181">
        <f t="shared" si="23"/>
        <v>148.81203271008252</v>
      </c>
      <c r="BF7" s="181">
        <f t="shared" si="24"/>
        <v>34.341238317711351</v>
      </c>
      <c r="BG7" s="181">
        <f t="shared" si="25"/>
        <v>45.788317756948466</v>
      </c>
      <c r="BH7" s="181">
        <f t="shared" si="26"/>
        <v>34.341238317711351</v>
      </c>
      <c r="BI7" s="181">
        <f t="shared" si="27"/>
        <v>137.3649532708454</v>
      </c>
      <c r="BJ7" s="181">
        <f t="shared" si="28"/>
        <v>45.788317756948466</v>
      </c>
      <c r="BK7" s="181">
        <f t="shared" si="29"/>
        <v>34.341238317711351</v>
      </c>
      <c r="BL7" s="181">
        <f t="shared" si="30"/>
        <v>57.235397196185588</v>
      </c>
      <c r="BM7" s="181">
        <f t="shared" si="31"/>
        <v>171.70619158855675</v>
      </c>
      <c r="BN7" s="181">
        <f t="shared" si="32"/>
        <v>228.94158878474235</v>
      </c>
      <c r="BO7" s="181">
        <f t="shared" si="33"/>
        <v>91.576635513896932</v>
      </c>
      <c r="BP7" s="181">
        <f t="shared" si="34"/>
        <v>206.04742990626812</v>
      </c>
      <c r="BQ7" s="181">
        <f t="shared" si="35"/>
        <v>2.2894158878474236</v>
      </c>
      <c r="BR7" s="181">
        <f t="shared" si="36"/>
        <v>22.894158878474233</v>
      </c>
      <c r="BS7" s="181">
        <f t="shared" si="37"/>
        <v>57.235397196185588</v>
      </c>
      <c r="BT7" s="181">
        <f t="shared" si="38"/>
        <v>22.894158878474233</v>
      </c>
      <c r="BU7" s="181">
        <f t="shared" si="39"/>
        <v>114.47079439237118</v>
      </c>
      <c r="BV7" s="181">
        <f t="shared" si="40"/>
        <v>114.47079439237118</v>
      </c>
      <c r="BW7" s="181">
        <f t="shared" si="41"/>
        <v>57.235397196185588</v>
      </c>
      <c r="BX7" s="181">
        <f t="shared" si="42"/>
        <v>114.47079439237118</v>
      </c>
      <c r="BY7" s="181"/>
      <c r="BZ7" s="181"/>
      <c r="CA7" s="181"/>
      <c r="CB7" s="181"/>
      <c r="CC7" s="181"/>
      <c r="CD7" s="181"/>
      <c r="CE7" s="181"/>
      <c r="CF7" s="181"/>
      <c r="CG7" s="181"/>
      <c r="CH7" s="181"/>
      <c r="CI7" s="181"/>
      <c r="CJ7" s="181"/>
    </row>
    <row r="8" spans="1:88" x14ac:dyDescent="0.25">
      <c r="A8">
        <v>4</v>
      </c>
      <c r="B8" s="83">
        <f t="shared" si="43"/>
        <v>6.2456324248777078E-3</v>
      </c>
      <c r="C8" s="80">
        <f t="shared" si="44"/>
        <v>9.2129629629629627E-3</v>
      </c>
      <c r="D8" s="80">
        <f t="shared" si="45"/>
        <v>8.0800139762403911E-3</v>
      </c>
      <c r="E8" s="80">
        <f t="shared" si="0"/>
        <v>1.101710426102747E-2</v>
      </c>
      <c r="F8" s="83">
        <f t="shared" si="46"/>
        <v>5.50314465408805E-3</v>
      </c>
      <c r="G8" s="80">
        <f t="shared" si="47"/>
        <v>1.10062893081761E-2</v>
      </c>
      <c r="H8" s="80">
        <f t="shared" si="48"/>
        <v>1.6524046837885976E-2</v>
      </c>
      <c r="I8" s="84">
        <f t="shared" si="49"/>
        <v>2.20125786163522E-2</v>
      </c>
      <c r="J8" s="83">
        <f t="shared" si="49"/>
        <v>2.9350104821802926E-2</v>
      </c>
      <c r="K8" s="84">
        <f t="shared" si="49"/>
        <v>4.4025157232704393E-2</v>
      </c>
      <c r="L8" s="147"/>
      <c r="N8">
        <v>4</v>
      </c>
      <c r="O8" s="83">
        <v>6.2456324248777078E-3</v>
      </c>
      <c r="P8" s="80">
        <v>9.2129629629629627E-3</v>
      </c>
      <c r="Q8" s="80">
        <v>8.0800139762403911E-3</v>
      </c>
      <c r="R8" s="84">
        <f t="shared" si="2"/>
        <v>1.101710426102747E-2</v>
      </c>
      <c r="S8" s="83">
        <v>5.50314465408805E-3</v>
      </c>
      <c r="T8" s="80">
        <v>1.10062893081761E-2</v>
      </c>
      <c r="U8" s="144">
        <f t="shared" si="50"/>
        <v>1.6524046837885976E-2</v>
      </c>
      <c r="V8" s="84">
        <v>2.20125786163522E-2</v>
      </c>
      <c r="W8" s="83">
        <v>2.9350104821802926E-2</v>
      </c>
      <c r="X8" s="144">
        <v>4.4025157232704393E-2</v>
      </c>
      <c r="Y8" s="147"/>
      <c r="AA8" t="s">
        <v>76</v>
      </c>
      <c r="AB8">
        <v>125</v>
      </c>
      <c r="AC8">
        <v>100</v>
      </c>
      <c r="AD8">
        <v>250</v>
      </c>
      <c r="AE8">
        <v>130</v>
      </c>
      <c r="AF8">
        <v>30</v>
      </c>
      <c r="AG8">
        <v>40</v>
      </c>
      <c r="AH8">
        <v>30</v>
      </c>
      <c r="AJ8">
        <v>5</v>
      </c>
      <c r="AK8" s="181">
        <f t="shared" si="4"/>
        <v>11.974560859797162</v>
      </c>
      <c r="AL8" s="181">
        <f t="shared" si="5"/>
        <v>17.961841289695744</v>
      </c>
      <c r="AM8" s="181">
        <f t="shared" si="6"/>
        <v>53.885523869087237</v>
      </c>
      <c r="AN8" s="181">
        <f t="shared" si="6"/>
        <v>23.949121719594324</v>
      </c>
      <c r="AO8" s="181">
        <f t="shared" si="7"/>
        <v>29.936402149492906</v>
      </c>
      <c r="AP8" s="181">
        <f t="shared" si="8"/>
        <v>59.872804298985812</v>
      </c>
      <c r="AQ8" s="181">
        <f t="shared" si="9"/>
        <v>29.936402149492906</v>
      </c>
      <c r="AR8" s="181">
        <f t="shared" si="10"/>
        <v>47.898243439188647</v>
      </c>
      <c r="AS8" s="181">
        <f t="shared" si="11"/>
        <v>47.898243439188647</v>
      </c>
      <c r="AT8" s="181">
        <f t="shared" si="12"/>
        <v>11.974560859797162</v>
      </c>
      <c r="AU8" s="181">
        <f t="shared" si="13"/>
        <v>5.9872804298985809</v>
      </c>
      <c r="AV8" s="181">
        <f t="shared" si="14"/>
        <v>11.974560859797162</v>
      </c>
      <c r="AW8" s="181">
        <f t="shared" si="15"/>
        <v>17.961841289695744</v>
      </c>
      <c r="AX8" s="181">
        <f t="shared" si="16"/>
        <v>59.872804298985812</v>
      </c>
      <c r="AY8" s="181">
        <f t="shared" si="17"/>
        <v>47.898243439188647</v>
      </c>
      <c r="AZ8" s="181">
        <f t="shared" si="18"/>
        <v>5.9872804298985809</v>
      </c>
      <c r="BA8" s="181">
        <f t="shared" si="19"/>
        <v>0</v>
      </c>
      <c r="BB8" s="181">
        <f t="shared" si="20"/>
        <v>2.3949121719594326</v>
      </c>
      <c r="BC8" s="181">
        <f t="shared" si="21"/>
        <v>1.1974560859797163</v>
      </c>
      <c r="BD8" s="181">
        <f t="shared" si="22"/>
        <v>2.3949121719594326</v>
      </c>
      <c r="BE8" s="181">
        <f t="shared" si="23"/>
        <v>155.66929117736311</v>
      </c>
      <c r="BF8" s="181">
        <f t="shared" si="24"/>
        <v>35.923682579391489</v>
      </c>
      <c r="BG8" s="181">
        <f t="shared" si="25"/>
        <v>47.898243439188647</v>
      </c>
      <c r="BH8" s="181">
        <f t="shared" si="26"/>
        <v>35.923682579391489</v>
      </c>
      <c r="BI8" s="181">
        <f t="shared" si="27"/>
        <v>143.69473031756596</v>
      </c>
      <c r="BJ8" s="181">
        <f t="shared" si="28"/>
        <v>47.898243439188647</v>
      </c>
      <c r="BK8" s="181">
        <f t="shared" si="29"/>
        <v>35.923682579391489</v>
      </c>
      <c r="BL8" s="181">
        <f t="shared" si="30"/>
        <v>59.872804298985812</v>
      </c>
      <c r="BM8" s="181">
        <f t="shared" si="31"/>
        <v>179.61841289695744</v>
      </c>
      <c r="BN8" s="181">
        <f t="shared" si="32"/>
        <v>239.49121719594325</v>
      </c>
      <c r="BO8" s="181">
        <f t="shared" si="33"/>
        <v>95.796486878377294</v>
      </c>
      <c r="BP8" s="181">
        <f t="shared" si="34"/>
        <v>215.54209547634895</v>
      </c>
      <c r="BQ8" s="181">
        <f t="shared" si="35"/>
        <v>2.3949121719594326</v>
      </c>
      <c r="BR8" s="181">
        <f t="shared" si="36"/>
        <v>23.949121719594324</v>
      </c>
      <c r="BS8" s="181">
        <f t="shared" si="37"/>
        <v>59.872804298985812</v>
      </c>
      <c r="BT8" s="181">
        <f t="shared" si="38"/>
        <v>23.949121719594324</v>
      </c>
      <c r="BU8" s="181">
        <f t="shared" si="39"/>
        <v>119.74560859797162</v>
      </c>
      <c r="BV8" s="181">
        <f t="shared" si="40"/>
        <v>119.74560859797162</v>
      </c>
      <c r="BW8" s="181">
        <f t="shared" si="41"/>
        <v>59.872804298985812</v>
      </c>
      <c r="BX8" s="181">
        <f t="shared" si="42"/>
        <v>119.74560859797162</v>
      </c>
      <c r="BY8" s="181"/>
      <c r="BZ8" s="181"/>
      <c r="CA8" s="181"/>
      <c r="CB8" s="181"/>
      <c r="CC8" s="181"/>
      <c r="CD8" s="181"/>
      <c r="CE8" s="181"/>
      <c r="CF8" s="181"/>
      <c r="CG8" s="181"/>
      <c r="CH8" s="181"/>
      <c r="CI8" s="181"/>
      <c r="CJ8" s="181"/>
    </row>
    <row r="9" spans="1:88" x14ac:dyDescent="0.25">
      <c r="A9">
        <v>5</v>
      </c>
      <c r="B9" s="83">
        <f t="shared" si="43"/>
        <v>5.8921060612053848E-3</v>
      </c>
      <c r="C9" s="80">
        <f t="shared" si="44"/>
        <v>8.6914744933612852E-3</v>
      </c>
      <c r="D9" s="80">
        <f t="shared" si="45"/>
        <v>7.6226546945664065E-3</v>
      </c>
      <c r="E9" s="80">
        <f t="shared" si="0"/>
        <v>1.0393494585874971E-2</v>
      </c>
      <c r="F9" s="83">
        <f t="shared" si="46"/>
        <v>5.1916459000830653E-3</v>
      </c>
      <c r="G9" s="80">
        <f t="shared" si="47"/>
        <v>1.0383291800166131E-2</v>
      </c>
      <c r="H9" s="80">
        <f t="shared" si="48"/>
        <v>1.5588723431967903E-2</v>
      </c>
      <c r="I9" s="84">
        <f t="shared" si="49"/>
        <v>2.0766583600332261E-2</v>
      </c>
      <c r="J9" s="83">
        <f t="shared" si="49"/>
        <v>2.7688778133776345E-2</v>
      </c>
      <c r="K9" s="84">
        <f t="shared" si="49"/>
        <v>4.1533167200664523E-2</v>
      </c>
      <c r="L9" s="147"/>
      <c r="N9">
        <v>5</v>
      </c>
      <c r="O9" s="83">
        <v>5.8921060612053848E-3</v>
      </c>
      <c r="P9" s="80">
        <v>8.6914744933612852E-3</v>
      </c>
      <c r="Q9" s="80">
        <v>7.6226546945664065E-3</v>
      </c>
      <c r="R9" s="84">
        <f t="shared" si="2"/>
        <v>1.0393494585874971E-2</v>
      </c>
      <c r="S9" s="83">
        <v>5.1916459000830653E-3</v>
      </c>
      <c r="T9" s="80">
        <v>1.0383291800166131E-2</v>
      </c>
      <c r="U9" s="144">
        <f t="shared" si="50"/>
        <v>1.5588723431967903E-2</v>
      </c>
      <c r="V9" s="84">
        <v>2.0766583600332261E-2</v>
      </c>
      <c r="W9" s="83">
        <v>2.7688778133776345E-2</v>
      </c>
      <c r="X9" s="144">
        <v>4.1533167200664523E-2</v>
      </c>
      <c r="Y9" s="147"/>
      <c r="AA9" t="s">
        <v>191</v>
      </c>
      <c r="AB9">
        <v>250</v>
      </c>
      <c r="AC9">
        <v>100</v>
      </c>
      <c r="AD9">
        <v>150</v>
      </c>
      <c r="AE9">
        <v>120</v>
      </c>
      <c r="AF9">
        <v>40</v>
      </c>
      <c r="AG9">
        <v>30</v>
      </c>
      <c r="AH9">
        <v>50</v>
      </c>
      <c r="AJ9">
        <v>6</v>
      </c>
      <c r="AK9" s="181">
        <f t="shared" si="4"/>
        <v>12.526348624216613</v>
      </c>
      <c r="AL9" s="181">
        <f t="shared" si="5"/>
        <v>18.789522936324921</v>
      </c>
      <c r="AM9" s="181">
        <f t="shared" si="6"/>
        <v>56.368568808974771</v>
      </c>
      <c r="AN9" s="181">
        <f t="shared" si="6"/>
        <v>25.052697248433226</v>
      </c>
      <c r="AO9" s="181">
        <f t="shared" si="7"/>
        <v>31.315871560541538</v>
      </c>
      <c r="AP9" s="181">
        <f t="shared" si="8"/>
        <v>62.631743121083076</v>
      </c>
      <c r="AQ9" s="181">
        <f t="shared" si="9"/>
        <v>31.315871560541538</v>
      </c>
      <c r="AR9" s="181">
        <f t="shared" si="10"/>
        <v>50.105394496866452</v>
      </c>
      <c r="AS9" s="181">
        <f t="shared" si="11"/>
        <v>50.105394496866452</v>
      </c>
      <c r="AT9" s="181">
        <f t="shared" si="12"/>
        <v>12.526348624216613</v>
      </c>
      <c r="AU9" s="181">
        <f t="shared" si="13"/>
        <v>6.2631743121083066</v>
      </c>
      <c r="AV9" s="181">
        <f t="shared" si="14"/>
        <v>12.526348624216613</v>
      </c>
      <c r="AW9" s="181">
        <f t="shared" si="15"/>
        <v>18.789522936324921</v>
      </c>
      <c r="AX9" s="181">
        <f t="shared" si="16"/>
        <v>62.631743121083076</v>
      </c>
      <c r="AY9" s="181">
        <f t="shared" si="17"/>
        <v>50.105394496866452</v>
      </c>
      <c r="AZ9" s="181">
        <f t="shared" si="18"/>
        <v>6.2631743121083066</v>
      </c>
      <c r="BA9" s="181">
        <f t="shared" si="19"/>
        <v>0</v>
      </c>
      <c r="BB9" s="181">
        <f t="shared" si="20"/>
        <v>2.5052697248433229</v>
      </c>
      <c r="BC9" s="181">
        <f t="shared" si="21"/>
        <v>1.2526348624216614</v>
      </c>
      <c r="BD9" s="181">
        <f t="shared" si="22"/>
        <v>2.5052697248433229</v>
      </c>
      <c r="BE9" s="181">
        <f t="shared" si="23"/>
        <v>162.84253211481598</v>
      </c>
      <c r="BF9" s="181">
        <f t="shared" si="24"/>
        <v>37.579045872649843</v>
      </c>
      <c r="BG9" s="181">
        <f t="shared" si="25"/>
        <v>50.105394496866452</v>
      </c>
      <c r="BH9" s="181">
        <f t="shared" si="26"/>
        <v>37.579045872649843</v>
      </c>
      <c r="BI9" s="181">
        <f t="shared" si="27"/>
        <v>150.31618349059937</v>
      </c>
      <c r="BJ9" s="181">
        <f t="shared" si="28"/>
        <v>50.105394496866452</v>
      </c>
      <c r="BK9" s="181">
        <f t="shared" si="29"/>
        <v>37.579045872649843</v>
      </c>
      <c r="BL9" s="181">
        <f t="shared" si="30"/>
        <v>62.631743121083076</v>
      </c>
      <c r="BM9" s="181">
        <f t="shared" si="31"/>
        <v>187.89522936324923</v>
      </c>
      <c r="BN9" s="181">
        <f t="shared" si="32"/>
        <v>250.5269724843323</v>
      </c>
      <c r="BO9" s="181">
        <f t="shared" si="33"/>
        <v>100.2107889937329</v>
      </c>
      <c r="BP9" s="181">
        <f t="shared" si="34"/>
        <v>225.47427523589909</v>
      </c>
      <c r="BQ9" s="181">
        <f t="shared" si="35"/>
        <v>2.5052697248433229</v>
      </c>
      <c r="BR9" s="181">
        <f t="shared" si="36"/>
        <v>25.052697248433226</v>
      </c>
      <c r="BS9" s="181">
        <f t="shared" si="37"/>
        <v>62.631743121083076</v>
      </c>
      <c r="BT9" s="181">
        <f t="shared" si="38"/>
        <v>25.052697248433226</v>
      </c>
      <c r="BU9" s="181">
        <f t="shared" si="39"/>
        <v>125.26348624216615</v>
      </c>
      <c r="BV9" s="181">
        <f t="shared" si="40"/>
        <v>125.26348624216615</v>
      </c>
      <c r="BW9" s="181">
        <f t="shared" si="41"/>
        <v>62.631743121083076</v>
      </c>
      <c r="BX9" s="181">
        <f t="shared" si="42"/>
        <v>125.26348624216615</v>
      </c>
      <c r="BY9" s="181"/>
      <c r="BZ9" s="181"/>
      <c r="CA9" s="181"/>
      <c r="CB9" s="181"/>
      <c r="CC9" s="181"/>
      <c r="CD9" s="181"/>
      <c r="CE9" s="181"/>
      <c r="CF9" s="181"/>
      <c r="CG9" s="181"/>
      <c r="CH9" s="181"/>
      <c r="CI9" s="181"/>
      <c r="CJ9" s="181"/>
    </row>
    <row r="10" spans="1:88" x14ac:dyDescent="0.25">
      <c r="A10">
        <v>6</v>
      </c>
      <c r="B10" s="83">
        <f t="shared" si="43"/>
        <v>5.5585906237786645E-3</v>
      </c>
      <c r="C10" s="80">
        <f t="shared" si="44"/>
        <v>8.1995042390200796E-3</v>
      </c>
      <c r="D10" s="80">
        <f t="shared" si="45"/>
        <v>7.1911836741192512E-3</v>
      </c>
      <c r="E10" s="80">
        <f t="shared" si="0"/>
        <v>9.805183571580162E-3</v>
      </c>
      <c r="F10" s="83">
        <f t="shared" si="46"/>
        <v>4.8977791510217599E-3</v>
      </c>
      <c r="G10" s="80">
        <f t="shared" si="47"/>
        <v>9.7955583020435198E-3</v>
      </c>
      <c r="H10" s="80">
        <f t="shared" si="48"/>
        <v>1.4706342860347077E-2</v>
      </c>
      <c r="I10" s="84">
        <f t="shared" si="49"/>
        <v>1.959111660408704E-2</v>
      </c>
      <c r="J10" s="83">
        <f t="shared" si="49"/>
        <v>2.6121488805449379E-2</v>
      </c>
      <c r="K10" s="84">
        <f t="shared" si="49"/>
        <v>3.9182233208174079E-2</v>
      </c>
      <c r="L10" s="147"/>
      <c r="N10">
        <v>6</v>
      </c>
      <c r="O10" s="83">
        <v>5.5585906237786645E-3</v>
      </c>
      <c r="P10" s="80">
        <v>8.1995042390200796E-3</v>
      </c>
      <c r="Q10" s="80">
        <v>7.1911836741192512E-3</v>
      </c>
      <c r="R10" s="84">
        <f t="shared" si="2"/>
        <v>9.805183571580162E-3</v>
      </c>
      <c r="S10" s="83">
        <v>4.8977791510217599E-3</v>
      </c>
      <c r="T10" s="80">
        <v>9.7955583020435198E-3</v>
      </c>
      <c r="U10" s="144">
        <f t="shared" si="50"/>
        <v>1.4706342860347077E-2</v>
      </c>
      <c r="V10" s="84">
        <v>1.959111660408704E-2</v>
      </c>
      <c r="W10" s="83">
        <v>2.6121488805449379E-2</v>
      </c>
      <c r="X10" s="144">
        <v>3.9182233208174079E-2</v>
      </c>
      <c r="Y10" s="147"/>
      <c r="AA10" t="s">
        <v>77</v>
      </c>
      <c r="AB10">
        <v>200</v>
      </c>
      <c r="AC10">
        <v>150</v>
      </c>
      <c r="AD10">
        <v>600</v>
      </c>
      <c r="AE10">
        <v>150</v>
      </c>
      <c r="AF10">
        <v>200</v>
      </c>
      <c r="AG10">
        <v>80</v>
      </c>
      <c r="AH10">
        <v>180</v>
      </c>
      <c r="AJ10">
        <v>7</v>
      </c>
      <c r="AK10" s="181">
        <f t="shared" si="4"/>
        <v>13.103562768820513</v>
      </c>
      <c r="AL10" s="181">
        <f t="shared" si="5"/>
        <v>19.655344153230772</v>
      </c>
      <c r="AM10" s="181">
        <f t="shared" si="6"/>
        <v>58.966032459692322</v>
      </c>
      <c r="AN10" s="181">
        <f t="shared" si="6"/>
        <v>26.207125537641026</v>
      </c>
      <c r="AO10" s="181">
        <f t="shared" si="7"/>
        <v>32.758906922051288</v>
      </c>
      <c r="AP10" s="181">
        <f t="shared" si="8"/>
        <v>65.517813844102577</v>
      </c>
      <c r="AQ10" s="181">
        <f t="shared" si="9"/>
        <v>32.758906922051288</v>
      </c>
      <c r="AR10" s="181">
        <f t="shared" si="10"/>
        <v>52.414251075282053</v>
      </c>
      <c r="AS10" s="181">
        <f t="shared" si="11"/>
        <v>52.414251075282053</v>
      </c>
      <c r="AT10" s="181">
        <f t="shared" si="12"/>
        <v>13.103562768820513</v>
      </c>
      <c r="AU10" s="181">
        <f t="shared" si="13"/>
        <v>6.5517813844102566</v>
      </c>
      <c r="AV10" s="181">
        <f t="shared" si="14"/>
        <v>13.103562768820513</v>
      </c>
      <c r="AW10" s="181">
        <f t="shared" si="15"/>
        <v>19.655344153230772</v>
      </c>
      <c r="AX10" s="181">
        <f t="shared" si="16"/>
        <v>65.517813844102577</v>
      </c>
      <c r="AY10" s="181">
        <f t="shared" si="17"/>
        <v>52.414251075282053</v>
      </c>
      <c r="AZ10" s="181">
        <f t="shared" si="18"/>
        <v>6.5517813844102566</v>
      </c>
      <c r="BA10" s="181">
        <f t="shared" si="19"/>
        <v>0</v>
      </c>
      <c r="BB10" s="181">
        <f t="shared" si="20"/>
        <v>2.6207125537641032</v>
      </c>
      <c r="BC10" s="181">
        <f t="shared" si="21"/>
        <v>1.3103562768820516</v>
      </c>
      <c r="BD10" s="181">
        <f t="shared" si="22"/>
        <v>2.6207125537641032</v>
      </c>
      <c r="BE10" s="181">
        <f t="shared" si="23"/>
        <v>170.3463159946667</v>
      </c>
      <c r="BF10" s="181">
        <f t="shared" si="24"/>
        <v>39.310688306461543</v>
      </c>
      <c r="BG10" s="181">
        <f t="shared" si="25"/>
        <v>52.414251075282053</v>
      </c>
      <c r="BH10" s="181">
        <f t="shared" si="26"/>
        <v>39.310688306461543</v>
      </c>
      <c r="BI10" s="181">
        <f t="shared" si="27"/>
        <v>157.24275322584617</v>
      </c>
      <c r="BJ10" s="181">
        <f t="shared" si="28"/>
        <v>52.414251075282053</v>
      </c>
      <c r="BK10" s="181">
        <f t="shared" si="29"/>
        <v>39.310688306461543</v>
      </c>
      <c r="BL10" s="181">
        <f t="shared" si="30"/>
        <v>65.517813844102577</v>
      </c>
      <c r="BM10" s="181">
        <f t="shared" si="31"/>
        <v>196.55344153230774</v>
      </c>
      <c r="BN10" s="181">
        <f t="shared" si="32"/>
        <v>262.07125537641031</v>
      </c>
      <c r="BO10" s="181">
        <f t="shared" si="33"/>
        <v>104.82850215056411</v>
      </c>
      <c r="BP10" s="181">
        <f t="shared" si="34"/>
        <v>235.86412983876929</v>
      </c>
      <c r="BQ10" s="181">
        <f t="shared" si="35"/>
        <v>2.6207125537641032</v>
      </c>
      <c r="BR10" s="181">
        <f t="shared" si="36"/>
        <v>26.207125537641026</v>
      </c>
      <c r="BS10" s="181">
        <f t="shared" si="37"/>
        <v>65.517813844102577</v>
      </c>
      <c r="BT10" s="181">
        <f t="shared" si="38"/>
        <v>26.207125537641026</v>
      </c>
      <c r="BU10" s="181">
        <f t="shared" si="39"/>
        <v>131.03562768820515</v>
      </c>
      <c r="BV10" s="181">
        <f t="shared" si="40"/>
        <v>131.03562768820515</v>
      </c>
      <c r="BW10" s="181">
        <f t="shared" si="41"/>
        <v>65.517813844102577</v>
      </c>
      <c r="BX10" s="181">
        <f t="shared" si="42"/>
        <v>131.03562768820515</v>
      </c>
      <c r="BY10" s="181"/>
      <c r="BZ10" s="181"/>
      <c r="CA10" s="181"/>
      <c r="CB10" s="181"/>
      <c r="CC10" s="181"/>
      <c r="CD10" s="181"/>
      <c r="CE10" s="181"/>
      <c r="CF10" s="181"/>
      <c r="CG10" s="181"/>
      <c r="CH10" s="181"/>
      <c r="CI10" s="181"/>
      <c r="CJ10" s="181"/>
    </row>
    <row r="11" spans="1:88" x14ac:dyDescent="0.25">
      <c r="A11">
        <v>7</v>
      </c>
      <c r="B11" s="83">
        <f t="shared" si="43"/>
        <v>5.2439534186591169E-3</v>
      </c>
      <c r="C11" s="80">
        <f t="shared" si="44"/>
        <v>7.7353813575661125E-3</v>
      </c>
      <c r="D11" s="80">
        <f t="shared" si="45"/>
        <v>6.784135541621935E-3</v>
      </c>
      <c r="E11" s="80">
        <f t="shared" si="0"/>
        <v>9.2501731807360012E-3</v>
      </c>
      <c r="F11" s="83">
        <f t="shared" si="46"/>
        <v>4.6205463688884525E-3</v>
      </c>
      <c r="G11" s="80">
        <f t="shared" si="47"/>
        <v>9.2410927377769049E-3</v>
      </c>
      <c r="H11" s="80">
        <f t="shared" si="48"/>
        <v>1.3873908358817997E-2</v>
      </c>
      <c r="I11" s="84">
        <f t="shared" si="49"/>
        <v>1.848218547555381E-2</v>
      </c>
      <c r="J11" s="83">
        <f t="shared" si="49"/>
        <v>2.4642913967405072E-2</v>
      </c>
      <c r="K11" s="84">
        <f t="shared" si="49"/>
        <v>3.696437095110762E-2</v>
      </c>
      <c r="L11" s="147"/>
      <c r="N11">
        <v>7</v>
      </c>
      <c r="O11" s="83">
        <v>5.2439534186591169E-3</v>
      </c>
      <c r="P11" s="80">
        <v>7.7353813575661125E-3</v>
      </c>
      <c r="Q11" s="80">
        <v>6.784135541621935E-3</v>
      </c>
      <c r="R11" s="84">
        <f t="shared" si="2"/>
        <v>9.2501731807360012E-3</v>
      </c>
      <c r="S11" s="83">
        <v>4.6205463688884525E-3</v>
      </c>
      <c r="T11" s="80">
        <v>9.2410927377769049E-3</v>
      </c>
      <c r="U11" s="144">
        <f t="shared" si="50"/>
        <v>1.3873908358817997E-2</v>
      </c>
      <c r="V11" s="84">
        <v>1.848218547555381E-2</v>
      </c>
      <c r="W11" s="83">
        <v>2.4642913967405072E-2</v>
      </c>
      <c r="X11" s="144">
        <v>3.696437095110762E-2</v>
      </c>
      <c r="Y11" s="147"/>
      <c r="AA11" t="s">
        <v>78</v>
      </c>
      <c r="AB11">
        <v>300</v>
      </c>
      <c r="AC11">
        <v>200</v>
      </c>
      <c r="AD11">
        <v>200</v>
      </c>
      <c r="AE11">
        <v>2</v>
      </c>
      <c r="AF11">
        <v>20</v>
      </c>
      <c r="AG11">
        <v>50</v>
      </c>
      <c r="AH11">
        <v>20</v>
      </c>
      <c r="AJ11">
        <v>8</v>
      </c>
      <c r="AK11" s="181">
        <f t="shared" si="4"/>
        <v>13.70737494120776</v>
      </c>
      <c r="AL11" s="181">
        <f t="shared" si="5"/>
        <v>20.561062411811644</v>
      </c>
      <c r="AM11" s="181">
        <f t="shared" si="6"/>
        <v>61.683187235434936</v>
      </c>
      <c r="AN11" s="181">
        <f t="shared" si="6"/>
        <v>27.414749882415521</v>
      </c>
      <c r="AO11" s="181">
        <f t="shared" si="7"/>
        <v>34.268437353019408</v>
      </c>
      <c r="AP11" s="181">
        <f t="shared" si="8"/>
        <v>68.536874706038816</v>
      </c>
      <c r="AQ11" s="181">
        <f t="shared" si="9"/>
        <v>34.268437353019408</v>
      </c>
      <c r="AR11" s="181">
        <f t="shared" si="10"/>
        <v>54.829499764831041</v>
      </c>
      <c r="AS11" s="181">
        <f t="shared" si="11"/>
        <v>54.829499764831041</v>
      </c>
      <c r="AT11" s="181">
        <f t="shared" si="12"/>
        <v>13.70737494120776</v>
      </c>
      <c r="AU11" s="181">
        <f t="shared" si="13"/>
        <v>6.8536874706038802</v>
      </c>
      <c r="AV11" s="181">
        <f t="shared" si="14"/>
        <v>13.70737494120776</v>
      </c>
      <c r="AW11" s="181">
        <f t="shared" si="15"/>
        <v>20.561062411811644</v>
      </c>
      <c r="AX11" s="181">
        <f t="shared" si="16"/>
        <v>68.536874706038816</v>
      </c>
      <c r="AY11" s="181">
        <f t="shared" si="17"/>
        <v>54.829499764831041</v>
      </c>
      <c r="AZ11" s="181">
        <f t="shared" si="18"/>
        <v>6.8536874706038802</v>
      </c>
      <c r="BA11" s="181">
        <f t="shared" si="19"/>
        <v>0</v>
      </c>
      <c r="BB11" s="181">
        <f t="shared" si="20"/>
        <v>2.7414749882415528</v>
      </c>
      <c r="BC11" s="181">
        <f t="shared" si="21"/>
        <v>1.3707374941207764</v>
      </c>
      <c r="BD11" s="181">
        <f t="shared" si="22"/>
        <v>2.7414749882415528</v>
      </c>
      <c r="BE11" s="181">
        <f t="shared" si="23"/>
        <v>178.19587423570093</v>
      </c>
      <c r="BF11" s="181">
        <f t="shared" si="24"/>
        <v>41.122124823623288</v>
      </c>
      <c r="BG11" s="181">
        <f t="shared" si="25"/>
        <v>54.829499764831041</v>
      </c>
      <c r="BH11" s="181">
        <f t="shared" si="26"/>
        <v>41.122124823623288</v>
      </c>
      <c r="BI11" s="181">
        <f t="shared" si="27"/>
        <v>164.48849929449315</v>
      </c>
      <c r="BJ11" s="181">
        <f t="shared" si="28"/>
        <v>54.829499764831041</v>
      </c>
      <c r="BK11" s="181">
        <f t="shared" si="29"/>
        <v>41.122124823623288</v>
      </c>
      <c r="BL11" s="181">
        <f t="shared" si="30"/>
        <v>68.536874706038816</v>
      </c>
      <c r="BM11" s="181">
        <f t="shared" si="31"/>
        <v>205.61062411811648</v>
      </c>
      <c r="BN11" s="181">
        <f t="shared" si="32"/>
        <v>274.14749882415526</v>
      </c>
      <c r="BO11" s="181">
        <f t="shared" si="33"/>
        <v>109.65899952966208</v>
      </c>
      <c r="BP11" s="181">
        <f t="shared" si="34"/>
        <v>246.73274894173974</v>
      </c>
      <c r="BQ11" s="181">
        <f t="shared" si="35"/>
        <v>2.7414749882415528</v>
      </c>
      <c r="BR11" s="181">
        <f t="shared" si="36"/>
        <v>27.414749882415521</v>
      </c>
      <c r="BS11" s="181">
        <f t="shared" si="37"/>
        <v>68.536874706038816</v>
      </c>
      <c r="BT11" s="181">
        <f t="shared" si="38"/>
        <v>27.414749882415521</v>
      </c>
      <c r="BU11" s="181">
        <f t="shared" si="39"/>
        <v>137.07374941207763</v>
      </c>
      <c r="BV11" s="181">
        <f t="shared" si="40"/>
        <v>137.07374941207763</v>
      </c>
      <c r="BW11" s="181">
        <f t="shared" si="41"/>
        <v>68.536874706038816</v>
      </c>
      <c r="BX11" s="181">
        <f t="shared" si="42"/>
        <v>137.07374941207763</v>
      </c>
      <c r="BY11" s="181"/>
      <c r="BZ11" s="181"/>
      <c r="CA11" s="181"/>
      <c r="CB11" s="181"/>
      <c r="CC11" s="181"/>
      <c r="CD11" s="181"/>
      <c r="CE11" s="181"/>
      <c r="CF11" s="181"/>
      <c r="CG11" s="181"/>
      <c r="CH11" s="181"/>
      <c r="CI11" s="181"/>
      <c r="CJ11" s="181"/>
    </row>
    <row r="12" spans="1:88" x14ac:dyDescent="0.25">
      <c r="A12">
        <v>8</v>
      </c>
      <c r="B12" s="83">
        <f t="shared" si="43"/>
        <v>4.9471258666595437E-3</v>
      </c>
      <c r="C12" s="80">
        <f t="shared" si="44"/>
        <v>7.2975295826095401E-3</v>
      </c>
      <c r="D12" s="80">
        <f t="shared" si="45"/>
        <v>6.4001278694546552E-3</v>
      </c>
      <c r="E12" s="80">
        <f t="shared" si="0"/>
        <v>8.7265784723924537E-3</v>
      </c>
      <c r="F12" s="83">
        <f t="shared" si="46"/>
        <v>4.3590060083853327E-3</v>
      </c>
      <c r="G12" s="80">
        <f t="shared" si="47"/>
        <v>8.7180120167706654E-3</v>
      </c>
      <c r="H12" s="80">
        <f t="shared" si="48"/>
        <v>1.3088592791337733E-2</v>
      </c>
      <c r="I12" s="84">
        <f t="shared" si="49"/>
        <v>1.7436024033541331E-2</v>
      </c>
      <c r="J12" s="83">
        <f t="shared" si="49"/>
        <v>2.3248032044721763E-2</v>
      </c>
      <c r="K12" s="84">
        <f t="shared" si="49"/>
        <v>3.4872048067082662E-2</v>
      </c>
      <c r="L12" s="147"/>
      <c r="N12">
        <v>8</v>
      </c>
      <c r="O12" s="83">
        <v>4.9471258666595437E-3</v>
      </c>
      <c r="P12" s="80">
        <v>7.2975295826095401E-3</v>
      </c>
      <c r="Q12" s="80">
        <v>6.4001278694546552E-3</v>
      </c>
      <c r="R12" s="84">
        <f t="shared" si="2"/>
        <v>8.7265784723924537E-3</v>
      </c>
      <c r="S12" s="83">
        <v>4.3590060083853327E-3</v>
      </c>
      <c r="T12" s="80">
        <v>8.7180120167706654E-3</v>
      </c>
      <c r="U12" s="144">
        <f t="shared" si="50"/>
        <v>1.3088592791337733E-2</v>
      </c>
      <c r="V12" s="84">
        <v>1.7436024033541331E-2</v>
      </c>
      <c r="W12" s="83">
        <v>2.3248032044721763E-2</v>
      </c>
      <c r="X12" s="144">
        <v>3.4872048067082662E-2</v>
      </c>
      <c r="Y12" s="147"/>
      <c r="AA12" t="s">
        <v>79</v>
      </c>
      <c r="AB12">
        <v>320</v>
      </c>
      <c r="AC12">
        <v>400</v>
      </c>
      <c r="AD12">
        <v>100</v>
      </c>
      <c r="AE12">
        <v>100</v>
      </c>
      <c r="AF12">
        <v>100</v>
      </c>
      <c r="AG12">
        <v>50</v>
      </c>
      <c r="AH12">
        <v>100</v>
      </c>
      <c r="AJ12">
        <v>9</v>
      </c>
      <c r="AK12" s="181">
        <f t="shared" si="4"/>
        <v>14.339010778498613</v>
      </c>
      <c r="AL12" s="181">
        <f t="shared" si="5"/>
        <v>21.508516167747924</v>
      </c>
      <c r="AM12" s="181">
        <f t="shared" si="6"/>
        <v>64.525548503243769</v>
      </c>
      <c r="AN12" s="181">
        <f t="shared" si="6"/>
        <v>28.678021556997226</v>
      </c>
      <c r="AO12" s="181">
        <f t="shared" si="7"/>
        <v>35.847526946246539</v>
      </c>
      <c r="AP12" s="181">
        <f t="shared" si="8"/>
        <v>71.695053892493078</v>
      </c>
      <c r="AQ12" s="181">
        <f t="shared" si="9"/>
        <v>35.847526946246539</v>
      </c>
      <c r="AR12" s="181">
        <f t="shared" si="10"/>
        <v>57.356043113994453</v>
      </c>
      <c r="AS12" s="181">
        <f t="shared" si="11"/>
        <v>57.356043113994453</v>
      </c>
      <c r="AT12" s="181">
        <f t="shared" si="12"/>
        <v>14.339010778498613</v>
      </c>
      <c r="AU12" s="181">
        <f t="shared" si="13"/>
        <v>7.1695053892493066</v>
      </c>
      <c r="AV12" s="181">
        <f t="shared" si="14"/>
        <v>14.339010778498613</v>
      </c>
      <c r="AW12" s="181">
        <f t="shared" si="15"/>
        <v>21.508516167747924</v>
      </c>
      <c r="AX12" s="181">
        <f t="shared" si="16"/>
        <v>71.695053892493078</v>
      </c>
      <c r="AY12" s="181">
        <f t="shared" si="17"/>
        <v>57.356043113994453</v>
      </c>
      <c r="AZ12" s="181">
        <f t="shared" si="18"/>
        <v>7.1695053892493066</v>
      </c>
      <c r="BA12" s="181">
        <f t="shared" si="19"/>
        <v>0</v>
      </c>
      <c r="BB12" s="181">
        <f t="shared" si="20"/>
        <v>2.8678021556997231</v>
      </c>
      <c r="BC12" s="181">
        <f t="shared" si="21"/>
        <v>1.4339010778498615</v>
      </c>
      <c r="BD12" s="181">
        <f t="shared" si="22"/>
        <v>2.8678021556997231</v>
      </c>
      <c r="BE12" s="181">
        <f t="shared" si="23"/>
        <v>186.40714012048201</v>
      </c>
      <c r="BF12" s="181">
        <f t="shared" si="24"/>
        <v>43.017032335495848</v>
      </c>
      <c r="BG12" s="181">
        <f t="shared" si="25"/>
        <v>57.356043113994453</v>
      </c>
      <c r="BH12" s="181">
        <f t="shared" si="26"/>
        <v>43.017032335495848</v>
      </c>
      <c r="BI12" s="181">
        <f t="shared" si="27"/>
        <v>172.06812934198339</v>
      </c>
      <c r="BJ12" s="181">
        <f t="shared" si="28"/>
        <v>57.356043113994453</v>
      </c>
      <c r="BK12" s="181">
        <f t="shared" si="29"/>
        <v>43.017032335495848</v>
      </c>
      <c r="BL12" s="181">
        <f t="shared" si="30"/>
        <v>71.695053892493078</v>
      </c>
      <c r="BM12" s="181">
        <f t="shared" si="31"/>
        <v>215.08516167747925</v>
      </c>
      <c r="BN12" s="181">
        <f t="shared" si="32"/>
        <v>286.78021556997231</v>
      </c>
      <c r="BO12" s="181">
        <f t="shared" si="33"/>
        <v>114.71208622798891</v>
      </c>
      <c r="BP12" s="181">
        <f t="shared" si="34"/>
        <v>258.10219401297508</v>
      </c>
      <c r="BQ12" s="181">
        <f t="shared" si="35"/>
        <v>2.8678021556997231</v>
      </c>
      <c r="BR12" s="181">
        <f t="shared" si="36"/>
        <v>28.678021556997226</v>
      </c>
      <c r="BS12" s="181">
        <f t="shared" si="37"/>
        <v>71.695053892493078</v>
      </c>
      <c r="BT12" s="181">
        <f t="shared" si="38"/>
        <v>28.678021556997226</v>
      </c>
      <c r="BU12" s="181">
        <f t="shared" si="39"/>
        <v>143.39010778498616</v>
      </c>
      <c r="BV12" s="181">
        <f t="shared" si="40"/>
        <v>143.39010778498616</v>
      </c>
      <c r="BW12" s="181">
        <f t="shared" si="41"/>
        <v>71.695053892493078</v>
      </c>
      <c r="BX12" s="181">
        <f t="shared" si="42"/>
        <v>143.39010778498616</v>
      </c>
      <c r="BY12" s="181"/>
      <c r="BZ12" s="181"/>
      <c r="CA12" s="181"/>
      <c r="CB12" s="181"/>
      <c r="CC12" s="181"/>
      <c r="CD12" s="181"/>
      <c r="CE12" s="181"/>
      <c r="CF12" s="181"/>
      <c r="CG12" s="181"/>
      <c r="CH12" s="181"/>
      <c r="CI12" s="181"/>
      <c r="CJ12" s="181"/>
    </row>
    <row r="13" spans="1:88" x14ac:dyDescent="0.25">
      <c r="A13">
        <v>9</v>
      </c>
      <c r="B13" s="83">
        <f t="shared" si="43"/>
        <v>4.6670998742071165E-3</v>
      </c>
      <c r="C13" s="80">
        <f t="shared" si="44"/>
        <v>6.8844618703863582E-3</v>
      </c>
      <c r="D13" s="80">
        <f t="shared" si="45"/>
        <v>6.037856480617599E-3</v>
      </c>
      <c r="E13" s="80">
        <f t="shared" si="0"/>
        <v>8.2326212003702385E-3</v>
      </c>
      <c r="F13" s="83">
        <f t="shared" si="46"/>
        <v>4.1122698192314457E-3</v>
      </c>
      <c r="G13" s="80">
        <f t="shared" si="47"/>
        <v>8.2245396384628914E-3</v>
      </c>
      <c r="H13" s="80">
        <f t="shared" si="48"/>
        <v>1.2347729048431823E-2</v>
      </c>
      <c r="I13" s="84">
        <f t="shared" si="49"/>
        <v>1.6449079276925783E-2</v>
      </c>
      <c r="J13" s="83">
        <f t="shared" si="49"/>
        <v>2.1932105702567699E-2</v>
      </c>
      <c r="K13" s="84">
        <f t="shared" si="49"/>
        <v>3.2898158553851566E-2</v>
      </c>
      <c r="L13" s="147"/>
      <c r="N13">
        <v>9</v>
      </c>
      <c r="O13" s="83">
        <v>4.6670998742071165E-3</v>
      </c>
      <c r="P13" s="80">
        <v>6.8844618703863582E-3</v>
      </c>
      <c r="Q13" s="80">
        <v>6.037856480617599E-3</v>
      </c>
      <c r="R13" s="84">
        <f t="shared" si="2"/>
        <v>8.2326212003702385E-3</v>
      </c>
      <c r="S13" s="83">
        <v>4.1122698192314457E-3</v>
      </c>
      <c r="T13" s="80">
        <v>8.2245396384628914E-3</v>
      </c>
      <c r="U13" s="144">
        <f t="shared" si="50"/>
        <v>1.2347729048431823E-2</v>
      </c>
      <c r="V13" s="84">
        <v>1.6449079276925783E-2</v>
      </c>
      <c r="W13" s="83">
        <v>2.1932105702567699E-2</v>
      </c>
      <c r="X13" s="144">
        <v>3.2898158553851566E-2</v>
      </c>
      <c r="Y13" s="147"/>
      <c r="AA13" t="s">
        <v>192</v>
      </c>
      <c r="AB13">
        <v>20</v>
      </c>
      <c r="AC13">
        <v>20</v>
      </c>
      <c r="AD13">
        <v>40</v>
      </c>
      <c r="AE13">
        <v>150</v>
      </c>
      <c r="AF13">
        <v>250</v>
      </c>
      <c r="AG13">
        <v>400</v>
      </c>
      <c r="AH13">
        <v>150</v>
      </c>
      <c r="AJ13">
        <v>10</v>
      </c>
      <c r="AK13" s="181">
        <f t="shared" si="4"/>
        <v>14.999752395171829</v>
      </c>
      <c r="AL13" s="181">
        <f t="shared" si="5"/>
        <v>22.499628592757745</v>
      </c>
      <c r="AM13" s="181">
        <f t="shared" si="6"/>
        <v>67.498885778273234</v>
      </c>
      <c r="AN13" s="181">
        <f t="shared" si="6"/>
        <v>29.999504790343657</v>
      </c>
      <c r="AO13" s="181">
        <f t="shared" si="7"/>
        <v>37.499380987929577</v>
      </c>
      <c r="AP13" s="181">
        <f t="shared" si="8"/>
        <v>74.998761975859153</v>
      </c>
      <c r="AQ13" s="181">
        <f t="shared" si="9"/>
        <v>37.499380987929577</v>
      </c>
      <c r="AR13" s="181">
        <f t="shared" si="10"/>
        <v>59.999009580687314</v>
      </c>
      <c r="AS13" s="181">
        <f t="shared" si="11"/>
        <v>59.999009580687314</v>
      </c>
      <c r="AT13" s="181">
        <f t="shared" si="12"/>
        <v>14.999752395171829</v>
      </c>
      <c r="AU13" s="181">
        <f t="shared" si="13"/>
        <v>7.4998761975859143</v>
      </c>
      <c r="AV13" s="181">
        <f t="shared" si="14"/>
        <v>14.999752395171829</v>
      </c>
      <c r="AW13" s="181">
        <f t="shared" si="15"/>
        <v>22.499628592757745</v>
      </c>
      <c r="AX13" s="181">
        <f t="shared" si="16"/>
        <v>74.998761975859153</v>
      </c>
      <c r="AY13" s="181">
        <f t="shared" si="17"/>
        <v>59.999009580687314</v>
      </c>
      <c r="AZ13" s="181">
        <f t="shared" si="18"/>
        <v>7.4998761975859143</v>
      </c>
      <c r="BA13" s="181">
        <f t="shared" si="19"/>
        <v>0</v>
      </c>
      <c r="BB13" s="181">
        <f t="shared" si="20"/>
        <v>2.9999504790343661</v>
      </c>
      <c r="BC13" s="181">
        <f t="shared" si="21"/>
        <v>1.499975239517183</v>
      </c>
      <c r="BD13" s="181">
        <f t="shared" si="22"/>
        <v>2.9999504790343661</v>
      </c>
      <c r="BE13" s="181">
        <f t="shared" si="23"/>
        <v>194.9967811372338</v>
      </c>
      <c r="BF13" s="181">
        <f t="shared" si="24"/>
        <v>44.999257185515489</v>
      </c>
      <c r="BG13" s="181">
        <f t="shared" si="25"/>
        <v>59.999009580687314</v>
      </c>
      <c r="BH13" s="181">
        <f t="shared" si="26"/>
        <v>44.999257185515489</v>
      </c>
      <c r="BI13" s="181">
        <f t="shared" si="27"/>
        <v>179.99702874206196</v>
      </c>
      <c r="BJ13" s="181">
        <f t="shared" si="28"/>
        <v>59.999009580687314</v>
      </c>
      <c r="BK13" s="181">
        <f t="shared" si="29"/>
        <v>44.999257185515489</v>
      </c>
      <c r="BL13" s="181">
        <f t="shared" si="30"/>
        <v>74.998761975859153</v>
      </c>
      <c r="BM13" s="181">
        <f t="shared" si="31"/>
        <v>224.99628592757747</v>
      </c>
      <c r="BN13" s="181">
        <f t="shared" si="32"/>
        <v>299.99504790343661</v>
      </c>
      <c r="BO13" s="181">
        <f t="shared" si="33"/>
        <v>119.99801916137463</v>
      </c>
      <c r="BP13" s="181">
        <f t="shared" si="34"/>
        <v>269.99554311309294</v>
      </c>
      <c r="BQ13" s="181">
        <f t="shared" si="35"/>
        <v>2.9999504790343661</v>
      </c>
      <c r="BR13" s="181">
        <f t="shared" si="36"/>
        <v>29.999504790343657</v>
      </c>
      <c r="BS13" s="181">
        <f t="shared" si="37"/>
        <v>74.998761975859153</v>
      </c>
      <c r="BT13" s="181">
        <f t="shared" si="38"/>
        <v>29.999504790343657</v>
      </c>
      <c r="BU13" s="181">
        <f t="shared" si="39"/>
        <v>149.99752395171831</v>
      </c>
      <c r="BV13" s="181">
        <f t="shared" si="40"/>
        <v>149.99752395171831</v>
      </c>
      <c r="BW13" s="181">
        <f t="shared" si="41"/>
        <v>74.998761975859153</v>
      </c>
      <c r="BX13" s="181">
        <f t="shared" si="42"/>
        <v>149.99752395171831</v>
      </c>
      <c r="BY13" s="181"/>
      <c r="BZ13" s="181"/>
      <c r="CA13" s="181"/>
      <c r="CB13" s="181"/>
      <c r="CC13" s="181"/>
      <c r="CD13" s="181"/>
      <c r="CE13" s="181"/>
      <c r="CF13" s="181"/>
      <c r="CG13" s="181"/>
      <c r="CH13" s="181"/>
      <c r="CI13" s="181"/>
      <c r="CJ13" s="181"/>
    </row>
    <row r="14" spans="1:88" x14ac:dyDescent="0.25">
      <c r="A14">
        <v>10</v>
      </c>
      <c r="B14" s="83">
        <f t="shared" si="43"/>
        <v>4.4029244096293546E-3</v>
      </c>
      <c r="C14" s="80">
        <f t="shared" si="44"/>
        <v>6.4947753494210923E-3</v>
      </c>
      <c r="D14" s="80">
        <f t="shared" si="45"/>
        <v>5.6960910194505648E-3</v>
      </c>
      <c r="E14" s="80">
        <f t="shared" si="0"/>
        <v>7.7666237739341861E-3</v>
      </c>
      <c r="F14" s="83">
        <f t="shared" si="46"/>
        <v>3.8794998294636278E-3</v>
      </c>
      <c r="G14" s="80">
        <f t="shared" si="47"/>
        <v>7.7589996589272556E-3</v>
      </c>
      <c r="H14" s="80">
        <f t="shared" si="48"/>
        <v>1.1648800989086624E-2</v>
      </c>
      <c r="I14" s="84">
        <f t="shared" si="49"/>
        <v>1.5517999317854511E-2</v>
      </c>
      <c r="J14" s="83">
        <f t="shared" si="49"/>
        <v>2.0690665757139338E-2</v>
      </c>
      <c r="K14" s="84">
        <f t="shared" si="49"/>
        <v>3.1035998635709022E-2</v>
      </c>
      <c r="L14" s="147"/>
      <c r="N14">
        <v>10</v>
      </c>
      <c r="O14" s="83">
        <v>4.4029244096293546E-3</v>
      </c>
      <c r="P14" s="80">
        <v>6.4947753494210923E-3</v>
      </c>
      <c r="Q14" s="80">
        <v>5.6960910194505648E-3</v>
      </c>
      <c r="R14" s="84">
        <f t="shared" si="2"/>
        <v>7.7666237739341861E-3</v>
      </c>
      <c r="S14" s="83">
        <v>3.8794998294636278E-3</v>
      </c>
      <c r="T14" s="80">
        <v>7.7589996589272556E-3</v>
      </c>
      <c r="U14" s="144">
        <f t="shared" si="50"/>
        <v>1.1648800989086624E-2</v>
      </c>
      <c r="V14" s="84">
        <v>1.5517999317854511E-2</v>
      </c>
      <c r="W14" s="83">
        <v>2.0690665757139338E-2</v>
      </c>
      <c r="X14" s="144">
        <v>3.1035998635709022E-2</v>
      </c>
      <c r="Y14" s="147"/>
      <c r="AA14" t="s">
        <v>193</v>
      </c>
      <c r="AB14">
        <v>40000</v>
      </c>
      <c r="AC14">
        <v>50000</v>
      </c>
      <c r="AD14">
        <v>50000</v>
      </c>
      <c r="AE14">
        <v>30</v>
      </c>
      <c r="AF14">
        <v>100</v>
      </c>
      <c r="AG14">
        <v>50</v>
      </c>
      <c r="AH14">
        <v>100</v>
      </c>
    </row>
    <row r="15" spans="1:88" x14ac:dyDescent="0.25">
      <c r="A15">
        <v>11</v>
      </c>
      <c r="B15" s="83">
        <f t="shared" si="43"/>
        <v>4.1537022732352404E-3</v>
      </c>
      <c r="C15" s="80">
        <f t="shared" si="44"/>
        <v>6.1271465560576339E-3</v>
      </c>
      <c r="D15" s="80">
        <f t="shared" si="45"/>
        <v>5.3736707730665705E-3</v>
      </c>
      <c r="E15" s="80">
        <f t="shared" si="0"/>
        <v>7.3270035603152693E-3</v>
      </c>
      <c r="F15" s="83">
        <f t="shared" si="46"/>
        <v>3.6599054994939885E-3</v>
      </c>
      <c r="G15" s="80">
        <f t="shared" si="47"/>
        <v>7.3198109989879769E-3</v>
      </c>
      <c r="H15" s="80">
        <f t="shared" si="48"/>
        <v>1.098943489536474E-2</v>
      </c>
      <c r="I15" s="84">
        <f t="shared" si="49"/>
        <v>1.4639621997975954E-2</v>
      </c>
      <c r="J15" s="83">
        <f t="shared" si="49"/>
        <v>1.951949599730126E-2</v>
      </c>
      <c r="K15" s="84">
        <f t="shared" si="49"/>
        <v>2.9279243995951908E-2</v>
      </c>
      <c r="L15" s="147"/>
      <c r="N15">
        <v>11</v>
      </c>
      <c r="O15" s="83">
        <v>4.1537022732352404E-3</v>
      </c>
      <c r="P15" s="80">
        <v>6.1271465560576339E-3</v>
      </c>
      <c r="Q15" s="80">
        <v>5.3736707730665705E-3</v>
      </c>
      <c r="R15" s="84">
        <f t="shared" si="2"/>
        <v>7.3270035603152693E-3</v>
      </c>
      <c r="S15" s="83">
        <f t="shared" ref="S15:V23" si="51">S14/1.06</f>
        <v>3.6599054994939885E-3</v>
      </c>
      <c r="T15" s="80">
        <f t="shared" si="51"/>
        <v>7.3198109989879769E-3</v>
      </c>
      <c r="U15" s="144">
        <f t="shared" si="50"/>
        <v>1.098943489536474E-2</v>
      </c>
      <c r="V15" s="84">
        <f t="shared" si="51"/>
        <v>1.4639621997975954E-2</v>
      </c>
      <c r="W15" s="83">
        <v>1.951949599730126E-2</v>
      </c>
      <c r="X15" s="144">
        <v>2.9279243995951908E-2</v>
      </c>
      <c r="Y15" s="147"/>
      <c r="AA15" t="s">
        <v>194</v>
      </c>
      <c r="AB15">
        <v>0</v>
      </c>
      <c r="AC15">
        <v>0</v>
      </c>
      <c r="AD15">
        <v>0</v>
      </c>
      <c r="AE15">
        <v>0</v>
      </c>
      <c r="AF15">
        <v>15</v>
      </c>
      <c r="AG15">
        <v>45</v>
      </c>
      <c r="AH15">
        <v>25</v>
      </c>
      <c r="AI15" s="154"/>
      <c r="AJ15" s="154"/>
    </row>
    <row r="16" spans="1:88" x14ac:dyDescent="0.25">
      <c r="A16">
        <v>12</v>
      </c>
      <c r="B16" s="83">
        <f t="shared" si="43"/>
        <v>3.918587050221925E-3</v>
      </c>
      <c r="C16" s="80">
        <f t="shared" si="44"/>
        <v>5.780326939677013E-3</v>
      </c>
      <c r="D16" s="80">
        <f t="shared" si="45"/>
        <v>5.0695007293080855E-3</v>
      </c>
      <c r="E16" s="80">
        <f t="shared" si="0"/>
        <v>6.9122675097313862E-3</v>
      </c>
      <c r="F16" s="83">
        <f t="shared" si="46"/>
        <v>3.4527410372584793E-3</v>
      </c>
      <c r="G16" s="80">
        <f t="shared" si="47"/>
        <v>6.9054820745169587E-3</v>
      </c>
      <c r="H16" s="80">
        <f t="shared" si="48"/>
        <v>1.0367391410721452E-2</v>
      </c>
      <c r="I16" s="84">
        <f t="shared" si="49"/>
        <v>1.3810964149033917E-2</v>
      </c>
      <c r="J16" s="83">
        <f t="shared" si="49"/>
        <v>1.8414618865378547E-2</v>
      </c>
      <c r="K16" s="84">
        <f t="shared" si="49"/>
        <v>2.7621928298067835E-2</v>
      </c>
      <c r="L16" s="147"/>
      <c r="N16">
        <v>12</v>
      </c>
      <c r="O16" s="83">
        <v>3.918587050221925E-3</v>
      </c>
      <c r="P16" s="80">
        <v>5.780326939677013E-3</v>
      </c>
      <c r="Q16" s="80">
        <v>5.0695007293080855E-3</v>
      </c>
      <c r="R16" s="84">
        <f t="shared" si="2"/>
        <v>6.9122675097313862E-3</v>
      </c>
      <c r="S16" s="83">
        <f t="shared" si="51"/>
        <v>3.4527410372584793E-3</v>
      </c>
      <c r="T16" s="80">
        <f t="shared" si="51"/>
        <v>6.9054820745169587E-3</v>
      </c>
      <c r="U16" s="144">
        <f t="shared" si="50"/>
        <v>1.0367391410721452E-2</v>
      </c>
      <c r="V16" s="84">
        <f t="shared" si="51"/>
        <v>1.3810964149033917E-2</v>
      </c>
      <c r="W16" s="83">
        <v>1.8414618865378547E-2</v>
      </c>
      <c r="X16" s="144">
        <v>2.7621928298067835E-2</v>
      </c>
      <c r="Y16" s="147"/>
      <c r="Z16" s="142"/>
      <c r="AA16" s="2"/>
      <c r="AC16" s="2"/>
    </row>
    <row r="17" spans="1:31" x14ac:dyDescent="0.25">
      <c r="A17">
        <v>13</v>
      </c>
      <c r="B17" s="83">
        <f t="shared" si="43"/>
        <v>3.6967802360584195E-3</v>
      </c>
      <c r="C17" s="80">
        <f t="shared" si="44"/>
        <v>5.4531386223368042E-3</v>
      </c>
      <c r="D17" s="80">
        <f t="shared" si="45"/>
        <v>4.7825478578378162E-3</v>
      </c>
      <c r="E17" s="80">
        <f t="shared" si="0"/>
        <v>6.521007084652251E-3</v>
      </c>
      <c r="F17" s="83">
        <f t="shared" si="46"/>
        <v>3.2573028653381879E-3</v>
      </c>
      <c r="G17" s="80">
        <f t="shared" si="47"/>
        <v>6.5146057306763759E-3</v>
      </c>
      <c r="H17" s="80">
        <f t="shared" si="48"/>
        <v>9.7805579346428792E-3</v>
      </c>
      <c r="I17" s="84">
        <f t="shared" si="49"/>
        <v>1.3029211461352752E-2</v>
      </c>
      <c r="J17" s="83">
        <f t="shared" si="49"/>
        <v>1.7372281948470326E-2</v>
      </c>
      <c r="K17" s="84">
        <f t="shared" si="49"/>
        <v>2.6058422922705504E-2</v>
      </c>
      <c r="L17" s="147"/>
      <c r="N17">
        <v>13</v>
      </c>
      <c r="O17" s="83">
        <v>3.6967802360584195E-3</v>
      </c>
      <c r="P17" s="80">
        <v>5.4531386223368042E-3</v>
      </c>
      <c r="Q17" s="80">
        <v>4.7825478578378162E-3</v>
      </c>
      <c r="R17" s="84">
        <f t="shared" si="2"/>
        <v>6.521007084652251E-3</v>
      </c>
      <c r="S17" s="83">
        <f t="shared" si="51"/>
        <v>3.2573028653381879E-3</v>
      </c>
      <c r="T17" s="80">
        <f t="shared" si="51"/>
        <v>6.5146057306763759E-3</v>
      </c>
      <c r="U17" s="144">
        <f t="shared" si="50"/>
        <v>9.7805579346428792E-3</v>
      </c>
      <c r="V17" s="84">
        <f t="shared" si="51"/>
        <v>1.3029211461352752E-2</v>
      </c>
      <c r="W17" s="83">
        <v>1.7372281948470326E-2</v>
      </c>
      <c r="X17" s="144">
        <v>2.6058422922705504E-2</v>
      </c>
      <c r="Y17" s="147"/>
      <c r="Z17" s="142"/>
      <c r="AA17" s="2"/>
      <c r="AC17" s="2"/>
    </row>
    <row r="18" spans="1:31" x14ac:dyDescent="0.25">
      <c r="A18">
        <v>14</v>
      </c>
      <c r="B18" s="83">
        <f t="shared" si="43"/>
        <v>3.4875285245834146E-3</v>
      </c>
      <c r="C18" s="80">
        <f t="shared" si="44"/>
        <v>5.144470398430947E-3</v>
      </c>
      <c r="D18" s="80">
        <f t="shared" si="45"/>
        <v>4.511837601733789E-3</v>
      </c>
      <c r="E18" s="80">
        <f t="shared" si="0"/>
        <v>6.1518934760870286E-3</v>
      </c>
      <c r="F18" s="83">
        <f t="shared" si="46"/>
        <v>3.0729272314511205E-3</v>
      </c>
      <c r="G18" s="80">
        <f t="shared" si="47"/>
        <v>6.1458544629022409E-3</v>
      </c>
      <c r="H18" s="80">
        <f t="shared" si="48"/>
        <v>9.2269414477763011E-3</v>
      </c>
      <c r="I18" s="84">
        <f t="shared" si="49"/>
        <v>1.2291708925804482E-2</v>
      </c>
      <c r="J18" s="83">
        <f t="shared" si="49"/>
        <v>1.6388945234405969E-2</v>
      </c>
      <c r="K18" s="84">
        <f t="shared" si="49"/>
        <v>2.4583417851608964E-2</v>
      </c>
      <c r="L18" s="147"/>
      <c r="N18">
        <v>14</v>
      </c>
      <c r="O18" s="83">
        <v>3.4875285245834146E-3</v>
      </c>
      <c r="P18" s="80">
        <v>5.144470398430947E-3</v>
      </c>
      <c r="Q18" s="80">
        <v>4.511837601733789E-3</v>
      </c>
      <c r="R18" s="84">
        <f t="shared" si="2"/>
        <v>6.1518934760870286E-3</v>
      </c>
      <c r="S18" s="83">
        <f t="shared" si="51"/>
        <v>3.0729272314511205E-3</v>
      </c>
      <c r="T18" s="80">
        <f t="shared" si="51"/>
        <v>6.1458544629022409E-3</v>
      </c>
      <c r="U18" s="144">
        <f t="shared" si="50"/>
        <v>9.2269414477763011E-3</v>
      </c>
      <c r="V18" s="84">
        <f t="shared" si="51"/>
        <v>1.2291708925804482E-2</v>
      </c>
      <c r="W18" s="83">
        <v>1.6388945234405969E-2</v>
      </c>
      <c r="X18" s="144">
        <v>2.4583417851608964E-2</v>
      </c>
      <c r="Y18" s="147"/>
      <c r="Z18" s="142"/>
      <c r="AA18" s="2"/>
      <c r="AE18" t="s">
        <v>218</v>
      </c>
    </row>
    <row r="19" spans="1:31" x14ac:dyDescent="0.25">
      <c r="A19">
        <v>15</v>
      </c>
      <c r="B19" s="83">
        <f t="shared" si="43"/>
        <v>3.2901212496069948E-3</v>
      </c>
      <c r="C19" s="80">
        <f t="shared" si="44"/>
        <v>4.8532739607839125E-3</v>
      </c>
      <c r="D19" s="80">
        <f t="shared" si="45"/>
        <v>4.2564505676733859E-3</v>
      </c>
      <c r="E19" s="80">
        <f t="shared" si="0"/>
        <v>5.8036730906481397E-3</v>
      </c>
      <c r="F19" s="83">
        <f t="shared" si="46"/>
        <v>2.8989879541991702E-3</v>
      </c>
      <c r="G19" s="80">
        <f t="shared" si="47"/>
        <v>5.7979759083983404E-3</v>
      </c>
      <c r="H19" s="80">
        <f t="shared" si="48"/>
        <v>8.7046617431851894E-3</v>
      </c>
      <c r="I19" s="84">
        <f t="shared" si="49"/>
        <v>1.1595951816796681E-2</v>
      </c>
      <c r="J19" s="83">
        <f t="shared" si="49"/>
        <v>1.5461269089062235E-2</v>
      </c>
      <c r="K19" s="84">
        <f t="shared" si="49"/>
        <v>2.3191903633593362E-2</v>
      </c>
      <c r="L19" s="147"/>
      <c r="N19">
        <v>15</v>
      </c>
      <c r="O19" s="83">
        <v>3.2901212496069948E-3</v>
      </c>
      <c r="P19" s="80">
        <v>4.8532739607839125E-3</v>
      </c>
      <c r="Q19" s="80">
        <v>4.2564505676733859E-3</v>
      </c>
      <c r="R19" s="84">
        <f t="shared" si="2"/>
        <v>5.8036730906481397E-3</v>
      </c>
      <c r="S19" s="83">
        <f t="shared" si="51"/>
        <v>2.8989879541991702E-3</v>
      </c>
      <c r="T19" s="80">
        <f t="shared" si="51"/>
        <v>5.7979759083983404E-3</v>
      </c>
      <c r="U19" s="144">
        <f t="shared" si="50"/>
        <v>8.7046617431851894E-3</v>
      </c>
      <c r="V19" s="84">
        <f t="shared" si="51"/>
        <v>1.1595951816796681E-2</v>
      </c>
      <c r="W19" s="83">
        <v>1.5461269089062235E-2</v>
      </c>
      <c r="X19" s="144">
        <v>2.3191903633593362E-2</v>
      </c>
      <c r="Y19" s="147"/>
      <c r="AE19">
        <v>1.0460799999999999</v>
      </c>
    </row>
    <row r="20" spans="1:31" x14ac:dyDescent="0.25">
      <c r="A20">
        <v>16</v>
      </c>
      <c r="B20" s="83">
        <f t="shared" si="43"/>
        <v>3.1038879713273532E-3</v>
      </c>
      <c r="C20" s="80">
        <f t="shared" si="44"/>
        <v>4.5785603403621818E-3</v>
      </c>
      <c r="D20" s="80">
        <f t="shared" si="45"/>
        <v>4.0155194034654585E-3</v>
      </c>
      <c r="E20" s="80">
        <f t="shared" si="0"/>
        <v>5.4751632930642828E-3</v>
      </c>
      <c r="F20" s="83">
        <f t="shared" si="46"/>
        <v>2.7348942964143114E-3</v>
      </c>
      <c r="G20" s="80">
        <f t="shared" si="47"/>
        <v>5.4697885928286227E-3</v>
      </c>
      <c r="H20" s="80">
        <f t="shared" si="48"/>
        <v>8.2119450407407441E-3</v>
      </c>
      <c r="I20" s="84">
        <f t="shared" si="49"/>
        <v>1.0939577185657245E-2</v>
      </c>
      <c r="J20" s="81"/>
      <c r="K20" s="82"/>
      <c r="L20" s="147"/>
      <c r="N20">
        <v>16</v>
      </c>
      <c r="O20" s="83">
        <v>3.1038879713273532E-3</v>
      </c>
      <c r="P20" s="80">
        <v>4.5785603403621818E-3</v>
      </c>
      <c r="Q20" s="80">
        <v>4.0155194034654585E-3</v>
      </c>
      <c r="R20" s="84">
        <f t="shared" si="2"/>
        <v>5.4751632930642828E-3</v>
      </c>
      <c r="S20" s="83">
        <f t="shared" si="51"/>
        <v>2.7348942964143114E-3</v>
      </c>
      <c r="T20" s="80">
        <f t="shared" si="51"/>
        <v>5.4697885928286227E-3</v>
      </c>
      <c r="U20" s="144">
        <f t="shared" si="50"/>
        <v>8.2119450407407441E-3</v>
      </c>
      <c r="V20" s="84">
        <f t="shared" si="51"/>
        <v>1.0939577185657245E-2</v>
      </c>
      <c r="W20" s="81"/>
      <c r="X20" s="143"/>
      <c r="Y20" s="147"/>
    </row>
    <row r="21" spans="1:31" x14ac:dyDescent="0.25">
      <c r="A21">
        <v>17</v>
      </c>
      <c r="B21" s="83">
        <f t="shared" si="43"/>
        <v>2.9281961993654275E-3</v>
      </c>
      <c r="C21" s="80">
        <f t="shared" ref="C21:C29" si="52">P21/$B$1</f>
        <v>4.3193965475114924E-3</v>
      </c>
      <c r="D21" s="80">
        <f t="shared" ref="D21:D29" si="53">Q21/$B$1</f>
        <v>3.788225852325904E-3</v>
      </c>
      <c r="E21" s="80">
        <f t="shared" si="0"/>
        <v>5.1652483896832855E-3</v>
      </c>
      <c r="F21" s="83">
        <f>S21/$B$1</f>
        <v>2.5800889588814256E-3</v>
      </c>
      <c r="G21" s="80">
        <f t="shared" ref="G21:H24" si="54">T21/$B$1</f>
        <v>5.1601779177628511E-3</v>
      </c>
      <c r="H21" s="80">
        <f t="shared" si="54"/>
        <v>7.747117962962965E-3</v>
      </c>
      <c r="I21" s="84">
        <f>V21/$B$1</f>
        <v>1.0320355835525702E-2</v>
      </c>
      <c r="J21" s="81"/>
      <c r="K21" s="82"/>
      <c r="L21" s="147"/>
      <c r="N21">
        <v>17</v>
      </c>
      <c r="O21" s="83">
        <v>2.9281961993654275E-3</v>
      </c>
      <c r="P21" s="80">
        <v>4.3193965475114924E-3</v>
      </c>
      <c r="Q21" s="80">
        <v>3.788225852325904E-3</v>
      </c>
      <c r="R21" s="84">
        <f t="shared" si="2"/>
        <v>5.1652483896832855E-3</v>
      </c>
      <c r="S21" s="83">
        <f t="shared" si="51"/>
        <v>2.5800889588814256E-3</v>
      </c>
      <c r="T21" s="80">
        <f t="shared" si="51"/>
        <v>5.1601779177628511E-3</v>
      </c>
      <c r="U21" s="144">
        <f t="shared" si="50"/>
        <v>7.747117962962965E-3</v>
      </c>
      <c r="V21" s="84">
        <f t="shared" si="51"/>
        <v>1.0320355835525702E-2</v>
      </c>
      <c r="W21" s="81"/>
      <c r="X21" s="143"/>
      <c r="Y21" s="147"/>
    </row>
    <row r="22" spans="1:31" x14ac:dyDescent="0.25">
      <c r="A22">
        <v>18</v>
      </c>
      <c r="B22" s="83">
        <f t="shared" si="43"/>
        <v>2.7624492446843654E-3</v>
      </c>
      <c r="C22" s="80">
        <f t="shared" si="52"/>
        <v>4.0749024033127287E-3</v>
      </c>
      <c r="D22" s="80">
        <f t="shared" si="53"/>
        <v>3.5737979738923622E-3</v>
      </c>
      <c r="E22" s="80">
        <f t="shared" si="0"/>
        <v>4.8728758393238539E-3</v>
      </c>
      <c r="F22" s="83">
        <f>S22/$B$1</f>
        <v>2.4340461876239863E-3</v>
      </c>
      <c r="G22" s="80">
        <f>T22/$B$1</f>
        <v>4.8680923752479725E-3</v>
      </c>
      <c r="H22" s="80">
        <f>U22/$B$1</f>
        <v>7.3086018518518535E-3</v>
      </c>
      <c r="I22" s="84">
        <f>V22/$B$1</f>
        <v>9.7361847504959451E-3</v>
      </c>
      <c r="J22" s="81"/>
      <c r="K22" s="82"/>
      <c r="L22" s="147"/>
      <c r="N22">
        <v>18</v>
      </c>
      <c r="O22" s="83">
        <v>2.7624492446843654E-3</v>
      </c>
      <c r="P22" s="80">
        <v>4.0749024033127287E-3</v>
      </c>
      <c r="Q22" s="80">
        <v>3.5737979738923622E-3</v>
      </c>
      <c r="R22" s="84">
        <f t="shared" si="2"/>
        <v>4.8728758393238539E-3</v>
      </c>
      <c r="S22" s="83">
        <f t="shared" si="51"/>
        <v>2.4340461876239863E-3</v>
      </c>
      <c r="T22" s="80">
        <f t="shared" si="51"/>
        <v>4.8680923752479725E-3</v>
      </c>
      <c r="U22" s="144">
        <f t="shared" si="50"/>
        <v>7.3086018518518535E-3</v>
      </c>
      <c r="V22" s="84">
        <f t="shared" si="51"/>
        <v>9.7361847504959451E-3</v>
      </c>
      <c r="W22" s="81"/>
      <c r="X22" s="143"/>
      <c r="Y22" s="147"/>
    </row>
    <row r="23" spans="1:31" x14ac:dyDescent="0.25">
      <c r="A23">
        <v>19</v>
      </c>
      <c r="B23" s="83">
        <f t="shared" si="43"/>
        <v>2.6060841930984576E-3</v>
      </c>
      <c r="C23" s="80">
        <f t="shared" si="52"/>
        <v>3.8442475502950268E-3</v>
      </c>
      <c r="D23" s="80">
        <f t="shared" si="53"/>
        <v>3.3715075225399641E-3</v>
      </c>
      <c r="E23" s="80">
        <f t="shared" si="0"/>
        <v>4.5970526786074089E-3</v>
      </c>
      <c r="F23" s="83">
        <f>S23/$B$1</f>
        <v>2.2962699883245152E-3</v>
      </c>
      <c r="G23" s="80">
        <f t="shared" si="54"/>
        <v>4.5925399766490304E-3</v>
      </c>
      <c r="H23" s="80">
        <f t="shared" si="54"/>
        <v>6.8949074074074086E-3</v>
      </c>
      <c r="I23" s="84">
        <f>V23/$B$1</f>
        <v>9.1850799532980608E-3</v>
      </c>
      <c r="J23" s="81"/>
      <c r="K23" s="82"/>
      <c r="L23" s="147"/>
      <c r="N23">
        <v>19</v>
      </c>
      <c r="O23" s="83">
        <v>2.6060841930984576E-3</v>
      </c>
      <c r="P23" s="80">
        <v>3.8442475502950268E-3</v>
      </c>
      <c r="Q23" s="80">
        <v>3.3715075225399641E-3</v>
      </c>
      <c r="R23" s="84">
        <f t="shared" si="2"/>
        <v>4.5970526786074089E-3</v>
      </c>
      <c r="S23" s="83">
        <f t="shared" si="51"/>
        <v>2.2962699883245152E-3</v>
      </c>
      <c r="T23" s="80">
        <f t="shared" si="51"/>
        <v>4.5925399766490304E-3</v>
      </c>
      <c r="U23" s="144">
        <f t="shared" si="50"/>
        <v>6.8949074074074086E-3</v>
      </c>
      <c r="V23" s="84">
        <f t="shared" si="51"/>
        <v>9.1850799532980608E-3</v>
      </c>
      <c r="W23" s="81"/>
      <c r="X23" s="143"/>
      <c r="Y23" s="147"/>
    </row>
    <row r="24" spans="1:31" x14ac:dyDescent="0.25">
      <c r="A24">
        <v>20</v>
      </c>
      <c r="B24" s="83">
        <f t="shared" si="43"/>
        <v>2.4585699934891107E-3</v>
      </c>
      <c r="C24" s="80">
        <f t="shared" si="52"/>
        <v>3.6266486323537988E-3</v>
      </c>
      <c r="D24" s="80">
        <f t="shared" si="53"/>
        <v>3.1806674740943058E-3</v>
      </c>
      <c r="E24" s="80">
        <f t="shared" si="0"/>
        <v>4.3368421496296312E-3</v>
      </c>
      <c r="F24" s="83">
        <f>S24/$B$1</f>
        <v>2.1662924418155804E-3</v>
      </c>
      <c r="G24" s="80">
        <f t="shared" si="54"/>
        <v>4.3325848836311609E-3</v>
      </c>
      <c r="H24" s="80">
        <f t="shared" si="54"/>
        <v>6.5046296296296302E-3</v>
      </c>
      <c r="I24" s="84">
        <f>V24/$B$1</f>
        <v>8.6651697672623217E-3</v>
      </c>
      <c r="J24" s="81"/>
      <c r="K24" s="82"/>
      <c r="L24" s="147"/>
      <c r="N24">
        <v>20</v>
      </c>
      <c r="O24" s="83">
        <v>2.4585699934891107E-3</v>
      </c>
      <c r="P24" s="80">
        <v>3.6266486323537988E-3</v>
      </c>
      <c r="Q24" s="80">
        <v>3.1806674740943058E-3</v>
      </c>
      <c r="R24" s="84">
        <f t="shared" si="2"/>
        <v>4.3368421496296312E-3</v>
      </c>
      <c r="S24" s="83">
        <f>S23/1.06</f>
        <v>2.1662924418155804E-3</v>
      </c>
      <c r="T24" s="80">
        <f>T23/1.06</f>
        <v>4.3325848836311609E-3</v>
      </c>
      <c r="U24" s="144">
        <v>6.5046296296296302E-3</v>
      </c>
      <c r="V24" s="84">
        <f>V23/1.06</f>
        <v>8.6651697672623217E-3</v>
      </c>
      <c r="W24" s="81"/>
      <c r="X24" s="143"/>
      <c r="Y24" s="147"/>
    </row>
    <row r="25" spans="1:31" x14ac:dyDescent="0.25">
      <c r="A25">
        <v>21</v>
      </c>
      <c r="B25" s="83">
        <f t="shared" si="43"/>
        <v>2.31940565423501E-3</v>
      </c>
      <c r="C25" s="80">
        <f t="shared" si="52"/>
        <v>3.4213666342960366E-3</v>
      </c>
      <c r="D25" s="80">
        <f t="shared" si="53"/>
        <v>3.0006296925417977E-3</v>
      </c>
      <c r="E25" s="80">
        <f t="shared" si="0"/>
        <v>4.0913605185185194E-3</v>
      </c>
      <c r="F25" s="83"/>
      <c r="G25" s="80"/>
      <c r="H25" s="144"/>
      <c r="I25" s="84"/>
      <c r="J25" s="81"/>
      <c r="K25" s="82"/>
      <c r="L25" s="147"/>
      <c r="N25">
        <v>21</v>
      </c>
      <c r="O25" s="83">
        <v>2.31940565423501E-3</v>
      </c>
      <c r="P25" s="80">
        <v>3.4213666342960366E-3</v>
      </c>
      <c r="Q25" s="80">
        <v>3.0006296925417977E-3</v>
      </c>
      <c r="R25" s="84">
        <f t="shared" si="2"/>
        <v>4.0913605185185194E-3</v>
      </c>
      <c r="S25" s="83"/>
      <c r="T25" s="80"/>
      <c r="U25" s="144"/>
      <c r="V25" s="84"/>
      <c r="W25" s="81"/>
      <c r="X25" s="143"/>
      <c r="Y25" s="147"/>
    </row>
    <row r="26" spans="1:31" x14ac:dyDescent="0.25">
      <c r="A26">
        <v>22</v>
      </c>
      <c r="B26" s="83">
        <f t="shared" si="43"/>
        <v>2.1881185417311415E-3</v>
      </c>
      <c r="C26" s="80">
        <f t="shared" si="52"/>
        <v>3.227704371977393E-3</v>
      </c>
      <c r="D26" s="80">
        <f t="shared" si="53"/>
        <v>2.8307827288130165E-3</v>
      </c>
      <c r="E26" s="80">
        <f t="shared" si="0"/>
        <v>3.8597740740740744E-3</v>
      </c>
      <c r="F26" s="83"/>
      <c r="G26" s="80"/>
      <c r="H26" s="144"/>
      <c r="I26" s="84"/>
      <c r="J26" s="81"/>
      <c r="K26" s="82"/>
      <c r="L26" s="147"/>
      <c r="N26">
        <v>22</v>
      </c>
      <c r="O26" s="83">
        <v>2.1881185417311415E-3</v>
      </c>
      <c r="P26" s="80">
        <v>3.227704371977393E-3</v>
      </c>
      <c r="Q26" s="80">
        <v>2.8307827288130165E-3</v>
      </c>
      <c r="R26" s="84">
        <f t="shared" si="2"/>
        <v>3.8597740740740744E-3</v>
      </c>
      <c r="S26" s="83"/>
      <c r="T26" s="80"/>
      <c r="U26" s="144"/>
      <c r="V26" s="84"/>
      <c r="W26" s="81"/>
      <c r="X26" s="143"/>
      <c r="Y26" s="147"/>
    </row>
    <row r="27" spans="1:31" x14ac:dyDescent="0.25">
      <c r="A27">
        <v>23</v>
      </c>
      <c r="B27" s="83">
        <f t="shared" si="43"/>
        <v>2.064262775218058E-3</v>
      </c>
      <c r="C27" s="80">
        <f t="shared" si="52"/>
        <v>3.0450041245069742E-3</v>
      </c>
      <c r="D27" s="80">
        <f t="shared" si="53"/>
        <v>2.6705497441632227E-3</v>
      </c>
      <c r="E27" s="80">
        <f t="shared" si="0"/>
        <v>3.6412962962962966E-3</v>
      </c>
      <c r="F27" s="83"/>
      <c r="G27" s="80"/>
      <c r="H27" s="144"/>
      <c r="I27" s="84"/>
      <c r="J27" s="81"/>
      <c r="K27" s="82"/>
      <c r="L27" s="147"/>
      <c r="N27">
        <v>23</v>
      </c>
      <c r="O27" s="83">
        <v>2.064262775218058E-3</v>
      </c>
      <c r="P27" s="80">
        <v>3.0450041245069742E-3</v>
      </c>
      <c r="Q27" s="80">
        <v>2.6705497441632227E-3</v>
      </c>
      <c r="R27" s="84">
        <f t="shared" si="2"/>
        <v>3.6412962962962966E-3</v>
      </c>
      <c r="S27" s="83"/>
      <c r="T27" s="80"/>
      <c r="U27" s="144"/>
      <c r="V27" s="84"/>
      <c r="W27" s="81"/>
      <c r="X27" s="143"/>
      <c r="Y27" s="147"/>
    </row>
    <row r="28" spans="1:31" x14ac:dyDescent="0.25">
      <c r="A28">
        <v>24</v>
      </c>
      <c r="B28" s="83">
        <f t="shared" si="43"/>
        <v>1.947417712469866E-3</v>
      </c>
      <c r="C28" s="80">
        <f t="shared" si="52"/>
        <v>2.8726454004782773E-3</v>
      </c>
      <c r="D28" s="80">
        <f t="shared" si="53"/>
        <v>2.5193865510973797E-3</v>
      </c>
      <c r="E28" s="80">
        <f t="shared" si="0"/>
        <v>3.4351851851851852E-3</v>
      </c>
      <c r="F28" s="83"/>
      <c r="G28" s="80"/>
      <c r="H28" s="144"/>
      <c r="I28" s="84"/>
      <c r="J28" s="81"/>
      <c r="K28" s="82"/>
      <c r="L28" s="147"/>
      <c r="N28">
        <v>24</v>
      </c>
      <c r="O28" s="83">
        <v>1.947417712469866E-3</v>
      </c>
      <c r="P28" s="80">
        <v>2.8726454004782773E-3</v>
      </c>
      <c r="Q28" s="80">
        <v>2.5193865510973797E-3</v>
      </c>
      <c r="R28" s="84">
        <f>R29*1.06</f>
        <v>3.4351851851851852E-3</v>
      </c>
      <c r="S28" s="83"/>
      <c r="T28" s="80"/>
      <c r="U28" s="144"/>
      <c r="V28" s="84"/>
      <c r="W28" s="81"/>
      <c r="X28" s="143"/>
      <c r="Y28" s="147"/>
    </row>
    <row r="29" spans="1:31" ht="15.75" thickBot="1" x14ac:dyDescent="0.3">
      <c r="A29">
        <v>25</v>
      </c>
      <c r="B29" s="85">
        <f t="shared" si="43"/>
        <v>1.8371865211979867E-3</v>
      </c>
      <c r="C29" s="86">
        <f t="shared" si="52"/>
        <v>2.7100428306398843E-3</v>
      </c>
      <c r="D29" s="86">
        <f t="shared" si="53"/>
        <v>2.3767797651862072E-3</v>
      </c>
      <c r="E29" s="86">
        <f>R29/$B$1</f>
        <v>3.2407407407407406E-3</v>
      </c>
      <c r="F29" s="85"/>
      <c r="G29" s="86"/>
      <c r="H29" s="168"/>
      <c r="I29" s="87"/>
      <c r="J29" s="88"/>
      <c r="K29" s="89"/>
      <c r="L29" s="149"/>
      <c r="N29">
        <v>25</v>
      </c>
      <c r="O29" s="85">
        <v>1.8371865211979867E-3</v>
      </c>
      <c r="P29" s="86">
        <v>2.7100428306398843E-3</v>
      </c>
      <c r="Q29" s="86">
        <v>2.3767797651862072E-3</v>
      </c>
      <c r="R29" s="87">
        <v>3.2407407407407406E-3</v>
      </c>
      <c r="S29" s="85"/>
      <c r="T29" s="86"/>
      <c r="U29" s="168"/>
      <c r="V29" s="87"/>
      <c r="W29" s="88"/>
      <c r="X29" s="145"/>
      <c r="Y29" s="149"/>
    </row>
    <row r="32" spans="1:31" x14ac:dyDescent="0.25">
      <c r="P32" s="133"/>
    </row>
    <row r="33" spans="16:21" x14ac:dyDescent="0.25">
      <c r="P33" s="133"/>
    </row>
    <row r="34" spans="16:21" x14ac:dyDescent="0.25">
      <c r="P34" s="133"/>
    </row>
    <row r="35" spans="16:21" x14ac:dyDescent="0.25">
      <c r="P35" s="133"/>
    </row>
    <row r="36" spans="16:21" x14ac:dyDescent="0.25">
      <c r="U36" s="2"/>
    </row>
    <row r="37" spans="16:21" x14ac:dyDescent="0.25">
      <c r="U37" s="2"/>
    </row>
  </sheetData>
  <mergeCells count="19">
    <mergeCell ref="AK2:AN2"/>
    <mergeCell ref="CC2:CF2"/>
    <mergeCell ref="CG2:CJ2"/>
    <mergeCell ref="BY2:CB2"/>
    <mergeCell ref="BU2:BX2"/>
    <mergeCell ref="BQ2:BT2"/>
    <mergeCell ref="BM2:BP2"/>
    <mergeCell ref="BI2:BL2"/>
    <mergeCell ref="BE2:BH2"/>
    <mergeCell ref="BA2:BD2"/>
    <mergeCell ref="AW2:AZ2"/>
    <mergeCell ref="AS2:AV2"/>
    <mergeCell ref="AO2:AR2"/>
    <mergeCell ref="W2:X2"/>
    <mergeCell ref="J2:K2"/>
    <mergeCell ref="F2:I2"/>
    <mergeCell ref="S2:V2"/>
    <mergeCell ref="B2:E2"/>
    <mergeCell ref="O2:R2"/>
  </mergeCells>
  <pageMargins left="0.7" right="0.7" top="0.78740157499999996" bottom="0.78740157499999996" header="0.3" footer="0.3"/>
  <pageSetup paperSize="9" orientation="portrait" horizontalDpi="0"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7" sqref="D7"/>
    </sheetView>
  </sheetViews>
  <sheetFormatPr baseColWidth="10" defaultRowHeight="15" x14ac:dyDescent="0.25"/>
  <cols>
    <col min="1" max="1" width="23.140625" bestFit="1" customWidth="1"/>
    <col min="2" max="2" width="15.140625" bestFit="1" customWidth="1"/>
  </cols>
  <sheetData>
    <row r="1" spans="1:2" x14ac:dyDescent="0.25">
      <c r="A1" s="471" t="s">
        <v>187</v>
      </c>
      <c r="B1" s="443"/>
    </row>
    <row r="2" spans="1:2" x14ac:dyDescent="0.25">
      <c r="A2" s="169" t="s">
        <v>188</v>
      </c>
      <c r="B2" s="169" t="s">
        <v>189</v>
      </c>
    </row>
    <row r="3" spans="1:2" x14ac:dyDescent="0.25">
      <c r="A3" s="79" t="s">
        <v>196</v>
      </c>
      <c r="B3" s="79" t="s">
        <v>70</v>
      </c>
    </row>
    <row r="4" spans="1:2" x14ac:dyDescent="0.25">
      <c r="A4" s="79" t="s">
        <v>197</v>
      </c>
      <c r="B4" s="79" t="s">
        <v>73</v>
      </c>
    </row>
    <row r="5" spans="1:2" x14ac:dyDescent="0.25">
      <c r="A5" s="79" t="s">
        <v>198</v>
      </c>
      <c r="B5" s="79" t="s">
        <v>74</v>
      </c>
    </row>
    <row r="6" spans="1:2" x14ac:dyDescent="0.25">
      <c r="A6" s="79" t="s">
        <v>199</v>
      </c>
      <c r="B6" s="79" t="s">
        <v>75</v>
      </c>
    </row>
    <row r="7" spans="1:2" x14ac:dyDescent="0.25">
      <c r="A7" s="79" t="s">
        <v>200</v>
      </c>
      <c r="B7" s="79" t="s">
        <v>190</v>
      </c>
    </row>
    <row r="8" spans="1:2" x14ac:dyDescent="0.25">
      <c r="A8" s="79" t="s">
        <v>121</v>
      </c>
      <c r="B8" s="79" t="s">
        <v>71</v>
      </c>
    </row>
    <row r="9" spans="1:2" x14ac:dyDescent="0.25">
      <c r="A9" s="79" t="s">
        <v>201</v>
      </c>
      <c r="B9" s="79" t="s">
        <v>76</v>
      </c>
    </row>
    <row r="10" spans="1:2" x14ac:dyDescent="0.25">
      <c r="A10" s="79" t="s">
        <v>202</v>
      </c>
      <c r="B10" s="79" t="s">
        <v>191</v>
      </c>
    </row>
    <row r="11" spans="1:2" x14ac:dyDescent="0.25">
      <c r="A11" s="79" t="s">
        <v>203</v>
      </c>
      <c r="B11" s="79" t="s">
        <v>77</v>
      </c>
    </row>
    <row r="12" spans="1:2" x14ac:dyDescent="0.25">
      <c r="A12" s="79" t="s">
        <v>105</v>
      </c>
      <c r="B12" s="79" t="s">
        <v>78</v>
      </c>
    </row>
    <row r="13" spans="1:2" x14ac:dyDescent="0.25">
      <c r="A13" s="79" t="s">
        <v>204</v>
      </c>
      <c r="B13" s="79" t="s">
        <v>79</v>
      </c>
    </row>
    <row r="14" spans="1:2" x14ac:dyDescent="0.25">
      <c r="A14" s="79" t="s">
        <v>192</v>
      </c>
      <c r="B14" s="79" t="s">
        <v>192</v>
      </c>
    </row>
    <row r="15" spans="1:2" x14ac:dyDescent="0.25">
      <c r="A15" s="79" t="s">
        <v>205</v>
      </c>
      <c r="B15" s="79" t="s">
        <v>193</v>
      </c>
    </row>
    <row r="16" spans="1:2" x14ac:dyDescent="0.25">
      <c r="A16" s="79" t="s">
        <v>206</v>
      </c>
      <c r="B16" s="79" t="s">
        <v>194</v>
      </c>
    </row>
  </sheetData>
  <mergeCells count="1">
    <mergeCell ref="A1:B1"/>
  </mergeCell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1"/>
  <sheetViews>
    <sheetView topLeftCell="B1" workbookViewId="0">
      <selection activeCell="Q4" sqref="Q4:Q137"/>
    </sheetView>
  </sheetViews>
  <sheetFormatPr baseColWidth="10" defaultRowHeight="15" x14ac:dyDescent="0.25"/>
  <sheetData>
    <row r="1" spans="2:17" x14ac:dyDescent="0.25">
      <c r="B1" s="139" t="s">
        <v>187</v>
      </c>
      <c r="C1" s="4" t="s">
        <v>188</v>
      </c>
      <c r="E1" s="139" t="s">
        <v>373</v>
      </c>
      <c r="F1" s="4" t="s">
        <v>184</v>
      </c>
    </row>
    <row r="2" spans="2:17" x14ac:dyDescent="0.25">
      <c r="P2" t="s">
        <v>389</v>
      </c>
      <c r="Q2" t="s">
        <v>390</v>
      </c>
    </row>
    <row r="3" spans="2:17" x14ac:dyDescent="0.25">
      <c r="G3" t="s">
        <v>336</v>
      </c>
      <c r="P3" s="326">
        <f>LEN(G3)-LEN(SUBSTITUTE(LOWER(G3),"[",))</f>
        <v>1</v>
      </c>
      <c r="Q3">
        <f>P3</f>
        <v>1</v>
      </c>
    </row>
    <row r="4" spans="2:17" x14ac:dyDescent="0.25">
      <c r="B4" t="s">
        <v>337</v>
      </c>
      <c r="C4" t="s">
        <v>226</v>
      </c>
      <c r="D4" t="s">
        <v>338</v>
      </c>
      <c r="E4" t="s">
        <v>339</v>
      </c>
      <c r="F4" t="s">
        <v>340</v>
      </c>
      <c r="G4" t="str">
        <f>CONCATENATE("[**]",B4,"[||]",C4,"[||]",D4,"[||]",E4,"[||]",F4,"[||]",K4,"[||]",L4,"[||]",M4,"[/**]")</f>
        <v>[**]Gebäude[||]Stufe[||]Baubeginn[||]Dauer[||]Ende[||]Äxte[||]Lkav[||]Rammen[/**]</v>
      </c>
      <c r="K4" t="str">
        <f>IF($C$1="Deutsch",IF($F$1="Off","Äxte","Speer"),IF($F$1="Off","Axe","Spear"))</f>
        <v>Äxte</v>
      </c>
      <c r="L4" t="str">
        <f>IF($C$1="Deutsch",IF($F$1="Off","Lkav","Schwert"),IF($F$1="Off","lcav","Sword"))</f>
        <v>Lkav</v>
      </c>
      <c r="M4" t="str">
        <f>IF($C$1="Deutsch",IF($F$1="Off","Rammen","Bogen"),IF($F$1="Off","Ram","Archer"))</f>
        <v>Rammen</v>
      </c>
      <c r="N4" t="s">
        <v>11</v>
      </c>
      <c r="O4" t="s">
        <v>341</v>
      </c>
      <c r="P4" s="326">
        <f t="shared" ref="P4:P67" si="0">LEN(G4)-LEN(SUBSTITUTE(LOWER(G4),"[",))</f>
        <v>9</v>
      </c>
      <c r="Q4">
        <f>P4+Q3</f>
        <v>10</v>
      </c>
    </row>
    <row r="5" spans="2:17" x14ac:dyDescent="0.25">
      <c r="B5" t="str">
        <f>IF($C$1="Deutsch",VLOOKUP('Construction Planner'!J15,$N$4:$O$20,2,FALSE),'Construction Planner'!J15)</f>
        <v>Holzfäller</v>
      </c>
      <c r="C5">
        <f>'Construction Planner'!L15</f>
        <v>1</v>
      </c>
      <c r="D5" s="133" t="str">
        <f>TEXT('Construction Planner'!P15,"TT.MM. hh:mm:ss")</f>
        <v>20.05. 16:31:00</v>
      </c>
      <c r="E5" s="133" t="str">
        <f>TEXT('Construction Planner'!M15,"[h]:mm:ss")</f>
        <v>0:00:07</v>
      </c>
      <c r="F5" s="133" t="str">
        <f>TEXT('Construction Planner'!N16,"TT.MM. hh:mm:ss")</f>
        <v>20.05. 16:31:07</v>
      </c>
      <c r="G5" t="str">
        <f t="shared" ref="G5:G16" si="1">CONCATENATE("[*]",B5,"[|]",C5,"[|]",D5,"[|]",E5,"[|]",F5,"[|]",K5,"[|]",L5,"[|]",M5)</f>
        <v>[*]Holzfäller[|]1[|]20.05. 16:31:00[|]0:00:07[|]20.05. 16:31:07[|]0[|]0[|]0</v>
      </c>
      <c r="K5">
        <f>IF($F$1="Off",'Construction Planner'!DK15,'Construction Planner'!DI16)</f>
        <v>0</v>
      </c>
      <c r="L5">
        <f>IF($F$1="Off",'Construction Planner'!DN15,'Construction Planner'!DJ16)</f>
        <v>0</v>
      </c>
      <c r="M5">
        <f>IF($F$1="Off",'Construction Planner'!DQ15,'Construction Planner'!DL16)</f>
        <v>0</v>
      </c>
      <c r="N5" t="s">
        <v>13</v>
      </c>
      <c r="O5" t="s">
        <v>342</v>
      </c>
      <c r="P5" s="326">
        <f t="shared" si="0"/>
        <v>8</v>
      </c>
      <c r="Q5">
        <f t="shared" ref="Q5:Q68" si="2">P5+Q4</f>
        <v>18</v>
      </c>
    </row>
    <row r="6" spans="2:17" x14ac:dyDescent="0.25">
      <c r="B6" t="str">
        <f>IF($C$1="Deutsch",VLOOKUP('Construction Planner'!J16,$N$4:$O$20,2,FALSE),'Construction Planner'!J16)</f>
        <v>Lehmgrube</v>
      </c>
      <c r="C6">
        <f>'Construction Planner'!L16</f>
        <v>1</v>
      </c>
      <c r="D6" s="133" t="str">
        <f>TEXT('Construction Planner'!P16,"TT.MM. hh:mm:ss")</f>
        <v>20.05. 16:31:07</v>
      </c>
      <c r="E6" s="133" t="str">
        <f>TEXT('Construction Planner'!M16,"[h]:mm:ss")</f>
        <v>0:00:07</v>
      </c>
      <c r="F6" s="133" t="str">
        <f>TEXT('Construction Planner'!N17,"TT.MM. hh:mm:ss")</f>
        <v>20.05. 16:31:14</v>
      </c>
      <c r="G6" t="str">
        <f t="shared" si="1"/>
        <v>[*]Lehmgrube[|]1[|]20.05. 16:31:07[|]0:00:07[|]20.05. 16:31:14[|]0[|]0[|]0</v>
      </c>
      <c r="K6">
        <f>IF($F$1="Off",'Construction Planner'!DK16,'Construction Planner'!DI17)</f>
        <v>0</v>
      </c>
      <c r="L6">
        <f>IF($F$1="Off",'Construction Planner'!DN16,'Construction Planner'!DJ17)</f>
        <v>0</v>
      </c>
      <c r="M6">
        <f>IF($F$1="Off",'Construction Planner'!DQ16,'Construction Planner'!DL17)</f>
        <v>0</v>
      </c>
      <c r="N6" t="s">
        <v>0</v>
      </c>
      <c r="O6" t="s">
        <v>343</v>
      </c>
      <c r="P6" s="326">
        <f t="shared" si="0"/>
        <v>8</v>
      </c>
      <c r="Q6">
        <f t="shared" si="2"/>
        <v>26</v>
      </c>
    </row>
    <row r="7" spans="2:17" x14ac:dyDescent="0.25">
      <c r="B7" t="str">
        <f>IF($C$1="Deutsch",VLOOKUP('Construction Planner'!J17,$N$4:$O$20,2,FALSE),'Construction Planner'!J17)</f>
        <v>Eisenmine</v>
      </c>
      <c r="C7">
        <f>'Construction Planner'!L17</f>
        <v>1</v>
      </c>
      <c r="D7" s="133" t="str">
        <f>TEXT('Construction Planner'!P17,"TT.MM. hh:mm:ss")</f>
        <v>20.05. 16:31:14</v>
      </c>
      <c r="E7" s="133" t="str">
        <f>TEXT('Construction Planner'!M17,"[h]:mm:ss")</f>
        <v>0:00:08</v>
      </c>
      <c r="F7" s="133" t="str">
        <f>TEXT('Construction Planner'!N18,"TT.MM. hh:mm:ss")</f>
        <v>20.05. 16:31:22</v>
      </c>
      <c r="G7" t="str">
        <f t="shared" si="1"/>
        <v>[*]Eisenmine[|]1[|]20.05. 16:31:14[|]0:00:08[|]20.05. 16:31:22[|]0[|]0[|]0</v>
      </c>
      <c r="K7">
        <f>IF($F$1="Off",'Construction Planner'!DK17,'Construction Planner'!DI18)</f>
        <v>0</v>
      </c>
      <c r="L7">
        <f>IF($F$1="Off",'Construction Planner'!DN17,'Construction Planner'!DJ18)</f>
        <v>0</v>
      </c>
      <c r="M7">
        <f>IF($F$1="Off",'Construction Planner'!DQ17,'Construction Planner'!DL18)</f>
        <v>0</v>
      </c>
      <c r="N7" t="s">
        <v>12</v>
      </c>
      <c r="O7" t="s">
        <v>344</v>
      </c>
      <c r="P7" s="326">
        <f t="shared" si="0"/>
        <v>8</v>
      </c>
      <c r="Q7">
        <f t="shared" si="2"/>
        <v>34</v>
      </c>
    </row>
    <row r="8" spans="2:17" x14ac:dyDescent="0.25">
      <c r="B8" t="e">
        <f>IF($C$1="Deutsch",VLOOKUP('Construction Planner'!J18,$N$4:$O$20,2,FALSE),'Construction Planner'!J18)</f>
        <v>#N/A</v>
      </c>
      <c r="C8" t="e">
        <f>'Construction Planner'!L18</f>
        <v>#N/A</v>
      </c>
      <c r="D8" s="133" t="e">
        <f>TEXT('Construction Planner'!P18,"TT.MM. hh:mm:ss")</f>
        <v>#N/A</v>
      </c>
      <c r="E8" s="133" t="e">
        <f>TEXT('Construction Planner'!M18,"[h]:mm:ss")</f>
        <v>#N/A</v>
      </c>
      <c r="F8" s="133" t="e">
        <f>TEXT('Construction Planner'!N19,"TT.MM. hh:mm:ss")</f>
        <v>#N/A</v>
      </c>
      <c r="G8" t="e">
        <f t="shared" si="1"/>
        <v>#N/A</v>
      </c>
      <c r="K8">
        <f>IF($F$1="Off",'Construction Planner'!DK18,'Construction Planner'!DI19)</f>
        <v>0</v>
      </c>
      <c r="L8">
        <f>IF($F$1="Off",'Construction Planner'!DN18,'Construction Planner'!DJ19)</f>
        <v>0</v>
      </c>
      <c r="M8">
        <f>IF($F$1="Off",'Construction Planner'!DQ18,'Construction Planner'!DL19)</f>
        <v>0</v>
      </c>
      <c r="N8" t="s">
        <v>10</v>
      </c>
      <c r="O8" t="s">
        <v>345</v>
      </c>
      <c r="P8" s="326" t="e">
        <f t="shared" si="0"/>
        <v>#N/A</v>
      </c>
      <c r="Q8" t="e">
        <f t="shared" si="2"/>
        <v>#N/A</v>
      </c>
    </row>
    <row r="9" spans="2:17" x14ac:dyDescent="0.25">
      <c r="B9" t="e">
        <f>IF($C$1="Deutsch",VLOOKUP('Construction Planner'!J19,$N$4:$O$20,2,FALSE),'Construction Planner'!J19)</f>
        <v>#N/A</v>
      </c>
      <c r="C9" t="e">
        <f>'Construction Planner'!L19</f>
        <v>#N/A</v>
      </c>
      <c r="D9" s="133" t="e">
        <f>TEXT('Construction Planner'!P19,"TT.MM. hh:mm:ss")</f>
        <v>#N/A</v>
      </c>
      <c r="E9" s="133" t="e">
        <f>TEXT('Construction Planner'!M19,"[h]:mm:ss")</f>
        <v>#N/A</v>
      </c>
      <c r="F9" s="133" t="e">
        <f>TEXT('Construction Planner'!N20,"TT.MM. hh:mm:ss")</f>
        <v>#N/A</v>
      </c>
      <c r="G9" t="e">
        <f t="shared" si="1"/>
        <v>#N/A</v>
      </c>
      <c r="K9">
        <f>IF($F$1="Off",'Construction Planner'!DK19,'Construction Planner'!DI20)</f>
        <v>0</v>
      </c>
      <c r="L9">
        <f>IF($F$1="Off",'Construction Planner'!DN19,'Construction Planner'!DJ20)</f>
        <v>0</v>
      </c>
      <c r="M9">
        <f>IF($F$1="Off",'Construction Planner'!DQ19,'Construction Planner'!DL20)</f>
        <v>0</v>
      </c>
      <c r="N9" t="s">
        <v>9</v>
      </c>
      <c r="O9" t="s">
        <v>346</v>
      </c>
      <c r="P9" s="326" t="e">
        <f t="shared" si="0"/>
        <v>#N/A</v>
      </c>
      <c r="Q9" t="e">
        <f t="shared" si="2"/>
        <v>#N/A</v>
      </c>
    </row>
    <row r="10" spans="2:17" x14ac:dyDescent="0.25">
      <c r="B10" t="e">
        <f>IF($C$1="Deutsch",VLOOKUP('Construction Planner'!J20,$N$4:$O$20,2,FALSE),'Construction Planner'!J20)</f>
        <v>#N/A</v>
      </c>
      <c r="C10" t="e">
        <f>'Construction Planner'!L20</f>
        <v>#N/A</v>
      </c>
      <c r="D10" s="133" t="e">
        <f>TEXT('Construction Planner'!P20,"TT.MM. hh:mm:ss")</f>
        <v>#N/A</v>
      </c>
      <c r="E10" s="133" t="e">
        <f>TEXT('Construction Planner'!M20,"[h]:mm:ss")</f>
        <v>#N/A</v>
      </c>
      <c r="F10" s="133" t="e">
        <f>TEXT('Construction Planner'!N21,"TT.MM. hh:mm:ss")</f>
        <v>#N/A</v>
      </c>
      <c r="G10" t="e">
        <f t="shared" si="1"/>
        <v>#N/A</v>
      </c>
      <c r="K10">
        <f>IF($F$1="Off",'Construction Planner'!DK20,'Construction Planner'!DI21)</f>
        <v>0</v>
      </c>
      <c r="L10">
        <f>IF($F$1="Off",'Construction Planner'!DN20,'Construction Planner'!DJ21)</f>
        <v>0</v>
      </c>
      <c r="M10">
        <f>IF($F$1="Off",'Construction Planner'!DQ20,'Construction Planner'!DL21)</f>
        <v>0</v>
      </c>
      <c r="N10" t="s">
        <v>8</v>
      </c>
      <c r="O10" t="s">
        <v>347</v>
      </c>
      <c r="P10" s="326" t="e">
        <f t="shared" si="0"/>
        <v>#N/A</v>
      </c>
      <c r="Q10" t="e">
        <f t="shared" si="2"/>
        <v>#N/A</v>
      </c>
    </row>
    <row r="11" spans="2:17" x14ac:dyDescent="0.25">
      <c r="B11" t="e">
        <f>IF($C$1="Deutsch",VLOOKUP('Construction Planner'!J21,$N$4:$O$20,2,FALSE),'Construction Planner'!J21)</f>
        <v>#N/A</v>
      </c>
      <c r="C11" t="e">
        <f>'Construction Planner'!L21</f>
        <v>#N/A</v>
      </c>
      <c r="D11" s="133" t="e">
        <f>TEXT('Construction Planner'!P21,"TT.MM. hh:mm:ss")</f>
        <v>#N/A</v>
      </c>
      <c r="E11" s="133" t="e">
        <f>TEXT('Construction Planner'!M21,"[h]:mm:ss")</f>
        <v>#N/A</v>
      </c>
      <c r="F11" s="133" t="e">
        <f>TEXT('Construction Planner'!N22,"TT.MM. hh:mm:ss")</f>
        <v>#N/A</v>
      </c>
      <c r="G11" t="e">
        <f t="shared" si="1"/>
        <v>#N/A</v>
      </c>
      <c r="K11">
        <f>IF($F$1="Off",'Construction Planner'!DK21,'Construction Planner'!DI22)</f>
        <v>0</v>
      </c>
      <c r="L11">
        <f>IF($F$1="Off",'Construction Planner'!DN21,'Construction Planner'!DJ22)</f>
        <v>0</v>
      </c>
      <c r="M11">
        <f>IF($F$1="Off",'Construction Planner'!DQ21,'Construction Planner'!DL22)</f>
        <v>0</v>
      </c>
      <c r="N11" t="s">
        <v>5</v>
      </c>
      <c r="O11" t="s">
        <v>348</v>
      </c>
      <c r="P11" s="326" t="e">
        <f t="shared" si="0"/>
        <v>#N/A</v>
      </c>
      <c r="Q11" t="e">
        <f t="shared" si="2"/>
        <v>#N/A</v>
      </c>
    </row>
    <row r="12" spans="2:17" x14ac:dyDescent="0.25">
      <c r="B12" t="e">
        <f>IF($C$1="Deutsch",VLOOKUP('Construction Planner'!J22,$N$4:$O$20,2,FALSE),'Construction Planner'!J22)</f>
        <v>#N/A</v>
      </c>
      <c r="C12" t="e">
        <f>'Construction Planner'!L22</f>
        <v>#N/A</v>
      </c>
      <c r="D12" s="133" t="e">
        <f>TEXT('Construction Planner'!P22,"TT.MM. hh:mm:ss")</f>
        <v>#N/A</v>
      </c>
      <c r="E12" s="133" t="e">
        <f>TEXT('Construction Planner'!M22,"[h]:mm:ss")</f>
        <v>#N/A</v>
      </c>
      <c r="F12" s="133" t="e">
        <f>TEXT('Construction Planner'!N23,"TT.MM. hh:mm:ss")</f>
        <v>#N/A</v>
      </c>
      <c r="G12" t="e">
        <f t="shared" si="1"/>
        <v>#N/A</v>
      </c>
      <c r="K12">
        <f>IF($F$1="Off",'Construction Planner'!DK22,'Construction Planner'!DI23)</f>
        <v>0</v>
      </c>
      <c r="L12">
        <f>IF($F$1="Off",'Construction Planner'!DN22,'Construction Planner'!DJ23)</f>
        <v>0</v>
      </c>
      <c r="M12">
        <f>IF($F$1="Off",'Construction Planner'!DQ22,'Construction Planner'!DL23)</f>
        <v>0</v>
      </c>
      <c r="N12" t="s">
        <v>1</v>
      </c>
      <c r="O12" t="s">
        <v>168</v>
      </c>
      <c r="P12" s="326" t="e">
        <f t="shared" si="0"/>
        <v>#N/A</v>
      </c>
      <c r="Q12" t="e">
        <f t="shared" si="2"/>
        <v>#N/A</v>
      </c>
    </row>
    <row r="13" spans="2:17" x14ac:dyDescent="0.25">
      <c r="B13" t="e">
        <f>IF($C$1="Deutsch",VLOOKUP('Construction Planner'!J23,$N$4:$O$20,2,FALSE),'Construction Planner'!J23)</f>
        <v>#N/A</v>
      </c>
      <c r="C13" t="e">
        <f>'Construction Planner'!L23</f>
        <v>#N/A</v>
      </c>
      <c r="D13" s="133" t="e">
        <f>TEXT('Construction Planner'!P23,"TT.MM. hh:mm:ss")</f>
        <v>#N/A</v>
      </c>
      <c r="E13" s="133" t="e">
        <f>TEXT('Construction Planner'!M23,"[h]:mm:ss")</f>
        <v>#N/A</v>
      </c>
      <c r="F13" s="133" t="e">
        <f>TEXT('Construction Planner'!N24,"TT.MM. hh:mm:ss")</f>
        <v>#N/A</v>
      </c>
      <c r="G13" t="e">
        <f t="shared" si="1"/>
        <v>#N/A</v>
      </c>
      <c r="K13">
        <f>IF($F$1="Off",'Construction Planner'!DK23,'Construction Planner'!DI24)</f>
        <v>0</v>
      </c>
      <c r="L13">
        <f>IF($F$1="Off",'Construction Planner'!DN23,'Construction Planner'!DJ24)</f>
        <v>0</v>
      </c>
      <c r="M13">
        <f>IF($F$1="Off",'Construction Planner'!DQ23,'Construction Planner'!DL24)</f>
        <v>0</v>
      </c>
      <c r="N13" t="s">
        <v>3</v>
      </c>
      <c r="O13" t="s">
        <v>170</v>
      </c>
      <c r="P13" s="326" t="e">
        <f t="shared" si="0"/>
        <v>#N/A</v>
      </c>
      <c r="Q13" t="e">
        <f t="shared" si="2"/>
        <v>#N/A</v>
      </c>
    </row>
    <row r="14" spans="2:17" x14ac:dyDescent="0.25">
      <c r="B14" t="e">
        <f>IF($C$1="Deutsch",VLOOKUP('Construction Planner'!J24,$N$4:$O$20,2,FALSE),'Construction Planner'!J24)</f>
        <v>#N/A</v>
      </c>
      <c r="C14" t="e">
        <f>'Construction Planner'!L24</f>
        <v>#N/A</v>
      </c>
      <c r="D14" s="133" t="e">
        <f>TEXT('Construction Planner'!P24,"TT.MM. hh:mm:ss")</f>
        <v>#N/A</v>
      </c>
      <c r="E14" s="133" t="e">
        <f>TEXT('Construction Planner'!M24,"[h]:mm:ss")</f>
        <v>#N/A</v>
      </c>
      <c r="F14" s="133" t="e">
        <f>TEXT('Construction Planner'!N25,"TT.MM. hh:mm:ss")</f>
        <v>#N/A</v>
      </c>
      <c r="G14" t="e">
        <f t="shared" si="1"/>
        <v>#N/A</v>
      </c>
      <c r="K14">
        <f>IF($F$1="Off",'Construction Planner'!DK24,'Construction Planner'!DI25)</f>
        <v>0</v>
      </c>
      <c r="L14">
        <f>IF($F$1="Off",'Construction Planner'!DN24,'Construction Planner'!DJ25)</f>
        <v>0</v>
      </c>
      <c r="M14">
        <f>IF($F$1="Off",'Construction Planner'!DQ24,'Construction Planner'!DL25)</f>
        <v>0</v>
      </c>
      <c r="N14" t="s">
        <v>2</v>
      </c>
      <c r="O14" t="s">
        <v>169</v>
      </c>
      <c r="P14" s="326" t="e">
        <f t="shared" si="0"/>
        <v>#N/A</v>
      </c>
      <c r="Q14" t="e">
        <f t="shared" si="2"/>
        <v>#N/A</v>
      </c>
    </row>
    <row r="15" spans="2:17" x14ac:dyDescent="0.25">
      <c r="B15" t="e">
        <f>IF($C$1="Deutsch",VLOOKUP('Construction Planner'!J25,$N$4:$O$20,2,FALSE),'Construction Planner'!J25)</f>
        <v>#N/A</v>
      </c>
      <c r="C15" t="e">
        <f>'Construction Planner'!L25</f>
        <v>#N/A</v>
      </c>
      <c r="D15" s="133" t="e">
        <f>TEXT('Construction Planner'!P25,"TT.MM. hh:mm:ss")</f>
        <v>#N/A</v>
      </c>
      <c r="E15" s="133" t="e">
        <f>TEXT('Construction Planner'!M25,"[h]:mm:ss")</f>
        <v>#N/A</v>
      </c>
      <c r="F15" s="133" t="e">
        <f>TEXT('Construction Planner'!N26,"TT.MM. hh:mm:ss")</f>
        <v>#N/A</v>
      </c>
      <c r="G15" t="e">
        <f t="shared" si="1"/>
        <v>#N/A</v>
      </c>
      <c r="K15">
        <f>IF($F$1="Off",'Construction Planner'!DK25,'Construction Planner'!DI26)</f>
        <v>0</v>
      </c>
      <c r="L15">
        <f>IF($F$1="Off",'Construction Planner'!DN25,'Construction Planner'!DJ26)</f>
        <v>0</v>
      </c>
      <c r="M15">
        <f>IF($F$1="Off",'Construction Planner'!DQ25,'Construction Planner'!DL26)</f>
        <v>0</v>
      </c>
      <c r="N15" t="s">
        <v>142</v>
      </c>
      <c r="O15" t="s">
        <v>349</v>
      </c>
      <c r="P15" s="326" t="e">
        <f t="shared" si="0"/>
        <v>#N/A</v>
      </c>
      <c r="Q15" t="e">
        <f t="shared" si="2"/>
        <v>#N/A</v>
      </c>
    </row>
    <row r="16" spans="2:17" x14ac:dyDescent="0.25">
      <c r="B16" t="e">
        <f>IF($C$1="Deutsch",VLOOKUP('Construction Planner'!J26,$N$4:$O$20,2,FALSE),'Construction Planner'!J26)</f>
        <v>#N/A</v>
      </c>
      <c r="C16" t="e">
        <f>'Construction Planner'!L26</f>
        <v>#N/A</v>
      </c>
      <c r="D16" s="133" t="e">
        <f>TEXT('Construction Planner'!P26,"TT.MM. hh:mm:ss")</f>
        <v>#N/A</v>
      </c>
      <c r="E16" s="133" t="e">
        <f>TEXT('Construction Planner'!M26,"[h]:mm:ss")</f>
        <v>#N/A</v>
      </c>
      <c r="F16" s="133" t="e">
        <f>TEXT('Construction Planner'!N27,"TT.MM. hh:mm:ss")</f>
        <v>#N/A</v>
      </c>
      <c r="G16" t="e">
        <f t="shared" si="1"/>
        <v>#N/A</v>
      </c>
      <c r="K16">
        <f>IF($F$1="Off",'Construction Planner'!DK26,'Construction Planner'!DI27)</f>
        <v>0</v>
      </c>
      <c r="L16">
        <f>IF($F$1="Off",'Construction Planner'!DN26,'Construction Planner'!DJ27)</f>
        <v>0</v>
      </c>
      <c r="M16">
        <f>IF($F$1="Off",'Construction Planner'!DQ26,'Construction Planner'!DL27)</f>
        <v>0</v>
      </c>
      <c r="N16" t="s">
        <v>106</v>
      </c>
      <c r="O16" t="s">
        <v>350</v>
      </c>
      <c r="P16" s="326" t="e">
        <f t="shared" si="0"/>
        <v>#N/A</v>
      </c>
      <c r="Q16" t="e">
        <f t="shared" si="2"/>
        <v>#N/A</v>
      </c>
    </row>
    <row r="17" spans="2:17" x14ac:dyDescent="0.25">
      <c r="B17" t="e">
        <f>IF($C$1="Deutsch",VLOOKUP('Construction Planner'!J27,$N$4:$O$20,2,FALSE),'Construction Planner'!J27)</f>
        <v>#N/A</v>
      </c>
      <c r="C17" t="e">
        <f>'Construction Planner'!L27</f>
        <v>#N/A</v>
      </c>
      <c r="D17" s="133" t="e">
        <f>TEXT('Construction Planner'!P27,"TT.MM. hh:mm:ss")</f>
        <v>#N/A</v>
      </c>
      <c r="E17" s="133" t="e">
        <f>TEXT('Construction Planner'!M27,"[h]:mm:ss")</f>
        <v>#N/A</v>
      </c>
      <c r="F17" s="133" t="e">
        <f>TEXT('Construction Planner'!N28,"TT.MM. hh:mm:ss")</f>
        <v>#N/A</v>
      </c>
      <c r="G17" t="e">
        <f t="shared" ref="G17:G80" si="3">CONCATENATE("[*]",B17,"[|]",C17,"[|]",D17,"[|]",E17,"[|]",F17,"[|]",K17,"[|]",L17,"[|]",M17)</f>
        <v>#N/A</v>
      </c>
      <c r="K17">
        <f>IF($F$1="Off",'Construction Planner'!DK27,'Construction Planner'!DI28)</f>
        <v>0</v>
      </c>
      <c r="L17">
        <f>IF($F$1="Off",'Construction Planner'!DN27,'Construction Planner'!DJ28)</f>
        <v>0</v>
      </c>
      <c r="M17">
        <f>IF($F$1="Off",'Construction Planner'!DQ27,'Construction Planner'!DL28)</f>
        <v>0</v>
      </c>
      <c r="N17" t="s">
        <v>107</v>
      </c>
      <c r="O17" t="s">
        <v>205</v>
      </c>
      <c r="P17" s="326" t="e">
        <f t="shared" si="0"/>
        <v>#N/A</v>
      </c>
      <c r="Q17" t="e">
        <f t="shared" si="2"/>
        <v>#N/A</v>
      </c>
    </row>
    <row r="18" spans="2:17" x14ac:dyDescent="0.25">
      <c r="B18" t="e">
        <f>IF($C$1="Deutsch",VLOOKUP('Construction Planner'!J28,$N$4:$O$20,2,FALSE),'Construction Planner'!J28)</f>
        <v>#N/A</v>
      </c>
      <c r="C18" t="e">
        <f>'Construction Planner'!L28</f>
        <v>#N/A</v>
      </c>
      <c r="D18" s="133" t="e">
        <f>TEXT('Construction Planner'!P28,"TT.MM. hh:mm:ss")</f>
        <v>#N/A</v>
      </c>
      <c r="E18" s="133" t="e">
        <f>TEXT('Construction Planner'!M28,"[h]:mm:ss")</f>
        <v>#N/A</v>
      </c>
      <c r="F18" s="133" t="e">
        <f>TEXT('Construction Planner'!N29,"TT.MM. hh:mm:ss")</f>
        <v>#N/A</v>
      </c>
      <c r="G18" t="e">
        <f t="shared" si="3"/>
        <v>#N/A</v>
      </c>
      <c r="K18">
        <f>IF($F$1="Off",'Construction Planner'!DK28,'Construction Planner'!DI29)</f>
        <v>0</v>
      </c>
      <c r="L18">
        <f>IF($F$1="Off",'Construction Planner'!DN28,'Construction Planner'!DJ29)</f>
        <v>0</v>
      </c>
      <c r="M18">
        <f>IF($F$1="Off",'Construction Planner'!DQ28,'Construction Planner'!DL29)</f>
        <v>0</v>
      </c>
      <c r="N18" t="s">
        <v>64</v>
      </c>
      <c r="O18" t="s">
        <v>352</v>
      </c>
      <c r="P18" s="326" t="e">
        <f t="shared" si="0"/>
        <v>#N/A</v>
      </c>
      <c r="Q18" t="e">
        <f t="shared" si="2"/>
        <v>#N/A</v>
      </c>
    </row>
    <row r="19" spans="2:17" x14ac:dyDescent="0.25">
      <c r="B19" t="e">
        <f>IF($C$1="Deutsch",VLOOKUP('Construction Planner'!J29,$N$4:$O$20,2,FALSE),'Construction Planner'!J29)</f>
        <v>#N/A</v>
      </c>
      <c r="C19" t="e">
        <f>'Construction Planner'!L29</f>
        <v>#N/A</v>
      </c>
      <c r="D19" s="133" t="e">
        <f>TEXT('Construction Planner'!P29,"TT.MM. hh:mm:ss")</f>
        <v>#N/A</v>
      </c>
      <c r="E19" s="133" t="e">
        <f>TEXT('Construction Planner'!M29,"[h]:mm:ss")</f>
        <v>#N/A</v>
      </c>
      <c r="F19" s="133" t="e">
        <f>TEXT('Construction Planner'!N30,"TT.MM. hh:mm:ss")</f>
        <v>#N/A</v>
      </c>
      <c r="G19" t="e">
        <f t="shared" si="3"/>
        <v>#N/A</v>
      </c>
      <c r="K19">
        <f>IF($F$1="Off",'Construction Planner'!DK29,'Construction Planner'!DI30)</f>
        <v>0</v>
      </c>
      <c r="L19">
        <f>IF($F$1="Off",'Construction Planner'!DN29,'Construction Planner'!DJ30)</f>
        <v>0</v>
      </c>
      <c r="M19">
        <f>IF($F$1="Off",'Construction Planner'!DQ29,'Construction Planner'!DL30)</f>
        <v>0</v>
      </c>
      <c r="N19" t="s">
        <v>60</v>
      </c>
      <c r="O19" t="s">
        <v>353</v>
      </c>
      <c r="P19" s="326" t="e">
        <f t="shared" si="0"/>
        <v>#N/A</v>
      </c>
      <c r="Q19" t="e">
        <f t="shared" si="2"/>
        <v>#N/A</v>
      </c>
    </row>
    <row r="20" spans="2:17" x14ac:dyDescent="0.25">
      <c r="B20" t="e">
        <f>IF($C$1="Deutsch",VLOOKUP('Construction Planner'!J30,$N$4:$O$20,2,FALSE),'Construction Planner'!J30)</f>
        <v>#N/A</v>
      </c>
      <c r="C20" t="e">
        <f>'Construction Planner'!L30</f>
        <v>#N/A</v>
      </c>
      <c r="D20" s="133" t="e">
        <f>TEXT('Construction Planner'!P30,"TT.MM. hh:mm:ss")</f>
        <v>#N/A</v>
      </c>
      <c r="E20" s="133" t="e">
        <f>TEXT('Construction Planner'!M30,"[h]:mm:ss")</f>
        <v>#N/A</v>
      </c>
      <c r="F20" s="133" t="e">
        <f>TEXT('Construction Planner'!N31,"TT.MM. hh:mm:ss")</f>
        <v>#N/A</v>
      </c>
      <c r="G20" t="e">
        <f t="shared" si="3"/>
        <v>#N/A</v>
      </c>
      <c r="K20">
        <f>IF($F$1="Off",'Construction Planner'!DK30,'Construction Planner'!DI31)</f>
        <v>0</v>
      </c>
      <c r="L20">
        <f>IF($F$1="Off",'Construction Planner'!DN30,'Construction Planner'!DJ31)</f>
        <v>0</v>
      </c>
      <c r="M20">
        <f>IF($F$1="Off",'Construction Planner'!DQ30,'Construction Planner'!DL31)</f>
        <v>0</v>
      </c>
      <c r="N20" t="s">
        <v>59</v>
      </c>
      <c r="O20" t="s">
        <v>354</v>
      </c>
      <c r="P20" s="326" t="e">
        <f t="shared" si="0"/>
        <v>#N/A</v>
      </c>
      <c r="Q20" t="e">
        <f t="shared" si="2"/>
        <v>#N/A</v>
      </c>
    </row>
    <row r="21" spans="2:17" x14ac:dyDescent="0.25">
      <c r="B21" t="e">
        <f>IF($C$1="Deutsch",VLOOKUP('Construction Planner'!J31,$N$4:$O$20,2,FALSE),'Construction Planner'!J31)</f>
        <v>#N/A</v>
      </c>
      <c r="C21" t="e">
        <f>'Construction Planner'!L31</f>
        <v>#N/A</v>
      </c>
      <c r="D21" s="133" t="e">
        <f>TEXT('Construction Planner'!P31,"TT.MM. hh:mm:ss")</f>
        <v>#N/A</v>
      </c>
      <c r="E21" s="133" t="e">
        <f>TEXT('Construction Planner'!M31,"[h]:mm:ss")</f>
        <v>#N/A</v>
      </c>
      <c r="F21" s="133" t="e">
        <f>TEXT('Construction Planner'!N32,"TT.MM. hh:mm:ss")</f>
        <v>#N/A</v>
      </c>
      <c r="G21" t="e">
        <f t="shared" si="3"/>
        <v>#N/A</v>
      </c>
      <c r="K21">
        <f>IF($F$1="Off",'Construction Planner'!DK31,'Construction Planner'!DI32)</f>
        <v>0</v>
      </c>
      <c r="L21">
        <f>IF($F$1="Off",'Construction Planner'!DN31,'Construction Planner'!DJ32)</f>
        <v>0</v>
      </c>
      <c r="M21">
        <f>IF($F$1="Off",'Construction Planner'!DQ31,'Construction Planner'!DL32)</f>
        <v>0</v>
      </c>
      <c r="P21" s="326" t="e">
        <f t="shared" si="0"/>
        <v>#N/A</v>
      </c>
      <c r="Q21" t="e">
        <f t="shared" si="2"/>
        <v>#N/A</v>
      </c>
    </row>
    <row r="22" spans="2:17" x14ac:dyDescent="0.25">
      <c r="B22" t="e">
        <f>IF($C$1="Deutsch",VLOOKUP('Construction Planner'!J32,$N$4:$O$20,2,FALSE),'Construction Planner'!J32)</f>
        <v>#N/A</v>
      </c>
      <c r="C22" t="e">
        <f>'Construction Planner'!L32</f>
        <v>#N/A</v>
      </c>
      <c r="D22" s="133" t="e">
        <f>TEXT('Construction Planner'!P32,"TT.MM. hh:mm:ss")</f>
        <v>#N/A</v>
      </c>
      <c r="E22" s="133" t="e">
        <f>TEXT('Construction Planner'!M32,"[h]:mm:ss")</f>
        <v>#N/A</v>
      </c>
      <c r="F22" s="133" t="e">
        <f>TEXT('Construction Planner'!N33,"TT.MM. hh:mm:ss")</f>
        <v>#N/A</v>
      </c>
      <c r="G22" t="e">
        <f t="shared" si="3"/>
        <v>#N/A</v>
      </c>
      <c r="K22">
        <f>IF($F$1="Off",'Construction Planner'!DK32,'Construction Planner'!DI33)</f>
        <v>0</v>
      </c>
      <c r="L22">
        <f>IF($F$1="Off",'Construction Planner'!DN32,'Construction Planner'!DJ33)</f>
        <v>0</v>
      </c>
      <c r="M22">
        <f>IF($F$1="Off",'Construction Planner'!DQ32,'Construction Planner'!DL33)</f>
        <v>0</v>
      </c>
      <c r="P22" s="326" t="e">
        <f t="shared" si="0"/>
        <v>#N/A</v>
      </c>
      <c r="Q22" t="e">
        <f t="shared" si="2"/>
        <v>#N/A</v>
      </c>
    </row>
    <row r="23" spans="2:17" x14ac:dyDescent="0.25">
      <c r="B23" t="e">
        <f>IF($C$1="Deutsch",VLOOKUP('Construction Planner'!J33,$N$4:$O$20,2,FALSE),'Construction Planner'!J33)</f>
        <v>#N/A</v>
      </c>
      <c r="C23" t="e">
        <f>'Construction Planner'!L33</f>
        <v>#N/A</v>
      </c>
      <c r="D23" s="133" t="e">
        <f>TEXT('Construction Planner'!P33,"TT.MM. hh:mm:ss")</f>
        <v>#N/A</v>
      </c>
      <c r="E23" s="133" t="e">
        <f>TEXT('Construction Planner'!M33,"[h]:mm:ss")</f>
        <v>#N/A</v>
      </c>
      <c r="F23" s="133" t="e">
        <f>TEXT('Construction Planner'!N34,"TT.MM. hh:mm:ss")</f>
        <v>#N/A</v>
      </c>
      <c r="G23" t="e">
        <f t="shared" si="3"/>
        <v>#N/A</v>
      </c>
      <c r="K23">
        <f>IF($F$1="Off",'Construction Planner'!DK33,'Construction Planner'!DI34)</f>
        <v>0</v>
      </c>
      <c r="L23">
        <f>IF($F$1="Off",'Construction Planner'!DN33,'Construction Planner'!DJ34)</f>
        <v>0</v>
      </c>
      <c r="M23">
        <f>IF($F$1="Off",'Construction Planner'!DQ33,'Construction Planner'!DL34)</f>
        <v>0</v>
      </c>
      <c r="P23" s="326" t="e">
        <f t="shared" si="0"/>
        <v>#N/A</v>
      </c>
      <c r="Q23" t="e">
        <f t="shared" si="2"/>
        <v>#N/A</v>
      </c>
    </row>
    <row r="24" spans="2:17" x14ac:dyDescent="0.25">
      <c r="B24" t="e">
        <f>IF($C$1="Deutsch",VLOOKUP('Construction Planner'!J34,$N$4:$O$20,2,FALSE),'Construction Planner'!J34)</f>
        <v>#N/A</v>
      </c>
      <c r="C24" t="e">
        <f>'Construction Planner'!L34</f>
        <v>#N/A</v>
      </c>
      <c r="D24" s="133" t="e">
        <f>TEXT('Construction Planner'!P34,"TT.MM. hh:mm:ss")</f>
        <v>#N/A</v>
      </c>
      <c r="E24" s="133" t="e">
        <f>TEXT('Construction Planner'!M34,"[h]:mm:ss")</f>
        <v>#N/A</v>
      </c>
      <c r="F24" s="133" t="e">
        <f>TEXT('Construction Planner'!N35,"TT.MM. hh:mm:ss")</f>
        <v>#N/A</v>
      </c>
      <c r="G24" t="e">
        <f t="shared" si="3"/>
        <v>#N/A</v>
      </c>
      <c r="K24">
        <f>IF($F$1="Off",'Construction Planner'!DK34,'Construction Planner'!DI35)</f>
        <v>0</v>
      </c>
      <c r="L24">
        <f>IF($F$1="Off",'Construction Planner'!DN34,'Construction Planner'!DJ35)</f>
        <v>0</v>
      </c>
      <c r="M24">
        <f>IF($F$1="Off",'Construction Planner'!DQ34,'Construction Planner'!DL35)</f>
        <v>0</v>
      </c>
      <c r="P24" s="326" t="e">
        <f t="shared" si="0"/>
        <v>#N/A</v>
      </c>
      <c r="Q24" t="e">
        <f t="shared" si="2"/>
        <v>#N/A</v>
      </c>
    </row>
    <row r="25" spans="2:17" x14ac:dyDescent="0.25">
      <c r="B25" t="e">
        <f>IF($C$1="Deutsch",VLOOKUP('Construction Planner'!J35,$N$4:$O$20,2,FALSE),'Construction Planner'!J35)</f>
        <v>#N/A</v>
      </c>
      <c r="C25" t="e">
        <f>'Construction Planner'!L35</f>
        <v>#N/A</v>
      </c>
      <c r="D25" s="133" t="e">
        <f>TEXT('Construction Planner'!P35,"TT.MM. hh:mm:ss")</f>
        <v>#N/A</v>
      </c>
      <c r="E25" s="133" t="e">
        <f>TEXT('Construction Planner'!M35,"[h]:mm:ss")</f>
        <v>#N/A</v>
      </c>
      <c r="F25" s="133" t="e">
        <f>TEXT('Construction Planner'!N36,"TT.MM. hh:mm:ss")</f>
        <v>#N/A</v>
      </c>
      <c r="G25" t="e">
        <f t="shared" si="3"/>
        <v>#N/A</v>
      </c>
      <c r="K25">
        <f>IF($F$1="Off",'Construction Planner'!DK35,'Construction Planner'!DI36)</f>
        <v>0</v>
      </c>
      <c r="L25">
        <f>IF($F$1="Off",'Construction Planner'!DN35,'Construction Planner'!DJ36)</f>
        <v>0</v>
      </c>
      <c r="M25">
        <f>IF($F$1="Off",'Construction Planner'!DQ35,'Construction Planner'!DL36)</f>
        <v>0</v>
      </c>
      <c r="P25" s="326" t="e">
        <f t="shared" si="0"/>
        <v>#N/A</v>
      </c>
      <c r="Q25" t="e">
        <f t="shared" si="2"/>
        <v>#N/A</v>
      </c>
    </row>
    <row r="26" spans="2:17" x14ac:dyDescent="0.25">
      <c r="B26" t="e">
        <f>IF($C$1="Deutsch",VLOOKUP('Construction Planner'!J36,$N$4:$O$20,2,FALSE),'Construction Planner'!J36)</f>
        <v>#N/A</v>
      </c>
      <c r="C26" t="e">
        <f>'Construction Planner'!L36</f>
        <v>#N/A</v>
      </c>
      <c r="D26" s="133" t="e">
        <f>TEXT('Construction Planner'!P36,"TT.MM. hh:mm:ss")</f>
        <v>#N/A</v>
      </c>
      <c r="E26" s="133" t="e">
        <f>TEXT('Construction Planner'!M36,"[h]:mm:ss")</f>
        <v>#N/A</v>
      </c>
      <c r="F26" s="133" t="e">
        <f>TEXT('Construction Planner'!N37,"TT.MM. hh:mm:ss")</f>
        <v>#N/A</v>
      </c>
      <c r="G26" t="e">
        <f t="shared" si="3"/>
        <v>#N/A</v>
      </c>
      <c r="K26">
        <f>IF($F$1="Off",'Construction Planner'!DK36,'Construction Planner'!DI37)</f>
        <v>0</v>
      </c>
      <c r="L26">
        <f>IF($F$1="Off",'Construction Planner'!DN36,'Construction Planner'!DJ37)</f>
        <v>0</v>
      </c>
      <c r="M26">
        <f>IF($F$1="Off",'Construction Planner'!DQ36,'Construction Planner'!DL37)</f>
        <v>0</v>
      </c>
      <c r="P26" s="326" t="e">
        <f t="shared" si="0"/>
        <v>#N/A</v>
      </c>
      <c r="Q26" t="e">
        <f t="shared" si="2"/>
        <v>#N/A</v>
      </c>
    </row>
    <row r="27" spans="2:17" x14ac:dyDescent="0.25">
      <c r="B27" t="e">
        <f>IF($C$1="Deutsch",VLOOKUP('Construction Planner'!J37,$N$4:$O$20,2,FALSE),'Construction Planner'!J37)</f>
        <v>#N/A</v>
      </c>
      <c r="C27" t="e">
        <f>'Construction Planner'!L37</f>
        <v>#N/A</v>
      </c>
      <c r="D27" s="133" t="e">
        <f>TEXT('Construction Planner'!P37,"TT.MM. hh:mm:ss")</f>
        <v>#N/A</v>
      </c>
      <c r="E27" s="133" t="e">
        <f>TEXT('Construction Planner'!M37,"[h]:mm:ss")</f>
        <v>#N/A</v>
      </c>
      <c r="F27" s="133" t="e">
        <f>TEXT('Construction Planner'!N38,"TT.MM. hh:mm:ss")</f>
        <v>#N/A</v>
      </c>
      <c r="G27" t="e">
        <f t="shared" si="3"/>
        <v>#N/A</v>
      </c>
      <c r="K27">
        <f>IF($F$1="Off",'Construction Planner'!DK37,'Construction Planner'!DI38)</f>
        <v>0</v>
      </c>
      <c r="L27">
        <f>IF($F$1="Off",'Construction Planner'!DN37,'Construction Planner'!DJ38)</f>
        <v>0</v>
      </c>
      <c r="M27">
        <f>IF($F$1="Off",'Construction Planner'!DQ37,'Construction Planner'!DL38)</f>
        <v>0</v>
      </c>
      <c r="P27" s="326" t="e">
        <f t="shared" si="0"/>
        <v>#N/A</v>
      </c>
      <c r="Q27" t="e">
        <f t="shared" si="2"/>
        <v>#N/A</v>
      </c>
    </row>
    <row r="28" spans="2:17" x14ac:dyDescent="0.25">
      <c r="B28" t="e">
        <f>IF($C$1="Deutsch",VLOOKUP('Construction Planner'!J38,$N$4:$O$20,2,FALSE),'Construction Planner'!J38)</f>
        <v>#N/A</v>
      </c>
      <c r="C28" t="e">
        <f>'Construction Planner'!L38</f>
        <v>#N/A</v>
      </c>
      <c r="D28" s="133" t="e">
        <f>TEXT('Construction Planner'!P38,"TT.MM. hh:mm:ss")</f>
        <v>#N/A</v>
      </c>
      <c r="E28" s="133" t="e">
        <f>TEXT('Construction Planner'!M38,"[h]:mm:ss")</f>
        <v>#N/A</v>
      </c>
      <c r="F28" s="133" t="e">
        <f>TEXT('Construction Planner'!N39,"TT.MM. hh:mm:ss")</f>
        <v>#N/A</v>
      </c>
      <c r="G28" t="e">
        <f t="shared" si="3"/>
        <v>#N/A</v>
      </c>
      <c r="K28">
        <f>IF($F$1="Off",'Construction Planner'!DK38,'Construction Planner'!DI39)</f>
        <v>0</v>
      </c>
      <c r="L28">
        <f>IF($F$1="Off",'Construction Planner'!DN38,'Construction Planner'!DJ39)</f>
        <v>0</v>
      </c>
      <c r="M28">
        <f>IF($F$1="Off",'Construction Planner'!DQ38,'Construction Planner'!DL39)</f>
        <v>0</v>
      </c>
      <c r="P28" s="326" t="e">
        <f t="shared" si="0"/>
        <v>#N/A</v>
      </c>
      <c r="Q28" t="e">
        <f t="shared" si="2"/>
        <v>#N/A</v>
      </c>
    </row>
    <row r="29" spans="2:17" x14ac:dyDescent="0.25">
      <c r="B29" t="e">
        <f>IF($C$1="Deutsch",VLOOKUP('Construction Planner'!J39,$N$4:$O$20,2,FALSE),'Construction Planner'!J39)</f>
        <v>#N/A</v>
      </c>
      <c r="C29" t="e">
        <f>'Construction Planner'!L39</f>
        <v>#N/A</v>
      </c>
      <c r="D29" s="133" t="e">
        <f>TEXT('Construction Planner'!P39,"TT.MM. hh:mm:ss")</f>
        <v>#N/A</v>
      </c>
      <c r="E29" s="133" t="e">
        <f>TEXT('Construction Planner'!M39,"[h]:mm:ss")</f>
        <v>#N/A</v>
      </c>
      <c r="F29" s="133" t="e">
        <f>TEXT('Construction Planner'!N40,"TT.MM. hh:mm:ss")</f>
        <v>#N/A</v>
      </c>
      <c r="G29" t="e">
        <f t="shared" si="3"/>
        <v>#N/A</v>
      </c>
      <c r="K29">
        <f>IF($F$1="Off",'Construction Planner'!DK39,'Construction Planner'!DI40)</f>
        <v>0</v>
      </c>
      <c r="L29">
        <f>IF($F$1="Off",'Construction Planner'!DN39,'Construction Planner'!DJ40)</f>
        <v>0</v>
      </c>
      <c r="M29">
        <f>IF($F$1="Off",'Construction Planner'!DQ39,'Construction Planner'!DL40)</f>
        <v>0</v>
      </c>
      <c r="P29" s="326" t="e">
        <f t="shared" si="0"/>
        <v>#N/A</v>
      </c>
      <c r="Q29" t="e">
        <f t="shared" si="2"/>
        <v>#N/A</v>
      </c>
    </row>
    <row r="30" spans="2:17" x14ac:dyDescent="0.25">
      <c r="B30" t="e">
        <f>IF($C$1="Deutsch",VLOOKUP('Construction Planner'!J40,$N$4:$O$20,2,FALSE),'Construction Planner'!J40)</f>
        <v>#N/A</v>
      </c>
      <c r="C30" t="e">
        <f>'Construction Planner'!L40</f>
        <v>#N/A</v>
      </c>
      <c r="D30" s="133" t="e">
        <f>TEXT('Construction Planner'!P40,"TT.MM. hh:mm:ss")</f>
        <v>#N/A</v>
      </c>
      <c r="E30" s="133" t="e">
        <f>TEXT('Construction Planner'!M40,"[h]:mm:ss")</f>
        <v>#N/A</v>
      </c>
      <c r="F30" s="133" t="e">
        <f>TEXT('Construction Planner'!N41,"TT.MM. hh:mm:ss")</f>
        <v>#N/A</v>
      </c>
      <c r="G30" t="e">
        <f t="shared" si="3"/>
        <v>#N/A</v>
      </c>
      <c r="K30">
        <f>IF($F$1="Off",'Construction Planner'!DK40,'Construction Planner'!DI41)</f>
        <v>0</v>
      </c>
      <c r="L30">
        <f>IF($F$1="Off",'Construction Planner'!DN40,'Construction Planner'!DJ41)</f>
        <v>0</v>
      </c>
      <c r="M30">
        <f>IF($F$1="Off",'Construction Planner'!DQ40,'Construction Planner'!DL41)</f>
        <v>0</v>
      </c>
      <c r="P30" s="326" t="e">
        <f t="shared" si="0"/>
        <v>#N/A</v>
      </c>
      <c r="Q30" t="e">
        <f t="shared" si="2"/>
        <v>#N/A</v>
      </c>
    </row>
    <row r="31" spans="2:17" x14ac:dyDescent="0.25">
      <c r="B31" t="e">
        <f>IF($C$1="Deutsch",VLOOKUP('Construction Planner'!J41,$N$4:$O$20,2,FALSE),'Construction Planner'!J41)</f>
        <v>#N/A</v>
      </c>
      <c r="C31" t="e">
        <f>'Construction Planner'!L41</f>
        <v>#N/A</v>
      </c>
      <c r="D31" s="133" t="e">
        <f>TEXT('Construction Planner'!P41,"TT.MM. hh:mm:ss")</f>
        <v>#N/A</v>
      </c>
      <c r="E31" s="133" t="e">
        <f>TEXT('Construction Planner'!M41,"[h]:mm:ss")</f>
        <v>#N/A</v>
      </c>
      <c r="F31" s="133" t="e">
        <f>TEXT('Construction Planner'!N42,"TT.MM. hh:mm:ss")</f>
        <v>#N/A</v>
      </c>
      <c r="G31" t="e">
        <f t="shared" si="3"/>
        <v>#N/A</v>
      </c>
      <c r="K31">
        <f>IF($F$1="Off",'Construction Planner'!DK41,'Construction Planner'!DI42)</f>
        <v>0</v>
      </c>
      <c r="L31">
        <f>IF($F$1="Off",'Construction Planner'!DN41,'Construction Planner'!DJ42)</f>
        <v>0</v>
      </c>
      <c r="M31">
        <f>IF($F$1="Off",'Construction Planner'!DQ41,'Construction Planner'!DL42)</f>
        <v>0</v>
      </c>
      <c r="P31" s="326" t="e">
        <f t="shared" si="0"/>
        <v>#N/A</v>
      </c>
      <c r="Q31" t="e">
        <f t="shared" si="2"/>
        <v>#N/A</v>
      </c>
    </row>
    <row r="32" spans="2:17" x14ac:dyDescent="0.25">
      <c r="B32" t="e">
        <f>IF($C$1="Deutsch",VLOOKUP('Construction Planner'!J42,$N$4:$O$20,2,FALSE),'Construction Planner'!J42)</f>
        <v>#N/A</v>
      </c>
      <c r="C32" t="e">
        <f>'Construction Planner'!L42</f>
        <v>#N/A</v>
      </c>
      <c r="D32" s="133" t="e">
        <f>TEXT('Construction Planner'!P42,"TT.MM. hh:mm:ss")</f>
        <v>#N/A</v>
      </c>
      <c r="E32" s="133" t="e">
        <f>TEXT('Construction Planner'!M42,"[h]:mm:ss")</f>
        <v>#N/A</v>
      </c>
      <c r="F32" s="133" t="e">
        <f>TEXT('Construction Planner'!N43,"TT.MM. hh:mm:ss")</f>
        <v>#N/A</v>
      </c>
      <c r="G32" t="e">
        <f t="shared" si="3"/>
        <v>#N/A</v>
      </c>
      <c r="K32">
        <f>IF($F$1="Off",'Construction Planner'!DK42,'Construction Planner'!DI43)</f>
        <v>0</v>
      </c>
      <c r="L32">
        <f>IF($F$1="Off",'Construction Planner'!DN42,'Construction Planner'!DJ43)</f>
        <v>0</v>
      </c>
      <c r="M32">
        <f>IF($F$1="Off",'Construction Planner'!DQ42,'Construction Planner'!DL43)</f>
        <v>0</v>
      </c>
      <c r="P32" s="326" t="e">
        <f t="shared" si="0"/>
        <v>#N/A</v>
      </c>
      <c r="Q32" t="e">
        <f t="shared" si="2"/>
        <v>#N/A</v>
      </c>
    </row>
    <row r="33" spans="2:17" x14ac:dyDescent="0.25">
      <c r="B33" t="e">
        <f>IF($C$1="Deutsch",VLOOKUP('Construction Planner'!J43,$N$4:$O$20,2,FALSE),'Construction Planner'!J43)</f>
        <v>#N/A</v>
      </c>
      <c r="C33" t="e">
        <f>'Construction Planner'!L43</f>
        <v>#N/A</v>
      </c>
      <c r="D33" s="133" t="e">
        <f>TEXT('Construction Planner'!P43,"TT.MM. hh:mm:ss")</f>
        <v>#N/A</v>
      </c>
      <c r="E33" s="133" t="e">
        <f>TEXT('Construction Planner'!M43,"[h]:mm:ss")</f>
        <v>#N/A</v>
      </c>
      <c r="F33" s="133" t="e">
        <f>TEXT('Construction Planner'!N44,"TT.MM. hh:mm:ss")</f>
        <v>#N/A</v>
      </c>
      <c r="G33" t="e">
        <f t="shared" si="3"/>
        <v>#N/A</v>
      </c>
      <c r="K33">
        <f>IF($F$1="Off",'Construction Planner'!DK43,'Construction Planner'!DI44)</f>
        <v>0</v>
      </c>
      <c r="L33">
        <f>IF($F$1="Off",'Construction Planner'!DN43,'Construction Planner'!DJ44)</f>
        <v>0</v>
      </c>
      <c r="M33">
        <f>IF($F$1="Off",'Construction Planner'!DQ43,'Construction Planner'!DL44)</f>
        <v>0</v>
      </c>
      <c r="P33" s="326" t="e">
        <f t="shared" si="0"/>
        <v>#N/A</v>
      </c>
      <c r="Q33" t="e">
        <f t="shared" si="2"/>
        <v>#N/A</v>
      </c>
    </row>
    <row r="34" spans="2:17" x14ac:dyDescent="0.25">
      <c r="B34" t="e">
        <f>IF($C$1="Deutsch",VLOOKUP('Construction Planner'!J44,$N$4:$O$20,2,FALSE),'Construction Planner'!J44)</f>
        <v>#N/A</v>
      </c>
      <c r="C34" t="e">
        <f>'Construction Planner'!L44</f>
        <v>#N/A</v>
      </c>
      <c r="D34" s="133" t="e">
        <f>TEXT('Construction Planner'!P44,"TT.MM. hh:mm:ss")</f>
        <v>#N/A</v>
      </c>
      <c r="E34" s="133" t="e">
        <f>TEXT('Construction Planner'!M44,"[h]:mm:ss")</f>
        <v>#N/A</v>
      </c>
      <c r="F34" s="133" t="e">
        <f>TEXT('Construction Planner'!N45,"TT.MM. hh:mm:ss")</f>
        <v>#N/A</v>
      </c>
      <c r="G34" t="e">
        <f t="shared" si="3"/>
        <v>#N/A</v>
      </c>
      <c r="K34">
        <f>IF($F$1="Off",'Construction Planner'!DK44,'Construction Planner'!DI45)</f>
        <v>0</v>
      </c>
      <c r="L34">
        <f>IF($F$1="Off",'Construction Planner'!DN44,'Construction Planner'!DJ45)</f>
        <v>0</v>
      </c>
      <c r="M34">
        <f>IF($F$1="Off",'Construction Planner'!DQ44,'Construction Planner'!DL45)</f>
        <v>0</v>
      </c>
      <c r="P34" s="326" t="e">
        <f t="shared" si="0"/>
        <v>#N/A</v>
      </c>
      <c r="Q34" t="e">
        <f t="shared" si="2"/>
        <v>#N/A</v>
      </c>
    </row>
    <row r="35" spans="2:17" x14ac:dyDescent="0.25">
      <c r="B35" t="e">
        <f>IF($C$1="Deutsch",VLOOKUP('Construction Planner'!J45,$N$4:$O$20,2,FALSE),'Construction Planner'!J45)</f>
        <v>#N/A</v>
      </c>
      <c r="C35" t="e">
        <f>'Construction Planner'!L45</f>
        <v>#N/A</v>
      </c>
      <c r="D35" s="133" t="e">
        <f>TEXT('Construction Planner'!P45,"TT.MM. hh:mm:ss")</f>
        <v>#N/A</v>
      </c>
      <c r="E35" s="133" t="e">
        <f>TEXT('Construction Planner'!M45,"[h]:mm:ss")</f>
        <v>#N/A</v>
      </c>
      <c r="F35" s="133" t="e">
        <f>TEXT('Construction Planner'!N46,"TT.MM. hh:mm:ss")</f>
        <v>#N/A</v>
      </c>
      <c r="G35" t="e">
        <f t="shared" si="3"/>
        <v>#N/A</v>
      </c>
      <c r="K35">
        <f>IF($F$1="Off",'Construction Planner'!DK45,'Construction Planner'!DI46)</f>
        <v>0</v>
      </c>
      <c r="L35">
        <f>IF($F$1="Off",'Construction Planner'!DN45,'Construction Planner'!DJ46)</f>
        <v>0</v>
      </c>
      <c r="M35">
        <f>IF($F$1="Off",'Construction Planner'!DQ45,'Construction Planner'!DL46)</f>
        <v>0</v>
      </c>
      <c r="P35" s="326" t="e">
        <f t="shared" si="0"/>
        <v>#N/A</v>
      </c>
      <c r="Q35" t="e">
        <f t="shared" si="2"/>
        <v>#N/A</v>
      </c>
    </row>
    <row r="36" spans="2:17" x14ac:dyDescent="0.25">
      <c r="B36" t="e">
        <f>IF($C$1="Deutsch",VLOOKUP('Construction Planner'!J46,$N$4:$O$20,2,FALSE),'Construction Planner'!J46)</f>
        <v>#N/A</v>
      </c>
      <c r="C36" t="e">
        <f>'Construction Planner'!L46</f>
        <v>#N/A</v>
      </c>
      <c r="D36" s="133" t="e">
        <f>TEXT('Construction Planner'!P46,"TT.MM. hh:mm:ss")</f>
        <v>#N/A</v>
      </c>
      <c r="E36" s="133" t="e">
        <f>TEXT('Construction Planner'!M46,"[h]:mm:ss")</f>
        <v>#N/A</v>
      </c>
      <c r="F36" s="133" t="e">
        <f>TEXT('Construction Planner'!N47,"TT.MM. hh:mm:ss")</f>
        <v>#N/A</v>
      </c>
      <c r="G36" t="e">
        <f t="shared" si="3"/>
        <v>#N/A</v>
      </c>
      <c r="K36">
        <f>IF($F$1="Off",'Construction Planner'!DK46,'Construction Planner'!DI47)</f>
        <v>0</v>
      </c>
      <c r="L36">
        <f>IF($F$1="Off",'Construction Planner'!DN46,'Construction Planner'!DJ47)</f>
        <v>0</v>
      </c>
      <c r="M36">
        <f>IF($F$1="Off",'Construction Planner'!DQ46,'Construction Planner'!DL47)</f>
        <v>0</v>
      </c>
      <c r="P36" s="326" t="e">
        <f t="shared" si="0"/>
        <v>#N/A</v>
      </c>
      <c r="Q36" t="e">
        <f t="shared" si="2"/>
        <v>#N/A</v>
      </c>
    </row>
    <row r="37" spans="2:17" x14ac:dyDescent="0.25">
      <c r="B37" t="e">
        <f>IF($C$1="Deutsch",VLOOKUP('Construction Planner'!J47,$N$4:$O$20,2,FALSE),'Construction Planner'!J47)</f>
        <v>#N/A</v>
      </c>
      <c r="C37" t="e">
        <f>'Construction Planner'!L47</f>
        <v>#N/A</v>
      </c>
      <c r="D37" s="133" t="e">
        <f>TEXT('Construction Planner'!P47,"TT.MM. hh:mm:ss")</f>
        <v>#N/A</v>
      </c>
      <c r="E37" s="133" t="e">
        <f>TEXT('Construction Planner'!M47,"[h]:mm:ss")</f>
        <v>#N/A</v>
      </c>
      <c r="F37" s="133" t="e">
        <f>TEXT('Construction Planner'!N48,"TT.MM. hh:mm:ss")</f>
        <v>#N/A</v>
      </c>
      <c r="G37" t="e">
        <f t="shared" si="3"/>
        <v>#N/A</v>
      </c>
      <c r="K37">
        <f>IF($F$1="Off",'Construction Planner'!DK47,'Construction Planner'!DI48)</f>
        <v>0</v>
      </c>
      <c r="L37">
        <f>IF($F$1="Off",'Construction Planner'!DN47,'Construction Planner'!DJ48)</f>
        <v>0</v>
      </c>
      <c r="M37">
        <f>IF($F$1="Off",'Construction Planner'!DQ47,'Construction Planner'!DL48)</f>
        <v>0</v>
      </c>
      <c r="P37" s="326" t="e">
        <f t="shared" si="0"/>
        <v>#N/A</v>
      </c>
      <c r="Q37" t="e">
        <f t="shared" si="2"/>
        <v>#N/A</v>
      </c>
    </row>
    <row r="38" spans="2:17" x14ac:dyDescent="0.25">
      <c r="B38" t="e">
        <f>IF($C$1="Deutsch",VLOOKUP('Construction Planner'!J48,$N$4:$O$20,2,FALSE),'Construction Planner'!J48)</f>
        <v>#N/A</v>
      </c>
      <c r="C38" t="e">
        <f>'Construction Planner'!L48</f>
        <v>#N/A</v>
      </c>
      <c r="D38" s="133" t="e">
        <f>TEXT('Construction Planner'!P48,"TT.MM. hh:mm:ss")</f>
        <v>#N/A</v>
      </c>
      <c r="E38" s="133" t="e">
        <f>TEXT('Construction Planner'!M48,"[h]:mm:ss")</f>
        <v>#N/A</v>
      </c>
      <c r="F38" s="133" t="e">
        <f>TEXT('Construction Planner'!N49,"TT.MM. hh:mm:ss")</f>
        <v>#N/A</v>
      </c>
      <c r="G38" t="e">
        <f t="shared" si="3"/>
        <v>#N/A</v>
      </c>
      <c r="K38">
        <f>IF($F$1="Off",'Construction Planner'!DK48,'Construction Planner'!DI49)</f>
        <v>0</v>
      </c>
      <c r="L38">
        <f>IF($F$1="Off",'Construction Planner'!DN48,'Construction Planner'!DJ49)</f>
        <v>0</v>
      </c>
      <c r="M38">
        <f>IF($F$1="Off",'Construction Planner'!DQ48,'Construction Planner'!DL49)</f>
        <v>0</v>
      </c>
      <c r="P38" s="326" t="e">
        <f t="shared" si="0"/>
        <v>#N/A</v>
      </c>
      <c r="Q38" t="e">
        <f t="shared" si="2"/>
        <v>#N/A</v>
      </c>
    </row>
    <row r="39" spans="2:17" x14ac:dyDescent="0.25">
      <c r="B39" t="e">
        <f>IF($C$1="Deutsch",VLOOKUP('Construction Planner'!J49,$N$4:$O$20,2,FALSE),'Construction Planner'!J49)</f>
        <v>#N/A</v>
      </c>
      <c r="C39" t="e">
        <f>'Construction Planner'!L49</f>
        <v>#N/A</v>
      </c>
      <c r="D39" s="133" t="e">
        <f>TEXT('Construction Planner'!P49,"TT.MM. hh:mm:ss")</f>
        <v>#N/A</v>
      </c>
      <c r="E39" s="133" t="e">
        <f>TEXT('Construction Planner'!M49,"[h]:mm:ss")</f>
        <v>#N/A</v>
      </c>
      <c r="F39" s="133" t="e">
        <f>TEXT('Construction Planner'!N50,"TT.MM. hh:mm:ss")</f>
        <v>#N/A</v>
      </c>
      <c r="G39" t="e">
        <f t="shared" si="3"/>
        <v>#N/A</v>
      </c>
      <c r="K39">
        <f>IF($F$1="Off",'Construction Planner'!DK49,'Construction Planner'!DI50)</f>
        <v>0</v>
      </c>
      <c r="L39">
        <f>IF($F$1="Off",'Construction Planner'!DN49,'Construction Planner'!DJ50)</f>
        <v>0</v>
      </c>
      <c r="M39">
        <f>IF($F$1="Off",'Construction Planner'!DQ49,'Construction Planner'!DL50)</f>
        <v>0</v>
      </c>
      <c r="P39" s="326" t="e">
        <f t="shared" si="0"/>
        <v>#N/A</v>
      </c>
      <c r="Q39" t="e">
        <f t="shared" si="2"/>
        <v>#N/A</v>
      </c>
    </row>
    <row r="40" spans="2:17" x14ac:dyDescent="0.25">
      <c r="B40" t="e">
        <f>IF($C$1="Deutsch",VLOOKUP('Construction Planner'!J50,$N$4:$O$20,2,FALSE),'Construction Planner'!J50)</f>
        <v>#N/A</v>
      </c>
      <c r="C40" t="e">
        <f>'Construction Planner'!L50</f>
        <v>#N/A</v>
      </c>
      <c r="D40" s="133" t="e">
        <f>TEXT('Construction Planner'!P50,"TT.MM. hh:mm:ss")</f>
        <v>#N/A</v>
      </c>
      <c r="E40" s="133" t="e">
        <f>TEXT('Construction Planner'!M50,"[h]:mm:ss")</f>
        <v>#N/A</v>
      </c>
      <c r="F40" s="133" t="e">
        <f>TEXT('Construction Planner'!N51,"TT.MM. hh:mm:ss")</f>
        <v>#N/A</v>
      </c>
      <c r="G40" t="e">
        <f t="shared" si="3"/>
        <v>#N/A</v>
      </c>
      <c r="K40">
        <f>IF($F$1="Off",'Construction Planner'!DK50,'Construction Planner'!DI51)</f>
        <v>0</v>
      </c>
      <c r="L40">
        <f>IF($F$1="Off",'Construction Planner'!DN50,'Construction Planner'!DJ51)</f>
        <v>0</v>
      </c>
      <c r="M40">
        <f>IF($F$1="Off",'Construction Planner'!DQ50,'Construction Planner'!DL51)</f>
        <v>0</v>
      </c>
      <c r="P40" s="326" t="e">
        <f t="shared" si="0"/>
        <v>#N/A</v>
      </c>
      <c r="Q40" t="e">
        <f t="shared" si="2"/>
        <v>#N/A</v>
      </c>
    </row>
    <row r="41" spans="2:17" x14ac:dyDescent="0.25">
      <c r="B41" t="e">
        <f>IF($C$1="Deutsch",VLOOKUP('Construction Planner'!J51,$N$4:$O$20,2,FALSE),'Construction Planner'!J51)</f>
        <v>#N/A</v>
      </c>
      <c r="C41" t="e">
        <f>'Construction Planner'!L51</f>
        <v>#N/A</v>
      </c>
      <c r="D41" s="133" t="e">
        <f>TEXT('Construction Planner'!P51,"TT.MM. hh:mm:ss")</f>
        <v>#N/A</v>
      </c>
      <c r="E41" s="133" t="e">
        <f>TEXT('Construction Planner'!M51,"[h]:mm:ss")</f>
        <v>#N/A</v>
      </c>
      <c r="F41" s="133" t="e">
        <f>TEXT('Construction Planner'!N52,"TT.MM. hh:mm:ss")</f>
        <v>#N/A</v>
      </c>
      <c r="G41" t="e">
        <f t="shared" si="3"/>
        <v>#N/A</v>
      </c>
      <c r="K41">
        <f>IF($F$1="Off",'Construction Planner'!DK51,'Construction Planner'!DI52)</f>
        <v>0</v>
      </c>
      <c r="L41">
        <f>IF($F$1="Off",'Construction Planner'!DN51,'Construction Planner'!DJ52)</f>
        <v>0</v>
      </c>
      <c r="M41">
        <f>IF($F$1="Off",'Construction Planner'!DQ51,'Construction Planner'!DL52)</f>
        <v>0</v>
      </c>
      <c r="P41" s="326" t="e">
        <f t="shared" si="0"/>
        <v>#N/A</v>
      </c>
      <c r="Q41" t="e">
        <f t="shared" si="2"/>
        <v>#N/A</v>
      </c>
    </row>
    <row r="42" spans="2:17" x14ac:dyDescent="0.25">
      <c r="B42" t="e">
        <f>IF($C$1="Deutsch",VLOOKUP('Construction Planner'!J52,$N$4:$O$20,2,FALSE),'Construction Planner'!J52)</f>
        <v>#N/A</v>
      </c>
      <c r="C42" t="e">
        <f>'Construction Planner'!L52</f>
        <v>#N/A</v>
      </c>
      <c r="D42" s="133" t="e">
        <f>TEXT('Construction Planner'!P52,"TT.MM. hh:mm:ss")</f>
        <v>#N/A</v>
      </c>
      <c r="E42" s="133" t="e">
        <f>TEXT('Construction Planner'!M52,"[h]:mm:ss")</f>
        <v>#N/A</v>
      </c>
      <c r="F42" s="133" t="e">
        <f>TEXT('Construction Planner'!N53,"TT.MM. hh:mm:ss")</f>
        <v>#N/A</v>
      </c>
      <c r="G42" t="e">
        <f t="shared" si="3"/>
        <v>#N/A</v>
      </c>
      <c r="K42">
        <f>IF($F$1="Off",'Construction Planner'!DK52,'Construction Planner'!DI53)</f>
        <v>0</v>
      </c>
      <c r="L42">
        <f>IF($F$1="Off",'Construction Planner'!DN52,'Construction Planner'!DJ53)</f>
        <v>0</v>
      </c>
      <c r="M42">
        <f>IF($F$1="Off",'Construction Planner'!DQ52,'Construction Planner'!DL53)</f>
        <v>0</v>
      </c>
      <c r="P42" s="326" t="e">
        <f t="shared" si="0"/>
        <v>#N/A</v>
      </c>
      <c r="Q42" t="e">
        <f t="shared" si="2"/>
        <v>#N/A</v>
      </c>
    </row>
    <row r="43" spans="2:17" x14ac:dyDescent="0.25">
      <c r="B43" t="e">
        <f>IF($C$1="Deutsch",VLOOKUP('Construction Planner'!J53,$N$4:$O$20,2,FALSE),'Construction Planner'!J53)</f>
        <v>#N/A</v>
      </c>
      <c r="C43" t="e">
        <f>'Construction Planner'!L53</f>
        <v>#N/A</v>
      </c>
      <c r="D43" s="133" t="e">
        <f>TEXT('Construction Planner'!P53,"TT.MM. hh:mm:ss")</f>
        <v>#N/A</v>
      </c>
      <c r="E43" s="133" t="e">
        <f>TEXT('Construction Planner'!M53,"[h]:mm:ss")</f>
        <v>#N/A</v>
      </c>
      <c r="F43" s="133" t="e">
        <f>TEXT('Construction Planner'!N54,"TT.MM. hh:mm:ss")</f>
        <v>#N/A</v>
      </c>
      <c r="G43" t="e">
        <f t="shared" si="3"/>
        <v>#N/A</v>
      </c>
      <c r="K43">
        <f>IF($F$1="Off",'Construction Planner'!DK53,'Construction Planner'!DI54)</f>
        <v>0</v>
      </c>
      <c r="L43">
        <f>IF($F$1="Off",'Construction Planner'!DN53,'Construction Planner'!DJ54)</f>
        <v>0</v>
      </c>
      <c r="M43">
        <f>IF($F$1="Off",'Construction Planner'!DQ53,'Construction Planner'!DL54)</f>
        <v>0</v>
      </c>
      <c r="P43" s="326" t="e">
        <f t="shared" si="0"/>
        <v>#N/A</v>
      </c>
      <c r="Q43" t="e">
        <f t="shared" si="2"/>
        <v>#N/A</v>
      </c>
    </row>
    <row r="44" spans="2:17" x14ac:dyDescent="0.25">
      <c r="B44" t="e">
        <f>IF($C$1="Deutsch",VLOOKUP('Construction Planner'!J54,$N$4:$O$20,2,FALSE),'Construction Planner'!J54)</f>
        <v>#N/A</v>
      </c>
      <c r="C44" t="e">
        <f>'Construction Planner'!L54</f>
        <v>#N/A</v>
      </c>
      <c r="D44" s="133" t="e">
        <f>TEXT('Construction Planner'!P54,"TT.MM. hh:mm:ss")</f>
        <v>#N/A</v>
      </c>
      <c r="E44" s="133" t="e">
        <f>TEXT('Construction Planner'!M54,"[h]:mm:ss")</f>
        <v>#N/A</v>
      </c>
      <c r="F44" s="133" t="e">
        <f>TEXT('Construction Planner'!N55,"TT.MM. hh:mm:ss")</f>
        <v>#N/A</v>
      </c>
      <c r="G44" t="e">
        <f t="shared" si="3"/>
        <v>#N/A</v>
      </c>
      <c r="K44">
        <f>IF($F$1="Off",'Construction Planner'!DK54,'Construction Planner'!DI55)</f>
        <v>0</v>
      </c>
      <c r="L44">
        <f>IF($F$1="Off",'Construction Planner'!DN54,'Construction Planner'!DJ55)</f>
        <v>0</v>
      </c>
      <c r="M44">
        <f>IF($F$1="Off",'Construction Planner'!DQ54,'Construction Planner'!DL55)</f>
        <v>0</v>
      </c>
      <c r="P44" s="326" t="e">
        <f t="shared" si="0"/>
        <v>#N/A</v>
      </c>
      <c r="Q44" t="e">
        <f t="shared" si="2"/>
        <v>#N/A</v>
      </c>
    </row>
    <row r="45" spans="2:17" x14ac:dyDescent="0.25">
      <c r="B45" t="e">
        <f>IF($C$1="Deutsch",VLOOKUP('Construction Planner'!J55,$N$4:$O$20,2,FALSE),'Construction Planner'!J55)</f>
        <v>#N/A</v>
      </c>
      <c r="C45" t="e">
        <f>'Construction Planner'!L55</f>
        <v>#N/A</v>
      </c>
      <c r="D45" s="133" t="e">
        <f>TEXT('Construction Planner'!P55,"TT.MM. hh:mm:ss")</f>
        <v>#N/A</v>
      </c>
      <c r="E45" s="133" t="e">
        <f>TEXT('Construction Planner'!M55,"[h]:mm:ss")</f>
        <v>#N/A</v>
      </c>
      <c r="F45" s="133" t="e">
        <f>TEXT('Construction Planner'!N56,"TT.MM. hh:mm:ss")</f>
        <v>#N/A</v>
      </c>
      <c r="G45" t="e">
        <f t="shared" si="3"/>
        <v>#N/A</v>
      </c>
      <c r="K45">
        <f>IF($F$1="Off",'Construction Planner'!DK55,'Construction Planner'!DI56)</f>
        <v>0</v>
      </c>
      <c r="L45">
        <f>IF($F$1="Off",'Construction Planner'!DN55,'Construction Planner'!DJ56)</f>
        <v>0</v>
      </c>
      <c r="M45">
        <f>IF($F$1="Off",'Construction Planner'!DQ55,'Construction Planner'!DL56)</f>
        <v>0</v>
      </c>
      <c r="P45" s="326" t="e">
        <f t="shared" si="0"/>
        <v>#N/A</v>
      </c>
      <c r="Q45" t="e">
        <f t="shared" si="2"/>
        <v>#N/A</v>
      </c>
    </row>
    <row r="46" spans="2:17" x14ac:dyDescent="0.25">
      <c r="B46" t="e">
        <f>IF($C$1="Deutsch",VLOOKUP('Construction Planner'!J56,$N$4:$O$20,2,FALSE),'Construction Planner'!J56)</f>
        <v>#N/A</v>
      </c>
      <c r="C46" t="e">
        <f>'Construction Planner'!L56</f>
        <v>#N/A</v>
      </c>
      <c r="D46" s="133" t="e">
        <f>TEXT('Construction Planner'!P56,"TT.MM. hh:mm:ss")</f>
        <v>#N/A</v>
      </c>
      <c r="E46" s="133" t="e">
        <f>TEXT('Construction Planner'!M56,"[h]:mm:ss")</f>
        <v>#N/A</v>
      </c>
      <c r="F46" s="133" t="e">
        <f>TEXT('Construction Planner'!N57,"TT.MM. hh:mm:ss")</f>
        <v>#N/A</v>
      </c>
      <c r="G46" t="e">
        <f t="shared" si="3"/>
        <v>#N/A</v>
      </c>
      <c r="K46">
        <f>IF($F$1="Off",'Construction Planner'!DK56,'Construction Planner'!DI57)</f>
        <v>0</v>
      </c>
      <c r="L46">
        <f>IF($F$1="Off",'Construction Planner'!DN56,'Construction Planner'!DJ57)</f>
        <v>0</v>
      </c>
      <c r="M46">
        <f>IF($F$1="Off",'Construction Planner'!DQ56,'Construction Planner'!DL57)</f>
        <v>0</v>
      </c>
      <c r="P46" s="326" t="e">
        <f t="shared" si="0"/>
        <v>#N/A</v>
      </c>
      <c r="Q46" t="e">
        <f t="shared" si="2"/>
        <v>#N/A</v>
      </c>
    </row>
    <row r="47" spans="2:17" x14ac:dyDescent="0.25">
      <c r="B47" t="e">
        <f>IF($C$1="Deutsch",VLOOKUP('Construction Planner'!J57,$N$4:$O$20,2,FALSE),'Construction Planner'!J57)</f>
        <v>#N/A</v>
      </c>
      <c r="C47" t="e">
        <f>'Construction Planner'!L57</f>
        <v>#N/A</v>
      </c>
      <c r="D47" s="133" t="e">
        <f>TEXT('Construction Planner'!P57,"TT.MM. hh:mm:ss")</f>
        <v>#N/A</v>
      </c>
      <c r="E47" s="133" t="e">
        <f>TEXT('Construction Planner'!M57,"[h]:mm:ss")</f>
        <v>#N/A</v>
      </c>
      <c r="F47" s="133" t="e">
        <f>TEXT('Construction Planner'!N58,"TT.MM. hh:mm:ss")</f>
        <v>#N/A</v>
      </c>
      <c r="G47" t="e">
        <f t="shared" si="3"/>
        <v>#N/A</v>
      </c>
      <c r="K47">
        <f>IF($F$1="Off",'Construction Planner'!DK57,'Construction Planner'!DI58)</f>
        <v>0</v>
      </c>
      <c r="L47">
        <f>IF($F$1="Off",'Construction Planner'!DN57,'Construction Planner'!DJ58)</f>
        <v>0</v>
      </c>
      <c r="M47">
        <f>IF($F$1="Off",'Construction Planner'!DQ57,'Construction Planner'!DL58)</f>
        <v>0</v>
      </c>
      <c r="P47" s="326" t="e">
        <f t="shared" si="0"/>
        <v>#N/A</v>
      </c>
      <c r="Q47" t="e">
        <f t="shared" si="2"/>
        <v>#N/A</v>
      </c>
    </row>
    <row r="48" spans="2:17" x14ac:dyDescent="0.25">
      <c r="B48" t="e">
        <f>IF($C$1="Deutsch",VLOOKUP('Construction Planner'!J58,$N$4:$O$20,2,FALSE),'Construction Planner'!J58)</f>
        <v>#N/A</v>
      </c>
      <c r="C48" t="e">
        <f>'Construction Planner'!L58</f>
        <v>#N/A</v>
      </c>
      <c r="D48" s="133" t="e">
        <f>TEXT('Construction Planner'!P58,"TT.MM. hh:mm:ss")</f>
        <v>#N/A</v>
      </c>
      <c r="E48" s="133" t="e">
        <f>TEXT('Construction Planner'!M58,"[h]:mm:ss")</f>
        <v>#N/A</v>
      </c>
      <c r="F48" s="133" t="e">
        <f>TEXT('Construction Planner'!N59,"TT.MM. hh:mm:ss")</f>
        <v>#N/A</v>
      </c>
      <c r="G48" t="e">
        <f t="shared" si="3"/>
        <v>#N/A</v>
      </c>
      <c r="K48">
        <f>IF($F$1="Off",'Construction Planner'!DK58,'Construction Planner'!DI59)</f>
        <v>0</v>
      </c>
      <c r="L48">
        <f>IF($F$1="Off",'Construction Planner'!DN58,'Construction Planner'!DJ59)</f>
        <v>0</v>
      </c>
      <c r="M48">
        <f>IF($F$1="Off",'Construction Planner'!DQ58,'Construction Planner'!DL59)</f>
        <v>0</v>
      </c>
      <c r="P48" s="326" t="e">
        <f t="shared" si="0"/>
        <v>#N/A</v>
      </c>
      <c r="Q48" t="e">
        <f t="shared" si="2"/>
        <v>#N/A</v>
      </c>
    </row>
    <row r="49" spans="2:17" x14ac:dyDescent="0.25">
      <c r="B49" t="e">
        <f>IF($C$1="Deutsch",VLOOKUP('Construction Planner'!J59,$N$4:$O$20,2,FALSE),'Construction Planner'!J59)</f>
        <v>#N/A</v>
      </c>
      <c r="C49" t="e">
        <f>'Construction Planner'!L59</f>
        <v>#N/A</v>
      </c>
      <c r="D49" s="133" t="e">
        <f>TEXT('Construction Planner'!P59,"TT.MM. hh:mm:ss")</f>
        <v>#N/A</v>
      </c>
      <c r="E49" s="133" t="e">
        <f>TEXT('Construction Planner'!M59,"[h]:mm:ss")</f>
        <v>#N/A</v>
      </c>
      <c r="F49" s="133" t="e">
        <f>TEXT('Construction Planner'!N60,"TT.MM. hh:mm:ss")</f>
        <v>#N/A</v>
      </c>
      <c r="G49" t="e">
        <f t="shared" si="3"/>
        <v>#N/A</v>
      </c>
      <c r="K49">
        <f>IF($F$1="Off",'Construction Planner'!DK59,'Construction Planner'!DI60)</f>
        <v>0</v>
      </c>
      <c r="L49">
        <f>IF($F$1="Off",'Construction Planner'!DN59,'Construction Planner'!DJ60)</f>
        <v>0</v>
      </c>
      <c r="M49">
        <f>IF($F$1="Off",'Construction Planner'!DQ59,'Construction Planner'!DL60)</f>
        <v>0</v>
      </c>
      <c r="P49" s="326" t="e">
        <f t="shared" si="0"/>
        <v>#N/A</v>
      </c>
      <c r="Q49" t="e">
        <f t="shared" si="2"/>
        <v>#N/A</v>
      </c>
    </row>
    <row r="50" spans="2:17" x14ac:dyDescent="0.25">
      <c r="B50" t="e">
        <f>IF($C$1="Deutsch",VLOOKUP('Construction Planner'!J60,$N$4:$O$20,2,FALSE),'Construction Planner'!J60)</f>
        <v>#N/A</v>
      </c>
      <c r="C50" t="e">
        <f>'Construction Planner'!L60</f>
        <v>#N/A</v>
      </c>
      <c r="D50" s="133" t="e">
        <f>TEXT('Construction Planner'!P60,"TT.MM. hh:mm:ss")</f>
        <v>#N/A</v>
      </c>
      <c r="E50" s="133" t="e">
        <f>TEXT('Construction Planner'!M60,"[h]:mm:ss")</f>
        <v>#N/A</v>
      </c>
      <c r="F50" s="133" t="e">
        <f>TEXT('Construction Planner'!N61,"TT.MM. hh:mm:ss")</f>
        <v>#N/A</v>
      </c>
      <c r="G50" t="e">
        <f t="shared" si="3"/>
        <v>#N/A</v>
      </c>
      <c r="K50">
        <f>IF($F$1="Off",'Construction Planner'!DK60,'Construction Planner'!DI61)</f>
        <v>0</v>
      </c>
      <c r="L50">
        <f>IF($F$1="Off",'Construction Planner'!DN60,'Construction Planner'!DJ61)</f>
        <v>0</v>
      </c>
      <c r="M50">
        <f>IF($F$1="Off",'Construction Planner'!DQ60,'Construction Planner'!DL61)</f>
        <v>0</v>
      </c>
      <c r="P50" s="326" t="e">
        <f t="shared" si="0"/>
        <v>#N/A</v>
      </c>
      <c r="Q50" t="e">
        <f t="shared" si="2"/>
        <v>#N/A</v>
      </c>
    </row>
    <row r="51" spans="2:17" x14ac:dyDescent="0.25">
      <c r="B51" t="e">
        <f>IF($C$1="Deutsch",VLOOKUP('Construction Planner'!J61,$N$4:$O$20,2,FALSE),'Construction Planner'!J61)</f>
        <v>#N/A</v>
      </c>
      <c r="C51" t="e">
        <f>'Construction Planner'!L61</f>
        <v>#N/A</v>
      </c>
      <c r="D51" s="133" t="e">
        <f>TEXT('Construction Planner'!P61,"TT.MM. hh:mm:ss")</f>
        <v>#N/A</v>
      </c>
      <c r="E51" s="133" t="e">
        <f>TEXT('Construction Planner'!M61,"[h]:mm:ss")</f>
        <v>#N/A</v>
      </c>
      <c r="F51" s="133" t="e">
        <f>TEXT('Construction Planner'!N62,"TT.MM. hh:mm:ss")</f>
        <v>#N/A</v>
      </c>
      <c r="G51" t="e">
        <f t="shared" si="3"/>
        <v>#N/A</v>
      </c>
      <c r="K51">
        <f>IF($F$1="Off",'Construction Planner'!DK61,'Construction Planner'!DI62)</f>
        <v>0</v>
      </c>
      <c r="L51">
        <f>IF($F$1="Off",'Construction Planner'!DN61,'Construction Planner'!DJ62)</f>
        <v>0</v>
      </c>
      <c r="M51">
        <f>IF($F$1="Off",'Construction Planner'!DQ61,'Construction Planner'!DL62)</f>
        <v>0</v>
      </c>
      <c r="P51" s="326" t="e">
        <f t="shared" si="0"/>
        <v>#N/A</v>
      </c>
      <c r="Q51" t="e">
        <f t="shared" si="2"/>
        <v>#N/A</v>
      </c>
    </row>
    <row r="52" spans="2:17" x14ac:dyDescent="0.25">
      <c r="B52" t="e">
        <f>IF($C$1="Deutsch",VLOOKUP('Construction Planner'!J62,$N$4:$O$20,2,FALSE),'Construction Planner'!J62)</f>
        <v>#N/A</v>
      </c>
      <c r="C52" t="e">
        <f>'Construction Planner'!L62</f>
        <v>#N/A</v>
      </c>
      <c r="D52" s="133" t="e">
        <f>TEXT('Construction Planner'!P62,"TT.MM. hh:mm:ss")</f>
        <v>#N/A</v>
      </c>
      <c r="E52" s="133" t="e">
        <f>TEXT('Construction Planner'!M62,"[h]:mm:ss")</f>
        <v>#N/A</v>
      </c>
      <c r="F52" s="133" t="e">
        <f>TEXT('Construction Planner'!N63,"TT.MM. hh:mm:ss")</f>
        <v>#N/A</v>
      </c>
      <c r="G52" t="e">
        <f t="shared" si="3"/>
        <v>#N/A</v>
      </c>
      <c r="K52">
        <f>IF($F$1="Off",'Construction Planner'!DK62,'Construction Planner'!DI63)</f>
        <v>0</v>
      </c>
      <c r="L52">
        <f>IF($F$1="Off",'Construction Planner'!DN62,'Construction Planner'!DJ63)</f>
        <v>0</v>
      </c>
      <c r="M52">
        <f>IF($F$1="Off",'Construction Planner'!DQ62,'Construction Planner'!DL63)</f>
        <v>0</v>
      </c>
      <c r="P52" s="326" t="e">
        <f t="shared" si="0"/>
        <v>#N/A</v>
      </c>
      <c r="Q52" t="e">
        <f t="shared" si="2"/>
        <v>#N/A</v>
      </c>
    </row>
    <row r="53" spans="2:17" x14ac:dyDescent="0.25">
      <c r="B53" t="e">
        <f>IF($C$1="Deutsch",VLOOKUP('Construction Planner'!J63,$N$4:$O$20,2,FALSE),'Construction Planner'!J63)</f>
        <v>#N/A</v>
      </c>
      <c r="C53" t="e">
        <f>'Construction Planner'!L63</f>
        <v>#N/A</v>
      </c>
      <c r="D53" s="133" t="e">
        <f>TEXT('Construction Planner'!P63,"TT.MM. hh:mm:ss")</f>
        <v>#N/A</v>
      </c>
      <c r="E53" s="133" t="e">
        <f>TEXT('Construction Planner'!M63,"[h]:mm:ss")</f>
        <v>#N/A</v>
      </c>
      <c r="F53" s="133" t="e">
        <f>TEXT('Construction Planner'!N64,"TT.MM. hh:mm:ss")</f>
        <v>#N/A</v>
      </c>
      <c r="G53" t="e">
        <f t="shared" si="3"/>
        <v>#N/A</v>
      </c>
      <c r="K53">
        <f>IF($F$1="Off",'Construction Planner'!DK63,'Construction Planner'!DI64)</f>
        <v>0</v>
      </c>
      <c r="L53">
        <f>IF($F$1="Off",'Construction Planner'!DN63,'Construction Planner'!DJ64)</f>
        <v>0</v>
      </c>
      <c r="M53">
        <f>IF($F$1="Off",'Construction Planner'!DQ63,'Construction Planner'!DL64)</f>
        <v>0</v>
      </c>
      <c r="P53" s="326" t="e">
        <f t="shared" si="0"/>
        <v>#N/A</v>
      </c>
      <c r="Q53" t="e">
        <f t="shared" si="2"/>
        <v>#N/A</v>
      </c>
    </row>
    <row r="54" spans="2:17" x14ac:dyDescent="0.25">
      <c r="B54" t="e">
        <f>IF($C$1="Deutsch",VLOOKUP('Construction Planner'!J64,$N$4:$O$20,2,FALSE),'Construction Planner'!J64)</f>
        <v>#N/A</v>
      </c>
      <c r="C54" t="e">
        <f>'Construction Planner'!L64</f>
        <v>#N/A</v>
      </c>
      <c r="D54" s="133" t="e">
        <f>TEXT('Construction Planner'!P64,"TT.MM. hh:mm:ss")</f>
        <v>#N/A</v>
      </c>
      <c r="E54" s="133" t="e">
        <f>TEXT('Construction Planner'!M64,"[h]:mm:ss")</f>
        <v>#N/A</v>
      </c>
      <c r="F54" s="133" t="e">
        <f>TEXT('Construction Planner'!N65,"TT.MM. hh:mm:ss")</f>
        <v>#N/A</v>
      </c>
      <c r="G54" t="e">
        <f t="shared" si="3"/>
        <v>#N/A</v>
      </c>
      <c r="K54">
        <f>IF($F$1="Off",'Construction Planner'!DK64,'Construction Planner'!DI65)</f>
        <v>0</v>
      </c>
      <c r="L54">
        <f>IF($F$1="Off",'Construction Planner'!DN64,'Construction Planner'!DJ65)</f>
        <v>0</v>
      </c>
      <c r="M54">
        <f>IF($F$1="Off",'Construction Planner'!DQ64,'Construction Planner'!DL65)</f>
        <v>0</v>
      </c>
      <c r="P54" s="326" t="e">
        <f t="shared" si="0"/>
        <v>#N/A</v>
      </c>
      <c r="Q54" t="e">
        <f t="shared" si="2"/>
        <v>#N/A</v>
      </c>
    </row>
    <row r="55" spans="2:17" x14ac:dyDescent="0.25">
      <c r="B55" t="e">
        <f>IF($C$1="Deutsch",VLOOKUP('Construction Planner'!J65,$N$4:$O$20,2,FALSE),'Construction Planner'!J65)</f>
        <v>#N/A</v>
      </c>
      <c r="C55" t="e">
        <f>'Construction Planner'!L65</f>
        <v>#N/A</v>
      </c>
      <c r="D55" s="133" t="e">
        <f>TEXT('Construction Planner'!P65,"TT.MM. hh:mm:ss")</f>
        <v>#N/A</v>
      </c>
      <c r="E55" s="133" t="e">
        <f>TEXT('Construction Planner'!M65,"[h]:mm:ss")</f>
        <v>#N/A</v>
      </c>
      <c r="F55" s="133" t="e">
        <f>TEXT('Construction Planner'!N66,"TT.MM. hh:mm:ss")</f>
        <v>#N/A</v>
      </c>
      <c r="G55" t="e">
        <f t="shared" si="3"/>
        <v>#N/A</v>
      </c>
      <c r="K55">
        <f>IF($F$1="Off",'Construction Planner'!DK65,'Construction Planner'!DI66)</f>
        <v>0</v>
      </c>
      <c r="L55">
        <f>IF($F$1="Off",'Construction Planner'!DN65,'Construction Planner'!DJ66)</f>
        <v>0</v>
      </c>
      <c r="M55">
        <f>IF($F$1="Off",'Construction Planner'!DQ65,'Construction Planner'!DL66)</f>
        <v>0</v>
      </c>
      <c r="P55" s="326" t="e">
        <f t="shared" si="0"/>
        <v>#N/A</v>
      </c>
      <c r="Q55" t="e">
        <f t="shared" si="2"/>
        <v>#N/A</v>
      </c>
    </row>
    <row r="56" spans="2:17" x14ac:dyDescent="0.25">
      <c r="B56" t="e">
        <f>IF($C$1="Deutsch",VLOOKUP('Construction Planner'!J66,$N$4:$O$20,2,FALSE),'Construction Planner'!J66)</f>
        <v>#N/A</v>
      </c>
      <c r="C56" t="e">
        <f>'Construction Planner'!L66</f>
        <v>#N/A</v>
      </c>
      <c r="D56" s="133" t="e">
        <f>TEXT('Construction Planner'!P66,"TT.MM. hh:mm:ss")</f>
        <v>#N/A</v>
      </c>
      <c r="E56" s="133" t="e">
        <f>TEXT('Construction Planner'!M66,"[h]:mm:ss")</f>
        <v>#N/A</v>
      </c>
      <c r="F56" s="133" t="e">
        <f>TEXT('Construction Planner'!N67,"TT.MM. hh:mm:ss")</f>
        <v>#N/A</v>
      </c>
      <c r="G56" t="e">
        <f t="shared" si="3"/>
        <v>#N/A</v>
      </c>
      <c r="K56">
        <f>IF($F$1="Off",'Construction Planner'!DK66,'Construction Planner'!DI67)</f>
        <v>0</v>
      </c>
      <c r="L56">
        <f>IF($F$1="Off",'Construction Planner'!DN66,'Construction Planner'!DJ67)</f>
        <v>0</v>
      </c>
      <c r="M56">
        <f>IF($F$1="Off",'Construction Planner'!DQ66,'Construction Planner'!DL67)</f>
        <v>0</v>
      </c>
      <c r="P56" s="326" t="e">
        <f t="shared" si="0"/>
        <v>#N/A</v>
      </c>
      <c r="Q56" t="e">
        <f t="shared" si="2"/>
        <v>#N/A</v>
      </c>
    </row>
    <row r="57" spans="2:17" x14ac:dyDescent="0.25">
      <c r="B57" t="e">
        <f>IF($C$1="Deutsch",VLOOKUP('Construction Planner'!J67,$N$4:$O$20,2,FALSE),'Construction Planner'!J67)</f>
        <v>#N/A</v>
      </c>
      <c r="C57" t="e">
        <f>'Construction Planner'!L67</f>
        <v>#N/A</v>
      </c>
      <c r="D57" s="133" t="e">
        <f>TEXT('Construction Planner'!P67,"TT.MM. hh:mm:ss")</f>
        <v>#N/A</v>
      </c>
      <c r="E57" s="133" t="e">
        <f>TEXT('Construction Planner'!M67,"[h]:mm:ss")</f>
        <v>#N/A</v>
      </c>
      <c r="F57" s="133" t="e">
        <f>TEXT('Construction Planner'!N68,"TT.MM. hh:mm:ss")</f>
        <v>#N/A</v>
      </c>
      <c r="G57" t="e">
        <f t="shared" si="3"/>
        <v>#N/A</v>
      </c>
      <c r="K57">
        <f>IF($F$1="Off",'Construction Planner'!DK67,'Construction Planner'!DI68)</f>
        <v>0</v>
      </c>
      <c r="L57">
        <f>IF($F$1="Off",'Construction Planner'!DN67,'Construction Planner'!DJ68)</f>
        <v>0</v>
      </c>
      <c r="M57">
        <f>IF($F$1="Off",'Construction Planner'!DQ67,'Construction Planner'!DL68)</f>
        <v>0</v>
      </c>
      <c r="P57" s="326" t="e">
        <f t="shared" si="0"/>
        <v>#N/A</v>
      </c>
      <c r="Q57" t="e">
        <f t="shared" si="2"/>
        <v>#N/A</v>
      </c>
    </row>
    <row r="58" spans="2:17" x14ac:dyDescent="0.25">
      <c r="B58" t="e">
        <f>IF($C$1="Deutsch",VLOOKUP('Construction Planner'!J68,$N$4:$O$20,2,FALSE),'Construction Planner'!J68)</f>
        <v>#N/A</v>
      </c>
      <c r="C58" t="e">
        <f>'Construction Planner'!L68</f>
        <v>#N/A</v>
      </c>
      <c r="D58" s="133" t="e">
        <f>TEXT('Construction Planner'!P68,"TT.MM. hh:mm:ss")</f>
        <v>#N/A</v>
      </c>
      <c r="E58" s="133" t="e">
        <f>TEXT('Construction Planner'!M68,"[h]:mm:ss")</f>
        <v>#N/A</v>
      </c>
      <c r="F58" s="133" t="e">
        <f>TEXT('Construction Planner'!N69,"TT.MM. hh:mm:ss")</f>
        <v>#N/A</v>
      </c>
      <c r="G58" t="e">
        <f t="shared" si="3"/>
        <v>#N/A</v>
      </c>
      <c r="K58">
        <f>IF($F$1="Off",'Construction Planner'!DK68,'Construction Planner'!DI69)</f>
        <v>0</v>
      </c>
      <c r="L58">
        <f>IF($F$1="Off",'Construction Planner'!DN68,'Construction Planner'!DJ69)</f>
        <v>0</v>
      </c>
      <c r="M58">
        <f>IF($F$1="Off",'Construction Planner'!DQ68,'Construction Planner'!DL69)</f>
        <v>0</v>
      </c>
      <c r="P58" s="326" t="e">
        <f t="shared" si="0"/>
        <v>#N/A</v>
      </c>
      <c r="Q58" t="e">
        <f t="shared" si="2"/>
        <v>#N/A</v>
      </c>
    </row>
    <row r="59" spans="2:17" x14ac:dyDescent="0.25">
      <c r="B59" t="e">
        <f>IF($C$1="Deutsch",VLOOKUP('Construction Planner'!J69,$N$4:$O$20,2,FALSE),'Construction Planner'!J69)</f>
        <v>#N/A</v>
      </c>
      <c r="C59" t="e">
        <f>'Construction Planner'!L69</f>
        <v>#N/A</v>
      </c>
      <c r="D59" s="133" t="e">
        <f>TEXT('Construction Planner'!P69,"TT.MM. hh:mm:ss")</f>
        <v>#N/A</v>
      </c>
      <c r="E59" s="133" t="e">
        <f>TEXT('Construction Planner'!M69,"[h]:mm:ss")</f>
        <v>#N/A</v>
      </c>
      <c r="F59" s="133" t="e">
        <f>TEXT('Construction Planner'!N70,"TT.MM. hh:mm:ss")</f>
        <v>#N/A</v>
      </c>
      <c r="G59" t="e">
        <f t="shared" si="3"/>
        <v>#N/A</v>
      </c>
      <c r="K59">
        <f>IF($F$1="Off",'Construction Planner'!DK69,'Construction Planner'!DI70)</f>
        <v>0</v>
      </c>
      <c r="L59">
        <f>IF($F$1="Off",'Construction Planner'!DN69,'Construction Planner'!DJ70)</f>
        <v>0</v>
      </c>
      <c r="M59">
        <f>IF($F$1="Off",'Construction Planner'!DQ69,'Construction Planner'!DL70)</f>
        <v>0</v>
      </c>
      <c r="P59" s="326" t="e">
        <f t="shared" si="0"/>
        <v>#N/A</v>
      </c>
      <c r="Q59" t="e">
        <f t="shared" si="2"/>
        <v>#N/A</v>
      </c>
    </row>
    <row r="60" spans="2:17" x14ac:dyDescent="0.25">
      <c r="B60" t="e">
        <f>IF($C$1="Deutsch",VLOOKUP('Construction Planner'!J70,$N$4:$O$20,2,FALSE),'Construction Planner'!J70)</f>
        <v>#N/A</v>
      </c>
      <c r="C60" t="e">
        <f>'Construction Planner'!L70</f>
        <v>#N/A</v>
      </c>
      <c r="D60" s="133" t="e">
        <f>TEXT('Construction Planner'!P70,"TT.MM. hh:mm:ss")</f>
        <v>#N/A</v>
      </c>
      <c r="E60" s="133" t="e">
        <f>TEXT('Construction Planner'!M70,"[h]:mm:ss")</f>
        <v>#N/A</v>
      </c>
      <c r="F60" s="133" t="e">
        <f>TEXT('Construction Planner'!N71,"TT.MM. hh:mm:ss")</f>
        <v>#N/A</v>
      </c>
      <c r="G60" t="e">
        <f t="shared" si="3"/>
        <v>#N/A</v>
      </c>
      <c r="K60">
        <f>IF($F$1="Off",'Construction Planner'!DK70,'Construction Planner'!DI71)</f>
        <v>0</v>
      </c>
      <c r="L60">
        <f>IF($F$1="Off",'Construction Planner'!DN70,'Construction Planner'!DJ71)</f>
        <v>0</v>
      </c>
      <c r="M60">
        <f>IF($F$1="Off",'Construction Planner'!DQ70,'Construction Planner'!DL71)</f>
        <v>0</v>
      </c>
      <c r="P60" s="326" t="e">
        <f t="shared" si="0"/>
        <v>#N/A</v>
      </c>
      <c r="Q60" t="e">
        <f t="shared" si="2"/>
        <v>#N/A</v>
      </c>
    </row>
    <row r="61" spans="2:17" x14ac:dyDescent="0.25">
      <c r="B61" t="e">
        <f>IF($C$1="Deutsch",VLOOKUP('Construction Planner'!J71,$N$4:$O$20,2,FALSE),'Construction Planner'!J71)</f>
        <v>#N/A</v>
      </c>
      <c r="C61" t="e">
        <f>'Construction Planner'!L71</f>
        <v>#N/A</v>
      </c>
      <c r="D61" s="133" t="e">
        <f>TEXT('Construction Planner'!P71,"TT.MM. hh:mm:ss")</f>
        <v>#N/A</v>
      </c>
      <c r="E61" s="133" t="e">
        <f>TEXT('Construction Planner'!M71,"[h]:mm:ss")</f>
        <v>#N/A</v>
      </c>
      <c r="F61" s="133" t="e">
        <f>TEXT('Construction Planner'!N72,"TT.MM. hh:mm:ss")</f>
        <v>#N/A</v>
      </c>
      <c r="G61" t="e">
        <f t="shared" si="3"/>
        <v>#N/A</v>
      </c>
      <c r="K61">
        <f>IF($F$1="Off",'Construction Planner'!DK71,'Construction Planner'!DI72)</f>
        <v>0</v>
      </c>
      <c r="L61">
        <f>IF($F$1="Off",'Construction Planner'!DN71,'Construction Planner'!DJ72)</f>
        <v>0</v>
      </c>
      <c r="M61">
        <f>IF($F$1="Off",'Construction Planner'!DQ71,'Construction Planner'!DL72)</f>
        <v>0</v>
      </c>
      <c r="P61" s="326" t="e">
        <f t="shared" si="0"/>
        <v>#N/A</v>
      </c>
      <c r="Q61" t="e">
        <f t="shared" si="2"/>
        <v>#N/A</v>
      </c>
    </row>
    <row r="62" spans="2:17" x14ac:dyDescent="0.25">
      <c r="B62" t="e">
        <f>IF($C$1="Deutsch",VLOOKUP('Construction Planner'!J72,$N$4:$O$20,2,FALSE),'Construction Planner'!J72)</f>
        <v>#N/A</v>
      </c>
      <c r="C62" t="e">
        <f>'Construction Planner'!L72</f>
        <v>#N/A</v>
      </c>
      <c r="D62" s="133" t="e">
        <f>TEXT('Construction Planner'!P72,"TT.MM. hh:mm:ss")</f>
        <v>#N/A</v>
      </c>
      <c r="E62" s="133" t="e">
        <f>TEXT('Construction Planner'!M72,"[h]:mm:ss")</f>
        <v>#N/A</v>
      </c>
      <c r="F62" s="133" t="e">
        <f>TEXT('Construction Planner'!N73,"TT.MM. hh:mm:ss")</f>
        <v>#N/A</v>
      </c>
      <c r="G62" t="e">
        <f t="shared" si="3"/>
        <v>#N/A</v>
      </c>
      <c r="K62">
        <f>IF($F$1="Off",'Construction Planner'!DK72,'Construction Planner'!DI73)</f>
        <v>0</v>
      </c>
      <c r="L62">
        <f>IF($F$1="Off",'Construction Planner'!DN72,'Construction Planner'!DJ73)</f>
        <v>0</v>
      </c>
      <c r="M62">
        <f>IF($F$1="Off",'Construction Planner'!DQ72,'Construction Planner'!DL73)</f>
        <v>0</v>
      </c>
      <c r="P62" s="326" t="e">
        <f t="shared" si="0"/>
        <v>#N/A</v>
      </c>
      <c r="Q62" t="e">
        <f t="shared" si="2"/>
        <v>#N/A</v>
      </c>
    </row>
    <row r="63" spans="2:17" x14ac:dyDescent="0.25">
      <c r="B63" t="e">
        <f>IF($C$1="Deutsch",VLOOKUP('Construction Planner'!J73,$N$4:$O$20,2,FALSE),'Construction Planner'!J73)</f>
        <v>#N/A</v>
      </c>
      <c r="C63" t="e">
        <f>'Construction Planner'!L73</f>
        <v>#N/A</v>
      </c>
      <c r="D63" s="133" t="e">
        <f>TEXT('Construction Planner'!P73,"TT.MM. hh:mm:ss")</f>
        <v>#N/A</v>
      </c>
      <c r="E63" s="133" t="e">
        <f>TEXT('Construction Planner'!M73,"[h]:mm:ss")</f>
        <v>#N/A</v>
      </c>
      <c r="F63" s="133" t="e">
        <f>TEXT('Construction Planner'!N74,"TT.MM. hh:mm:ss")</f>
        <v>#N/A</v>
      </c>
      <c r="G63" t="e">
        <f t="shared" si="3"/>
        <v>#N/A</v>
      </c>
      <c r="K63">
        <f>IF($F$1="Off",'Construction Planner'!DK73,'Construction Planner'!DI74)</f>
        <v>0</v>
      </c>
      <c r="L63">
        <f>IF($F$1="Off",'Construction Planner'!DN73,'Construction Planner'!DJ74)</f>
        <v>0</v>
      </c>
      <c r="M63">
        <f>IF($F$1="Off",'Construction Planner'!DQ73,'Construction Planner'!DL74)</f>
        <v>0</v>
      </c>
      <c r="P63" s="326" t="e">
        <f t="shared" si="0"/>
        <v>#N/A</v>
      </c>
      <c r="Q63" t="e">
        <f t="shared" si="2"/>
        <v>#N/A</v>
      </c>
    </row>
    <row r="64" spans="2:17" x14ac:dyDescent="0.25">
      <c r="B64" t="e">
        <f>IF($C$1="Deutsch",VLOOKUP('Construction Planner'!J74,$N$4:$O$20,2,FALSE),'Construction Planner'!J74)</f>
        <v>#N/A</v>
      </c>
      <c r="C64" t="e">
        <f>'Construction Planner'!L74</f>
        <v>#N/A</v>
      </c>
      <c r="D64" s="133" t="e">
        <f>TEXT('Construction Planner'!P74,"TT.MM. hh:mm:ss")</f>
        <v>#N/A</v>
      </c>
      <c r="E64" s="133" t="e">
        <f>TEXT('Construction Planner'!M74,"[h]:mm:ss")</f>
        <v>#N/A</v>
      </c>
      <c r="F64" s="133" t="e">
        <f>TEXT('Construction Planner'!N75,"TT.MM. hh:mm:ss")</f>
        <v>#N/A</v>
      </c>
      <c r="G64" t="e">
        <f t="shared" si="3"/>
        <v>#N/A</v>
      </c>
      <c r="K64">
        <f>IF($F$1="Off",'Construction Planner'!DK74,'Construction Planner'!DI75)</f>
        <v>0</v>
      </c>
      <c r="L64">
        <f>IF($F$1="Off",'Construction Planner'!DN74,'Construction Planner'!DJ75)</f>
        <v>0</v>
      </c>
      <c r="M64">
        <f>IF($F$1="Off",'Construction Planner'!DQ74,'Construction Planner'!DL75)</f>
        <v>0</v>
      </c>
      <c r="P64" s="326" t="e">
        <f t="shared" si="0"/>
        <v>#N/A</v>
      </c>
      <c r="Q64" t="e">
        <f t="shared" si="2"/>
        <v>#N/A</v>
      </c>
    </row>
    <row r="65" spans="2:17" x14ac:dyDescent="0.25">
      <c r="B65" t="e">
        <f>IF($C$1="Deutsch",VLOOKUP('Construction Planner'!J75,$N$4:$O$20,2,FALSE),'Construction Planner'!J75)</f>
        <v>#N/A</v>
      </c>
      <c r="C65" t="e">
        <f>'Construction Planner'!L75</f>
        <v>#N/A</v>
      </c>
      <c r="D65" s="133" t="e">
        <f>TEXT('Construction Planner'!P75,"TT.MM. hh:mm:ss")</f>
        <v>#N/A</v>
      </c>
      <c r="E65" s="133" t="e">
        <f>TEXT('Construction Planner'!M75,"[h]:mm:ss")</f>
        <v>#N/A</v>
      </c>
      <c r="F65" s="133" t="e">
        <f>TEXT('Construction Planner'!N76,"TT.MM. hh:mm:ss")</f>
        <v>#N/A</v>
      </c>
      <c r="G65" t="e">
        <f t="shared" si="3"/>
        <v>#N/A</v>
      </c>
      <c r="K65">
        <f>IF($F$1="Off",'Construction Planner'!DK75,'Construction Planner'!DI76)</f>
        <v>0</v>
      </c>
      <c r="L65">
        <f>IF($F$1="Off",'Construction Planner'!DN75,'Construction Planner'!DJ76)</f>
        <v>0</v>
      </c>
      <c r="M65">
        <f>IF($F$1="Off",'Construction Planner'!DQ75,'Construction Planner'!DL76)</f>
        <v>0</v>
      </c>
      <c r="P65" s="326" t="e">
        <f t="shared" si="0"/>
        <v>#N/A</v>
      </c>
      <c r="Q65" t="e">
        <f t="shared" si="2"/>
        <v>#N/A</v>
      </c>
    </row>
    <row r="66" spans="2:17" x14ac:dyDescent="0.25">
      <c r="B66" t="e">
        <f>IF($C$1="Deutsch",VLOOKUP('Construction Planner'!J76,$N$4:$O$20,2,FALSE),'Construction Planner'!J76)</f>
        <v>#N/A</v>
      </c>
      <c r="C66" t="e">
        <f>'Construction Planner'!L76</f>
        <v>#N/A</v>
      </c>
      <c r="D66" s="133" t="e">
        <f>TEXT('Construction Planner'!P76,"TT.MM. hh:mm:ss")</f>
        <v>#N/A</v>
      </c>
      <c r="E66" s="133" t="e">
        <f>TEXT('Construction Planner'!M76,"[h]:mm:ss")</f>
        <v>#N/A</v>
      </c>
      <c r="F66" s="133" t="e">
        <f>TEXT('Construction Planner'!N77,"TT.MM. hh:mm:ss")</f>
        <v>#N/A</v>
      </c>
      <c r="G66" t="e">
        <f t="shared" si="3"/>
        <v>#N/A</v>
      </c>
      <c r="K66">
        <f>IF($F$1="Off",'Construction Planner'!DK76,'Construction Planner'!DI77)</f>
        <v>0</v>
      </c>
      <c r="L66">
        <f>IF($F$1="Off",'Construction Planner'!DN76,'Construction Planner'!DJ77)</f>
        <v>0</v>
      </c>
      <c r="M66">
        <f>IF($F$1="Off",'Construction Planner'!DQ76,'Construction Planner'!DL77)</f>
        <v>0</v>
      </c>
      <c r="P66" s="326" t="e">
        <f t="shared" si="0"/>
        <v>#N/A</v>
      </c>
      <c r="Q66" t="e">
        <f t="shared" si="2"/>
        <v>#N/A</v>
      </c>
    </row>
    <row r="67" spans="2:17" x14ac:dyDescent="0.25">
      <c r="B67" t="e">
        <f>IF($C$1="Deutsch",VLOOKUP('Construction Planner'!J77,$N$4:$O$20,2,FALSE),'Construction Planner'!J77)</f>
        <v>#N/A</v>
      </c>
      <c r="C67" t="e">
        <f>'Construction Planner'!L77</f>
        <v>#N/A</v>
      </c>
      <c r="D67" s="133" t="e">
        <f>TEXT('Construction Planner'!P77,"TT.MM. hh:mm:ss")</f>
        <v>#N/A</v>
      </c>
      <c r="E67" s="133" t="e">
        <f>TEXT('Construction Planner'!M77,"[h]:mm:ss")</f>
        <v>#N/A</v>
      </c>
      <c r="F67" s="133" t="e">
        <f>TEXT('Construction Planner'!N78,"TT.MM. hh:mm:ss")</f>
        <v>#N/A</v>
      </c>
      <c r="G67" t="e">
        <f t="shared" si="3"/>
        <v>#N/A</v>
      </c>
      <c r="K67">
        <f>IF($F$1="Off",'Construction Planner'!DK77,'Construction Planner'!DI78)</f>
        <v>0</v>
      </c>
      <c r="L67">
        <f>IF($F$1="Off",'Construction Planner'!DN77,'Construction Planner'!DJ78)</f>
        <v>0</v>
      </c>
      <c r="M67">
        <f>IF($F$1="Off",'Construction Planner'!DQ77,'Construction Planner'!DL78)</f>
        <v>0</v>
      </c>
      <c r="P67" s="326" t="e">
        <f t="shared" si="0"/>
        <v>#N/A</v>
      </c>
      <c r="Q67" t="e">
        <f t="shared" si="2"/>
        <v>#N/A</v>
      </c>
    </row>
    <row r="68" spans="2:17" x14ac:dyDescent="0.25">
      <c r="B68" t="e">
        <f>IF($C$1="Deutsch",VLOOKUP('Construction Planner'!J78,$N$4:$O$20,2,FALSE),'Construction Planner'!J78)</f>
        <v>#N/A</v>
      </c>
      <c r="C68" t="e">
        <f>'Construction Planner'!L78</f>
        <v>#N/A</v>
      </c>
      <c r="D68" s="133" t="e">
        <f>TEXT('Construction Planner'!P78,"TT.MM. hh:mm:ss")</f>
        <v>#N/A</v>
      </c>
      <c r="E68" s="133" t="e">
        <f>TEXT('Construction Planner'!M78,"[h]:mm:ss")</f>
        <v>#N/A</v>
      </c>
      <c r="F68" s="133" t="e">
        <f>TEXT('Construction Planner'!N79,"TT.MM. hh:mm:ss")</f>
        <v>#N/A</v>
      </c>
      <c r="G68" t="e">
        <f t="shared" si="3"/>
        <v>#N/A</v>
      </c>
      <c r="K68">
        <f>IF($F$1="Off",'Construction Planner'!DK78,'Construction Planner'!DI79)</f>
        <v>0</v>
      </c>
      <c r="L68">
        <f>IF($F$1="Off",'Construction Planner'!DN78,'Construction Planner'!DJ79)</f>
        <v>0</v>
      </c>
      <c r="M68">
        <f>IF($F$1="Off",'Construction Planner'!DQ78,'Construction Planner'!DL79)</f>
        <v>0</v>
      </c>
      <c r="P68" s="326" t="e">
        <f t="shared" ref="P68:P131" si="4">LEN(G68)-LEN(SUBSTITUTE(LOWER(G68),"[",))</f>
        <v>#N/A</v>
      </c>
      <c r="Q68" t="e">
        <f t="shared" si="2"/>
        <v>#N/A</v>
      </c>
    </row>
    <row r="69" spans="2:17" x14ac:dyDescent="0.25">
      <c r="B69" t="e">
        <f>IF($C$1="Deutsch",VLOOKUP('Construction Planner'!J79,$N$4:$O$20,2,FALSE),'Construction Planner'!J79)</f>
        <v>#N/A</v>
      </c>
      <c r="C69" t="e">
        <f>'Construction Planner'!L79</f>
        <v>#N/A</v>
      </c>
      <c r="D69" s="133" t="e">
        <f>TEXT('Construction Planner'!P79,"TT.MM. hh:mm:ss")</f>
        <v>#N/A</v>
      </c>
      <c r="E69" s="133" t="e">
        <f>TEXT('Construction Planner'!M79,"[h]:mm:ss")</f>
        <v>#N/A</v>
      </c>
      <c r="F69" s="133" t="e">
        <f>TEXT('Construction Planner'!N80,"TT.MM. hh:mm:ss")</f>
        <v>#N/A</v>
      </c>
      <c r="G69" t="e">
        <f t="shared" si="3"/>
        <v>#N/A</v>
      </c>
      <c r="K69">
        <f>IF($F$1="Off",'Construction Planner'!DK79,'Construction Planner'!DI80)</f>
        <v>0</v>
      </c>
      <c r="L69">
        <f>IF($F$1="Off",'Construction Planner'!DN79,'Construction Planner'!DJ80)</f>
        <v>0</v>
      </c>
      <c r="M69">
        <f>IF($F$1="Off",'Construction Planner'!DQ79,'Construction Planner'!DL80)</f>
        <v>0</v>
      </c>
      <c r="P69" s="326" t="e">
        <f t="shared" si="4"/>
        <v>#N/A</v>
      </c>
      <c r="Q69" t="e">
        <f t="shared" ref="Q69:Q132" si="5">P69+Q68</f>
        <v>#N/A</v>
      </c>
    </row>
    <row r="70" spans="2:17" x14ac:dyDescent="0.25">
      <c r="B70" t="e">
        <f>IF($C$1="Deutsch",VLOOKUP('Construction Planner'!J80,$N$4:$O$20,2,FALSE),'Construction Planner'!J80)</f>
        <v>#N/A</v>
      </c>
      <c r="C70" t="e">
        <f>'Construction Planner'!L80</f>
        <v>#N/A</v>
      </c>
      <c r="D70" s="133" t="e">
        <f>TEXT('Construction Planner'!P80,"TT.MM. hh:mm:ss")</f>
        <v>#N/A</v>
      </c>
      <c r="E70" s="133" t="e">
        <f>TEXT('Construction Planner'!M80,"[h]:mm:ss")</f>
        <v>#N/A</v>
      </c>
      <c r="F70" s="133" t="e">
        <f>TEXT('Construction Planner'!N81,"TT.MM. hh:mm:ss")</f>
        <v>#N/A</v>
      </c>
      <c r="G70" t="e">
        <f t="shared" si="3"/>
        <v>#N/A</v>
      </c>
      <c r="K70">
        <f>IF($F$1="Off",'Construction Planner'!DK80,'Construction Planner'!DI81)</f>
        <v>0</v>
      </c>
      <c r="L70">
        <f>IF($F$1="Off",'Construction Planner'!DN80,'Construction Planner'!DJ81)</f>
        <v>0</v>
      </c>
      <c r="M70">
        <f>IF($F$1="Off",'Construction Planner'!DQ80,'Construction Planner'!DL81)</f>
        <v>0</v>
      </c>
      <c r="P70" s="326" t="e">
        <f t="shared" si="4"/>
        <v>#N/A</v>
      </c>
      <c r="Q70" t="e">
        <f t="shared" si="5"/>
        <v>#N/A</v>
      </c>
    </row>
    <row r="71" spans="2:17" x14ac:dyDescent="0.25">
      <c r="B71" t="e">
        <f>IF($C$1="Deutsch",VLOOKUP('Construction Planner'!J81,$N$4:$O$20,2,FALSE),'Construction Planner'!J81)</f>
        <v>#N/A</v>
      </c>
      <c r="C71" t="e">
        <f>'Construction Planner'!L81</f>
        <v>#N/A</v>
      </c>
      <c r="D71" s="133" t="e">
        <f>TEXT('Construction Planner'!P81,"TT.MM. hh:mm:ss")</f>
        <v>#N/A</v>
      </c>
      <c r="E71" s="133" t="e">
        <f>TEXT('Construction Planner'!M81,"[h]:mm:ss")</f>
        <v>#N/A</v>
      </c>
      <c r="F71" s="133" t="e">
        <f>TEXT('Construction Planner'!N82,"TT.MM. hh:mm:ss")</f>
        <v>#N/A</v>
      </c>
      <c r="G71" t="e">
        <f t="shared" si="3"/>
        <v>#N/A</v>
      </c>
      <c r="K71">
        <f>IF($F$1="Off",'Construction Planner'!DK81,'Construction Planner'!DI82)</f>
        <v>0</v>
      </c>
      <c r="L71">
        <f>IF($F$1="Off",'Construction Planner'!DN81,'Construction Planner'!DJ82)</f>
        <v>0</v>
      </c>
      <c r="M71">
        <f>IF($F$1="Off",'Construction Planner'!DQ81,'Construction Planner'!DL82)</f>
        <v>0</v>
      </c>
      <c r="P71" s="326" t="e">
        <f t="shared" si="4"/>
        <v>#N/A</v>
      </c>
      <c r="Q71" t="e">
        <f t="shared" si="5"/>
        <v>#N/A</v>
      </c>
    </row>
    <row r="72" spans="2:17" x14ac:dyDescent="0.25">
      <c r="B72" t="e">
        <f>IF($C$1="Deutsch",VLOOKUP('Construction Planner'!J82,$N$4:$O$20,2,FALSE),'Construction Planner'!J82)</f>
        <v>#N/A</v>
      </c>
      <c r="C72" t="e">
        <f>'Construction Planner'!L82</f>
        <v>#N/A</v>
      </c>
      <c r="D72" s="133" t="e">
        <f>TEXT('Construction Planner'!P82,"TT.MM. hh:mm:ss")</f>
        <v>#N/A</v>
      </c>
      <c r="E72" s="133" t="e">
        <f>TEXT('Construction Planner'!M82,"[h]:mm:ss")</f>
        <v>#N/A</v>
      </c>
      <c r="F72" s="133" t="e">
        <f>TEXT('Construction Planner'!N83,"TT.MM. hh:mm:ss")</f>
        <v>#N/A</v>
      </c>
      <c r="G72" t="e">
        <f t="shared" si="3"/>
        <v>#N/A</v>
      </c>
      <c r="K72">
        <f>IF($F$1="Off",'Construction Planner'!DK82,'Construction Planner'!DI83)</f>
        <v>0</v>
      </c>
      <c r="L72">
        <f>IF($F$1="Off",'Construction Planner'!DN82,'Construction Planner'!DJ83)</f>
        <v>0</v>
      </c>
      <c r="M72">
        <f>IF($F$1="Off",'Construction Planner'!DQ82,'Construction Planner'!DL83)</f>
        <v>0</v>
      </c>
      <c r="P72" s="326" t="e">
        <f t="shared" si="4"/>
        <v>#N/A</v>
      </c>
      <c r="Q72" t="e">
        <f t="shared" si="5"/>
        <v>#N/A</v>
      </c>
    </row>
    <row r="73" spans="2:17" x14ac:dyDescent="0.25">
      <c r="B73" t="e">
        <f>IF($C$1="Deutsch",VLOOKUP('Construction Planner'!J83,$N$4:$O$20,2,FALSE),'Construction Planner'!J83)</f>
        <v>#N/A</v>
      </c>
      <c r="C73" t="e">
        <f>'Construction Planner'!L83</f>
        <v>#N/A</v>
      </c>
      <c r="D73" s="133" t="e">
        <f>TEXT('Construction Planner'!P83,"TT.MM. hh:mm:ss")</f>
        <v>#N/A</v>
      </c>
      <c r="E73" s="133" t="e">
        <f>TEXT('Construction Planner'!M83,"[h]:mm:ss")</f>
        <v>#N/A</v>
      </c>
      <c r="F73" s="133" t="e">
        <f>TEXT('Construction Planner'!N84,"TT.MM. hh:mm:ss")</f>
        <v>#N/A</v>
      </c>
      <c r="G73" t="e">
        <f t="shared" si="3"/>
        <v>#N/A</v>
      </c>
      <c r="K73">
        <f>IF($F$1="Off",'Construction Planner'!DK83,'Construction Planner'!DI84)</f>
        <v>0</v>
      </c>
      <c r="L73">
        <f>IF($F$1="Off",'Construction Planner'!DN83,'Construction Planner'!DJ84)</f>
        <v>0</v>
      </c>
      <c r="M73">
        <f>IF($F$1="Off",'Construction Planner'!DQ83,'Construction Planner'!DL84)</f>
        <v>0</v>
      </c>
      <c r="P73" s="326" t="e">
        <f t="shared" si="4"/>
        <v>#N/A</v>
      </c>
      <c r="Q73" t="e">
        <f t="shared" si="5"/>
        <v>#N/A</v>
      </c>
    </row>
    <row r="74" spans="2:17" x14ac:dyDescent="0.25">
      <c r="B74" t="e">
        <f>IF($C$1="Deutsch",VLOOKUP('Construction Planner'!J84,$N$4:$O$20,2,FALSE),'Construction Planner'!J84)</f>
        <v>#N/A</v>
      </c>
      <c r="C74" t="e">
        <f>'Construction Planner'!L84</f>
        <v>#N/A</v>
      </c>
      <c r="D74" s="133" t="e">
        <f>TEXT('Construction Planner'!P84,"TT.MM. hh:mm:ss")</f>
        <v>#N/A</v>
      </c>
      <c r="E74" s="133" t="e">
        <f>TEXT('Construction Planner'!M84,"[h]:mm:ss")</f>
        <v>#N/A</v>
      </c>
      <c r="F74" s="133" t="e">
        <f>TEXT('Construction Planner'!N85,"TT.MM. hh:mm:ss")</f>
        <v>#N/A</v>
      </c>
      <c r="G74" t="e">
        <f t="shared" si="3"/>
        <v>#N/A</v>
      </c>
      <c r="K74">
        <f>IF($F$1="Off",'Construction Planner'!DK84,'Construction Planner'!DI85)</f>
        <v>0</v>
      </c>
      <c r="L74">
        <f>IF($F$1="Off",'Construction Planner'!DN84,'Construction Planner'!DJ85)</f>
        <v>0</v>
      </c>
      <c r="M74">
        <f>IF($F$1="Off",'Construction Planner'!DQ84,'Construction Planner'!DL85)</f>
        <v>0</v>
      </c>
      <c r="P74" s="326" t="e">
        <f t="shared" si="4"/>
        <v>#N/A</v>
      </c>
      <c r="Q74" t="e">
        <f t="shared" si="5"/>
        <v>#N/A</v>
      </c>
    </row>
    <row r="75" spans="2:17" x14ac:dyDescent="0.25">
      <c r="B75" t="e">
        <f>IF($C$1="Deutsch",VLOOKUP('Construction Planner'!J85,$N$4:$O$20,2,FALSE),'Construction Planner'!J85)</f>
        <v>#N/A</v>
      </c>
      <c r="C75" t="e">
        <f>'Construction Planner'!L85</f>
        <v>#N/A</v>
      </c>
      <c r="D75" s="133" t="e">
        <f>TEXT('Construction Planner'!P85,"TT.MM. hh:mm:ss")</f>
        <v>#N/A</v>
      </c>
      <c r="E75" s="133" t="e">
        <f>TEXT('Construction Planner'!M85,"[h]:mm:ss")</f>
        <v>#N/A</v>
      </c>
      <c r="F75" s="133" t="e">
        <f>TEXT('Construction Planner'!N86,"TT.MM. hh:mm:ss")</f>
        <v>#N/A</v>
      </c>
      <c r="G75" t="e">
        <f t="shared" si="3"/>
        <v>#N/A</v>
      </c>
      <c r="K75">
        <f>IF($F$1="Off",'Construction Planner'!DK85,'Construction Planner'!DI86)</f>
        <v>0</v>
      </c>
      <c r="L75">
        <f>IF($F$1="Off",'Construction Planner'!DN85,'Construction Planner'!DJ86)</f>
        <v>0</v>
      </c>
      <c r="M75">
        <f>IF($F$1="Off",'Construction Planner'!DQ85,'Construction Planner'!DL86)</f>
        <v>0</v>
      </c>
      <c r="P75" s="326" t="e">
        <f t="shared" si="4"/>
        <v>#N/A</v>
      </c>
      <c r="Q75" t="e">
        <f t="shared" si="5"/>
        <v>#N/A</v>
      </c>
    </row>
    <row r="76" spans="2:17" x14ac:dyDescent="0.25">
      <c r="B76" t="e">
        <f>IF($C$1="Deutsch",VLOOKUP('Construction Planner'!J86,$N$4:$O$20,2,FALSE),'Construction Planner'!J86)</f>
        <v>#N/A</v>
      </c>
      <c r="C76" t="e">
        <f>'Construction Planner'!L86</f>
        <v>#N/A</v>
      </c>
      <c r="D76" s="133" t="e">
        <f>TEXT('Construction Planner'!P86,"TT.MM. hh:mm:ss")</f>
        <v>#N/A</v>
      </c>
      <c r="E76" s="133" t="e">
        <f>TEXT('Construction Planner'!M86,"[h]:mm:ss")</f>
        <v>#N/A</v>
      </c>
      <c r="F76" s="133" t="e">
        <f>TEXT('Construction Planner'!N87,"TT.MM. hh:mm:ss")</f>
        <v>#N/A</v>
      </c>
      <c r="G76" t="e">
        <f t="shared" si="3"/>
        <v>#N/A</v>
      </c>
      <c r="K76">
        <f>IF($F$1="Off",'Construction Planner'!DK86,'Construction Planner'!DI87)</f>
        <v>0</v>
      </c>
      <c r="L76">
        <f>IF($F$1="Off",'Construction Planner'!DN86,'Construction Planner'!DJ87)</f>
        <v>0</v>
      </c>
      <c r="M76">
        <f>IF($F$1="Off",'Construction Planner'!DQ86,'Construction Planner'!DL87)</f>
        <v>0</v>
      </c>
      <c r="P76" s="326" t="e">
        <f t="shared" si="4"/>
        <v>#N/A</v>
      </c>
      <c r="Q76" t="e">
        <f t="shared" si="5"/>
        <v>#N/A</v>
      </c>
    </row>
    <row r="77" spans="2:17" x14ac:dyDescent="0.25">
      <c r="B77" t="e">
        <f>IF($C$1="Deutsch",VLOOKUP('Construction Planner'!J87,$N$4:$O$20,2,FALSE),'Construction Planner'!J87)</f>
        <v>#N/A</v>
      </c>
      <c r="C77" t="e">
        <f>'Construction Planner'!L87</f>
        <v>#N/A</v>
      </c>
      <c r="D77" s="133" t="e">
        <f>TEXT('Construction Planner'!P87,"TT.MM. hh:mm:ss")</f>
        <v>#N/A</v>
      </c>
      <c r="E77" s="133" t="e">
        <f>TEXT('Construction Planner'!M87,"[h]:mm:ss")</f>
        <v>#N/A</v>
      </c>
      <c r="F77" s="133" t="e">
        <f>TEXT('Construction Planner'!N88,"TT.MM. hh:mm:ss")</f>
        <v>#N/A</v>
      </c>
      <c r="G77" t="e">
        <f t="shared" si="3"/>
        <v>#N/A</v>
      </c>
      <c r="K77">
        <f>IF($F$1="Off",'Construction Planner'!DK87,'Construction Planner'!DI88)</f>
        <v>0</v>
      </c>
      <c r="L77">
        <f>IF($F$1="Off",'Construction Planner'!DN87,'Construction Planner'!DJ88)</f>
        <v>0</v>
      </c>
      <c r="M77">
        <f>IF($F$1="Off",'Construction Planner'!DQ87,'Construction Planner'!DL88)</f>
        <v>0</v>
      </c>
      <c r="P77" s="326" t="e">
        <f t="shared" si="4"/>
        <v>#N/A</v>
      </c>
      <c r="Q77" t="e">
        <f t="shared" si="5"/>
        <v>#N/A</v>
      </c>
    </row>
    <row r="78" spans="2:17" x14ac:dyDescent="0.25">
      <c r="B78" t="e">
        <f>IF($C$1="Deutsch",VLOOKUP('Construction Planner'!J88,$N$4:$O$20,2,FALSE),'Construction Planner'!J88)</f>
        <v>#N/A</v>
      </c>
      <c r="C78" t="e">
        <f>'Construction Planner'!L88</f>
        <v>#N/A</v>
      </c>
      <c r="D78" s="133" t="e">
        <f>TEXT('Construction Planner'!P88,"TT.MM. hh:mm:ss")</f>
        <v>#N/A</v>
      </c>
      <c r="E78" s="133" t="e">
        <f>TEXT('Construction Planner'!M88,"[h]:mm:ss")</f>
        <v>#N/A</v>
      </c>
      <c r="F78" s="133" t="e">
        <f>TEXT('Construction Planner'!N89,"TT.MM. hh:mm:ss")</f>
        <v>#N/A</v>
      </c>
      <c r="G78" t="e">
        <f t="shared" si="3"/>
        <v>#N/A</v>
      </c>
      <c r="K78">
        <f>IF($F$1="Off",'Construction Planner'!DK88,'Construction Planner'!DI89)</f>
        <v>0</v>
      </c>
      <c r="L78">
        <f>IF($F$1="Off",'Construction Planner'!DN88,'Construction Planner'!DJ89)</f>
        <v>0</v>
      </c>
      <c r="M78">
        <f>IF($F$1="Off",'Construction Planner'!DQ88,'Construction Planner'!DL89)</f>
        <v>0</v>
      </c>
      <c r="P78" s="326" t="e">
        <f t="shared" si="4"/>
        <v>#N/A</v>
      </c>
      <c r="Q78" t="e">
        <f t="shared" si="5"/>
        <v>#N/A</v>
      </c>
    </row>
    <row r="79" spans="2:17" x14ac:dyDescent="0.25">
      <c r="B79" t="e">
        <f>IF($C$1="Deutsch",VLOOKUP('Construction Planner'!J89,$N$4:$O$20,2,FALSE),'Construction Planner'!J89)</f>
        <v>#N/A</v>
      </c>
      <c r="C79" t="e">
        <f>'Construction Planner'!L89</f>
        <v>#N/A</v>
      </c>
      <c r="D79" s="133" t="e">
        <f>TEXT('Construction Planner'!P89,"TT.MM. hh:mm:ss")</f>
        <v>#N/A</v>
      </c>
      <c r="E79" s="133" t="e">
        <f>TEXT('Construction Planner'!M89,"[h]:mm:ss")</f>
        <v>#N/A</v>
      </c>
      <c r="F79" s="133" t="e">
        <f>TEXT('Construction Planner'!N90,"TT.MM. hh:mm:ss")</f>
        <v>#N/A</v>
      </c>
      <c r="G79" t="e">
        <f t="shared" si="3"/>
        <v>#N/A</v>
      </c>
      <c r="K79">
        <f>IF($F$1="Off",'Construction Planner'!DK89,'Construction Planner'!DI90)</f>
        <v>0</v>
      </c>
      <c r="L79">
        <f>IF($F$1="Off",'Construction Planner'!DN89,'Construction Planner'!DJ90)</f>
        <v>0</v>
      </c>
      <c r="M79">
        <f>IF($F$1="Off",'Construction Planner'!DQ89,'Construction Planner'!DL90)</f>
        <v>0</v>
      </c>
      <c r="P79" s="326" t="e">
        <f t="shared" si="4"/>
        <v>#N/A</v>
      </c>
      <c r="Q79" t="e">
        <f t="shared" si="5"/>
        <v>#N/A</v>
      </c>
    </row>
    <row r="80" spans="2:17" x14ac:dyDescent="0.25">
      <c r="B80" t="e">
        <f>IF($C$1="Deutsch",VLOOKUP('Construction Planner'!J90,$N$4:$O$20,2,FALSE),'Construction Planner'!J90)</f>
        <v>#N/A</v>
      </c>
      <c r="C80" t="e">
        <f>'Construction Planner'!L90</f>
        <v>#N/A</v>
      </c>
      <c r="D80" s="133" t="e">
        <f>TEXT('Construction Planner'!P90,"TT.MM. hh:mm:ss")</f>
        <v>#N/A</v>
      </c>
      <c r="E80" s="133" t="e">
        <f>TEXT('Construction Planner'!M90,"[h]:mm:ss")</f>
        <v>#N/A</v>
      </c>
      <c r="F80" s="133" t="e">
        <f>TEXT('Construction Planner'!N91,"TT.MM. hh:mm:ss")</f>
        <v>#N/A</v>
      </c>
      <c r="G80" t="e">
        <f t="shared" si="3"/>
        <v>#N/A</v>
      </c>
      <c r="K80">
        <f>IF($F$1="Off",'Construction Planner'!DK90,'Construction Planner'!DI91)</f>
        <v>0</v>
      </c>
      <c r="L80">
        <f>IF($F$1="Off",'Construction Planner'!DN90,'Construction Planner'!DJ91)</f>
        <v>0</v>
      </c>
      <c r="M80">
        <f>IF($F$1="Off",'Construction Planner'!DQ90,'Construction Planner'!DL91)</f>
        <v>0</v>
      </c>
      <c r="P80" s="326" t="e">
        <f t="shared" si="4"/>
        <v>#N/A</v>
      </c>
      <c r="Q80" t="e">
        <f t="shared" si="5"/>
        <v>#N/A</v>
      </c>
    </row>
    <row r="81" spans="2:17" x14ac:dyDescent="0.25">
      <c r="B81" t="e">
        <f>IF($C$1="Deutsch",VLOOKUP('Construction Planner'!J91,$N$4:$O$20,2,FALSE),'Construction Planner'!J91)</f>
        <v>#N/A</v>
      </c>
      <c r="C81" t="e">
        <f>'Construction Planner'!L91</f>
        <v>#N/A</v>
      </c>
      <c r="D81" s="133" t="e">
        <f>TEXT('Construction Planner'!P91,"TT.MM. hh:mm:ss")</f>
        <v>#N/A</v>
      </c>
      <c r="E81" s="133" t="e">
        <f>TEXT('Construction Planner'!M91,"[h]:mm:ss")</f>
        <v>#N/A</v>
      </c>
      <c r="F81" s="133" t="e">
        <f>TEXT('Construction Planner'!N92,"TT.MM. hh:mm:ss")</f>
        <v>#N/A</v>
      </c>
      <c r="G81" t="e">
        <f t="shared" ref="G81:G137" si="6">CONCATENATE("[*]",B81,"[|]",C81,"[|]",D81,"[|]",E81,"[|]",F81,"[|]",K81,"[|]",L81,"[|]",M81)</f>
        <v>#N/A</v>
      </c>
      <c r="K81">
        <f>IF($F$1="Off",'Construction Planner'!DK91,'Construction Planner'!DI92)</f>
        <v>0</v>
      </c>
      <c r="L81">
        <f>IF($F$1="Off",'Construction Planner'!DN91,'Construction Planner'!DJ92)</f>
        <v>0</v>
      </c>
      <c r="M81">
        <f>IF($F$1="Off",'Construction Planner'!DQ91,'Construction Planner'!DL92)</f>
        <v>0</v>
      </c>
      <c r="P81" s="326" t="e">
        <f t="shared" si="4"/>
        <v>#N/A</v>
      </c>
      <c r="Q81" t="e">
        <f t="shared" si="5"/>
        <v>#N/A</v>
      </c>
    </row>
    <row r="82" spans="2:17" x14ac:dyDescent="0.25">
      <c r="B82" t="e">
        <f>IF($C$1="Deutsch",VLOOKUP('Construction Planner'!J92,$N$4:$O$20,2,FALSE),'Construction Planner'!J92)</f>
        <v>#N/A</v>
      </c>
      <c r="C82" t="e">
        <f>'Construction Planner'!L92</f>
        <v>#N/A</v>
      </c>
      <c r="D82" s="133" t="e">
        <f>TEXT('Construction Planner'!P92,"TT.MM. hh:mm:ss")</f>
        <v>#N/A</v>
      </c>
      <c r="E82" s="133" t="e">
        <f>TEXT('Construction Planner'!M92,"[h]:mm:ss")</f>
        <v>#N/A</v>
      </c>
      <c r="F82" s="133" t="e">
        <f>TEXT('Construction Planner'!N93,"TT.MM. hh:mm:ss")</f>
        <v>#N/A</v>
      </c>
      <c r="G82" t="e">
        <f t="shared" si="6"/>
        <v>#N/A</v>
      </c>
      <c r="K82">
        <f>IF($F$1="Off",'Construction Planner'!DK92,'Construction Planner'!DI93)</f>
        <v>0</v>
      </c>
      <c r="L82">
        <f>IF($F$1="Off",'Construction Planner'!DN92,'Construction Planner'!DJ93)</f>
        <v>0</v>
      </c>
      <c r="M82">
        <f>IF($F$1="Off",'Construction Planner'!DQ92,'Construction Planner'!DL93)</f>
        <v>0</v>
      </c>
      <c r="P82" s="326" t="e">
        <f t="shared" si="4"/>
        <v>#N/A</v>
      </c>
      <c r="Q82" t="e">
        <f t="shared" si="5"/>
        <v>#N/A</v>
      </c>
    </row>
    <row r="83" spans="2:17" x14ac:dyDescent="0.25">
      <c r="B83" t="e">
        <f>IF($C$1="Deutsch",VLOOKUP('Construction Planner'!J93,$N$4:$O$20,2,FALSE),'Construction Planner'!J93)</f>
        <v>#N/A</v>
      </c>
      <c r="C83" t="e">
        <f>'Construction Planner'!L93</f>
        <v>#N/A</v>
      </c>
      <c r="D83" s="133" t="e">
        <f>TEXT('Construction Planner'!P93,"TT.MM. hh:mm:ss")</f>
        <v>#N/A</v>
      </c>
      <c r="E83" s="133" t="e">
        <f>TEXT('Construction Planner'!M93,"[h]:mm:ss")</f>
        <v>#N/A</v>
      </c>
      <c r="F83" s="133" t="e">
        <f>TEXT('Construction Planner'!N94,"TT.MM. hh:mm:ss")</f>
        <v>#N/A</v>
      </c>
      <c r="G83" t="e">
        <f t="shared" si="6"/>
        <v>#N/A</v>
      </c>
      <c r="K83">
        <f>IF($F$1="Off",'Construction Planner'!DK93,'Construction Planner'!DI94)</f>
        <v>0</v>
      </c>
      <c r="L83">
        <f>IF($F$1="Off",'Construction Planner'!DN93,'Construction Planner'!DJ94)</f>
        <v>0</v>
      </c>
      <c r="M83">
        <f>IF($F$1="Off",'Construction Planner'!DQ93,'Construction Planner'!DL94)</f>
        <v>0</v>
      </c>
      <c r="P83" s="326" t="e">
        <f t="shared" si="4"/>
        <v>#N/A</v>
      </c>
      <c r="Q83" t="e">
        <f t="shared" si="5"/>
        <v>#N/A</v>
      </c>
    </row>
    <row r="84" spans="2:17" x14ac:dyDescent="0.25">
      <c r="B84" t="e">
        <f>IF($C$1="Deutsch",VLOOKUP('Construction Planner'!J94,$N$4:$O$20,2,FALSE),'Construction Planner'!J94)</f>
        <v>#N/A</v>
      </c>
      <c r="C84" t="e">
        <f>'Construction Planner'!L94</f>
        <v>#N/A</v>
      </c>
      <c r="D84" s="133" t="e">
        <f>TEXT('Construction Planner'!P94,"TT.MM. hh:mm:ss")</f>
        <v>#N/A</v>
      </c>
      <c r="E84" s="133" t="e">
        <f>TEXT('Construction Planner'!M94,"[h]:mm:ss")</f>
        <v>#N/A</v>
      </c>
      <c r="F84" s="133" t="e">
        <f>TEXT('Construction Planner'!N95,"TT.MM. hh:mm:ss")</f>
        <v>#N/A</v>
      </c>
      <c r="G84" t="e">
        <f t="shared" si="6"/>
        <v>#N/A</v>
      </c>
      <c r="K84">
        <f>IF($F$1="Off",'Construction Planner'!DK94,'Construction Planner'!DI95)</f>
        <v>0</v>
      </c>
      <c r="L84">
        <f>IF($F$1="Off",'Construction Planner'!DN94,'Construction Planner'!DJ95)</f>
        <v>0</v>
      </c>
      <c r="M84">
        <f>IF($F$1="Off",'Construction Planner'!DQ94,'Construction Planner'!DL95)</f>
        <v>0</v>
      </c>
      <c r="P84" s="326" t="e">
        <f t="shared" si="4"/>
        <v>#N/A</v>
      </c>
      <c r="Q84" t="e">
        <f t="shared" si="5"/>
        <v>#N/A</v>
      </c>
    </row>
    <row r="85" spans="2:17" x14ac:dyDescent="0.25">
      <c r="B85" t="e">
        <f>IF($C$1="Deutsch",VLOOKUP('Construction Planner'!J95,$N$4:$O$20,2,FALSE),'Construction Planner'!J95)</f>
        <v>#N/A</v>
      </c>
      <c r="C85" t="e">
        <f>'Construction Planner'!L95</f>
        <v>#N/A</v>
      </c>
      <c r="D85" s="133" t="e">
        <f>TEXT('Construction Planner'!P95,"TT.MM. hh:mm:ss")</f>
        <v>#N/A</v>
      </c>
      <c r="E85" s="133" t="e">
        <f>TEXT('Construction Planner'!M95,"[h]:mm:ss")</f>
        <v>#N/A</v>
      </c>
      <c r="F85" s="133" t="e">
        <f>TEXT('Construction Planner'!N96,"TT.MM. hh:mm:ss")</f>
        <v>#N/A</v>
      </c>
      <c r="G85" t="e">
        <f t="shared" si="6"/>
        <v>#N/A</v>
      </c>
      <c r="K85">
        <f>IF($F$1="Off",'Construction Planner'!DK95,'Construction Planner'!DI96)</f>
        <v>0</v>
      </c>
      <c r="L85">
        <f>IF($F$1="Off",'Construction Planner'!DN95,'Construction Planner'!DJ96)</f>
        <v>0</v>
      </c>
      <c r="M85">
        <f>IF($F$1="Off",'Construction Planner'!DQ95,'Construction Planner'!DL96)</f>
        <v>0</v>
      </c>
      <c r="P85" s="326" t="e">
        <f t="shared" si="4"/>
        <v>#N/A</v>
      </c>
      <c r="Q85" t="e">
        <f t="shared" si="5"/>
        <v>#N/A</v>
      </c>
    </row>
    <row r="86" spans="2:17" x14ac:dyDescent="0.25">
      <c r="B86" t="e">
        <f>IF($C$1="Deutsch",VLOOKUP('Construction Planner'!J96,$N$4:$O$20,2,FALSE),'Construction Planner'!J96)</f>
        <v>#N/A</v>
      </c>
      <c r="C86" t="e">
        <f>'Construction Planner'!L96</f>
        <v>#N/A</v>
      </c>
      <c r="D86" s="133" t="e">
        <f>TEXT('Construction Planner'!P96,"TT.MM. hh:mm:ss")</f>
        <v>#N/A</v>
      </c>
      <c r="E86" s="133" t="e">
        <f>TEXT('Construction Planner'!M96,"[h]:mm:ss")</f>
        <v>#N/A</v>
      </c>
      <c r="F86" s="133" t="e">
        <f>TEXT('Construction Planner'!N97,"TT.MM. hh:mm:ss")</f>
        <v>#N/A</v>
      </c>
      <c r="G86" t="e">
        <f t="shared" si="6"/>
        <v>#N/A</v>
      </c>
      <c r="K86">
        <f>IF($F$1="Off",'Construction Planner'!DK96,'Construction Planner'!DI97)</f>
        <v>0</v>
      </c>
      <c r="L86">
        <f>IF($F$1="Off",'Construction Planner'!DN96,'Construction Planner'!DJ97)</f>
        <v>0</v>
      </c>
      <c r="M86">
        <f>IF($F$1="Off",'Construction Planner'!DQ96,'Construction Planner'!DL97)</f>
        <v>0</v>
      </c>
      <c r="P86" s="326" t="e">
        <f t="shared" si="4"/>
        <v>#N/A</v>
      </c>
      <c r="Q86" t="e">
        <f t="shared" si="5"/>
        <v>#N/A</v>
      </c>
    </row>
    <row r="87" spans="2:17" x14ac:dyDescent="0.25">
      <c r="B87" t="e">
        <f>IF($C$1="Deutsch",VLOOKUP('Construction Planner'!J97,$N$4:$O$20,2,FALSE),'Construction Planner'!J97)</f>
        <v>#N/A</v>
      </c>
      <c r="C87" t="e">
        <f>'Construction Planner'!L97</f>
        <v>#N/A</v>
      </c>
      <c r="D87" s="133" t="e">
        <f>TEXT('Construction Planner'!P97,"TT.MM. hh:mm:ss")</f>
        <v>#N/A</v>
      </c>
      <c r="E87" s="133" t="e">
        <f>TEXT('Construction Planner'!M97,"[h]:mm:ss")</f>
        <v>#N/A</v>
      </c>
      <c r="F87" s="133" t="e">
        <f>TEXT('Construction Planner'!N98,"TT.MM. hh:mm:ss")</f>
        <v>#N/A</v>
      </c>
      <c r="G87" t="e">
        <f t="shared" si="6"/>
        <v>#N/A</v>
      </c>
      <c r="K87">
        <f>IF($F$1="Off",'Construction Planner'!DK97,'Construction Planner'!DI98)</f>
        <v>0</v>
      </c>
      <c r="L87">
        <f>IF($F$1="Off",'Construction Planner'!DN97,'Construction Planner'!DJ98)</f>
        <v>0</v>
      </c>
      <c r="M87">
        <f>IF($F$1="Off",'Construction Planner'!DQ97,'Construction Planner'!DL98)</f>
        <v>0</v>
      </c>
      <c r="P87" s="326" t="e">
        <f t="shared" si="4"/>
        <v>#N/A</v>
      </c>
      <c r="Q87" t="e">
        <f t="shared" si="5"/>
        <v>#N/A</v>
      </c>
    </row>
    <row r="88" spans="2:17" x14ac:dyDescent="0.25">
      <c r="B88" t="e">
        <f>IF($C$1="Deutsch",VLOOKUP('Construction Planner'!J98,$N$4:$O$20,2,FALSE),'Construction Planner'!J98)</f>
        <v>#N/A</v>
      </c>
      <c r="C88" t="e">
        <f>'Construction Planner'!L98</f>
        <v>#N/A</v>
      </c>
      <c r="D88" s="133" t="e">
        <f>TEXT('Construction Planner'!P98,"TT.MM. hh:mm:ss")</f>
        <v>#N/A</v>
      </c>
      <c r="E88" s="133" t="e">
        <f>TEXT('Construction Planner'!M98,"[h]:mm:ss")</f>
        <v>#N/A</v>
      </c>
      <c r="F88" s="133" t="e">
        <f>TEXT('Construction Planner'!N99,"TT.MM. hh:mm:ss")</f>
        <v>#N/A</v>
      </c>
      <c r="G88" t="e">
        <f t="shared" si="6"/>
        <v>#N/A</v>
      </c>
      <c r="K88">
        <f>IF($F$1="Off",'Construction Planner'!DK98,'Construction Planner'!DI99)</f>
        <v>0</v>
      </c>
      <c r="L88">
        <f>IF($F$1="Off",'Construction Planner'!DN98,'Construction Planner'!DJ99)</f>
        <v>0</v>
      </c>
      <c r="M88">
        <f>IF($F$1="Off",'Construction Planner'!DQ98,'Construction Planner'!DL99)</f>
        <v>0</v>
      </c>
      <c r="P88" s="326" t="e">
        <f t="shared" si="4"/>
        <v>#N/A</v>
      </c>
      <c r="Q88" t="e">
        <f t="shared" si="5"/>
        <v>#N/A</v>
      </c>
    </row>
    <row r="89" spans="2:17" x14ac:dyDescent="0.25">
      <c r="B89" t="e">
        <f>IF($C$1="Deutsch",VLOOKUP('Construction Planner'!J99,$N$4:$O$20,2,FALSE),'Construction Planner'!J99)</f>
        <v>#N/A</v>
      </c>
      <c r="C89" t="e">
        <f>'Construction Planner'!L99</f>
        <v>#N/A</v>
      </c>
      <c r="D89" s="133" t="e">
        <f>TEXT('Construction Planner'!P99,"TT.MM. hh:mm:ss")</f>
        <v>#N/A</v>
      </c>
      <c r="E89" s="133" t="e">
        <f>TEXT('Construction Planner'!M99,"[h]:mm:ss")</f>
        <v>#N/A</v>
      </c>
      <c r="F89" s="133" t="e">
        <f>TEXT('Construction Planner'!N100,"TT.MM. hh:mm:ss")</f>
        <v>#N/A</v>
      </c>
      <c r="G89" t="e">
        <f t="shared" si="6"/>
        <v>#N/A</v>
      </c>
      <c r="K89">
        <f>IF($F$1="Off",'Construction Planner'!DK99,'Construction Planner'!DI100)</f>
        <v>0</v>
      </c>
      <c r="L89">
        <f>IF($F$1="Off",'Construction Planner'!DN99,'Construction Planner'!DJ100)</f>
        <v>0</v>
      </c>
      <c r="M89">
        <f>IF($F$1="Off",'Construction Planner'!DQ99,'Construction Planner'!DL100)</f>
        <v>0</v>
      </c>
      <c r="P89" s="326" t="e">
        <f t="shared" si="4"/>
        <v>#N/A</v>
      </c>
      <c r="Q89" t="e">
        <f t="shared" si="5"/>
        <v>#N/A</v>
      </c>
    </row>
    <row r="90" spans="2:17" x14ac:dyDescent="0.25">
      <c r="B90" t="e">
        <f>IF($C$1="Deutsch",VLOOKUP('Construction Planner'!J100,$N$4:$O$20,2,FALSE),'Construction Planner'!J100)</f>
        <v>#N/A</v>
      </c>
      <c r="C90" t="e">
        <f>'Construction Planner'!L100</f>
        <v>#N/A</v>
      </c>
      <c r="D90" s="133" t="e">
        <f>TEXT('Construction Planner'!P100,"TT.MM. hh:mm:ss")</f>
        <v>#N/A</v>
      </c>
      <c r="E90" s="133" t="e">
        <f>TEXT('Construction Planner'!M100,"[h]:mm:ss")</f>
        <v>#N/A</v>
      </c>
      <c r="F90" s="133" t="e">
        <f>TEXT('Construction Planner'!N101,"TT.MM. hh:mm:ss")</f>
        <v>#N/A</v>
      </c>
      <c r="G90" t="e">
        <f t="shared" si="6"/>
        <v>#N/A</v>
      </c>
      <c r="K90">
        <f>IF($F$1="Off",'Construction Planner'!DK100,'Construction Planner'!DI101)</f>
        <v>0</v>
      </c>
      <c r="L90">
        <f>IF($F$1="Off",'Construction Planner'!DN100,'Construction Planner'!DJ101)</f>
        <v>0</v>
      </c>
      <c r="M90">
        <f>IF($F$1="Off",'Construction Planner'!DQ100,'Construction Planner'!DL101)</f>
        <v>0</v>
      </c>
      <c r="P90" s="326" t="e">
        <f t="shared" si="4"/>
        <v>#N/A</v>
      </c>
      <c r="Q90" t="e">
        <f t="shared" si="5"/>
        <v>#N/A</v>
      </c>
    </row>
    <row r="91" spans="2:17" x14ac:dyDescent="0.25">
      <c r="B91" t="e">
        <f>IF($C$1="Deutsch",VLOOKUP('Construction Planner'!J101,$N$4:$O$20,2,FALSE),'Construction Planner'!J101)</f>
        <v>#N/A</v>
      </c>
      <c r="C91" t="e">
        <f>'Construction Planner'!L101</f>
        <v>#N/A</v>
      </c>
      <c r="D91" s="133" t="e">
        <f>TEXT('Construction Planner'!P101,"TT.MM. hh:mm:ss")</f>
        <v>#N/A</v>
      </c>
      <c r="E91" s="133" t="e">
        <f>TEXT('Construction Planner'!M101,"[h]:mm:ss")</f>
        <v>#N/A</v>
      </c>
      <c r="F91" s="133" t="e">
        <f>TEXT('Construction Planner'!N102,"TT.MM. hh:mm:ss")</f>
        <v>#N/A</v>
      </c>
      <c r="G91" t="e">
        <f t="shared" si="6"/>
        <v>#N/A</v>
      </c>
      <c r="K91">
        <f>IF($F$1="Off",'Construction Planner'!DK101,'Construction Planner'!DI102)</f>
        <v>0</v>
      </c>
      <c r="L91">
        <f>IF($F$1="Off",'Construction Planner'!DN101,'Construction Planner'!DJ102)</f>
        <v>0</v>
      </c>
      <c r="M91">
        <f>IF($F$1="Off",'Construction Planner'!DQ101,'Construction Planner'!DL102)</f>
        <v>0</v>
      </c>
      <c r="P91" s="326" t="e">
        <f t="shared" si="4"/>
        <v>#N/A</v>
      </c>
      <c r="Q91" t="e">
        <f t="shared" si="5"/>
        <v>#N/A</v>
      </c>
    </row>
    <row r="92" spans="2:17" x14ac:dyDescent="0.25">
      <c r="B92" t="e">
        <f>IF($C$1="Deutsch",VLOOKUP('Construction Planner'!J102,$N$4:$O$20,2,FALSE),'Construction Planner'!J102)</f>
        <v>#N/A</v>
      </c>
      <c r="C92" t="e">
        <f>'Construction Planner'!L102</f>
        <v>#N/A</v>
      </c>
      <c r="D92" s="133" t="e">
        <f>TEXT('Construction Planner'!P102,"TT.MM. hh:mm:ss")</f>
        <v>#N/A</v>
      </c>
      <c r="E92" s="133" t="e">
        <f>TEXT('Construction Planner'!M102,"[h]:mm:ss")</f>
        <v>#N/A</v>
      </c>
      <c r="F92" s="133" t="e">
        <f>TEXT('Construction Planner'!N103,"TT.MM. hh:mm:ss")</f>
        <v>#N/A</v>
      </c>
      <c r="G92" t="e">
        <f t="shared" si="6"/>
        <v>#N/A</v>
      </c>
      <c r="K92">
        <f>IF($F$1="Off",'Construction Planner'!DK102,'Construction Planner'!DI103)</f>
        <v>0</v>
      </c>
      <c r="L92">
        <f>IF($F$1="Off",'Construction Planner'!DN102,'Construction Planner'!DJ103)</f>
        <v>0</v>
      </c>
      <c r="M92">
        <f>IF($F$1="Off",'Construction Planner'!DQ102,'Construction Planner'!DL103)</f>
        <v>0</v>
      </c>
      <c r="P92" s="326" t="e">
        <f t="shared" si="4"/>
        <v>#N/A</v>
      </c>
      <c r="Q92" t="e">
        <f t="shared" si="5"/>
        <v>#N/A</v>
      </c>
    </row>
    <row r="93" spans="2:17" x14ac:dyDescent="0.25">
      <c r="B93" t="e">
        <f>IF($C$1="Deutsch",VLOOKUP('Construction Planner'!J103,$N$4:$O$20,2,FALSE),'Construction Planner'!J103)</f>
        <v>#N/A</v>
      </c>
      <c r="C93" t="e">
        <f>'Construction Planner'!L103</f>
        <v>#N/A</v>
      </c>
      <c r="D93" s="133" t="e">
        <f>TEXT('Construction Planner'!P103,"TT.MM. hh:mm:ss")</f>
        <v>#N/A</v>
      </c>
      <c r="E93" s="133" t="e">
        <f>TEXT('Construction Planner'!M103,"[h]:mm:ss")</f>
        <v>#N/A</v>
      </c>
      <c r="F93" s="133" t="e">
        <f>TEXT('Construction Planner'!N104,"TT.MM. hh:mm:ss")</f>
        <v>#N/A</v>
      </c>
      <c r="G93" t="e">
        <f t="shared" si="6"/>
        <v>#N/A</v>
      </c>
      <c r="K93">
        <f>IF($F$1="Off",'Construction Planner'!DK103,'Construction Planner'!DI104)</f>
        <v>0</v>
      </c>
      <c r="L93">
        <f>IF($F$1="Off",'Construction Planner'!DN103,'Construction Planner'!DJ104)</f>
        <v>0</v>
      </c>
      <c r="M93">
        <f>IF($F$1="Off",'Construction Planner'!DQ103,'Construction Planner'!DL104)</f>
        <v>0</v>
      </c>
      <c r="P93" s="326" t="e">
        <f t="shared" si="4"/>
        <v>#N/A</v>
      </c>
      <c r="Q93" t="e">
        <f t="shared" si="5"/>
        <v>#N/A</v>
      </c>
    </row>
    <row r="94" spans="2:17" x14ac:dyDescent="0.25">
      <c r="B94" t="e">
        <f>IF($C$1="Deutsch",VLOOKUP('Construction Planner'!J104,$N$4:$O$20,2,FALSE),'Construction Planner'!J104)</f>
        <v>#N/A</v>
      </c>
      <c r="C94" t="e">
        <f>'Construction Planner'!L104</f>
        <v>#N/A</v>
      </c>
      <c r="D94" s="133" t="e">
        <f>TEXT('Construction Planner'!P104,"TT.MM. hh:mm:ss")</f>
        <v>#N/A</v>
      </c>
      <c r="E94" s="133" t="e">
        <f>TEXT('Construction Planner'!M104,"[h]:mm:ss")</f>
        <v>#N/A</v>
      </c>
      <c r="F94" s="133" t="e">
        <f>TEXT('Construction Planner'!N105,"TT.MM. hh:mm:ss")</f>
        <v>#N/A</v>
      </c>
      <c r="G94" t="e">
        <f t="shared" si="6"/>
        <v>#N/A</v>
      </c>
      <c r="K94">
        <f>IF($F$1="Off",'Construction Planner'!DK104,'Construction Planner'!DI105)</f>
        <v>0</v>
      </c>
      <c r="L94">
        <f>IF($F$1="Off",'Construction Planner'!DN104,'Construction Planner'!DJ105)</f>
        <v>0</v>
      </c>
      <c r="M94">
        <f>IF($F$1="Off",'Construction Planner'!DQ104,'Construction Planner'!DL105)</f>
        <v>0</v>
      </c>
      <c r="P94" s="326" t="e">
        <f t="shared" si="4"/>
        <v>#N/A</v>
      </c>
      <c r="Q94" t="e">
        <f t="shared" si="5"/>
        <v>#N/A</v>
      </c>
    </row>
    <row r="95" spans="2:17" x14ac:dyDescent="0.25">
      <c r="B95" t="e">
        <f>IF($C$1="Deutsch",VLOOKUP('Construction Planner'!J105,$N$4:$O$20,2,FALSE),'Construction Planner'!J105)</f>
        <v>#N/A</v>
      </c>
      <c r="C95" t="e">
        <f>'Construction Planner'!L105</f>
        <v>#N/A</v>
      </c>
      <c r="D95" s="133" t="e">
        <f>TEXT('Construction Planner'!P105,"TT.MM. hh:mm:ss")</f>
        <v>#N/A</v>
      </c>
      <c r="E95" s="133" t="e">
        <f>TEXT('Construction Planner'!M105,"[h]:mm:ss")</f>
        <v>#N/A</v>
      </c>
      <c r="F95" s="133" t="e">
        <f>TEXT('Construction Planner'!N106,"TT.MM. hh:mm:ss")</f>
        <v>#N/A</v>
      </c>
      <c r="G95" t="e">
        <f t="shared" si="6"/>
        <v>#N/A</v>
      </c>
      <c r="K95">
        <f>IF($F$1="Off",'Construction Planner'!DK105,'Construction Planner'!DI106)</f>
        <v>0</v>
      </c>
      <c r="L95">
        <f>IF($F$1="Off",'Construction Planner'!DN105,'Construction Planner'!DJ106)</f>
        <v>0</v>
      </c>
      <c r="M95">
        <f>IF($F$1="Off",'Construction Planner'!DQ105,'Construction Planner'!DL106)</f>
        <v>0</v>
      </c>
      <c r="P95" s="326" t="e">
        <f t="shared" si="4"/>
        <v>#N/A</v>
      </c>
      <c r="Q95" t="e">
        <f t="shared" si="5"/>
        <v>#N/A</v>
      </c>
    </row>
    <row r="96" spans="2:17" x14ac:dyDescent="0.25">
      <c r="B96" t="e">
        <f>IF($C$1="Deutsch",VLOOKUP('Construction Planner'!J106,$N$4:$O$20,2,FALSE),'Construction Planner'!J106)</f>
        <v>#N/A</v>
      </c>
      <c r="C96" t="e">
        <f>'Construction Planner'!L106</f>
        <v>#N/A</v>
      </c>
      <c r="D96" s="133" t="e">
        <f>TEXT('Construction Planner'!P106,"TT.MM. hh:mm:ss")</f>
        <v>#N/A</v>
      </c>
      <c r="E96" s="133" t="e">
        <f>TEXT('Construction Planner'!M106,"[h]:mm:ss")</f>
        <v>#N/A</v>
      </c>
      <c r="F96" s="133" t="e">
        <f>TEXT('Construction Planner'!N107,"TT.MM. hh:mm:ss")</f>
        <v>#N/A</v>
      </c>
      <c r="G96" t="e">
        <f t="shared" si="6"/>
        <v>#N/A</v>
      </c>
      <c r="K96">
        <f>IF($F$1="Off",'Construction Planner'!DK106,'Construction Planner'!DI107)</f>
        <v>0</v>
      </c>
      <c r="L96">
        <f>IF($F$1="Off",'Construction Planner'!DN106,'Construction Planner'!DJ107)</f>
        <v>0</v>
      </c>
      <c r="M96">
        <f>IF($F$1="Off",'Construction Planner'!DQ106,'Construction Planner'!DL107)</f>
        <v>0</v>
      </c>
      <c r="P96" s="326" t="e">
        <f t="shared" si="4"/>
        <v>#N/A</v>
      </c>
      <c r="Q96" t="e">
        <f t="shared" si="5"/>
        <v>#N/A</v>
      </c>
    </row>
    <row r="97" spans="2:17" x14ac:dyDescent="0.25">
      <c r="B97" t="e">
        <f>IF($C$1="Deutsch",VLOOKUP('Construction Planner'!J107,$N$4:$O$20,2,FALSE),'Construction Planner'!J107)</f>
        <v>#N/A</v>
      </c>
      <c r="C97" t="e">
        <f>'Construction Planner'!L107</f>
        <v>#N/A</v>
      </c>
      <c r="D97" s="133" t="e">
        <f>TEXT('Construction Planner'!P107,"TT.MM. hh:mm:ss")</f>
        <v>#N/A</v>
      </c>
      <c r="E97" s="133" t="e">
        <f>TEXT('Construction Planner'!M107,"[h]:mm:ss")</f>
        <v>#N/A</v>
      </c>
      <c r="F97" s="133" t="e">
        <f>TEXT('Construction Planner'!N108,"TT.MM. hh:mm:ss")</f>
        <v>#N/A</v>
      </c>
      <c r="G97" t="e">
        <f t="shared" si="6"/>
        <v>#N/A</v>
      </c>
      <c r="K97">
        <f>IF($F$1="Off",'Construction Planner'!DK107,'Construction Planner'!DI108)</f>
        <v>0</v>
      </c>
      <c r="L97">
        <f>IF($F$1="Off",'Construction Planner'!DN107,'Construction Planner'!DJ108)</f>
        <v>0</v>
      </c>
      <c r="M97">
        <f>IF($F$1="Off",'Construction Planner'!DQ107,'Construction Planner'!DL108)</f>
        <v>0</v>
      </c>
      <c r="P97" s="326" t="e">
        <f t="shared" si="4"/>
        <v>#N/A</v>
      </c>
      <c r="Q97" t="e">
        <f t="shared" si="5"/>
        <v>#N/A</v>
      </c>
    </row>
    <row r="98" spans="2:17" x14ac:dyDescent="0.25">
      <c r="B98" t="e">
        <f>IF($C$1="Deutsch",VLOOKUP('Construction Planner'!J108,$N$4:$O$20,2,FALSE),'Construction Planner'!J108)</f>
        <v>#N/A</v>
      </c>
      <c r="C98" t="e">
        <f>'Construction Planner'!L108</f>
        <v>#N/A</v>
      </c>
      <c r="D98" s="133" t="e">
        <f>TEXT('Construction Planner'!P108,"TT.MM. hh:mm:ss")</f>
        <v>#N/A</v>
      </c>
      <c r="E98" s="133" t="e">
        <f>TEXT('Construction Planner'!M108,"[h]:mm:ss")</f>
        <v>#N/A</v>
      </c>
      <c r="F98" s="133" t="e">
        <f>TEXT('Construction Planner'!N109,"TT.MM. hh:mm:ss")</f>
        <v>#N/A</v>
      </c>
      <c r="G98" t="e">
        <f t="shared" si="6"/>
        <v>#N/A</v>
      </c>
      <c r="K98">
        <f>IF($F$1="Off",'Construction Planner'!DK108,'Construction Planner'!DI109)</f>
        <v>0</v>
      </c>
      <c r="L98">
        <f>IF($F$1="Off",'Construction Planner'!DN108,'Construction Planner'!DJ109)</f>
        <v>0</v>
      </c>
      <c r="M98">
        <f>IF($F$1="Off",'Construction Planner'!DQ108,'Construction Planner'!DL109)</f>
        <v>0</v>
      </c>
      <c r="P98" s="326" t="e">
        <f t="shared" si="4"/>
        <v>#N/A</v>
      </c>
      <c r="Q98" t="e">
        <f t="shared" si="5"/>
        <v>#N/A</v>
      </c>
    </row>
    <row r="99" spans="2:17" x14ac:dyDescent="0.25">
      <c r="B99" t="e">
        <f>IF($C$1="Deutsch",VLOOKUP('Construction Planner'!J109,$N$4:$O$20,2,FALSE),'Construction Planner'!J109)</f>
        <v>#N/A</v>
      </c>
      <c r="C99" t="e">
        <f>'Construction Planner'!L109</f>
        <v>#N/A</v>
      </c>
      <c r="D99" s="133" t="e">
        <f>TEXT('Construction Planner'!P109,"TT.MM. hh:mm:ss")</f>
        <v>#N/A</v>
      </c>
      <c r="E99" s="133" t="e">
        <f>TEXT('Construction Planner'!M109,"[h]:mm:ss")</f>
        <v>#N/A</v>
      </c>
      <c r="F99" s="133" t="e">
        <f>TEXT('Construction Planner'!N110,"TT.MM. hh:mm:ss")</f>
        <v>#N/A</v>
      </c>
      <c r="G99" t="e">
        <f t="shared" si="6"/>
        <v>#N/A</v>
      </c>
      <c r="K99">
        <f>IF($F$1="Off",'Construction Planner'!DK109,'Construction Planner'!DI110)</f>
        <v>0</v>
      </c>
      <c r="L99">
        <f>IF($F$1="Off",'Construction Planner'!DN109,'Construction Planner'!DJ110)</f>
        <v>0</v>
      </c>
      <c r="M99">
        <f>IF($F$1="Off",'Construction Planner'!DQ109,'Construction Planner'!DL110)</f>
        <v>0</v>
      </c>
      <c r="P99" s="326" t="e">
        <f t="shared" si="4"/>
        <v>#N/A</v>
      </c>
      <c r="Q99" t="e">
        <f t="shared" si="5"/>
        <v>#N/A</v>
      </c>
    </row>
    <row r="100" spans="2:17" x14ac:dyDescent="0.25">
      <c r="B100" t="e">
        <f>IF($C$1="Deutsch",VLOOKUP('Construction Planner'!J110,$N$4:$O$20,2,FALSE),'Construction Planner'!J110)</f>
        <v>#N/A</v>
      </c>
      <c r="C100" t="e">
        <f>'Construction Planner'!L110</f>
        <v>#N/A</v>
      </c>
      <c r="D100" s="133" t="e">
        <f>TEXT('Construction Planner'!P110,"TT.MM. hh:mm:ss")</f>
        <v>#N/A</v>
      </c>
      <c r="E100" s="133" t="e">
        <f>TEXT('Construction Planner'!M110,"[h]:mm:ss")</f>
        <v>#N/A</v>
      </c>
      <c r="F100" s="133" t="e">
        <f>TEXT('Construction Planner'!N111,"TT.MM. hh:mm:ss")</f>
        <v>#N/A</v>
      </c>
      <c r="G100" t="e">
        <f t="shared" si="6"/>
        <v>#N/A</v>
      </c>
      <c r="K100">
        <f>IF($F$1="Off",'Construction Planner'!DK110,'Construction Planner'!DI111)</f>
        <v>0</v>
      </c>
      <c r="L100">
        <f>IF($F$1="Off",'Construction Planner'!DN110,'Construction Planner'!DJ111)</f>
        <v>0</v>
      </c>
      <c r="M100">
        <f>IF($F$1="Off",'Construction Planner'!DQ110,'Construction Planner'!DL111)</f>
        <v>0</v>
      </c>
      <c r="P100" s="326" t="e">
        <f t="shared" si="4"/>
        <v>#N/A</v>
      </c>
      <c r="Q100" t="e">
        <f t="shared" si="5"/>
        <v>#N/A</v>
      </c>
    </row>
    <row r="101" spans="2:17" x14ac:dyDescent="0.25">
      <c r="B101" t="e">
        <f>IF($C$1="Deutsch",VLOOKUP('Construction Planner'!J111,$N$4:$O$20,2,FALSE),'Construction Planner'!J111)</f>
        <v>#N/A</v>
      </c>
      <c r="C101" t="e">
        <f>'Construction Planner'!L111</f>
        <v>#N/A</v>
      </c>
      <c r="D101" s="133" t="e">
        <f>TEXT('Construction Planner'!P111,"TT.MM. hh:mm:ss")</f>
        <v>#N/A</v>
      </c>
      <c r="E101" s="133" t="e">
        <f>TEXT('Construction Planner'!M111,"[h]:mm:ss")</f>
        <v>#N/A</v>
      </c>
      <c r="F101" s="133" t="e">
        <f>TEXT('Construction Planner'!N112,"TT.MM. hh:mm:ss")</f>
        <v>#N/A</v>
      </c>
      <c r="G101" t="e">
        <f t="shared" si="6"/>
        <v>#N/A</v>
      </c>
      <c r="K101">
        <f>IF($F$1="Off",'Construction Planner'!DK111,'Construction Planner'!DI112)</f>
        <v>0</v>
      </c>
      <c r="L101">
        <f>IF($F$1="Off",'Construction Planner'!DN111,'Construction Planner'!DJ112)</f>
        <v>0</v>
      </c>
      <c r="M101">
        <f>IF($F$1="Off",'Construction Planner'!DQ111,'Construction Planner'!DL112)</f>
        <v>0</v>
      </c>
      <c r="P101" s="326" t="e">
        <f t="shared" si="4"/>
        <v>#N/A</v>
      </c>
      <c r="Q101" t="e">
        <f t="shared" si="5"/>
        <v>#N/A</v>
      </c>
    </row>
    <row r="102" spans="2:17" x14ac:dyDescent="0.25">
      <c r="B102" t="e">
        <f>IF($C$1="Deutsch",VLOOKUP('Construction Planner'!J112,$N$4:$O$20,2,FALSE),'Construction Planner'!J112)</f>
        <v>#N/A</v>
      </c>
      <c r="C102" t="e">
        <f>'Construction Planner'!L112</f>
        <v>#N/A</v>
      </c>
      <c r="D102" s="133" t="e">
        <f>TEXT('Construction Planner'!P112,"TT.MM. hh:mm:ss")</f>
        <v>#N/A</v>
      </c>
      <c r="E102" s="133" t="e">
        <f>TEXT('Construction Planner'!M112,"[h]:mm:ss")</f>
        <v>#N/A</v>
      </c>
      <c r="F102" s="133" t="e">
        <f>TEXT('Construction Planner'!N113,"TT.MM. hh:mm:ss")</f>
        <v>#N/A</v>
      </c>
      <c r="G102" t="e">
        <f t="shared" si="6"/>
        <v>#N/A</v>
      </c>
      <c r="K102">
        <f>IF($F$1="Off",'Construction Planner'!DK112,'Construction Planner'!DI113)</f>
        <v>0</v>
      </c>
      <c r="L102">
        <f>IF($F$1="Off",'Construction Planner'!DN112,'Construction Planner'!DJ113)</f>
        <v>0</v>
      </c>
      <c r="M102">
        <f>IF($F$1="Off",'Construction Planner'!DQ112,'Construction Planner'!DL113)</f>
        <v>0</v>
      </c>
      <c r="P102" s="326" t="e">
        <f t="shared" si="4"/>
        <v>#N/A</v>
      </c>
      <c r="Q102" t="e">
        <f t="shared" si="5"/>
        <v>#N/A</v>
      </c>
    </row>
    <row r="103" spans="2:17" x14ac:dyDescent="0.25">
      <c r="B103" t="e">
        <f>IF($C$1="Deutsch",VLOOKUP('Construction Planner'!J113,$N$4:$O$20,2,FALSE),'Construction Planner'!J113)</f>
        <v>#N/A</v>
      </c>
      <c r="C103" t="e">
        <f>'Construction Planner'!L113</f>
        <v>#N/A</v>
      </c>
      <c r="D103" s="133" t="e">
        <f>TEXT('Construction Planner'!P113,"TT.MM. hh:mm:ss")</f>
        <v>#N/A</v>
      </c>
      <c r="E103" s="133" t="e">
        <f>TEXT('Construction Planner'!M113,"[h]:mm:ss")</f>
        <v>#N/A</v>
      </c>
      <c r="F103" s="133" t="e">
        <f>TEXT('Construction Planner'!N114,"TT.MM. hh:mm:ss")</f>
        <v>#N/A</v>
      </c>
      <c r="G103" t="e">
        <f t="shared" si="6"/>
        <v>#N/A</v>
      </c>
      <c r="K103">
        <f>IF($F$1="Off",'Construction Planner'!DK113,'Construction Planner'!DI114)</f>
        <v>0</v>
      </c>
      <c r="L103">
        <f>IF($F$1="Off",'Construction Planner'!DN113,'Construction Planner'!DJ114)</f>
        <v>0</v>
      </c>
      <c r="M103">
        <f>IF($F$1="Off",'Construction Planner'!DQ113,'Construction Planner'!DL114)</f>
        <v>0</v>
      </c>
      <c r="P103" s="326" t="e">
        <f t="shared" si="4"/>
        <v>#N/A</v>
      </c>
      <c r="Q103" t="e">
        <f t="shared" si="5"/>
        <v>#N/A</v>
      </c>
    </row>
    <row r="104" spans="2:17" x14ac:dyDescent="0.25">
      <c r="B104" t="e">
        <f>IF($C$1="Deutsch",VLOOKUP('Construction Planner'!J114,$N$4:$O$20,2,FALSE),'Construction Planner'!J114)</f>
        <v>#N/A</v>
      </c>
      <c r="C104" t="e">
        <f>'Construction Planner'!L114</f>
        <v>#N/A</v>
      </c>
      <c r="D104" s="133" t="e">
        <f>TEXT('Construction Planner'!P114,"TT.MM. hh:mm:ss")</f>
        <v>#N/A</v>
      </c>
      <c r="E104" s="133" t="e">
        <f>TEXT('Construction Planner'!M114,"[h]:mm:ss")</f>
        <v>#N/A</v>
      </c>
      <c r="F104" s="133" t="e">
        <f>TEXT('Construction Planner'!N115,"TT.MM. hh:mm:ss")</f>
        <v>#N/A</v>
      </c>
      <c r="G104" t="e">
        <f t="shared" si="6"/>
        <v>#N/A</v>
      </c>
      <c r="K104">
        <f>IF($F$1="Off",'Construction Planner'!DK114,'Construction Planner'!DI115)</f>
        <v>0</v>
      </c>
      <c r="L104">
        <f>IF($F$1="Off",'Construction Planner'!DN114,'Construction Planner'!DJ115)</f>
        <v>0</v>
      </c>
      <c r="M104">
        <f>IF($F$1="Off",'Construction Planner'!DQ114,'Construction Planner'!DL115)</f>
        <v>0</v>
      </c>
      <c r="P104" s="326" t="e">
        <f t="shared" si="4"/>
        <v>#N/A</v>
      </c>
      <c r="Q104" t="e">
        <f t="shared" si="5"/>
        <v>#N/A</v>
      </c>
    </row>
    <row r="105" spans="2:17" x14ac:dyDescent="0.25">
      <c r="B105" t="e">
        <f>IF($C$1="Deutsch",VLOOKUP('Construction Planner'!J115,$N$4:$O$20,2,FALSE),'Construction Planner'!J115)</f>
        <v>#N/A</v>
      </c>
      <c r="C105" t="e">
        <f>'Construction Planner'!L115</f>
        <v>#N/A</v>
      </c>
      <c r="D105" s="133" t="e">
        <f>TEXT('Construction Planner'!P115,"TT.MM. hh:mm:ss")</f>
        <v>#N/A</v>
      </c>
      <c r="E105" s="133" t="e">
        <f>TEXT('Construction Planner'!M115,"[h]:mm:ss")</f>
        <v>#N/A</v>
      </c>
      <c r="F105" s="133" t="e">
        <f>TEXT('Construction Planner'!N116,"TT.MM. hh:mm:ss")</f>
        <v>#N/A</v>
      </c>
      <c r="G105" t="e">
        <f t="shared" si="6"/>
        <v>#N/A</v>
      </c>
      <c r="K105">
        <f>IF($F$1="Off",'Construction Planner'!DK115,'Construction Planner'!DI116)</f>
        <v>0</v>
      </c>
      <c r="L105">
        <f>IF($F$1="Off",'Construction Planner'!DN115,'Construction Planner'!DJ116)</f>
        <v>0</v>
      </c>
      <c r="M105">
        <f>IF($F$1="Off",'Construction Planner'!DQ115,'Construction Planner'!DL116)</f>
        <v>0</v>
      </c>
      <c r="P105" s="326" t="e">
        <f t="shared" si="4"/>
        <v>#N/A</v>
      </c>
      <c r="Q105" t="e">
        <f t="shared" si="5"/>
        <v>#N/A</v>
      </c>
    </row>
    <row r="106" spans="2:17" x14ac:dyDescent="0.25">
      <c r="B106" t="e">
        <f>IF($C$1="Deutsch",VLOOKUP('Construction Planner'!J116,$N$4:$O$20,2,FALSE),'Construction Planner'!J116)</f>
        <v>#N/A</v>
      </c>
      <c r="C106" t="e">
        <f>'Construction Planner'!L116</f>
        <v>#N/A</v>
      </c>
      <c r="D106" s="133" t="e">
        <f>TEXT('Construction Planner'!P116,"TT.MM. hh:mm:ss")</f>
        <v>#N/A</v>
      </c>
      <c r="E106" s="133" t="e">
        <f>TEXT('Construction Planner'!M116,"[h]:mm:ss")</f>
        <v>#N/A</v>
      </c>
      <c r="F106" s="133" t="e">
        <f>TEXT('Construction Planner'!N117,"TT.MM. hh:mm:ss")</f>
        <v>#N/A</v>
      </c>
      <c r="G106" t="e">
        <f t="shared" si="6"/>
        <v>#N/A</v>
      </c>
      <c r="K106">
        <f>IF($F$1="Off",'Construction Planner'!DK116,'Construction Planner'!DI117)</f>
        <v>0</v>
      </c>
      <c r="L106">
        <f>IF($F$1="Off",'Construction Planner'!DN116,'Construction Planner'!DJ117)</f>
        <v>0</v>
      </c>
      <c r="M106">
        <f>IF($F$1="Off",'Construction Planner'!DQ116,'Construction Planner'!DL117)</f>
        <v>0</v>
      </c>
      <c r="P106" s="326" t="e">
        <f t="shared" si="4"/>
        <v>#N/A</v>
      </c>
      <c r="Q106" t="e">
        <f t="shared" si="5"/>
        <v>#N/A</v>
      </c>
    </row>
    <row r="107" spans="2:17" x14ac:dyDescent="0.25">
      <c r="B107" t="e">
        <f>IF($C$1="Deutsch",VLOOKUP('Construction Planner'!J117,$N$4:$O$20,2,FALSE),'Construction Planner'!J117)</f>
        <v>#N/A</v>
      </c>
      <c r="C107" t="e">
        <f>'Construction Planner'!L117</f>
        <v>#N/A</v>
      </c>
      <c r="D107" s="133" t="e">
        <f>TEXT('Construction Planner'!P117,"TT.MM. hh:mm:ss")</f>
        <v>#N/A</v>
      </c>
      <c r="E107" s="133" t="e">
        <f>TEXT('Construction Planner'!M117,"[h]:mm:ss")</f>
        <v>#N/A</v>
      </c>
      <c r="F107" s="133" t="e">
        <f>TEXT('Construction Planner'!N118,"TT.MM. hh:mm:ss")</f>
        <v>#N/A</v>
      </c>
      <c r="G107" t="e">
        <f t="shared" si="6"/>
        <v>#N/A</v>
      </c>
      <c r="K107">
        <f>IF($F$1="Off",'Construction Planner'!DK117,'Construction Planner'!DI118)</f>
        <v>0</v>
      </c>
      <c r="L107">
        <f>IF($F$1="Off",'Construction Planner'!DN117,'Construction Planner'!DJ118)</f>
        <v>0</v>
      </c>
      <c r="M107">
        <f>IF($F$1="Off",'Construction Planner'!DQ117,'Construction Planner'!DL118)</f>
        <v>0</v>
      </c>
      <c r="P107" s="326" t="e">
        <f t="shared" si="4"/>
        <v>#N/A</v>
      </c>
      <c r="Q107" t="e">
        <f t="shared" si="5"/>
        <v>#N/A</v>
      </c>
    </row>
    <row r="108" spans="2:17" x14ac:dyDescent="0.25">
      <c r="B108" t="e">
        <f>IF($C$1="Deutsch",VLOOKUP('Construction Planner'!J118,$N$4:$O$20,2,FALSE),'Construction Planner'!J118)</f>
        <v>#N/A</v>
      </c>
      <c r="C108" t="e">
        <f>'Construction Planner'!L118</f>
        <v>#N/A</v>
      </c>
      <c r="D108" s="133" t="e">
        <f>TEXT('Construction Planner'!P118,"TT.MM. hh:mm:ss")</f>
        <v>#N/A</v>
      </c>
      <c r="E108" s="133" t="e">
        <f>TEXT('Construction Planner'!M118,"[h]:mm:ss")</f>
        <v>#N/A</v>
      </c>
      <c r="F108" s="133" t="e">
        <f>TEXT('Construction Planner'!N119,"TT.MM. hh:mm:ss")</f>
        <v>#N/A</v>
      </c>
      <c r="G108" t="e">
        <f t="shared" si="6"/>
        <v>#N/A</v>
      </c>
      <c r="K108">
        <f>IF($F$1="Off",'Construction Planner'!DK118,'Construction Planner'!DI119)</f>
        <v>0</v>
      </c>
      <c r="L108">
        <f>IF($F$1="Off",'Construction Planner'!DN118,'Construction Planner'!DJ119)</f>
        <v>0</v>
      </c>
      <c r="M108">
        <f>IF($F$1="Off",'Construction Planner'!DQ118,'Construction Planner'!DL119)</f>
        <v>0</v>
      </c>
      <c r="P108" s="326" t="e">
        <f t="shared" si="4"/>
        <v>#N/A</v>
      </c>
      <c r="Q108" t="e">
        <f t="shared" si="5"/>
        <v>#N/A</v>
      </c>
    </row>
    <row r="109" spans="2:17" x14ac:dyDescent="0.25">
      <c r="B109" t="e">
        <f>IF($C$1="Deutsch",VLOOKUP('Construction Planner'!J119,$N$4:$O$20,2,FALSE),'Construction Planner'!J119)</f>
        <v>#N/A</v>
      </c>
      <c r="C109" t="e">
        <f>'Construction Planner'!L119</f>
        <v>#N/A</v>
      </c>
      <c r="D109" s="133" t="e">
        <f>TEXT('Construction Planner'!P119,"TT.MM. hh:mm:ss")</f>
        <v>#N/A</v>
      </c>
      <c r="E109" s="133" t="e">
        <f>TEXT('Construction Planner'!M119,"[h]:mm:ss")</f>
        <v>#N/A</v>
      </c>
      <c r="F109" s="133" t="e">
        <f>TEXT('Construction Planner'!N120,"TT.MM. hh:mm:ss")</f>
        <v>#N/A</v>
      </c>
      <c r="G109" t="e">
        <f t="shared" si="6"/>
        <v>#N/A</v>
      </c>
      <c r="K109">
        <f>IF($F$1="Off",'Construction Planner'!DK119,'Construction Planner'!DI120)</f>
        <v>0</v>
      </c>
      <c r="L109">
        <f>IF($F$1="Off",'Construction Planner'!DN119,'Construction Planner'!DJ120)</f>
        <v>0</v>
      </c>
      <c r="M109">
        <f>IF($F$1="Off",'Construction Planner'!DQ119,'Construction Planner'!DL120)</f>
        <v>0</v>
      </c>
      <c r="P109" s="326" t="e">
        <f t="shared" si="4"/>
        <v>#N/A</v>
      </c>
      <c r="Q109" t="e">
        <f t="shared" si="5"/>
        <v>#N/A</v>
      </c>
    </row>
    <row r="110" spans="2:17" x14ac:dyDescent="0.25">
      <c r="B110" t="e">
        <f>IF($C$1="Deutsch",VLOOKUP('Construction Planner'!J120,$N$4:$O$20,2,FALSE),'Construction Planner'!J120)</f>
        <v>#N/A</v>
      </c>
      <c r="C110" t="e">
        <f>'Construction Planner'!L120</f>
        <v>#N/A</v>
      </c>
      <c r="D110" s="133" t="e">
        <f>TEXT('Construction Planner'!P120,"TT.MM. hh:mm:ss")</f>
        <v>#N/A</v>
      </c>
      <c r="E110" s="133" t="e">
        <f>TEXT('Construction Planner'!M120,"[h]:mm:ss")</f>
        <v>#N/A</v>
      </c>
      <c r="F110" s="133" t="e">
        <f>TEXT('Construction Planner'!N121,"TT.MM. hh:mm:ss")</f>
        <v>#N/A</v>
      </c>
      <c r="G110" t="e">
        <f t="shared" si="6"/>
        <v>#N/A</v>
      </c>
      <c r="K110">
        <f>IF($F$1="Off",'Construction Planner'!DK120,'Construction Planner'!DI121)</f>
        <v>0</v>
      </c>
      <c r="L110">
        <f>IF($F$1="Off",'Construction Planner'!DN120,'Construction Planner'!DJ121)</f>
        <v>0</v>
      </c>
      <c r="M110">
        <f>IF($F$1="Off",'Construction Planner'!DQ120,'Construction Planner'!DL121)</f>
        <v>0</v>
      </c>
      <c r="P110" s="326" t="e">
        <f t="shared" si="4"/>
        <v>#N/A</v>
      </c>
      <c r="Q110" t="e">
        <f t="shared" si="5"/>
        <v>#N/A</v>
      </c>
    </row>
    <row r="111" spans="2:17" x14ac:dyDescent="0.25">
      <c r="B111" t="e">
        <f>IF($C$1="Deutsch",VLOOKUP('Construction Planner'!J121,$N$4:$O$20,2,FALSE),'Construction Planner'!J121)</f>
        <v>#N/A</v>
      </c>
      <c r="C111" t="e">
        <f>'Construction Planner'!L121</f>
        <v>#N/A</v>
      </c>
      <c r="D111" s="133" t="e">
        <f>TEXT('Construction Planner'!P121,"TT.MM. hh:mm:ss")</f>
        <v>#N/A</v>
      </c>
      <c r="E111" s="133" t="e">
        <f>TEXT('Construction Planner'!M121,"[h]:mm:ss")</f>
        <v>#N/A</v>
      </c>
      <c r="F111" s="133" t="e">
        <f>TEXT('Construction Planner'!N122,"TT.MM. hh:mm:ss")</f>
        <v>#N/A</v>
      </c>
      <c r="G111" t="e">
        <f t="shared" si="6"/>
        <v>#N/A</v>
      </c>
      <c r="K111">
        <f>IF($F$1="Off",'Construction Planner'!DK121,'Construction Planner'!DI122)</f>
        <v>0</v>
      </c>
      <c r="L111">
        <f>IF($F$1="Off",'Construction Planner'!DN121,'Construction Planner'!DJ122)</f>
        <v>0</v>
      </c>
      <c r="M111">
        <f>IF($F$1="Off",'Construction Planner'!DQ121,'Construction Planner'!DL122)</f>
        <v>0</v>
      </c>
      <c r="P111" s="326" t="e">
        <f t="shared" si="4"/>
        <v>#N/A</v>
      </c>
      <c r="Q111" t="e">
        <f t="shared" si="5"/>
        <v>#N/A</v>
      </c>
    </row>
    <row r="112" spans="2:17" x14ac:dyDescent="0.25">
      <c r="B112" t="e">
        <f>IF($C$1="Deutsch",VLOOKUP('Construction Planner'!J122,$N$4:$O$20,2,FALSE),'Construction Planner'!J122)</f>
        <v>#N/A</v>
      </c>
      <c r="C112" t="e">
        <f>'Construction Planner'!L122</f>
        <v>#N/A</v>
      </c>
      <c r="D112" s="133" t="e">
        <f>TEXT('Construction Planner'!P122,"TT.MM. hh:mm:ss")</f>
        <v>#N/A</v>
      </c>
      <c r="E112" s="133" t="e">
        <f>TEXT('Construction Planner'!M122,"[h]:mm:ss")</f>
        <v>#N/A</v>
      </c>
      <c r="F112" s="133" t="e">
        <f>TEXT('Construction Planner'!N123,"TT.MM. hh:mm:ss")</f>
        <v>#N/A</v>
      </c>
      <c r="G112" t="e">
        <f t="shared" si="6"/>
        <v>#N/A</v>
      </c>
      <c r="K112">
        <f>IF($F$1="Off",'Construction Planner'!DK122,'Construction Planner'!DI123)</f>
        <v>0</v>
      </c>
      <c r="L112">
        <f>IF($F$1="Off",'Construction Planner'!DN122,'Construction Planner'!DJ123)</f>
        <v>0</v>
      </c>
      <c r="M112">
        <f>IF($F$1="Off",'Construction Planner'!DQ122,'Construction Planner'!DL123)</f>
        <v>0</v>
      </c>
      <c r="P112" s="326" t="e">
        <f t="shared" si="4"/>
        <v>#N/A</v>
      </c>
      <c r="Q112" t="e">
        <f t="shared" si="5"/>
        <v>#N/A</v>
      </c>
    </row>
    <row r="113" spans="2:17" x14ac:dyDescent="0.25">
      <c r="B113" t="e">
        <f>IF($C$1="Deutsch",VLOOKUP('Construction Planner'!J123,$N$4:$O$20,2,FALSE),'Construction Planner'!J123)</f>
        <v>#N/A</v>
      </c>
      <c r="C113" t="e">
        <f>'Construction Planner'!L123</f>
        <v>#N/A</v>
      </c>
      <c r="D113" s="133" t="e">
        <f>TEXT('Construction Planner'!P123,"TT.MM. hh:mm:ss")</f>
        <v>#N/A</v>
      </c>
      <c r="E113" s="133" t="e">
        <f>TEXT('Construction Planner'!M123,"[h]:mm:ss")</f>
        <v>#N/A</v>
      </c>
      <c r="F113" s="133" t="e">
        <f>TEXT('Construction Planner'!N124,"TT.MM. hh:mm:ss")</f>
        <v>#N/A</v>
      </c>
      <c r="G113" t="e">
        <f t="shared" si="6"/>
        <v>#N/A</v>
      </c>
      <c r="K113">
        <f>IF($F$1="Off",'Construction Planner'!DK123,'Construction Planner'!DI124)</f>
        <v>0</v>
      </c>
      <c r="L113">
        <f>IF($F$1="Off",'Construction Planner'!DN123,'Construction Planner'!DJ124)</f>
        <v>0</v>
      </c>
      <c r="M113">
        <f>IF($F$1="Off",'Construction Planner'!DQ123,'Construction Planner'!DL124)</f>
        <v>0</v>
      </c>
      <c r="P113" s="326" t="e">
        <f t="shared" si="4"/>
        <v>#N/A</v>
      </c>
      <c r="Q113" t="e">
        <f t="shared" si="5"/>
        <v>#N/A</v>
      </c>
    </row>
    <row r="114" spans="2:17" x14ac:dyDescent="0.25">
      <c r="B114" t="e">
        <f>IF($C$1="Deutsch",VLOOKUP('Construction Planner'!J124,$N$4:$O$20,2,FALSE),'Construction Planner'!J124)</f>
        <v>#N/A</v>
      </c>
      <c r="C114" t="e">
        <f>'Construction Planner'!L124</f>
        <v>#N/A</v>
      </c>
      <c r="D114" s="133" t="e">
        <f>TEXT('Construction Planner'!P124,"TT.MM. hh:mm:ss")</f>
        <v>#N/A</v>
      </c>
      <c r="E114" s="133" t="e">
        <f>TEXT('Construction Planner'!M124,"[h]:mm:ss")</f>
        <v>#N/A</v>
      </c>
      <c r="F114" s="133" t="e">
        <f>TEXT('Construction Planner'!N125,"TT.MM. hh:mm:ss")</f>
        <v>#N/A</v>
      </c>
      <c r="G114" t="e">
        <f t="shared" si="6"/>
        <v>#N/A</v>
      </c>
      <c r="K114">
        <f>IF($F$1="Off",'Construction Planner'!DK124,'Construction Planner'!DI125)</f>
        <v>0</v>
      </c>
      <c r="L114">
        <f>IF($F$1="Off",'Construction Planner'!DN124,'Construction Planner'!DJ125)</f>
        <v>0</v>
      </c>
      <c r="M114">
        <f>IF($F$1="Off",'Construction Planner'!DQ124,'Construction Planner'!DL125)</f>
        <v>0</v>
      </c>
      <c r="P114" s="326" t="e">
        <f t="shared" si="4"/>
        <v>#N/A</v>
      </c>
      <c r="Q114" t="e">
        <f t="shared" si="5"/>
        <v>#N/A</v>
      </c>
    </row>
    <row r="115" spans="2:17" x14ac:dyDescent="0.25">
      <c r="B115" t="e">
        <f>IF($C$1="Deutsch",VLOOKUP('Construction Planner'!J125,$N$4:$O$20,2,FALSE),'Construction Planner'!J125)</f>
        <v>#N/A</v>
      </c>
      <c r="C115" t="e">
        <f>'Construction Planner'!L125</f>
        <v>#N/A</v>
      </c>
      <c r="D115" s="133" t="e">
        <f>TEXT('Construction Planner'!P125,"TT.MM. hh:mm:ss")</f>
        <v>#N/A</v>
      </c>
      <c r="E115" s="133" t="e">
        <f>TEXT('Construction Planner'!M125,"[h]:mm:ss")</f>
        <v>#N/A</v>
      </c>
      <c r="F115" s="133" t="e">
        <f>TEXT('Construction Planner'!N126,"TT.MM. hh:mm:ss")</f>
        <v>#N/A</v>
      </c>
      <c r="G115" t="e">
        <f t="shared" si="6"/>
        <v>#N/A</v>
      </c>
      <c r="K115">
        <f>IF($F$1="Off",'Construction Planner'!DK125,'Construction Planner'!DI126)</f>
        <v>0</v>
      </c>
      <c r="L115">
        <f>IF($F$1="Off",'Construction Planner'!DN125,'Construction Planner'!DJ126)</f>
        <v>0</v>
      </c>
      <c r="M115">
        <f>IF($F$1="Off",'Construction Planner'!DQ125,'Construction Planner'!DL126)</f>
        <v>0</v>
      </c>
      <c r="P115" s="326" t="e">
        <f t="shared" si="4"/>
        <v>#N/A</v>
      </c>
      <c r="Q115" t="e">
        <f t="shared" si="5"/>
        <v>#N/A</v>
      </c>
    </row>
    <row r="116" spans="2:17" x14ac:dyDescent="0.25">
      <c r="B116" t="e">
        <f>IF($C$1="Deutsch",VLOOKUP('Construction Planner'!J126,$N$4:$O$20,2,FALSE),'Construction Planner'!J126)</f>
        <v>#N/A</v>
      </c>
      <c r="C116" t="e">
        <f>'Construction Planner'!L126</f>
        <v>#N/A</v>
      </c>
      <c r="D116" s="133" t="e">
        <f>TEXT('Construction Planner'!P126,"TT.MM. hh:mm:ss")</f>
        <v>#N/A</v>
      </c>
      <c r="E116" s="133" t="e">
        <f>TEXT('Construction Planner'!M126,"[h]:mm:ss")</f>
        <v>#N/A</v>
      </c>
      <c r="F116" s="133" t="e">
        <f>TEXT('Construction Planner'!N127,"TT.MM. hh:mm:ss")</f>
        <v>#N/A</v>
      </c>
      <c r="G116" t="e">
        <f t="shared" si="6"/>
        <v>#N/A</v>
      </c>
      <c r="K116">
        <f>IF($F$1="Off",'Construction Planner'!DK126,'Construction Planner'!DI127)</f>
        <v>0</v>
      </c>
      <c r="L116">
        <f>IF($F$1="Off",'Construction Planner'!DN126,'Construction Planner'!DJ127)</f>
        <v>0</v>
      </c>
      <c r="M116">
        <f>IF($F$1="Off",'Construction Planner'!DQ126,'Construction Planner'!DL127)</f>
        <v>0</v>
      </c>
      <c r="P116" s="326" t="e">
        <f t="shared" si="4"/>
        <v>#N/A</v>
      </c>
      <c r="Q116" t="e">
        <f t="shared" si="5"/>
        <v>#N/A</v>
      </c>
    </row>
    <row r="117" spans="2:17" x14ac:dyDescent="0.25">
      <c r="B117" t="e">
        <f>IF($C$1="Deutsch",VLOOKUP('Construction Planner'!J127,$N$4:$O$20,2,FALSE),'Construction Planner'!J127)</f>
        <v>#N/A</v>
      </c>
      <c r="C117" t="e">
        <f>'Construction Planner'!L127</f>
        <v>#N/A</v>
      </c>
      <c r="D117" s="133" t="e">
        <f>TEXT('Construction Planner'!P127,"TT.MM. hh:mm:ss")</f>
        <v>#N/A</v>
      </c>
      <c r="E117" s="133" t="e">
        <f>TEXT('Construction Planner'!M127,"[h]:mm:ss")</f>
        <v>#N/A</v>
      </c>
      <c r="F117" s="133" t="e">
        <f>TEXT('Construction Planner'!N128,"TT.MM. hh:mm:ss")</f>
        <v>#N/A</v>
      </c>
      <c r="G117" t="e">
        <f t="shared" si="6"/>
        <v>#N/A</v>
      </c>
      <c r="K117">
        <f>IF($F$1="Off",'Construction Planner'!DK127,'Construction Planner'!DI128)</f>
        <v>0</v>
      </c>
      <c r="L117">
        <f>IF($F$1="Off",'Construction Planner'!DN127,'Construction Planner'!DJ128)</f>
        <v>0</v>
      </c>
      <c r="M117">
        <f>IF($F$1="Off",'Construction Planner'!DQ127,'Construction Planner'!DL128)</f>
        <v>0</v>
      </c>
      <c r="P117" s="326" t="e">
        <f t="shared" si="4"/>
        <v>#N/A</v>
      </c>
      <c r="Q117" t="e">
        <f t="shared" si="5"/>
        <v>#N/A</v>
      </c>
    </row>
    <row r="118" spans="2:17" x14ac:dyDescent="0.25">
      <c r="B118" t="e">
        <f>IF($C$1="Deutsch",VLOOKUP('Construction Planner'!J128,$N$4:$O$20,2,FALSE),'Construction Planner'!J128)</f>
        <v>#N/A</v>
      </c>
      <c r="C118" t="e">
        <f>'Construction Planner'!L128</f>
        <v>#N/A</v>
      </c>
      <c r="D118" s="133" t="e">
        <f>TEXT('Construction Planner'!P128,"TT.MM. hh:mm:ss")</f>
        <v>#N/A</v>
      </c>
      <c r="E118" s="133" t="e">
        <f>TEXT('Construction Planner'!M128,"[h]:mm:ss")</f>
        <v>#N/A</v>
      </c>
      <c r="F118" s="133" t="e">
        <f>TEXT('Construction Planner'!N129,"TT.MM. hh:mm:ss")</f>
        <v>#N/A</v>
      </c>
      <c r="G118" t="e">
        <f t="shared" si="6"/>
        <v>#N/A</v>
      </c>
      <c r="K118">
        <f>IF($F$1="Off",'Construction Planner'!DK128,'Construction Planner'!DI129)</f>
        <v>0</v>
      </c>
      <c r="L118">
        <f>IF($F$1="Off",'Construction Planner'!DN128,'Construction Planner'!DJ129)</f>
        <v>0</v>
      </c>
      <c r="M118">
        <f>IF($F$1="Off",'Construction Planner'!DQ128,'Construction Planner'!DL129)</f>
        <v>0</v>
      </c>
      <c r="P118" s="326" t="e">
        <f t="shared" si="4"/>
        <v>#N/A</v>
      </c>
      <c r="Q118" t="e">
        <f t="shared" si="5"/>
        <v>#N/A</v>
      </c>
    </row>
    <row r="119" spans="2:17" x14ac:dyDescent="0.25">
      <c r="B119" t="e">
        <f>IF($C$1="Deutsch",VLOOKUP('Construction Planner'!J129,$N$4:$O$20,2,FALSE),'Construction Planner'!J129)</f>
        <v>#N/A</v>
      </c>
      <c r="C119" t="e">
        <f>'Construction Planner'!L129</f>
        <v>#N/A</v>
      </c>
      <c r="D119" s="133" t="e">
        <f>TEXT('Construction Planner'!P129,"TT.MM. hh:mm:ss")</f>
        <v>#N/A</v>
      </c>
      <c r="E119" s="133" t="e">
        <f>TEXT('Construction Planner'!M129,"[h]:mm:ss")</f>
        <v>#N/A</v>
      </c>
      <c r="F119" s="133" t="e">
        <f>TEXT('Construction Planner'!N130,"TT.MM. hh:mm:ss")</f>
        <v>#N/A</v>
      </c>
      <c r="G119" t="e">
        <f t="shared" si="6"/>
        <v>#N/A</v>
      </c>
      <c r="K119">
        <f>IF($F$1="Off",'Construction Planner'!DK129,'Construction Planner'!DI130)</f>
        <v>0</v>
      </c>
      <c r="L119">
        <f>IF($F$1="Off",'Construction Planner'!DN129,'Construction Planner'!DJ130)</f>
        <v>0</v>
      </c>
      <c r="M119">
        <f>IF($F$1="Off",'Construction Planner'!DQ129,'Construction Planner'!DL130)</f>
        <v>0</v>
      </c>
      <c r="P119" s="326" t="e">
        <f t="shared" si="4"/>
        <v>#N/A</v>
      </c>
      <c r="Q119" t="e">
        <f t="shared" si="5"/>
        <v>#N/A</v>
      </c>
    </row>
    <row r="120" spans="2:17" x14ac:dyDescent="0.25">
      <c r="B120" t="e">
        <f>IF($C$1="Deutsch",VLOOKUP('Construction Planner'!J130,$N$4:$O$20,2,FALSE),'Construction Planner'!J130)</f>
        <v>#N/A</v>
      </c>
      <c r="C120" t="e">
        <f>'Construction Planner'!L130</f>
        <v>#N/A</v>
      </c>
      <c r="D120" s="133" t="e">
        <f>TEXT('Construction Planner'!P130,"TT.MM. hh:mm:ss")</f>
        <v>#N/A</v>
      </c>
      <c r="E120" s="133" t="e">
        <f>TEXT('Construction Planner'!M130,"[h]:mm:ss")</f>
        <v>#N/A</v>
      </c>
      <c r="F120" s="133" t="e">
        <f>TEXT('Construction Planner'!N131,"TT.MM. hh:mm:ss")</f>
        <v>#N/A</v>
      </c>
      <c r="G120" t="e">
        <f t="shared" si="6"/>
        <v>#N/A</v>
      </c>
      <c r="K120">
        <f>IF($F$1="Off",'Construction Planner'!DK130,'Construction Planner'!DI131)</f>
        <v>0</v>
      </c>
      <c r="L120">
        <f>IF($F$1="Off",'Construction Planner'!DN130,'Construction Planner'!DJ131)</f>
        <v>0</v>
      </c>
      <c r="M120">
        <f>IF($F$1="Off",'Construction Planner'!DQ130,'Construction Planner'!DL131)</f>
        <v>0</v>
      </c>
      <c r="P120" s="326" t="e">
        <f t="shared" si="4"/>
        <v>#N/A</v>
      </c>
      <c r="Q120" t="e">
        <f t="shared" si="5"/>
        <v>#N/A</v>
      </c>
    </row>
    <row r="121" spans="2:17" x14ac:dyDescent="0.25">
      <c r="B121" t="e">
        <f>IF($C$1="Deutsch",VLOOKUP('Construction Planner'!J131,$N$4:$O$20,2,FALSE),'Construction Planner'!J131)</f>
        <v>#N/A</v>
      </c>
      <c r="C121" t="e">
        <f>'Construction Planner'!L131</f>
        <v>#N/A</v>
      </c>
      <c r="D121" s="133" t="e">
        <f>TEXT('Construction Planner'!P131,"TT.MM. hh:mm:ss")</f>
        <v>#N/A</v>
      </c>
      <c r="E121" s="133" t="e">
        <f>TEXT('Construction Planner'!M131,"[h]:mm:ss")</f>
        <v>#N/A</v>
      </c>
      <c r="F121" s="133" t="e">
        <f>TEXT('Construction Planner'!N132,"TT.MM. hh:mm:ss")</f>
        <v>#N/A</v>
      </c>
      <c r="G121" t="e">
        <f t="shared" si="6"/>
        <v>#N/A</v>
      </c>
      <c r="K121">
        <f>IF($F$1="Off",'Construction Planner'!DK131,'Construction Planner'!DI132)</f>
        <v>0</v>
      </c>
      <c r="L121">
        <f>IF($F$1="Off",'Construction Planner'!DN131,'Construction Planner'!DJ132)</f>
        <v>0</v>
      </c>
      <c r="M121">
        <f>IF($F$1="Off",'Construction Planner'!DQ131,'Construction Planner'!DL132)</f>
        <v>0</v>
      </c>
      <c r="P121" s="326" t="e">
        <f t="shared" si="4"/>
        <v>#N/A</v>
      </c>
      <c r="Q121" t="e">
        <f t="shared" si="5"/>
        <v>#N/A</v>
      </c>
    </row>
    <row r="122" spans="2:17" x14ac:dyDescent="0.25">
      <c r="B122" t="e">
        <f>IF($C$1="Deutsch",VLOOKUP('Construction Planner'!J132,$N$4:$O$20,2,FALSE),'Construction Planner'!J132)</f>
        <v>#N/A</v>
      </c>
      <c r="C122" t="e">
        <f>'Construction Planner'!L132</f>
        <v>#N/A</v>
      </c>
      <c r="D122" s="133" t="e">
        <f>TEXT('Construction Planner'!P132,"TT.MM. hh:mm:ss")</f>
        <v>#N/A</v>
      </c>
      <c r="E122" s="133" t="e">
        <f>TEXT('Construction Planner'!M132,"[h]:mm:ss")</f>
        <v>#N/A</v>
      </c>
      <c r="F122" s="133" t="e">
        <f>TEXT('Construction Planner'!N133,"TT.MM. hh:mm:ss")</f>
        <v>#N/A</v>
      </c>
      <c r="G122" t="e">
        <f t="shared" si="6"/>
        <v>#N/A</v>
      </c>
      <c r="K122">
        <f>IF($F$1="Off",'Construction Planner'!DK132,'Construction Planner'!DI133)</f>
        <v>0</v>
      </c>
      <c r="L122">
        <f>IF($F$1="Off",'Construction Planner'!DN132,'Construction Planner'!DJ133)</f>
        <v>0</v>
      </c>
      <c r="M122">
        <f>IF($F$1="Off",'Construction Planner'!DQ132,'Construction Planner'!DL133)</f>
        <v>0</v>
      </c>
      <c r="P122" s="326" t="e">
        <f t="shared" si="4"/>
        <v>#N/A</v>
      </c>
      <c r="Q122" t="e">
        <f t="shared" si="5"/>
        <v>#N/A</v>
      </c>
    </row>
    <row r="123" spans="2:17" x14ac:dyDescent="0.25">
      <c r="B123" t="e">
        <f>IF($C$1="Deutsch",VLOOKUP('Construction Planner'!J133,$N$4:$O$20,2,FALSE),'Construction Planner'!J133)</f>
        <v>#N/A</v>
      </c>
      <c r="C123" t="e">
        <f>'Construction Planner'!L133</f>
        <v>#N/A</v>
      </c>
      <c r="D123" s="133" t="e">
        <f>TEXT('Construction Planner'!P133,"TT.MM. hh:mm:ss")</f>
        <v>#N/A</v>
      </c>
      <c r="E123" s="133" t="e">
        <f>TEXT('Construction Planner'!M133,"[h]:mm:ss")</f>
        <v>#N/A</v>
      </c>
      <c r="F123" s="133" t="e">
        <f>TEXT('Construction Planner'!N134,"TT.MM. hh:mm:ss")</f>
        <v>#N/A</v>
      </c>
      <c r="G123" t="e">
        <f t="shared" si="6"/>
        <v>#N/A</v>
      </c>
      <c r="K123">
        <f>IF($F$1="Off",'Construction Planner'!DK133,'Construction Planner'!DI134)</f>
        <v>0</v>
      </c>
      <c r="L123">
        <f>IF($F$1="Off",'Construction Planner'!DN133,'Construction Planner'!DJ134)</f>
        <v>0</v>
      </c>
      <c r="M123">
        <f>IF($F$1="Off",'Construction Planner'!DQ133,'Construction Planner'!DL134)</f>
        <v>0</v>
      </c>
      <c r="P123" s="326" t="e">
        <f t="shared" si="4"/>
        <v>#N/A</v>
      </c>
      <c r="Q123" t="e">
        <f t="shared" si="5"/>
        <v>#N/A</v>
      </c>
    </row>
    <row r="124" spans="2:17" x14ac:dyDescent="0.25">
      <c r="B124" t="e">
        <f>IF($C$1="Deutsch",VLOOKUP('Construction Planner'!J134,$N$4:$O$20,2,FALSE),'Construction Planner'!J134)</f>
        <v>#N/A</v>
      </c>
      <c r="C124" t="e">
        <f>'Construction Planner'!L134</f>
        <v>#N/A</v>
      </c>
      <c r="D124" s="133" t="e">
        <f>TEXT('Construction Planner'!P134,"TT.MM. hh:mm:ss")</f>
        <v>#N/A</v>
      </c>
      <c r="E124" s="133" t="e">
        <f>TEXT('Construction Planner'!M134,"[h]:mm:ss")</f>
        <v>#N/A</v>
      </c>
      <c r="F124" s="133" t="e">
        <f>TEXT('Construction Planner'!N135,"TT.MM. hh:mm:ss")</f>
        <v>#N/A</v>
      </c>
      <c r="G124" t="e">
        <f t="shared" si="6"/>
        <v>#N/A</v>
      </c>
      <c r="K124">
        <f>IF($F$1="Off",'Construction Planner'!DK134,'Construction Planner'!DI135)</f>
        <v>0</v>
      </c>
      <c r="L124">
        <f>IF($F$1="Off",'Construction Planner'!DN134,'Construction Planner'!DJ135)</f>
        <v>0</v>
      </c>
      <c r="M124">
        <f>IF($F$1="Off",'Construction Planner'!DQ134,'Construction Planner'!DL135)</f>
        <v>0</v>
      </c>
      <c r="P124" s="326" t="e">
        <f t="shared" si="4"/>
        <v>#N/A</v>
      </c>
      <c r="Q124" t="e">
        <f t="shared" si="5"/>
        <v>#N/A</v>
      </c>
    </row>
    <row r="125" spans="2:17" x14ac:dyDescent="0.25">
      <c r="B125" t="e">
        <f>IF($C$1="Deutsch",VLOOKUP('Construction Planner'!J135,$N$4:$O$20,2,FALSE),'Construction Planner'!J135)</f>
        <v>#N/A</v>
      </c>
      <c r="C125" t="e">
        <f>'Construction Planner'!L135</f>
        <v>#N/A</v>
      </c>
      <c r="D125" s="133" t="e">
        <f>TEXT('Construction Planner'!P135,"TT.MM. hh:mm:ss")</f>
        <v>#N/A</v>
      </c>
      <c r="E125" s="133" t="e">
        <f>TEXT('Construction Planner'!M135,"[h]:mm:ss")</f>
        <v>#N/A</v>
      </c>
      <c r="F125" s="133" t="e">
        <f>TEXT('Construction Planner'!N136,"TT.MM. hh:mm:ss")</f>
        <v>#N/A</v>
      </c>
      <c r="G125" t="e">
        <f t="shared" si="6"/>
        <v>#N/A</v>
      </c>
      <c r="K125">
        <f>IF($F$1="Off",'Construction Planner'!DK135,'Construction Planner'!DI136)</f>
        <v>0</v>
      </c>
      <c r="L125">
        <f>IF($F$1="Off",'Construction Planner'!DN135,'Construction Planner'!DJ136)</f>
        <v>0</v>
      </c>
      <c r="M125">
        <f>IF($F$1="Off",'Construction Planner'!DQ135,'Construction Planner'!DL136)</f>
        <v>0</v>
      </c>
      <c r="P125" s="326" t="e">
        <f t="shared" si="4"/>
        <v>#N/A</v>
      </c>
      <c r="Q125" t="e">
        <f t="shared" si="5"/>
        <v>#N/A</v>
      </c>
    </row>
    <row r="126" spans="2:17" x14ac:dyDescent="0.25">
      <c r="B126" t="e">
        <f>IF($C$1="Deutsch",VLOOKUP('Construction Planner'!J136,$N$4:$O$20,2,FALSE),'Construction Planner'!J136)</f>
        <v>#N/A</v>
      </c>
      <c r="C126" t="e">
        <f>'Construction Planner'!L136</f>
        <v>#N/A</v>
      </c>
      <c r="D126" s="133" t="e">
        <f>TEXT('Construction Planner'!P136,"TT.MM. hh:mm:ss")</f>
        <v>#N/A</v>
      </c>
      <c r="E126" s="133" t="e">
        <f>TEXT('Construction Planner'!M136,"[h]:mm:ss")</f>
        <v>#N/A</v>
      </c>
      <c r="F126" s="133" t="e">
        <f>TEXT('Construction Planner'!N137,"TT.MM. hh:mm:ss")</f>
        <v>#N/A</v>
      </c>
      <c r="G126" t="e">
        <f t="shared" si="6"/>
        <v>#N/A</v>
      </c>
      <c r="K126">
        <f>IF($F$1="Off",'Construction Planner'!DK136,'Construction Planner'!DI137)</f>
        <v>0</v>
      </c>
      <c r="L126">
        <f>IF($F$1="Off",'Construction Planner'!DN136,'Construction Planner'!DJ137)</f>
        <v>0</v>
      </c>
      <c r="M126">
        <f>IF($F$1="Off",'Construction Planner'!DQ136,'Construction Planner'!DL137)</f>
        <v>0</v>
      </c>
      <c r="P126" s="326" t="e">
        <f t="shared" si="4"/>
        <v>#N/A</v>
      </c>
      <c r="Q126" t="e">
        <f t="shared" si="5"/>
        <v>#N/A</v>
      </c>
    </row>
    <row r="127" spans="2:17" x14ac:dyDescent="0.25">
      <c r="B127" t="e">
        <f>IF($C$1="Deutsch",VLOOKUP('Construction Planner'!J137,$N$4:$O$20,2,FALSE),'Construction Planner'!J137)</f>
        <v>#N/A</v>
      </c>
      <c r="C127" t="e">
        <f>'Construction Planner'!L137</f>
        <v>#N/A</v>
      </c>
      <c r="D127" s="133" t="e">
        <f>TEXT('Construction Planner'!P137,"TT.MM. hh:mm:ss")</f>
        <v>#N/A</v>
      </c>
      <c r="E127" s="133" t="e">
        <f>TEXT('Construction Planner'!M137,"[h]:mm:ss")</f>
        <v>#N/A</v>
      </c>
      <c r="F127" s="133" t="e">
        <f>TEXT('Construction Planner'!N138,"TT.MM. hh:mm:ss")</f>
        <v>#N/A</v>
      </c>
      <c r="G127" t="e">
        <f t="shared" si="6"/>
        <v>#N/A</v>
      </c>
      <c r="K127">
        <f>IF($F$1="Off",'Construction Planner'!DK137,'Construction Planner'!DI138)</f>
        <v>0</v>
      </c>
      <c r="L127">
        <f>IF($F$1="Off",'Construction Planner'!DN137,'Construction Planner'!DJ138)</f>
        <v>0</v>
      </c>
      <c r="M127">
        <f>IF($F$1="Off",'Construction Planner'!DQ137,'Construction Planner'!DL138)</f>
        <v>0</v>
      </c>
      <c r="P127" s="326" t="e">
        <f t="shared" si="4"/>
        <v>#N/A</v>
      </c>
      <c r="Q127" t="e">
        <f t="shared" si="5"/>
        <v>#N/A</v>
      </c>
    </row>
    <row r="128" spans="2:17" x14ac:dyDescent="0.25">
      <c r="B128" t="e">
        <f>IF($C$1="Deutsch",VLOOKUP('Construction Planner'!J138,$N$4:$O$20,2,FALSE),'Construction Planner'!J138)</f>
        <v>#N/A</v>
      </c>
      <c r="C128" t="e">
        <f>'Construction Planner'!L138</f>
        <v>#N/A</v>
      </c>
      <c r="D128" s="133" t="e">
        <f>TEXT('Construction Planner'!P138,"TT.MM. hh:mm:ss")</f>
        <v>#N/A</v>
      </c>
      <c r="E128" s="133" t="e">
        <f>TEXT('Construction Planner'!M138,"[h]:mm:ss")</f>
        <v>#N/A</v>
      </c>
      <c r="F128" s="133" t="e">
        <f>TEXT('Construction Planner'!N139,"TT.MM. hh:mm:ss")</f>
        <v>#N/A</v>
      </c>
      <c r="G128" t="e">
        <f t="shared" si="6"/>
        <v>#N/A</v>
      </c>
      <c r="K128">
        <f>IF($F$1="Off",'Construction Planner'!DK138,'Construction Planner'!DI139)</f>
        <v>0</v>
      </c>
      <c r="L128">
        <f>IF($F$1="Off",'Construction Planner'!DN138,'Construction Planner'!DJ139)</f>
        <v>0</v>
      </c>
      <c r="M128">
        <f>IF($F$1="Off",'Construction Planner'!DQ138,'Construction Planner'!DL139)</f>
        <v>0</v>
      </c>
      <c r="P128" s="326" t="e">
        <f t="shared" si="4"/>
        <v>#N/A</v>
      </c>
      <c r="Q128" t="e">
        <f t="shared" si="5"/>
        <v>#N/A</v>
      </c>
    </row>
    <row r="129" spans="2:17" x14ac:dyDescent="0.25">
      <c r="B129" t="e">
        <f>IF($C$1="Deutsch",VLOOKUP('Construction Planner'!J139,$N$4:$O$20,2,FALSE),'Construction Planner'!J139)</f>
        <v>#N/A</v>
      </c>
      <c r="C129" t="e">
        <f>'Construction Planner'!L139</f>
        <v>#N/A</v>
      </c>
      <c r="D129" s="133" t="e">
        <f>TEXT('Construction Planner'!P139,"TT.MM. hh:mm:ss")</f>
        <v>#N/A</v>
      </c>
      <c r="E129" s="133" t="e">
        <f>TEXT('Construction Planner'!M139,"[h]:mm:ss")</f>
        <v>#N/A</v>
      </c>
      <c r="F129" s="133" t="e">
        <f>TEXT('Construction Planner'!N140,"TT.MM. hh:mm:ss")</f>
        <v>#N/A</v>
      </c>
      <c r="G129" t="e">
        <f t="shared" si="6"/>
        <v>#N/A</v>
      </c>
      <c r="K129">
        <f>IF($F$1="Off",'Construction Planner'!DK139,'Construction Planner'!DI140)</f>
        <v>0</v>
      </c>
      <c r="L129">
        <f>IF($F$1="Off",'Construction Planner'!DN139,'Construction Planner'!DJ140)</f>
        <v>0</v>
      </c>
      <c r="M129">
        <f>IF($F$1="Off",'Construction Planner'!DQ139,'Construction Planner'!DL140)</f>
        <v>0</v>
      </c>
      <c r="P129" s="326" t="e">
        <f t="shared" si="4"/>
        <v>#N/A</v>
      </c>
      <c r="Q129" t="e">
        <f t="shared" si="5"/>
        <v>#N/A</v>
      </c>
    </row>
    <row r="130" spans="2:17" x14ac:dyDescent="0.25">
      <c r="B130" t="e">
        <f>IF($C$1="Deutsch",VLOOKUP('Construction Planner'!J140,$N$4:$O$20,2,FALSE),'Construction Planner'!J140)</f>
        <v>#N/A</v>
      </c>
      <c r="C130" t="e">
        <f>'Construction Planner'!L140</f>
        <v>#N/A</v>
      </c>
      <c r="D130" s="133" t="e">
        <f>TEXT('Construction Planner'!P140,"TT.MM. hh:mm:ss")</f>
        <v>#N/A</v>
      </c>
      <c r="E130" s="133" t="e">
        <f>TEXT('Construction Planner'!M140,"[h]:mm:ss")</f>
        <v>#N/A</v>
      </c>
      <c r="F130" s="133" t="e">
        <f>TEXT('Construction Planner'!N141,"TT.MM. hh:mm:ss")</f>
        <v>#N/A</v>
      </c>
      <c r="G130" t="e">
        <f t="shared" si="6"/>
        <v>#N/A</v>
      </c>
      <c r="K130">
        <f>IF($F$1="Off",'Construction Planner'!DK140,'Construction Planner'!DI141)</f>
        <v>0</v>
      </c>
      <c r="L130">
        <f>IF($F$1="Off",'Construction Planner'!DN140,'Construction Planner'!DJ141)</f>
        <v>0</v>
      </c>
      <c r="M130">
        <f>IF($F$1="Off",'Construction Planner'!DQ140,'Construction Planner'!DL141)</f>
        <v>0</v>
      </c>
      <c r="P130" s="326" t="e">
        <f t="shared" si="4"/>
        <v>#N/A</v>
      </c>
      <c r="Q130" t="e">
        <f t="shared" si="5"/>
        <v>#N/A</v>
      </c>
    </row>
    <row r="131" spans="2:17" x14ac:dyDescent="0.25">
      <c r="B131" t="e">
        <f>IF($C$1="Deutsch",VLOOKUP('Construction Planner'!J141,$N$4:$O$20,2,FALSE),'Construction Planner'!J141)</f>
        <v>#N/A</v>
      </c>
      <c r="C131" t="e">
        <f>'Construction Planner'!L141</f>
        <v>#N/A</v>
      </c>
      <c r="D131" s="133" t="e">
        <f>TEXT('Construction Planner'!P141,"TT.MM. hh:mm:ss")</f>
        <v>#N/A</v>
      </c>
      <c r="E131" s="133" t="e">
        <f>TEXT('Construction Planner'!M141,"[h]:mm:ss")</f>
        <v>#N/A</v>
      </c>
      <c r="F131" s="133" t="e">
        <f>TEXT('Construction Planner'!N142,"TT.MM. hh:mm:ss")</f>
        <v>#N/A</v>
      </c>
      <c r="G131" t="e">
        <f t="shared" si="6"/>
        <v>#N/A</v>
      </c>
      <c r="K131">
        <f>IF($F$1="Off",'Construction Planner'!DK141,'Construction Planner'!DI142)</f>
        <v>0</v>
      </c>
      <c r="L131">
        <f>IF($F$1="Off",'Construction Planner'!DN141,'Construction Planner'!DJ142)</f>
        <v>0</v>
      </c>
      <c r="M131">
        <f>IF($F$1="Off",'Construction Planner'!DQ141,'Construction Planner'!DL142)</f>
        <v>0</v>
      </c>
      <c r="P131" s="326" t="e">
        <f t="shared" si="4"/>
        <v>#N/A</v>
      </c>
      <c r="Q131" t="e">
        <f t="shared" si="5"/>
        <v>#N/A</v>
      </c>
    </row>
    <row r="132" spans="2:17" x14ac:dyDescent="0.25">
      <c r="B132" t="e">
        <f>IF($C$1="Deutsch",VLOOKUP('Construction Planner'!J142,$N$4:$O$20,2,FALSE),'Construction Planner'!J142)</f>
        <v>#N/A</v>
      </c>
      <c r="C132" t="e">
        <f>'Construction Planner'!L142</f>
        <v>#N/A</v>
      </c>
      <c r="D132" s="133" t="e">
        <f>TEXT('Construction Planner'!P142,"TT.MM. hh:mm:ss")</f>
        <v>#N/A</v>
      </c>
      <c r="E132" s="133" t="e">
        <f>TEXT('Construction Planner'!M142,"[h]:mm:ss")</f>
        <v>#N/A</v>
      </c>
      <c r="F132" s="133" t="e">
        <f>TEXT('Construction Planner'!N143,"TT.MM. hh:mm:ss")</f>
        <v>#N/A</v>
      </c>
      <c r="G132" t="e">
        <f t="shared" si="6"/>
        <v>#N/A</v>
      </c>
      <c r="K132">
        <f>IF($F$1="Off",'Construction Planner'!DK142,'Construction Planner'!DI143)</f>
        <v>0</v>
      </c>
      <c r="L132">
        <f>IF($F$1="Off",'Construction Planner'!DN142,'Construction Planner'!DJ143)</f>
        <v>0</v>
      </c>
      <c r="M132">
        <f>IF($F$1="Off",'Construction Planner'!DQ142,'Construction Planner'!DL143)</f>
        <v>0</v>
      </c>
      <c r="P132" s="326" t="e">
        <f t="shared" ref="P132:P137" si="7">LEN(G132)-LEN(SUBSTITUTE(LOWER(G132),"[",))</f>
        <v>#N/A</v>
      </c>
      <c r="Q132" t="e">
        <f t="shared" si="5"/>
        <v>#N/A</v>
      </c>
    </row>
    <row r="133" spans="2:17" x14ac:dyDescent="0.25">
      <c r="B133" t="e">
        <f>IF($C$1="Deutsch",VLOOKUP('Construction Planner'!J143,$N$4:$O$20,2,FALSE),'Construction Planner'!J143)</f>
        <v>#N/A</v>
      </c>
      <c r="C133" t="e">
        <f>'Construction Planner'!L143</f>
        <v>#N/A</v>
      </c>
      <c r="D133" s="133" t="e">
        <f>TEXT('Construction Planner'!P143,"TT.MM. hh:mm:ss")</f>
        <v>#N/A</v>
      </c>
      <c r="E133" s="133" t="e">
        <f>TEXT('Construction Planner'!M143,"[h]:mm:ss")</f>
        <v>#N/A</v>
      </c>
      <c r="F133" s="133" t="e">
        <f>TEXT('Construction Planner'!N144,"TT.MM. hh:mm:ss")</f>
        <v>#N/A</v>
      </c>
      <c r="G133" t="e">
        <f t="shared" si="6"/>
        <v>#N/A</v>
      </c>
      <c r="K133">
        <f>IF($F$1="Off",'Construction Planner'!DK143,'Construction Planner'!DI144)</f>
        <v>0</v>
      </c>
      <c r="L133">
        <f>IF($F$1="Off",'Construction Planner'!DN143,'Construction Planner'!DJ144)</f>
        <v>0</v>
      </c>
      <c r="M133">
        <f>IF($F$1="Off",'Construction Planner'!DQ143,'Construction Planner'!DL144)</f>
        <v>0</v>
      </c>
      <c r="P133" s="326" t="e">
        <f t="shared" si="7"/>
        <v>#N/A</v>
      </c>
      <c r="Q133" t="e">
        <f t="shared" ref="Q133:Q137" si="8">P133+Q132</f>
        <v>#N/A</v>
      </c>
    </row>
    <row r="134" spans="2:17" x14ac:dyDescent="0.25">
      <c r="B134" t="e">
        <f>IF($C$1="Deutsch",VLOOKUP('Construction Planner'!J144,$N$4:$O$20,2,FALSE),'Construction Planner'!J144)</f>
        <v>#N/A</v>
      </c>
      <c r="C134" t="e">
        <f>'Construction Planner'!L144</f>
        <v>#N/A</v>
      </c>
      <c r="D134" s="133" t="e">
        <f>TEXT('Construction Planner'!P144,"TT.MM. hh:mm:ss")</f>
        <v>#N/A</v>
      </c>
      <c r="E134" s="133" t="e">
        <f>TEXT('Construction Planner'!M144,"[h]:mm:ss")</f>
        <v>#N/A</v>
      </c>
      <c r="F134" s="133" t="e">
        <f>TEXT('Construction Planner'!N145,"TT.MM. hh:mm:ss")</f>
        <v>#N/A</v>
      </c>
      <c r="G134" t="e">
        <f t="shared" si="6"/>
        <v>#N/A</v>
      </c>
      <c r="K134">
        <f>IF($F$1="Off",'Construction Planner'!DK144,'Construction Planner'!DI145)</f>
        <v>0</v>
      </c>
      <c r="L134">
        <f>IF($F$1="Off",'Construction Planner'!DN144,'Construction Planner'!DJ145)</f>
        <v>0</v>
      </c>
      <c r="M134">
        <f>IF($F$1="Off",'Construction Planner'!DQ144,'Construction Planner'!DL145)</f>
        <v>0</v>
      </c>
      <c r="P134" s="326" t="e">
        <f t="shared" si="7"/>
        <v>#N/A</v>
      </c>
      <c r="Q134" t="e">
        <f t="shared" si="8"/>
        <v>#N/A</v>
      </c>
    </row>
    <row r="135" spans="2:17" x14ac:dyDescent="0.25">
      <c r="B135" t="e">
        <f>IF($C$1="Deutsch",VLOOKUP('Construction Planner'!J145,$N$4:$O$20,2,FALSE),'Construction Planner'!J145)</f>
        <v>#N/A</v>
      </c>
      <c r="C135" t="e">
        <f>'Construction Planner'!L145</f>
        <v>#N/A</v>
      </c>
      <c r="D135" s="133" t="e">
        <f>TEXT('Construction Planner'!P145,"TT.MM. hh:mm:ss")</f>
        <v>#N/A</v>
      </c>
      <c r="E135" s="133" t="e">
        <f>TEXT('Construction Planner'!M145,"[h]:mm:ss")</f>
        <v>#N/A</v>
      </c>
      <c r="F135" s="133" t="e">
        <f>TEXT('Construction Planner'!N146,"TT.MM. hh:mm:ss")</f>
        <v>#N/A</v>
      </c>
      <c r="G135" t="e">
        <f t="shared" si="6"/>
        <v>#N/A</v>
      </c>
      <c r="K135">
        <f>IF($F$1="Off",'Construction Planner'!DK145,'Construction Planner'!DI146)</f>
        <v>0</v>
      </c>
      <c r="L135">
        <f>IF($F$1="Off",'Construction Planner'!DN145,'Construction Planner'!DJ146)</f>
        <v>0</v>
      </c>
      <c r="M135">
        <f>IF($F$1="Off",'Construction Planner'!DQ145,'Construction Planner'!DL146)</f>
        <v>0</v>
      </c>
      <c r="P135" s="326" t="e">
        <f t="shared" si="7"/>
        <v>#N/A</v>
      </c>
      <c r="Q135" t="e">
        <f t="shared" si="8"/>
        <v>#N/A</v>
      </c>
    </row>
    <row r="136" spans="2:17" x14ac:dyDescent="0.25">
      <c r="B136" t="e">
        <f>IF($C$1="Deutsch",VLOOKUP('Construction Planner'!J146,$N$4:$O$20,2,FALSE),'Construction Planner'!J146)</f>
        <v>#N/A</v>
      </c>
      <c r="C136" t="e">
        <f>'Construction Planner'!L146</f>
        <v>#N/A</v>
      </c>
      <c r="D136" s="133" t="e">
        <f>TEXT('Construction Planner'!P146,"TT.MM. hh:mm:ss")</f>
        <v>#N/A</v>
      </c>
      <c r="E136" s="133" t="e">
        <f>TEXT('Construction Planner'!M146,"[h]:mm:ss")</f>
        <v>#N/A</v>
      </c>
      <c r="F136" s="133" t="e">
        <f>TEXT('Construction Planner'!N147,"TT.MM. hh:mm:ss")</f>
        <v>#N/A</v>
      </c>
      <c r="G136" t="e">
        <f t="shared" si="6"/>
        <v>#N/A</v>
      </c>
      <c r="K136">
        <f>IF($F$1="Off",'Construction Planner'!DK146,'Construction Planner'!DI147)</f>
        <v>0</v>
      </c>
      <c r="L136">
        <f>IF($F$1="Off",'Construction Planner'!DN146,'Construction Planner'!DJ147)</f>
        <v>0</v>
      </c>
      <c r="M136">
        <f>IF($F$1="Off",'Construction Planner'!DQ146,'Construction Planner'!DL147)</f>
        <v>0</v>
      </c>
      <c r="P136" s="326" t="e">
        <f t="shared" si="7"/>
        <v>#N/A</v>
      </c>
      <c r="Q136" t="e">
        <f t="shared" si="8"/>
        <v>#N/A</v>
      </c>
    </row>
    <row r="137" spans="2:17" x14ac:dyDescent="0.25">
      <c r="B137" t="e">
        <f>IF($C$1="Deutsch",VLOOKUP('Construction Planner'!J147,$N$4:$O$20,2,FALSE),'Construction Planner'!J147)</f>
        <v>#N/A</v>
      </c>
      <c r="C137" t="e">
        <f>'Construction Planner'!L147</f>
        <v>#N/A</v>
      </c>
      <c r="D137" s="133" t="e">
        <f>TEXT('Construction Planner'!P147,"TT.MM. hh:mm:ss")</f>
        <v>#N/A</v>
      </c>
      <c r="E137" s="133" t="e">
        <f>TEXT('Construction Planner'!M147,"[h]:mm:ss")</f>
        <v>#N/A</v>
      </c>
      <c r="F137" s="133" t="e">
        <f>TEXT('Construction Planner'!N148,"TT.MM. hh:mm:ss")</f>
        <v>#N/A</v>
      </c>
      <c r="G137" t="e">
        <f t="shared" si="6"/>
        <v>#N/A</v>
      </c>
      <c r="K137">
        <f>IF($F$1="Off",'Construction Planner'!DK147,'Construction Planner'!DI148)</f>
        <v>0</v>
      </c>
      <c r="L137">
        <f>IF($F$1="Off",'Construction Planner'!DN147,'Construction Planner'!DJ148)</f>
        <v>0</v>
      </c>
      <c r="M137">
        <f>IF($F$1="Off",'Construction Planner'!DQ147,'Construction Planner'!DL148)</f>
        <v>0</v>
      </c>
      <c r="P137" s="326" t="e">
        <f t="shared" si="7"/>
        <v>#N/A</v>
      </c>
      <c r="Q137" t="e">
        <f t="shared" si="8"/>
        <v>#N/A</v>
      </c>
    </row>
    <row r="138" spans="2:17" x14ac:dyDescent="0.25">
      <c r="G138" t="s">
        <v>351</v>
      </c>
    </row>
    <row r="141" spans="2:17" x14ac:dyDescent="0.25">
      <c r="G141" s="2"/>
      <c r="H141" s="2"/>
      <c r="I141" s="2"/>
    </row>
  </sheetData>
  <dataValidations count="2">
    <dataValidation type="list" allowBlank="1" showInputMessage="1" showErrorMessage="1" sqref="C1">
      <formula1>"Deutsch,Englisch"</formula1>
    </dataValidation>
    <dataValidation type="list" allowBlank="1" showInputMessage="1" showErrorMessage="1" sqref="F1">
      <formula1>"Off,Deff"</formula1>
    </dataValidation>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C7" sqref="C7"/>
    </sheetView>
  </sheetViews>
  <sheetFormatPr baseColWidth="10" defaultRowHeight="15" x14ac:dyDescent="0.25"/>
  <cols>
    <col min="1" max="1" width="3.7109375" bestFit="1" customWidth="1"/>
    <col min="2" max="2" width="12.7109375" bestFit="1" customWidth="1"/>
    <col min="3" max="3" width="12" bestFit="1" customWidth="1"/>
    <col min="4" max="4" width="4.85546875" bestFit="1" customWidth="1"/>
    <col min="5" max="5" width="5.85546875" bestFit="1" customWidth="1"/>
    <col min="6" max="6" width="5.7109375" bestFit="1" customWidth="1"/>
    <col min="7" max="7" width="9.7109375" bestFit="1" customWidth="1"/>
    <col min="8" max="8" width="8.140625" bestFit="1" customWidth="1"/>
    <col min="9" max="9" width="7.85546875" customWidth="1"/>
    <col min="10" max="10" width="7.7109375" bestFit="1" customWidth="1"/>
    <col min="11" max="11" width="14.28515625" bestFit="1" customWidth="1"/>
    <col min="12" max="12" width="17.140625" bestFit="1" customWidth="1"/>
    <col min="13" max="13" width="10.140625" bestFit="1" customWidth="1"/>
    <col min="14" max="14" width="165.42578125" bestFit="1" customWidth="1"/>
  </cols>
  <sheetData>
    <row r="1" spans="1:14" ht="15.75" thickBot="1" x14ac:dyDescent="0.3">
      <c r="B1" s="100" t="s">
        <v>66</v>
      </c>
      <c r="C1" s="227">
        <f>'Construction Planner'!E1</f>
        <v>1</v>
      </c>
      <c r="F1" s="405" t="s">
        <v>100</v>
      </c>
      <c r="G1" s="420"/>
      <c r="H1" s="364">
        <v>4.1666666666666664E-2</v>
      </c>
      <c r="K1" s="405" t="s">
        <v>393</v>
      </c>
      <c r="L1" s="420"/>
      <c r="M1" s="342">
        <v>10</v>
      </c>
    </row>
    <row r="2" spans="1:14" ht="15.75" thickBot="1" x14ac:dyDescent="0.3">
      <c r="B2" s="81" t="s">
        <v>148</v>
      </c>
      <c r="C2" s="125">
        <f>'Construction Planner'!E2</f>
        <v>1</v>
      </c>
      <c r="F2" s="405" t="s">
        <v>394</v>
      </c>
      <c r="G2" s="420"/>
      <c r="H2" s="363" t="s">
        <v>395</v>
      </c>
    </row>
    <row r="3" spans="1:14" ht="15.75" thickBot="1" x14ac:dyDescent="0.3">
      <c r="B3" s="88" t="s">
        <v>149</v>
      </c>
      <c r="C3" s="341">
        <f>'Construction Planner'!E3</f>
        <v>1</v>
      </c>
      <c r="F3" s="405" t="s">
        <v>268</v>
      </c>
      <c r="G3" s="420"/>
      <c r="H3" s="365">
        <v>6.9444444444444441E-3</v>
      </c>
      <c r="K3" s="405" t="s">
        <v>397</v>
      </c>
      <c r="L3" s="420"/>
      <c r="M3" s="342">
        <v>2</v>
      </c>
    </row>
    <row r="4" spans="1:14" ht="15.75" thickBot="1" x14ac:dyDescent="0.3"/>
    <row r="5" spans="1:14" ht="15.75" thickBot="1" x14ac:dyDescent="0.3">
      <c r="A5" s="46" t="s">
        <v>391</v>
      </c>
      <c r="B5" s="131" t="s">
        <v>150</v>
      </c>
      <c r="C5" s="360" t="s">
        <v>396</v>
      </c>
      <c r="D5" s="432" t="s">
        <v>374</v>
      </c>
      <c r="E5" s="432"/>
      <c r="F5" s="432"/>
      <c r="G5" s="432" t="s">
        <v>375</v>
      </c>
      <c r="H5" s="432"/>
      <c r="I5" s="432"/>
      <c r="J5" s="432"/>
      <c r="K5" s="432" t="s">
        <v>379</v>
      </c>
      <c r="L5" s="433"/>
      <c r="M5" s="410" t="s">
        <v>382</v>
      </c>
      <c r="N5" s="412"/>
    </row>
    <row r="6" spans="1:14" x14ac:dyDescent="0.25">
      <c r="A6" s="356"/>
      <c r="B6" s="113"/>
      <c r="C6" s="361"/>
      <c r="D6" s="114" t="s">
        <v>151</v>
      </c>
      <c r="E6" s="114" t="s">
        <v>152</v>
      </c>
      <c r="F6" s="114" t="s">
        <v>153</v>
      </c>
      <c r="G6" s="114" t="s">
        <v>151</v>
      </c>
      <c r="H6" s="114" t="s">
        <v>152</v>
      </c>
      <c r="I6" s="114" t="s">
        <v>153</v>
      </c>
      <c r="J6" s="114" t="s">
        <v>154</v>
      </c>
      <c r="K6" s="114" t="s">
        <v>377</v>
      </c>
      <c r="L6" s="318" t="s">
        <v>378</v>
      </c>
      <c r="M6" s="126" t="s">
        <v>381</v>
      </c>
      <c r="N6" s="175" t="s">
        <v>392</v>
      </c>
    </row>
    <row r="7" spans="1:14" x14ac:dyDescent="0.25">
      <c r="A7" s="356">
        <v>1</v>
      </c>
      <c r="B7" s="81" t="s">
        <v>376</v>
      </c>
      <c r="C7" s="362">
        <f t="shared" ref="C7:C8" si="0">IF(B7&gt;0,SQRT(((LEFT(B7,3)-LEFT($H$2,3))*(LEFT(B7,3)-LEFT($H$2,3)))+((RIGHT(B7,3)-RIGHT($H$2,3))*(RIGHT(B7,3)-RIGHT($H$2,3))))*$H$3,"")</f>
        <v>1.5528249843748539E-2</v>
      </c>
      <c r="D7" s="79">
        <v>7</v>
      </c>
      <c r="E7" s="79">
        <v>7</v>
      </c>
      <c r="F7" s="79">
        <v>6</v>
      </c>
      <c r="G7" s="358">
        <f t="shared" ref="G7:G8" si="1">IF(B7="","",IF(D7 = 0,$C$3*5,$C$3*30*1.163118^(D7-1)))</f>
        <v>74.278635187122333</v>
      </c>
      <c r="H7" s="358">
        <f t="shared" ref="H7:H8" si="2">IF(C7="","",IF(E7 = 0,$C$3*5,$C$3*30*1.163118^(E7-1)))</f>
        <v>74.278635187122333</v>
      </c>
      <c r="I7" s="358">
        <f t="shared" ref="I7:I8" si="3">IF(D7="","",IF(F7 = 0,$C$3*5,$C$3*30*1.163118^(F7-1)))</f>
        <v>63.861650483547102</v>
      </c>
      <c r="J7" s="358">
        <f t="shared" ref="J7:J8" si="4">IF(B7="","",SUM(G7:I7))</f>
        <v>212.41892085779176</v>
      </c>
      <c r="K7" s="181">
        <f t="shared" ref="K7:K8" si="5">IF(B7="","",J7/80)</f>
        <v>2.6552365107223972</v>
      </c>
      <c r="L7" s="120">
        <f t="shared" ref="L7:L8" si="6">IF(B7="","",($M$3*80/J7)*$H$1)</f>
        <v>3.13845237502633E-2</v>
      </c>
      <c r="M7" s="81">
        <v>1</v>
      </c>
      <c r="N7" s="82" t="str">
        <f>IF(B7="","",IF(M7=0,CONCATENATE("javascript: var settings = Array(0, 0, 0, 0, 0, ",IF(ROUNDUP(K7,0)&lt;$M$3,$M$3,ROUNDUP(K7,0)),", 0, 0, 0, 0, 0, 0, ",LEFT(B7,3),", ",RIGHT(B7,3),", 'attack'); $.getScript('https://media.innogamescdn.com/com_DS_DE/scripts/qb_main/scriptgenerator.js'); void(0);"),CONCATENATE("javascript: var settings = Array(0, 0, 0, 0, 0, ",M1,", 0, 0, 0, 0, 0, 0, ",LEFT(B7,3),", ",RIGHT(B7,3),", 'attack'); $.getScript('https://media.innogamescdn.com/com_DS_DE/scripts/qb_main/scriptgenerator.js'); void(0);")))</f>
        <v>javascript: var settings = Array(0, 0, 0, 0, 0, 10, 0, 0, 0, 0, 0, 0, 383, 473, 'attack'); $.getScript('https://media.innogamescdn.com/com_DS_DE/scripts/qb_main/scriptgenerator.js'); void(0);</v>
      </c>
    </row>
    <row r="8" spans="1:14" x14ac:dyDescent="0.25">
      <c r="A8" s="356">
        <v>2</v>
      </c>
      <c r="B8" s="81" t="s">
        <v>380</v>
      </c>
      <c r="C8" s="362">
        <f t="shared" si="0"/>
        <v>9.820927516479826E-3</v>
      </c>
      <c r="D8" s="79">
        <v>9</v>
      </c>
      <c r="E8" s="79">
        <v>8</v>
      </c>
      <c r="F8" s="79">
        <v>7</v>
      </c>
      <c r="G8" s="358">
        <f t="shared" si="1"/>
        <v>100.48736745910915</v>
      </c>
      <c r="H8" s="358">
        <f t="shared" si="2"/>
        <v>86.394817601575355</v>
      </c>
      <c r="I8" s="358">
        <f t="shared" si="3"/>
        <v>74.278635187122333</v>
      </c>
      <c r="J8" s="358">
        <f t="shared" si="4"/>
        <v>261.16082024780684</v>
      </c>
      <c r="K8" s="181">
        <f t="shared" si="5"/>
        <v>3.2645102530975856</v>
      </c>
      <c r="L8" s="120">
        <f t="shared" si="6"/>
        <v>2.5527055169840898E-2</v>
      </c>
      <c r="M8" s="81">
        <v>0</v>
      </c>
      <c r="N8" s="82" t="str">
        <f t="shared" ref="N8:N26" si="7">IF(B8="","",IF(M8=0,CONCATENATE("javascript: var settings = Array(0, 0, 0, 0, 0, ",IF(ROUNDUP(K8,0)&lt;$M$3,$M$3,ROUNDUP(K8,0)),", 0, 0, 0, 0, 0, 0, ",LEFT(B8,3),", ",RIGHT(B8,3),", 'attack'); $.getScript('https://media.innogamescdn.com/com_DS_DE/scripts/qb_main/scriptgenerator.js'); void(0);"),CONCATENATE("javascript: var settings = Array(0, 0, 0, 0, 0, ",M2,", 0, 0, 0, 0, 0, 0, ",LEFT(B8,3),", ",RIGHT(B8,3),", 'attack'); $.getScript('https://media.innogamescdn.com/com_DS_DE/scripts/qb_main/scriptgenerator.js'); void(0);")))</f>
        <v>javascript: var settings = Array(0, 0, 0, 0, 0, 4, 0, 0, 0, 0, 0, 0, 381, 474, 'attack'); $.getScript('https://media.innogamescdn.com/com_DS_DE/scripts/qb_main/scriptgenerator.js'); void(0);</v>
      </c>
    </row>
    <row r="9" spans="1:14" x14ac:dyDescent="0.25">
      <c r="A9" s="356">
        <v>3</v>
      </c>
      <c r="B9" s="81"/>
      <c r="C9" s="362" t="str">
        <f>IF(B9&gt;0,SQRT(((LEFT(B9,3)-LEFT($H$2,3))*(LEFT(B9,3)-LEFT($H$2,3)))+((RIGHT(B9,3)-RIGHT($H$2,3))*(RIGHT(B9,3)-RIGHT($H$2,3))))*$H$3,"")</f>
        <v/>
      </c>
      <c r="D9" s="79"/>
      <c r="E9" s="79"/>
      <c r="F9" s="79"/>
      <c r="G9" s="358" t="str">
        <f>IF(B9="","",IF(D9 = 0,$C$3*5,$C$3*30*1.163118^(D9-1)))</f>
        <v/>
      </c>
      <c r="H9" s="358" t="str">
        <f t="shared" ref="H9:I9" si="8">IF(C9="","",IF(E9 = 0,$C$3*5,$C$3*30*1.163118^(E9-1)))</f>
        <v/>
      </c>
      <c r="I9" s="358" t="str">
        <f t="shared" si="8"/>
        <v/>
      </c>
      <c r="J9" s="358" t="str">
        <f>IF(B9="","",SUM(G9:I9))</f>
        <v/>
      </c>
      <c r="K9" s="181" t="str">
        <f>IF(B9="","",J9/80)</f>
        <v/>
      </c>
      <c r="L9" s="120" t="str">
        <f>IF(B9="","",($M$3*80/J9)*$H$1)</f>
        <v/>
      </c>
      <c r="M9" s="81"/>
      <c r="N9" s="82" t="str">
        <f t="shared" si="7"/>
        <v/>
      </c>
    </row>
    <row r="10" spans="1:14" x14ac:dyDescent="0.25">
      <c r="A10" s="356">
        <v>4</v>
      </c>
      <c r="B10" s="81"/>
      <c r="C10" s="362" t="str">
        <f t="shared" ref="C10:C26" si="9">IF(B10&gt;0,SQRT(((LEFT(B10,3)-LEFT($H$2,3))*(LEFT(B10,3)-LEFT($H$2,3)))+((RIGHT(B10,3)-RIGHT($H$2,3))*(RIGHT(B10,3)-RIGHT($H$2,3))))*$H$3,"")</f>
        <v/>
      </c>
      <c r="D10" s="79"/>
      <c r="E10" s="79"/>
      <c r="F10" s="79"/>
      <c r="G10" s="358" t="str">
        <f t="shared" ref="G10:G26" si="10">IF(B10="","",IF(D10 = 0,$C$3*5,$C$3*30*1.163118^(D10-1)))</f>
        <v/>
      </c>
      <c r="H10" s="358" t="str">
        <f t="shared" ref="H10:H26" si="11">IF(C10="","",IF(E10 = 0,$C$3*5,$C$3*30*1.163118^(E10-1)))</f>
        <v/>
      </c>
      <c r="I10" s="358" t="str">
        <f t="shared" ref="I10:I26" si="12">IF(D10="","",IF(F10 = 0,$C$3*5,$C$3*30*1.163118^(F10-1)))</f>
        <v/>
      </c>
      <c r="J10" s="358" t="str">
        <f t="shared" ref="J10:J26" si="13">IF(B10="","",SUM(G10:I10))</f>
        <v/>
      </c>
      <c r="K10" s="181" t="str">
        <f t="shared" ref="K10:K26" si="14">IF(B10="","",J10/80)</f>
        <v/>
      </c>
      <c r="L10" s="120" t="str">
        <f t="shared" ref="L10:L26" si="15">IF(B10="","",($M$3*80/J10)*$H$1)</f>
        <v/>
      </c>
      <c r="M10" s="81"/>
      <c r="N10" s="82" t="str">
        <f t="shared" si="7"/>
        <v/>
      </c>
    </row>
    <row r="11" spans="1:14" x14ac:dyDescent="0.25">
      <c r="A11" s="356">
        <v>5</v>
      </c>
      <c r="B11" s="81"/>
      <c r="C11" s="362" t="str">
        <f t="shared" si="9"/>
        <v/>
      </c>
      <c r="D11" s="79"/>
      <c r="E11" s="79"/>
      <c r="F11" s="79"/>
      <c r="G11" s="358" t="str">
        <f t="shared" si="10"/>
        <v/>
      </c>
      <c r="H11" s="358" t="str">
        <f t="shared" si="11"/>
        <v/>
      </c>
      <c r="I11" s="358" t="str">
        <f t="shared" si="12"/>
        <v/>
      </c>
      <c r="J11" s="358" t="str">
        <f t="shared" si="13"/>
        <v/>
      </c>
      <c r="K11" s="181" t="str">
        <f t="shared" si="14"/>
        <v/>
      </c>
      <c r="L11" s="120" t="str">
        <f t="shared" si="15"/>
        <v/>
      </c>
      <c r="M11" s="81"/>
      <c r="N11" s="82" t="str">
        <f t="shared" si="7"/>
        <v/>
      </c>
    </row>
    <row r="12" spans="1:14" x14ac:dyDescent="0.25">
      <c r="A12" s="356">
        <v>6</v>
      </c>
      <c r="B12" s="81"/>
      <c r="C12" s="362" t="str">
        <f t="shared" si="9"/>
        <v/>
      </c>
      <c r="D12" s="79"/>
      <c r="E12" s="79"/>
      <c r="F12" s="79"/>
      <c r="G12" s="358" t="str">
        <f t="shared" si="10"/>
        <v/>
      </c>
      <c r="H12" s="358" t="str">
        <f t="shared" si="11"/>
        <v/>
      </c>
      <c r="I12" s="358" t="str">
        <f t="shared" si="12"/>
        <v/>
      </c>
      <c r="J12" s="358" t="str">
        <f t="shared" si="13"/>
        <v/>
      </c>
      <c r="K12" s="181" t="str">
        <f t="shared" si="14"/>
        <v/>
      </c>
      <c r="L12" s="120" t="str">
        <f t="shared" si="15"/>
        <v/>
      </c>
      <c r="M12" s="81"/>
      <c r="N12" s="82" t="str">
        <f t="shared" si="7"/>
        <v/>
      </c>
    </row>
    <row r="13" spans="1:14" x14ac:dyDescent="0.25">
      <c r="A13" s="356">
        <v>7</v>
      </c>
      <c r="B13" s="81"/>
      <c r="C13" s="362" t="str">
        <f t="shared" si="9"/>
        <v/>
      </c>
      <c r="D13" s="79"/>
      <c r="E13" s="79"/>
      <c r="F13" s="79"/>
      <c r="G13" s="358" t="str">
        <f t="shared" si="10"/>
        <v/>
      </c>
      <c r="H13" s="358" t="str">
        <f t="shared" si="11"/>
        <v/>
      </c>
      <c r="I13" s="358" t="str">
        <f t="shared" si="12"/>
        <v/>
      </c>
      <c r="J13" s="358" t="str">
        <f t="shared" si="13"/>
        <v/>
      </c>
      <c r="K13" s="181" t="str">
        <f t="shared" si="14"/>
        <v/>
      </c>
      <c r="L13" s="120" t="str">
        <f t="shared" si="15"/>
        <v/>
      </c>
      <c r="M13" s="81"/>
      <c r="N13" s="82" t="str">
        <f t="shared" si="7"/>
        <v/>
      </c>
    </row>
    <row r="14" spans="1:14" x14ac:dyDescent="0.25">
      <c r="A14" s="356">
        <v>8</v>
      </c>
      <c r="B14" s="81"/>
      <c r="C14" s="362" t="str">
        <f t="shared" si="9"/>
        <v/>
      </c>
      <c r="D14" s="79"/>
      <c r="E14" s="79"/>
      <c r="F14" s="79"/>
      <c r="G14" s="358" t="str">
        <f t="shared" si="10"/>
        <v/>
      </c>
      <c r="H14" s="358" t="str">
        <f t="shared" si="11"/>
        <v/>
      </c>
      <c r="I14" s="358" t="str">
        <f t="shared" si="12"/>
        <v/>
      </c>
      <c r="J14" s="358" t="str">
        <f t="shared" si="13"/>
        <v/>
      </c>
      <c r="K14" s="181" t="str">
        <f t="shared" si="14"/>
        <v/>
      </c>
      <c r="L14" s="120" t="str">
        <f t="shared" si="15"/>
        <v/>
      </c>
      <c r="M14" s="81"/>
      <c r="N14" s="82" t="str">
        <f t="shared" si="7"/>
        <v/>
      </c>
    </row>
    <row r="15" spans="1:14" x14ac:dyDescent="0.25">
      <c r="A15" s="356">
        <v>9</v>
      </c>
      <c r="B15" s="81"/>
      <c r="C15" s="362" t="str">
        <f t="shared" si="9"/>
        <v/>
      </c>
      <c r="D15" s="79"/>
      <c r="E15" s="79"/>
      <c r="F15" s="79"/>
      <c r="G15" s="358" t="str">
        <f t="shared" si="10"/>
        <v/>
      </c>
      <c r="H15" s="358" t="str">
        <f t="shared" si="11"/>
        <v/>
      </c>
      <c r="I15" s="358" t="str">
        <f t="shared" si="12"/>
        <v/>
      </c>
      <c r="J15" s="358" t="str">
        <f t="shared" si="13"/>
        <v/>
      </c>
      <c r="K15" s="181" t="str">
        <f t="shared" si="14"/>
        <v/>
      </c>
      <c r="L15" s="120" t="str">
        <f t="shared" si="15"/>
        <v/>
      </c>
      <c r="M15" s="81"/>
      <c r="N15" s="82" t="str">
        <f t="shared" si="7"/>
        <v/>
      </c>
    </row>
    <row r="16" spans="1:14" x14ac:dyDescent="0.25">
      <c r="A16" s="356">
        <v>10</v>
      </c>
      <c r="B16" s="81"/>
      <c r="C16" s="362" t="str">
        <f t="shared" si="9"/>
        <v/>
      </c>
      <c r="D16" s="79"/>
      <c r="E16" s="79"/>
      <c r="F16" s="79"/>
      <c r="G16" s="358" t="str">
        <f t="shared" si="10"/>
        <v/>
      </c>
      <c r="H16" s="358" t="str">
        <f t="shared" si="11"/>
        <v/>
      </c>
      <c r="I16" s="358" t="str">
        <f t="shared" si="12"/>
        <v/>
      </c>
      <c r="J16" s="358" t="str">
        <f t="shared" si="13"/>
        <v/>
      </c>
      <c r="K16" s="181" t="str">
        <f t="shared" si="14"/>
        <v/>
      </c>
      <c r="L16" s="120" t="str">
        <f t="shared" si="15"/>
        <v/>
      </c>
      <c r="M16" s="81"/>
      <c r="N16" s="82" t="str">
        <f t="shared" si="7"/>
        <v/>
      </c>
    </row>
    <row r="17" spans="1:14" x14ac:dyDescent="0.25">
      <c r="A17" s="356">
        <v>11</v>
      </c>
      <c r="B17" s="81"/>
      <c r="C17" s="362" t="str">
        <f t="shared" si="9"/>
        <v/>
      </c>
      <c r="D17" s="79"/>
      <c r="E17" s="79"/>
      <c r="F17" s="79"/>
      <c r="G17" s="358" t="str">
        <f t="shared" si="10"/>
        <v/>
      </c>
      <c r="H17" s="358" t="str">
        <f t="shared" si="11"/>
        <v/>
      </c>
      <c r="I17" s="358" t="str">
        <f t="shared" si="12"/>
        <v/>
      </c>
      <c r="J17" s="358" t="str">
        <f t="shared" si="13"/>
        <v/>
      </c>
      <c r="K17" s="181" t="str">
        <f t="shared" si="14"/>
        <v/>
      </c>
      <c r="L17" s="120" t="str">
        <f t="shared" si="15"/>
        <v/>
      </c>
      <c r="M17" s="81"/>
      <c r="N17" s="82" t="str">
        <f t="shared" si="7"/>
        <v/>
      </c>
    </row>
    <row r="18" spans="1:14" x14ac:dyDescent="0.25">
      <c r="A18" s="356">
        <v>12</v>
      </c>
      <c r="B18" s="81"/>
      <c r="C18" s="362" t="str">
        <f t="shared" si="9"/>
        <v/>
      </c>
      <c r="D18" s="79"/>
      <c r="E18" s="79"/>
      <c r="F18" s="79"/>
      <c r="G18" s="358" t="str">
        <f t="shared" si="10"/>
        <v/>
      </c>
      <c r="H18" s="358" t="str">
        <f t="shared" si="11"/>
        <v/>
      </c>
      <c r="I18" s="358" t="str">
        <f t="shared" si="12"/>
        <v/>
      </c>
      <c r="J18" s="358" t="str">
        <f t="shared" si="13"/>
        <v/>
      </c>
      <c r="K18" s="181" t="str">
        <f t="shared" si="14"/>
        <v/>
      </c>
      <c r="L18" s="120" t="str">
        <f t="shared" si="15"/>
        <v/>
      </c>
      <c r="M18" s="81"/>
      <c r="N18" s="82" t="str">
        <f t="shared" si="7"/>
        <v/>
      </c>
    </row>
    <row r="19" spans="1:14" x14ac:dyDescent="0.25">
      <c r="A19" s="356">
        <v>13</v>
      </c>
      <c r="B19" s="81"/>
      <c r="C19" s="362" t="str">
        <f t="shared" si="9"/>
        <v/>
      </c>
      <c r="D19" s="79"/>
      <c r="E19" s="79"/>
      <c r="F19" s="79"/>
      <c r="G19" s="358" t="str">
        <f t="shared" si="10"/>
        <v/>
      </c>
      <c r="H19" s="358" t="str">
        <f t="shared" si="11"/>
        <v/>
      </c>
      <c r="I19" s="358" t="str">
        <f t="shared" si="12"/>
        <v/>
      </c>
      <c r="J19" s="358" t="str">
        <f t="shared" si="13"/>
        <v/>
      </c>
      <c r="K19" s="181" t="str">
        <f t="shared" si="14"/>
        <v/>
      </c>
      <c r="L19" s="120" t="str">
        <f t="shared" si="15"/>
        <v/>
      </c>
      <c r="M19" s="81"/>
      <c r="N19" s="82" t="str">
        <f t="shared" si="7"/>
        <v/>
      </c>
    </row>
    <row r="20" spans="1:14" x14ac:dyDescent="0.25">
      <c r="A20" s="356">
        <v>14</v>
      </c>
      <c r="B20" s="81"/>
      <c r="C20" s="362" t="str">
        <f t="shared" si="9"/>
        <v/>
      </c>
      <c r="D20" s="79"/>
      <c r="E20" s="79"/>
      <c r="F20" s="79"/>
      <c r="G20" s="358" t="str">
        <f t="shared" si="10"/>
        <v/>
      </c>
      <c r="H20" s="358" t="str">
        <f t="shared" si="11"/>
        <v/>
      </c>
      <c r="I20" s="358" t="str">
        <f t="shared" si="12"/>
        <v/>
      </c>
      <c r="J20" s="358" t="str">
        <f t="shared" si="13"/>
        <v/>
      </c>
      <c r="K20" s="181" t="str">
        <f t="shared" si="14"/>
        <v/>
      </c>
      <c r="L20" s="120" t="str">
        <f t="shared" si="15"/>
        <v/>
      </c>
      <c r="M20" s="81"/>
      <c r="N20" s="82" t="str">
        <f t="shared" si="7"/>
        <v/>
      </c>
    </row>
    <row r="21" spans="1:14" x14ac:dyDescent="0.25">
      <c r="A21" s="356">
        <v>15</v>
      </c>
      <c r="B21" s="81"/>
      <c r="C21" s="362" t="str">
        <f t="shared" si="9"/>
        <v/>
      </c>
      <c r="D21" s="79"/>
      <c r="E21" s="79"/>
      <c r="F21" s="79"/>
      <c r="G21" s="358" t="str">
        <f t="shared" si="10"/>
        <v/>
      </c>
      <c r="H21" s="358" t="str">
        <f t="shared" si="11"/>
        <v/>
      </c>
      <c r="I21" s="358" t="str">
        <f t="shared" si="12"/>
        <v/>
      </c>
      <c r="J21" s="358" t="str">
        <f t="shared" si="13"/>
        <v/>
      </c>
      <c r="K21" s="181" t="str">
        <f t="shared" si="14"/>
        <v/>
      </c>
      <c r="L21" s="120" t="str">
        <f t="shared" si="15"/>
        <v/>
      </c>
      <c r="M21" s="81"/>
      <c r="N21" s="82" t="str">
        <f t="shared" si="7"/>
        <v/>
      </c>
    </row>
    <row r="22" spans="1:14" x14ac:dyDescent="0.25">
      <c r="A22" s="356">
        <v>16</v>
      </c>
      <c r="B22" s="81"/>
      <c r="C22" s="362" t="str">
        <f t="shared" si="9"/>
        <v/>
      </c>
      <c r="D22" s="79"/>
      <c r="E22" s="79"/>
      <c r="F22" s="79"/>
      <c r="G22" s="358" t="str">
        <f t="shared" si="10"/>
        <v/>
      </c>
      <c r="H22" s="358" t="str">
        <f t="shared" si="11"/>
        <v/>
      </c>
      <c r="I22" s="358" t="str">
        <f t="shared" si="12"/>
        <v/>
      </c>
      <c r="J22" s="358" t="str">
        <f t="shared" si="13"/>
        <v/>
      </c>
      <c r="K22" s="181" t="str">
        <f t="shared" si="14"/>
        <v/>
      </c>
      <c r="L22" s="120" t="str">
        <f t="shared" si="15"/>
        <v/>
      </c>
      <c r="M22" s="81"/>
      <c r="N22" s="82" t="str">
        <f t="shared" si="7"/>
        <v/>
      </c>
    </row>
    <row r="23" spans="1:14" x14ac:dyDescent="0.25">
      <c r="A23" s="356">
        <v>17</v>
      </c>
      <c r="B23" s="81"/>
      <c r="C23" s="362" t="str">
        <f t="shared" si="9"/>
        <v/>
      </c>
      <c r="D23" s="79"/>
      <c r="E23" s="79"/>
      <c r="F23" s="79"/>
      <c r="G23" s="358" t="str">
        <f t="shared" si="10"/>
        <v/>
      </c>
      <c r="H23" s="358" t="str">
        <f t="shared" si="11"/>
        <v/>
      </c>
      <c r="I23" s="358" t="str">
        <f t="shared" si="12"/>
        <v/>
      </c>
      <c r="J23" s="358" t="str">
        <f t="shared" si="13"/>
        <v/>
      </c>
      <c r="K23" s="181" t="str">
        <f t="shared" si="14"/>
        <v/>
      </c>
      <c r="L23" s="120" t="str">
        <f t="shared" si="15"/>
        <v/>
      </c>
      <c r="M23" s="81"/>
      <c r="N23" s="82" t="str">
        <f t="shared" si="7"/>
        <v/>
      </c>
    </row>
    <row r="24" spans="1:14" x14ac:dyDescent="0.25">
      <c r="A24" s="356">
        <v>18</v>
      </c>
      <c r="B24" s="81"/>
      <c r="C24" s="362" t="str">
        <f t="shared" si="9"/>
        <v/>
      </c>
      <c r="D24" s="79"/>
      <c r="E24" s="79"/>
      <c r="F24" s="79"/>
      <c r="G24" s="358" t="str">
        <f t="shared" si="10"/>
        <v/>
      </c>
      <c r="H24" s="358" t="str">
        <f t="shared" si="11"/>
        <v/>
      </c>
      <c r="I24" s="358" t="str">
        <f t="shared" si="12"/>
        <v/>
      </c>
      <c r="J24" s="358" t="str">
        <f t="shared" si="13"/>
        <v/>
      </c>
      <c r="K24" s="181" t="str">
        <f t="shared" si="14"/>
        <v/>
      </c>
      <c r="L24" s="120" t="str">
        <f t="shared" si="15"/>
        <v/>
      </c>
      <c r="M24" s="81"/>
      <c r="N24" s="82" t="str">
        <f t="shared" si="7"/>
        <v/>
      </c>
    </row>
    <row r="25" spans="1:14" x14ac:dyDescent="0.25">
      <c r="A25" s="356">
        <v>19</v>
      </c>
      <c r="B25" s="81"/>
      <c r="C25" s="362" t="str">
        <f t="shared" si="9"/>
        <v/>
      </c>
      <c r="D25" s="79"/>
      <c r="E25" s="79"/>
      <c r="F25" s="79"/>
      <c r="G25" s="358" t="str">
        <f t="shared" si="10"/>
        <v/>
      </c>
      <c r="H25" s="358" t="str">
        <f t="shared" si="11"/>
        <v/>
      </c>
      <c r="I25" s="358" t="str">
        <f t="shared" si="12"/>
        <v/>
      </c>
      <c r="J25" s="358" t="str">
        <f t="shared" si="13"/>
        <v/>
      </c>
      <c r="K25" s="181" t="str">
        <f t="shared" si="14"/>
        <v/>
      </c>
      <c r="L25" s="120" t="str">
        <f t="shared" si="15"/>
        <v/>
      </c>
      <c r="M25" s="81"/>
      <c r="N25" s="82" t="str">
        <f t="shared" si="7"/>
        <v/>
      </c>
    </row>
    <row r="26" spans="1:14" ht="15.75" thickBot="1" x14ac:dyDescent="0.3">
      <c r="A26" s="357">
        <v>20</v>
      </c>
      <c r="B26" s="88"/>
      <c r="C26" s="366" t="str">
        <f t="shared" si="9"/>
        <v/>
      </c>
      <c r="D26" s="93"/>
      <c r="E26" s="93"/>
      <c r="F26" s="93"/>
      <c r="G26" s="359" t="str">
        <f t="shared" si="10"/>
        <v/>
      </c>
      <c r="H26" s="359" t="str">
        <f t="shared" si="11"/>
        <v/>
      </c>
      <c r="I26" s="359" t="str">
        <f t="shared" si="12"/>
        <v/>
      </c>
      <c r="J26" s="359" t="str">
        <f t="shared" si="13"/>
        <v/>
      </c>
      <c r="K26" s="182" t="str">
        <f t="shared" si="14"/>
        <v/>
      </c>
      <c r="L26" s="123" t="str">
        <f t="shared" si="15"/>
        <v/>
      </c>
      <c r="M26" s="88"/>
      <c r="N26" s="89" t="str">
        <f t="shared" si="7"/>
        <v/>
      </c>
    </row>
  </sheetData>
  <mergeCells count="9">
    <mergeCell ref="D5:F5"/>
    <mergeCell ref="G5:J5"/>
    <mergeCell ref="K5:L5"/>
    <mergeCell ref="M5:N5"/>
    <mergeCell ref="K1:L1"/>
    <mergeCell ref="K3:L3"/>
    <mergeCell ref="F2:G2"/>
    <mergeCell ref="F3:G3"/>
    <mergeCell ref="F1:G1"/>
  </mergeCells>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election activeCell="D2" sqref="D2"/>
    </sheetView>
  </sheetViews>
  <sheetFormatPr baseColWidth="10" defaultRowHeight="15" x14ac:dyDescent="0.25"/>
  <cols>
    <col min="3" max="3" width="17" bestFit="1" customWidth="1"/>
    <col min="4" max="4" width="15.140625" bestFit="1" customWidth="1"/>
    <col min="5" max="16" width="13.140625" bestFit="1" customWidth="1"/>
  </cols>
  <sheetData>
    <row r="1" spans="1:16" x14ac:dyDescent="0.25">
      <c r="C1" s="398" t="s">
        <v>269</v>
      </c>
      <c r="D1" s="394">
        <f>VLOOKUP(C1,Laufzeitrechner!$F$2:$H$13,3,FALSE)</f>
        <v>2.0833333333333332E-2</v>
      </c>
      <c r="G1" s="408" t="s">
        <v>421</v>
      </c>
      <c r="H1" s="413"/>
      <c r="I1" s="227">
        <f>'Construction Planner'!E1</f>
        <v>1</v>
      </c>
    </row>
    <row r="2" spans="1:16" x14ac:dyDescent="0.25">
      <c r="C2" s="81" t="s">
        <v>273</v>
      </c>
      <c r="D2" s="311">
        <v>44001.979166666664</v>
      </c>
      <c r="G2" s="434" t="s">
        <v>420</v>
      </c>
      <c r="H2" s="435"/>
      <c r="I2" s="125">
        <f>'Construction Planner'!E4</f>
        <v>1</v>
      </c>
    </row>
    <row r="3" spans="1:16" ht="15.75" thickBot="1" x14ac:dyDescent="0.3">
      <c r="C3" s="81" t="s">
        <v>517</v>
      </c>
      <c r="D3" s="311">
        <v>44001.333333333336</v>
      </c>
      <c r="G3" s="436" t="s">
        <v>422</v>
      </c>
      <c r="H3" s="437"/>
      <c r="I3" s="373">
        <f>I1*I2</f>
        <v>1</v>
      </c>
    </row>
    <row r="4" spans="1:16" ht="15.75" thickBot="1" x14ac:dyDescent="0.3">
      <c r="C4" s="88" t="s">
        <v>516</v>
      </c>
      <c r="D4" s="395">
        <v>44001.958333333336</v>
      </c>
    </row>
    <row r="5" spans="1:16" x14ac:dyDescent="0.25">
      <c r="C5" s="438" t="s">
        <v>515</v>
      </c>
      <c r="D5" s="438"/>
      <c r="E5" s="438"/>
      <c r="F5" s="438"/>
      <c r="G5" s="438"/>
      <c r="H5" s="438"/>
      <c r="I5" s="438"/>
      <c r="J5" s="438"/>
      <c r="K5" s="438"/>
      <c r="L5" s="438"/>
      <c r="M5" s="438"/>
      <c r="N5" s="438"/>
      <c r="O5" s="438"/>
      <c r="P5" s="438"/>
    </row>
    <row r="6" spans="1:16" x14ac:dyDescent="0.25">
      <c r="A6" t="s">
        <v>290</v>
      </c>
      <c r="B6" t="s">
        <v>261</v>
      </c>
      <c r="C6" t="s">
        <v>430</v>
      </c>
      <c r="D6" t="s">
        <v>431</v>
      </c>
      <c r="E6" t="s">
        <v>432</v>
      </c>
      <c r="F6" t="s">
        <v>433</v>
      </c>
      <c r="G6" t="s">
        <v>434</v>
      </c>
      <c r="H6" t="s">
        <v>435</v>
      </c>
      <c r="I6" t="s">
        <v>436</v>
      </c>
      <c r="J6" t="s">
        <v>437</v>
      </c>
      <c r="K6" t="s">
        <v>438</v>
      </c>
      <c r="L6" t="s">
        <v>439</v>
      </c>
      <c r="M6" t="s">
        <v>440</v>
      </c>
      <c r="N6" t="s">
        <v>441</v>
      </c>
      <c r="O6" t="s">
        <v>442</v>
      </c>
      <c r="P6" t="s">
        <v>443</v>
      </c>
    </row>
    <row r="7" spans="1:16" x14ac:dyDescent="0.25">
      <c r="A7">
        <v>6830</v>
      </c>
      <c r="B7" t="s">
        <v>487</v>
      </c>
      <c r="C7" s="393">
        <f>$D$2-SQRT(((LEFT(C$6,3)-LEFT($B7,3))*(LEFT(C$6,3)-LEFT($B7,3)))+((RIGHT(C$6,3)-RIGHT($B7,3))*(RIGHT(C$6,3)-RIGHT($B7,3))))*$D$1</f>
        <v>44001.609999059445</v>
      </c>
      <c r="D7" s="393">
        <f t="shared" ref="D7:P7" si="0">$D$2-SQRT(((LEFT(D$6,3)-LEFT($B7,3))*(LEFT(D$6,3)-LEFT($B7,3)))+((RIGHT(D$6,3)-RIGHT($B7,3))*(RIGHT(D$6,3)-RIGHT($B7,3))))*$D$1</f>
        <v>44001.589967881409</v>
      </c>
      <c r="E7" s="393">
        <f t="shared" si="0"/>
        <v>44001.576808168415</v>
      </c>
      <c r="F7" s="393">
        <f t="shared" si="0"/>
        <v>44001.529436809476</v>
      </c>
      <c r="G7" s="393">
        <f t="shared" si="0"/>
        <v>44001.463778463461</v>
      </c>
      <c r="H7" s="393">
        <f t="shared" si="0"/>
        <v>44001.458333333328</v>
      </c>
      <c r="I7" s="393">
        <f t="shared" si="0"/>
        <v>44001.432316468818</v>
      </c>
      <c r="J7" s="393">
        <f t="shared" si="0"/>
        <v>44001.352432960142</v>
      </c>
      <c r="K7" s="393">
        <f t="shared" si="0"/>
        <v>44001.372490842557</v>
      </c>
      <c r="L7" s="393">
        <f t="shared" si="0"/>
        <v>44001.386239605381</v>
      </c>
      <c r="M7" s="393">
        <f t="shared" si="0"/>
        <v>44001.379325831294</v>
      </c>
      <c r="N7" s="393">
        <f t="shared" si="0"/>
        <v>44001.359747135524</v>
      </c>
      <c r="O7" s="393">
        <f t="shared" si="0"/>
        <v>44001.428756466099</v>
      </c>
      <c r="P7" s="393">
        <f t="shared" si="0"/>
        <v>44001.528472757229</v>
      </c>
    </row>
    <row r="8" spans="1:16" x14ac:dyDescent="0.25">
      <c r="A8">
        <v>6747</v>
      </c>
      <c r="B8" t="s">
        <v>460</v>
      </c>
      <c r="C8" s="393">
        <f t="shared" ref="C8:P26" si="1">$D$2-SQRT(((LEFT(C$6,3)-LEFT($B8,3))*(LEFT(C$6,3)-LEFT($B8,3)))+((RIGHT(C$6,3)-RIGHT($B8,3))*(RIGHT(C$6,3)-RIGHT($B8,3))))*$D$1</f>
        <v>44001.80737059893</v>
      </c>
      <c r="D8" s="393">
        <f t="shared" si="1"/>
        <v>44001.811202963574</v>
      </c>
      <c r="E8" s="393">
        <f t="shared" si="1"/>
        <v>44001.852442447285</v>
      </c>
      <c r="F8" s="393">
        <f t="shared" si="1"/>
        <v>44001.80737059893</v>
      </c>
      <c r="G8" s="393">
        <f t="shared" si="1"/>
        <v>44001.799951556932</v>
      </c>
      <c r="H8" s="393">
        <f t="shared" si="1"/>
        <v>44001.816453131752</v>
      </c>
      <c r="I8" s="393">
        <f t="shared" si="1"/>
        <v>44001.816453131752</v>
      </c>
      <c r="J8" s="393">
        <f t="shared" si="1"/>
        <v>44001.746242919005</v>
      </c>
      <c r="K8" s="393">
        <f t="shared" si="1"/>
        <v>44001.764674372062</v>
      </c>
      <c r="L8" s="393">
        <f t="shared" si="1"/>
        <v>44001.792827668542</v>
      </c>
      <c r="M8" s="393">
        <f t="shared" si="1"/>
        <v>44001.801166588637</v>
      </c>
      <c r="N8" s="393">
        <f t="shared" si="1"/>
        <v>44001.781524312901</v>
      </c>
      <c r="O8" s="393">
        <f t="shared" si="1"/>
        <v>44001.895833333328</v>
      </c>
      <c r="P8" s="393">
        <f t="shared" si="1"/>
        <v>44001.949703884115</v>
      </c>
    </row>
    <row r="9" spans="1:16" x14ac:dyDescent="0.25">
      <c r="A9">
        <v>5944</v>
      </c>
      <c r="B9" t="s">
        <v>479</v>
      </c>
      <c r="C9" s="393">
        <f t="shared" si="1"/>
        <v>44001.708333333328</v>
      </c>
      <c r="D9" s="393">
        <f t="shared" si="1"/>
        <v>44001.688991910887</v>
      </c>
      <c r="E9" s="393">
        <f t="shared" si="1"/>
        <v>44001.67156618624</v>
      </c>
      <c r="F9" s="393">
        <f t="shared" si="1"/>
        <v>44001.629936362202</v>
      </c>
      <c r="G9" s="393">
        <f t="shared" si="1"/>
        <v>44001.564065440725</v>
      </c>
      <c r="H9" s="393">
        <f t="shared" si="1"/>
        <v>44001.557323818095</v>
      </c>
      <c r="I9" s="393">
        <f t="shared" si="1"/>
        <v>44001.530402932738</v>
      </c>
      <c r="J9" s="393">
        <f t="shared" si="1"/>
        <v>44001.452120389971</v>
      </c>
      <c r="K9" s="393">
        <f t="shared" si="1"/>
        <v>44001.471841847422</v>
      </c>
      <c r="L9" s="393">
        <f t="shared" si="1"/>
        <v>44001.483963986495</v>
      </c>
      <c r="M9" s="393">
        <f t="shared" si="1"/>
        <v>44001.475706417761</v>
      </c>
      <c r="N9" s="393">
        <f t="shared" si="1"/>
        <v>44001.456669324834</v>
      </c>
      <c r="O9" s="393">
        <f t="shared" si="1"/>
        <v>44001.516591597683</v>
      </c>
      <c r="P9" s="393">
        <f t="shared" si="1"/>
        <v>44001.610587374729</v>
      </c>
    </row>
    <row r="10" spans="1:16" x14ac:dyDescent="0.25">
      <c r="A10">
        <v>5926</v>
      </c>
      <c r="B10" t="s">
        <v>446</v>
      </c>
      <c r="C10" s="393">
        <f t="shared" si="1"/>
        <v>44001.741630119766</v>
      </c>
      <c r="D10" s="393">
        <f t="shared" si="1"/>
        <v>44001.757705295568</v>
      </c>
      <c r="E10" s="393">
        <f t="shared" si="1"/>
        <v>44001.782625393076</v>
      </c>
      <c r="F10" s="393">
        <f t="shared" si="1"/>
        <v>44001.799951556932</v>
      </c>
      <c r="G10" s="393">
        <f t="shared" si="1"/>
        <v>44001.847405097491</v>
      </c>
      <c r="H10" s="393">
        <f t="shared" si="1"/>
        <v>44001.866975733181</v>
      </c>
      <c r="I10" s="393">
        <f t="shared" si="1"/>
        <v>44001.893268632797</v>
      </c>
      <c r="J10" s="393">
        <f t="shared" si="1"/>
        <v>44001.875</v>
      </c>
      <c r="K10" s="393">
        <f t="shared" si="1"/>
        <v>44001.885997167599</v>
      </c>
      <c r="L10" s="393">
        <f t="shared" si="1"/>
        <v>44001.913285882074</v>
      </c>
      <c r="M10" s="393">
        <f t="shared" si="1"/>
        <v>44001.932581917135</v>
      </c>
      <c r="N10" s="393">
        <f t="shared" si="1"/>
        <v>44001.920241101565</v>
      </c>
      <c r="O10" s="393">
        <f t="shared" si="1"/>
        <v>44001.913285882074</v>
      </c>
      <c r="P10" s="393">
        <f t="shared" si="1"/>
        <v>44001.8125</v>
      </c>
    </row>
    <row r="11" spans="1:16" x14ac:dyDescent="0.25">
      <c r="A11">
        <v>5655</v>
      </c>
      <c r="B11" t="s">
        <v>395</v>
      </c>
      <c r="C11" s="393">
        <f t="shared" si="1"/>
        <v>44001.746242919005</v>
      </c>
      <c r="D11" s="393">
        <f t="shared" si="1"/>
        <v>44001.736210337709</v>
      </c>
      <c r="E11" s="393">
        <f t="shared" si="1"/>
        <v>44001.699658169477</v>
      </c>
      <c r="F11" s="393">
        <f t="shared" si="1"/>
        <v>44001.698882832352</v>
      </c>
      <c r="G11" s="393">
        <f t="shared" si="1"/>
        <v>44001.640024570916</v>
      </c>
      <c r="H11" s="393">
        <f t="shared" si="1"/>
        <v>44001.625613276068</v>
      </c>
      <c r="I11" s="393">
        <f t="shared" si="1"/>
        <v>44001.596150493519</v>
      </c>
      <c r="J11" s="393">
        <f t="shared" si="1"/>
        <v>44001.53331386335</v>
      </c>
      <c r="K11" s="393">
        <f t="shared" si="1"/>
        <v>44001.549676497329</v>
      </c>
      <c r="L11" s="393">
        <f t="shared" si="1"/>
        <v>44001.551702405653</v>
      </c>
      <c r="M11" s="393">
        <f t="shared" si="1"/>
        <v>44001.537224928419</v>
      </c>
      <c r="N11" s="393">
        <f t="shared" si="1"/>
        <v>44001.522255995842</v>
      </c>
      <c r="O11" s="393">
        <f t="shared" si="1"/>
        <v>44001.539687018543</v>
      </c>
      <c r="P11" s="393">
        <f t="shared" si="1"/>
        <v>44001.603588408805</v>
      </c>
    </row>
    <row r="12" spans="1:16" x14ac:dyDescent="0.25">
      <c r="A12">
        <v>5171</v>
      </c>
      <c r="B12" t="s">
        <v>476</v>
      </c>
      <c r="C12" s="393">
        <f t="shared" si="1"/>
        <v>44001.729166666664</v>
      </c>
      <c r="D12" s="393">
        <f t="shared" si="1"/>
        <v>44001.708333333328</v>
      </c>
      <c r="E12" s="393">
        <f t="shared" si="1"/>
        <v>44001.705146949207</v>
      </c>
      <c r="F12" s="393">
        <f t="shared" si="1"/>
        <v>44001.645833333328</v>
      </c>
      <c r="G12" s="393">
        <f t="shared" si="1"/>
        <v>44001.582785466861</v>
      </c>
      <c r="H12" s="393">
        <f t="shared" si="1"/>
        <v>44001.581146392193</v>
      </c>
      <c r="I12" s="393">
        <f t="shared" si="1"/>
        <v>44001.557838574663</v>
      </c>
      <c r="J12" s="393">
        <f t="shared" si="1"/>
        <v>44001.475275557394</v>
      </c>
      <c r="K12" s="393">
        <f t="shared" si="1"/>
        <v>44001.495941103967</v>
      </c>
      <c r="L12" s="393">
        <f t="shared" si="1"/>
        <v>44001.513319171354</v>
      </c>
      <c r="M12" s="393">
        <f t="shared" si="1"/>
        <v>44001.509145242802</v>
      </c>
      <c r="N12" s="393">
        <f t="shared" si="1"/>
        <v>44001.488808237664</v>
      </c>
      <c r="O12" s="393">
        <f t="shared" si="1"/>
        <v>44001.568797591586</v>
      </c>
      <c r="P12" s="393">
        <f t="shared" si="1"/>
        <v>44001.67156618624</v>
      </c>
    </row>
    <row r="13" spans="1:16" x14ac:dyDescent="0.25">
      <c r="A13">
        <v>5058</v>
      </c>
      <c r="B13" t="s">
        <v>464</v>
      </c>
      <c r="C13" s="393">
        <f t="shared" si="1"/>
        <v>44001.828935363519</v>
      </c>
      <c r="D13" s="393">
        <f t="shared" si="1"/>
        <v>44001.811202963574</v>
      </c>
      <c r="E13" s="393">
        <f t="shared" si="1"/>
        <v>44001.787092823804</v>
      </c>
      <c r="F13" s="393">
        <f t="shared" si="1"/>
        <v>44001.754784799698</v>
      </c>
      <c r="G13" s="393">
        <f t="shared" si="1"/>
        <v>44001.688991910887</v>
      </c>
      <c r="H13" s="393">
        <f t="shared" si="1"/>
        <v>44001.680878727842</v>
      </c>
      <c r="I13" s="393">
        <f t="shared" si="1"/>
        <v>44001.653073419948</v>
      </c>
      <c r="J13" s="393">
        <f t="shared" si="1"/>
        <v>44001.576808168415</v>
      </c>
      <c r="K13" s="393">
        <f t="shared" si="1"/>
        <v>44001.596150493519</v>
      </c>
      <c r="L13" s="393">
        <f t="shared" si="1"/>
        <v>44001.606488670412</v>
      </c>
      <c r="M13" s="393">
        <f t="shared" si="1"/>
        <v>44001.596717505192</v>
      </c>
      <c r="N13" s="393">
        <f t="shared" si="1"/>
        <v>44001.57842949871</v>
      </c>
      <c r="O13" s="393">
        <f t="shared" si="1"/>
        <v>44001.625613276068</v>
      </c>
      <c r="P13" s="393">
        <f t="shared" si="1"/>
        <v>44001.707533233115</v>
      </c>
    </row>
    <row r="14" spans="1:16" x14ac:dyDescent="0.25">
      <c r="A14">
        <v>5050</v>
      </c>
      <c r="B14" t="s">
        <v>456</v>
      </c>
      <c r="C14" s="393">
        <f t="shared" si="1"/>
        <v>44001.920241101565</v>
      </c>
      <c r="D14" s="393">
        <f t="shared" si="1"/>
        <v>44001.932581917135</v>
      </c>
      <c r="E14" s="393">
        <f t="shared" si="1"/>
        <v>44001.893268632797</v>
      </c>
      <c r="F14" s="393">
        <f t="shared" si="1"/>
        <v>44001.920241101565</v>
      </c>
      <c r="G14" s="393">
        <f t="shared" si="1"/>
        <v>44001.85768850219</v>
      </c>
      <c r="H14" s="393">
        <f t="shared" si="1"/>
        <v>44001.845768245053</v>
      </c>
      <c r="I14" s="393">
        <f t="shared" si="1"/>
        <v>44001.816453131752</v>
      </c>
      <c r="J14" s="393">
        <f t="shared" si="1"/>
        <v>44001.746242919005</v>
      </c>
      <c r="K14" s="393">
        <f t="shared" si="1"/>
        <v>44001.764674372062</v>
      </c>
      <c r="L14" s="393">
        <f t="shared" si="1"/>
        <v>44001.770833333328</v>
      </c>
      <c r="M14" s="393">
        <f t="shared" si="1"/>
        <v>44001.757705295568</v>
      </c>
      <c r="N14" s="393">
        <f t="shared" si="1"/>
        <v>44001.741630119766</v>
      </c>
      <c r="O14" s="393">
        <f t="shared" si="1"/>
        <v>44001.754784799698</v>
      </c>
      <c r="P14" s="393">
        <f t="shared" si="1"/>
        <v>44001.790512809617</v>
      </c>
    </row>
    <row r="15" spans="1:16" x14ac:dyDescent="0.25">
      <c r="A15">
        <v>5028</v>
      </c>
      <c r="B15" t="s">
        <v>501</v>
      </c>
      <c r="C15" s="393">
        <f t="shared" si="1"/>
        <v>44001.499547315281</v>
      </c>
      <c r="D15" s="393">
        <f t="shared" si="1"/>
        <v>44001.478732827105</v>
      </c>
      <c r="E15" s="393">
        <f t="shared" si="1"/>
        <v>44001.478732827105</v>
      </c>
      <c r="F15" s="393">
        <f t="shared" si="1"/>
        <v>44001.416280996411</v>
      </c>
      <c r="G15" s="393">
        <f t="shared" si="1"/>
        <v>44001.354166666664</v>
      </c>
      <c r="H15" s="393">
        <f t="shared" si="1"/>
        <v>44001.35381954084</v>
      </c>
      <c r="I15" s="393">
        <f t="shared" si="1"/>
        <v>44001.331990643041</v>
      </c>
      <c r="J15" s="393">
        <f t="shared" si="1"/>
        <v>44001.248810494042</v>
      </c>
      <c r="K15" s="393">
        <f t="shared" si="1"/>
        <v>44001.269608901421</v>
      </c>
      <c r="L15" s="393">
        <f t="shared" si="1"/>
        <v>44001.288831603088</v>
      </c>
      <c r="M15" s="393">
        <f t="shared" si="1"/>
        <v>44001.286634577555</v>
      </c>
      <c r="N15" s="393">
        <f t="shared" si="1"/>
        <v>44001.265948217973</v>
      </c>
      <c r="O15" s="393">
        <f t="shared" si="1"/>
        <v>44001.357648587909</v>
      </c>
      <c r="P15" s="393">
        <f t="shared" si="1"/>
        <v>44001.463778463461</v>
      </c>
    </row>
    <row r="16" spans="1:16" x14ac:dyDescent="0.25">
      <c r="A16">
        <v>4925</v>
      </c>
      <c r="B16" t="s">
        <v>465</v>
      </c>
      <c r="C16" s="393">
        <f t="shared" si="1"/>
        <v>44001.852442447285</v>
      </c>
      <c r="D16" s="393">
        <f t="shared" si="1"/>
        <v>44001.831852753916</v>
      </c>
      <c r="E16" s="393">
        <f t="shared" si="1"/>
        <v>44001.820504726958</v>
      </c>
      <c r="F16" s="393">
        <f t="shared" si="1"/>
        <v>44001.769794257889</v>
      </c>
      <c r="G16" s="393">
        <f t="shared" si="1"/>
        <v>44001.705146949207</v>
      </c>
      <c r="H16" s="393">
        <f t="shared" si="1"/>
        <v>44001.701215331996</v>
      </c>
      <c r="I16" s="393">
        <f t="shared" si="1"/>
        <v>44001.675828754611</v>
      </c>
      <c r="J16" s="393">
        <f t="shared" si="1"/>
        <v>44001.595018980945</v>
      </c>
      <c r="K16" s="393">
        <f t="shared" si="1"/>
        <v>44001.615328141736</v>
      </c>
      <c r="L16" s="393">
        <f t="shared" si="1"/>
        <v>44001.629936362202</v>
      </c>
      <c r="M16" s="393">
        <f t="shared" si="1"/>
        <v>44001.62316651061</v>
      </c>
      <c r="N16" s="393">
        <f t="shared" si="1"/>
        <v>44001.603588408805</v>
      </c>
      <c r="O16" s="393">
        <f t="shared" si="1"/>
        <v>44001.666666666664</v>
      </c>
      <c r="P16" s="393">
        <f t="shared" si="1"/>
        <v>44001.757705295568</v>
      </c>
    </row>
    <row r="17" spans="1:16" x14ac:dyDescent="0.25">
      <c r="A17">
        <v>4795</v>
      </c>
      <c r="B17" t="s">
        <v>499</v>
      </c>
      <c r="C17" s="393">
        <f t="shared" si="1"/>
        <v>44001.643239260484</v>
      </c>
      <c r="D17" s="393">
        <f t="shared" si="1"/>
        <v>44001.622557442315</v>
      </c>
      <c r="E17" s="393">
        <f t="shared" si="1"/>
        <v>44001.615328141736</v>
      </c>
      <c r="F17" s="393">
        <f t="shared" si="1"/>
        <v>44001.560421849121</v>
      </c>
      <c r="G17" s="393">
        <f t="shared" si="1"/>
        <v>44001.495941103967</v>
      </c>
      <c r="H17" s="393">
        <f t="shared" si="1"/>
        <v>44001.492807602917</v>
      </c>
      <c r="I17" s="393">
        <f t="shared" si="1"/>
        <v>44001.468431221991</v>
      </c>
      <c r="J17" s="393">
        <f t="shared" si="1"/>
        <v>44001.386605722779</v>
      </c>
      <c r="K17" s="393">
        <f t="shared" si="1"/>
        <v>44001.407102907593</v>
      </c>
      <c r="L17" s="393">
        <f t="shared" si="1"/>
        <v>44001.423263997327</v>
      </c>
      <c r="M17" s="393">
        <f t="shared" si="1"/>
        <v>44001.418211999255</v>
      </c>
      <c r="N17" s="393">
        <f t="shared" si="1"/>
        <v>44001.398069763287</v>
      </c>
      <c r="O17" s="393">
        <f t="shared" si="1"/>
        <v>44001.475706417761</v>
      </c>
      <c r="P17" s="393">
        <f t="shared" si="1"/>
        <v>44001.57842949871</v>
      </c>
    </row>
    <row r="18" spans="1:16" x14ac:dyDescent="0.25">
      <c r="A18">
        <v>4787</v>
      </c>
      <c r="B18" t="s">
        <v>481</v>
      </c>
      <c r="C18" s="393">
        <f t="shared" si="1"/>
        <v>44001.861315536466</v>
      </c>
      <c r="D18" s="393">
        <f t="shared" si="1"/>
        <v>44001.845768245053</v>
      </c>
      <c r="E18" s="393">
        <f t="shared" si="1"/>
        <v>44001.816453131752</v>
      </c>
      <c r="F18" s="393">
        <f t="shared" si="1"/>
        <v>44001.792827668542</v>
      </c>
      <c r="G18" s="393">
        <f t="shared" si="1"/>
        <v>44001.727436542213</v>
      </c>
      <c r="H18" s="393">
        <f t="shared" si="1"/>
        <v>44001.718125748201</v>
      </c>
      <c r="I18" s="393">
        <f t="shared" si="1"/>
        <v>44001.689740750218</v>
      </c>
      <c r="J18" s="393">
        <f t="shared" si="1"/>
        <v>44001.615328141736</v>
      </c>
      <c r="K18" s="393">
        <f t="shared" si="1"/>
        <v>44001.634313638388</v>
      </c>
      <c r="L18" s="393">
        <f t="shared" si="1"/>
        <v>44001.643239260484</v>
      </c>
      <c r="M18" s="393">
        <f t="shared" si="1"/>
        <v>44001.632430896309</v>
      </c>
      <c r="N18" s="393">
        <f t="shared" si="1"/>
        <v>44001.614732173235</v>
      </c>
      <c r="O18" s="393">
        <f t="shared" si="1"/>
        <v>44001.653739596833</v>
      </c>
      <c r="P18" s="393">
        <f t="shared" si="1"/>
        <v>44001.727436542213</v>
      </c>
    </row>
    <row r="19" spans="1:16" x14ac:dyDescent="0.25">
      <c r="A19">
        <v>4730</v>
      </c>
      <c r="B19" t="s">
        <v>458</v>
      </c>
      <c r="C19" s="393">
        <f t="shared" si="1"/>
        <v>44001.885997167599</v>
      </c>
      <c r="D19" s="393">
        <f t="shared" si="1"/>
        <v>44001.893268632797</v>
      </c>
      <c r="E19" s="393">
        <f t="shared" si="1"/>
        <v>44001.852442447285</v>
      </c>
      <c r="F19" s="393">
        <f t="shared" si="1"/>
        <v>44001.885997167599</v>
      </c>
      <c r="G19" s="393">
        <f t="shared" si="1"/>
        <v>44001.831852753916</v>
      </c>
      <c r="H19" s="393">
        <f t="shared" si="1"/>
        <v>44001.816453131752</v>
      </c>
      <c r="I19" s="393">
        <f t="shared" si="1"/>
        <v>44001.787092823804</v>
      </c>
      <c r="J19" s="393">
        <f t="shared" si="1"/>
        <v>44001.724863424672</v>
      </c>
      <c r="K19" s="393">
        <f t="shared" si="1"/>
        <v>44001.741630119766</v>
      </c>
      <c r="L19" s="393">
        <f t="shared" si="1"/>
        <v>44001.743464406267</v>
      </c>
      <c r="M19" s="393">
        <f t="shared" si="1"/>
        <v>44001.72830011294</v>
      </c>
      <c r="N19" s="393">
        <f t="shared" si="1"/>
        <v>44001.714001623717</v>
      </c>
      <c r="O19" s="393">
        <f t="shared" si="1"/>
        <v>44001.715643528318</v>
      </c>
      <c r="P19" s="393">
        <f t="shared" si="1"/>
        <v>44001.749054978805</v>
      </c>
    </row>
    <row r="20" spans="1:16" x14ac:dyDescent="0.25">
      <c r="A20">
        <v>4707</v>
      </c>
      <c r="B20" t="s">
        <v>450</v>
      </c>
      <c r="C20" s="393">
        <f t="shared" si="1"/>
        <v>44001.852442447285</v>
      </c>
      <c r="D20" s="393">
        <f t="shared" si="1"/>
        <v>44001.872937093467</v>
      </c>
      <c r="E20" s="393">
        <f t="shared" si="1"/>
        <v>44001.872937093467</v>
      </c>
      <c r="F20" s="393">
        <f t="shared" si="1"/>
        <v>44001.932581917135</v>
      </c>
      <c r="G20" s="393">
        <f t="shared" si="1"/>
        <v>44001.958333333328</v>
      </c>
      <c r="H20" s="393">
        <f t="shared" si="1"/>
        <v>44001.949703884115</v>
      </c>
      <c r="I20" s="393">
        <f t="shared" si="1"/>
        <v>44001.920241101565</v>
      </c>
      <c r="J20" s="393">
        <f t="shared" si="1"/>
        <v>44001.847405097491</v>
      </c>
      <c r="K20" s="393">
        <f t="shared" si="1"/>
        <v>44001.866975733181</v>
      </c>
      <c r="L20" s="393">
        <f t="shared" si="1"/>
        <v>44001.875</v>
      </c>
      <c r="M20" s="393">
        <f t="shared" si="1"/>
        <v>44001.861315536466</v>
      </c>
      <c r="N20" s="393">
        <f t="shared" si="1"/>
        <v>44001.845768245053</v>
      </c>
      <c r="O20" s="393">
        <f t="shared" si="1"/>
        <v>44001.833333333328</v>
      </c>
      <c r="P20" s="393">
        <f t="shared" si="1"/>
        <v>44001.816453131752</v>
      </c>
    </row>
    <row r="21" spans="1:16" x14ac:dyDescent="0.25">
      <c r="A21">
        <v>4703</v>
      </c>
      <c r="B21" t="s">
        <v>505</v>
      </c>
      <c r="C21" s="393">
        <f t="shared" si="1"/>
        <v>44001.603588408805</v>
      </c>
      <c r="D21" s="393">
        <f t="shared" si="1"/>
        <v>44001.583881959144</v>
      </c>
      <c r="E21" s="393">
        <f t="shared" si="1"/>
        <v>44001.568797591586</v>
      </c>
      <c r="F21" s="393">
        <f t="shared" si="1"/>
        <v>44001.524159798588</v>
      </c>
      <c r="G21" s="393">
        <f t="shared" si="1"/>
        <v>44001.458333333328</v>
      </c>
      <c r="H21" s="393">
        <f t="shared" si="1"/>
        <v>44001.452120389971</v>
      </c>
      <c r="I21" s="393">
        <f t="shared" si="1"/>
        <v>44001.425611239349</v>
      </c>
      <c r="J21" s="393">
        <f t="shared" si="1"/>
        <v>44001.346573897885</v>
      </c>
      <c r="K21" s="393">
        <f t="shared" si="1"/>
        <v>44001.366439951256</v>
      </c>
      <c r="L21" s="393">
        <f t="shared" si="1"/>
        <v>44001.379325831294</v>
      </c>
      <c r="M21" s="393">
        <f t="shared" si="1"/>
        <v>44001.371775844287</v>
      </c>
      <c r="N21" s="393">
        <f t="shared" si="1"/>
        <v>44001.352432960142</v>
      </c>
      <c r="O21" s="393">
        <f t="shared" si="1"/>
        <v>44001.418211999255</v>
      </c>
      <c r="P21" s="393">
        <f t="shared" si="1"/>
        <v>44001.516591597683</v>
      </c>
    </row>
    <row r="22" spans="1:16" x14ac:dyDescent="0.25">
      <c r="A22">
        <v>4641</v>
      </c>
      <c r="B22" t="s">
        <v>491</v>
      </c>
      <c r="C22" s="393">
        <f t="shared" si="1"/>
        <v>44001.799951556932</v>
      </c>
      <c r="D22" s="393">
        <f t="shared" si="1"/>
        <v>44001.782625393076</v>
      </c>
      <c r="E22" s="393">
        <f t="shared" si="1"/>
        <v>44001.757705295568</v>
      </c>
      <c r="F22" s="393">
        <f t="shared" si="1"/>
        <v>44001.727436542213</v>
      </c>
      <c r="G22" s="393">
        <f t="shared" si="1"/>
        <v>44001.661842787253</v>
      </c>
      <c r="H22" s="393">
        <f t="shared" si="1"/>
        <v>44001.653073419948</v>
      </c>
      <c r="I22" s="393">
        <f t="shared" si="1"/>
        <v>44001.625</v>
      </c>
      <c r="J22" s="393">
        <f t="shared" si="1"/>
        <v>44001.549676497329</v>
      </c>
      <c r="K22" s="393">
        <f t="shared" si="1"/>
        <v>44001.568797591586</v>
      </c>
      <c r="L22" s="393">
        <f t="shared" si="1"/>
        <v>44001.57842949871</v>
      </c>
      <c r="M22" s="393">
        <f t="shared" si="1"/>
        <v>44001.568269105759</v>
      </c>
      <c r="N22" s="393">
        <f t="shared" si="1"/>
        <v>44001.550182077459</v>
      </c>
      <c r="O22" s="393">
        <f t="shared" si="1"/>
        <v>44001.596150493519</v>
      </c>
      <c r="P22" s="393">
        <f t="shared" si="1"/>
        <v>44001.678704060374</v>
      </c>
    </row>
    <row r="23" spans="1:16" x14ac:dyDescent="0.25">
      <c r="A23">
        <v>4506</v>
      </c>
      <c r="B23" t="s">
        <v>471</v>
      </c>
      <c r="C23" s="393">
        <f t="shared" si="1"/>
        <v>44001.845768245053</v>
      </c>
      <c r="D23" s="393">
        <f t="shared" si="1"/>
        <v>44001.831852753916</v>
      </c>
      <c r="E23" s="393">
        <f t="shared" si="1"/>
        <v>44001.799951556932</v>
      </c>
      <c r="F23" s="393">
        <f t="shared" si="1"/>
        <v>44001.782625393076</v>
      </c>
      <c r="G23" s="393">
        <f t="shared" si="1"/>
        <v>44001.718125748201</v>
      </c>
      <c r="H23" s="393">
        <f t="shared" si="1"/>
        <v>44001.707533233115</v>
      </c>
      <c r="I23" s="393">
        <f t="shared" si="1"/>
        <v>44001.678704060374</v>
      </c>
      <c r="J23" s="393">
        <f t="shared" si="1"/>
        <v>44001.606488670412</v>
      </c>
      <c r="K23" s="393">
        <f t="shared" si="1"/>
        <v>44001.625</v>
      </c>
      <c r="L23" s="393">
        <f t="shared" si="1"/>
        <v>44001.632430896309</v>
      </c>
      <c r="M23" s="393">
        <f t="shared" si="1"/>
        <v>44001.620736447207</v>
      </c>
      <c r="N23" s="393">
        <f t="shared" si="1"/>
        <v>44001.603588408805</v>
      </c>
      <c r="O23" s="393">
        <f t="shared" si="1"/>
        <v>44001.637474594441</v>
      </c>
      <c r="P23" s="393">
        <f t="shared" si="1"/>
        <v>44001.708333333328</v>
      </c>
    </row>
    <row r="24" spans="1:16" x14ac:dyDescent="0.25">
      <c r="A24">
        <v>4493</v>
      </c>
      <c r="B24" t="s">
        <v>494</v>
      </c>
      <c r="C24" s="393">
        <f t="shared" si="1"/>
        <v>44001.395461428074</v>
      </c>
      <c r="D24" s="393">
        <f t="shared" si="1"/>
        <v>44001.374640911308</v>
      </c>
      <c r="E24" s="393">
        <f t="shared" si="1"/>
        <v>44001.371775844287</v>
      </c>
      <c r="F24" s="393">
        <f t="shared" si="1"/>
        <v>44001.312174558596</v>
      </c>
      <c r="G24" s="393">
        <f t="shared" si="1"/>
        <v>44001.248810494042</v>
      </c>
      <c r="H24" s="393">
        <f t="shared" si="1"/>
        <v>44001.247326330405</v>
      </c>
      <c r="I24" s="393">
        <f t="shared" si="1"/>
        <v>44001.224551238483</v>
      </c>
      <c r="J24" s="393">
        <f t="shared" si="1"/>
        <v>44001.14167703157</v>
      </c>
      <c r="K24" s="393">
        <f t="shared" si="1"/>
        <v>44001.162404342336</v>
      </c>
      <c r="L24" s="393">
        <f t="shared" si="1"/>
        <v>44001.180676337637</v>
      </c>
      <c r="M24" s="393">
        <f t="shared" si="1"/>
        <v>44001.177692330763</v>
      </c>
      <c r="N24" s="393">
        <f t="shared" si="1"/>
        <v>44001.157107514293</v>
      </c>
      <c r="O24" s="393">
        <f t="shared" si="1"/>
        <v>44001.2464372752</v>
      </c>
      <c r="P24" s="393">
        <f t="shared" si="1"/>
        <v>44001.352432960142</v>
      </c>
    </row>
    <row r="25" spans="1:16" x14ac:dyDescent="0.25">
      <c r="A25">
        <v>4435</v>
      </c>
      <c r="B25" t="s">
        <v>483</v>
      </c>
      <c r="C25" s="393">
        <f t="shared" si="1"/>
        <v>44001.721472565063</v>
      </c>
      <c r="D25" s="393">
        <f t="shared" si="1"/>
        <v>44001.701215331996</v>
      </c>
      <c r="E25" s="393">
        <f t="shared" si="1"/>
        <v>44001.688991910887</v>
      </c>
      <c r="F25" s="393">
        <f t="shared" si="1"/>
        <v>44001.640024570916</v>
      </c>
      <c r="G25" s="393">
        <f t="shared" si="1"/>
        <v>44001.574656503355</v>
      </c>
      <c r="H25" s="393">
        <f t="shared" si="1"/>
        <v>44001.569856610324</v>
      </c>
      <c r="I25" s="393">
        <f t="shared" si="1"/>
        <v>44001.544153895462</v>
      </c>
      <c r="J25" s="393">
        <f t="shared" si="1"/>
        <v>44001.463778463461</v>
      </c>
      <c r="K25" s="393">
        <f t="shared" si="1"/>
        <v>44001.483963986495</v>
      </c>
      <c r="L25" s="393">
        <f t="shared" si="1"/>
        <v>44001.498191817474</v>
      </c>
      <c r="M25" s="393">
        <f t="shared" si="1"/>
        <v>44001.491470837049</v>
      </c>
      <c r="N25" s="393">
        <f t="shared" si="1"/>
        <v>44001.471841847422</v>
      </c>
      <c r="O25" s="393">
        <f t="shared" si="1"/>
        <v>44001.539687018543</v>
      </c>
      <c r="P25" s="393">
        <f t="shared" si="1"/>
        <v>44001.637474594441</v>
      </c>
    </row>
    <row r="26" spans="1:16" x14ac:dyDescent="0.25">
      <c r="A26">
        <v>4419</v>
      </c>
      <c r="B26" t="s">
        <v>493</v>
      </c>
      <c r="C26" s="393">
        <f t="shared" si="1"/>
        <v>44001.541666666664</v>
      </c>
      <c r="D26" s="393">
        <f t="shared" si="1"/>
        <v>44001.520833333328</v>
      </c>
      <c r="E26" s="393">
        <f t="shared" si="1"/>
        <v>44001.518943290946</v>
      </c>
      <c r="F26" s="393">
        <f t="shared" ref="D26:P41" si="2">$D$2-SQRT(((LEFT(F$6,3)-LEFT($B26,3))*(LEFT(F$6,3)-LEFT($B26,3)))+((RIGHT(F$6,3)-RIGHT($B26,3))*(RIGHT(F$6,3)-RIGHT($B26,3))))*$D$1</f>
        <v>44001.458333333328</v>
      </c>
      <c r="G26" s="393">
        <f t="shared" si="2"/>
        <v>44001.395461428074</v>
      </c>
      <c r="H26" s="393">
        <f t="shared" si="2"/>
        <v>44001.394347131347</v>
      </c>
      <c r="I26" s="393">
        <f t="shared" si="2"/>
        <v>44001.371775844287</v>
      </c>
      <c r="J26" s="393">
        <f t="shared" si="2"/>
        <v>44001.288831603088</v>
      </c>
      <c r="K26" s="393">
        <f t="shared" si="2"/>
        <v>44001.309576721666</v>
      </c>
      <c r="L26" s="393">
        <f t="shared" si="2"/>
        <v>44001.327979182992</v>
      </c>
      <c r="M26" s="393">
        <f t="shared" si="2"/>
        <v>44001.324986730491</v>
      </c>
      <c r="N26" s="393">
        <f t="shared" si="2"/>
        <v>44001.304411052472</v>
      </c>
      <c r="O26" s="393">
        <f t="shared" si="2"/>
        <v>44001.392494673317</v>
      </c>
      <c r="P26" s="393">
        <f t="shared" si="2"/>
        <v>44001.498191817474</v>
      </c>
    </row>
    <row r="27" spans="1:16" x14ac:dyDescent="0.25">
      <c r="A27">
        <v>4356</v>
      </c>
      <c r="B27" t="s">
        <v>474</v>
      </c>
      <c r="C27" s="393">
        <f t="shared" ref="C27:P59" si="3">$D$2-SQRT(((LEFT(C$6,3)-LEFT($B27,3))*(LEFT(C$6,3)-LEFT($B27,3)))+((RIGHT(C$6,3)-RIGHT($B27,3))*(RIGHT(C$6,3)-RIGHT($B27,3))))*$D$1</f>
        <v>44001.782625393076</v>
      </c>
      <c r="D27" s="393">
        <f t="shared" si="2"/>
        <v>44001.764674372062</v>
      </c>
      <c r="E27" s="393">
        <f t="shared" si="2"/>
        <v>44001.741630119766</v>
      </c>
      <c r="F27" s="393">
        <f t="shared" si="2"/>
        <v>44001.708333333328</v>
      </c>
      <c r="G27" s="393">
        <f t="shared" si="2"/>
        <v>44001.642593866221</v>
      </c>
      <c r="H27" s="393">
        <f t="shared" si="2"/>
        <v>44001.634313638388</v>
      </c>
      <c r="I27" s="393">
        <f t="shared" si="2"/>
        <v>44001.606488670412</v>
      </c>
      <c r="J27" s="393">
        <f t="shared" si="2"/>
        <v>44001.530402932738</v>
      </c>
      <c r="K27" s="393">
        <f t="shared" si="2"/>
        <v>44001.549676497329</v>
      </c>
      <c r="L27" s="393">
        <f t="shared" si="2"/>
        <v>44001.559903920883</v>
      </c>
      <c r="M27" s="393">
        <f t="shared" si="2"/>
        <v>44001.550182077459</v>
      </c>
      <c r="N27" s="393">
        <f t="shared" si="2"/>
        <v>44001.531856030131</v>
      </c>
      <c r="O27" s="393">
        <f t="shared" si="2"/>
        <v>44001.581146392193</v>
      </c>
      <c r="P27" s="393">
        <f t="shared" si="2"/>
        <v>44001.666666666664</v>
      </c>
    </row>
    <row r="28" spans="1:16" x14ac:dyDescent="0.25">
      <c r="A28">
        <v>4172</v>
      </c>
      <c r="B28" t="s">
        <v>511</v>
      </c>
      <c r="C28" s="393">
        <f t="shared" si="3"/>
        <v>44001.509145242802</v>
      </c>
      <c r="D28" s="393">
        <f t="shared" si="2"/>
        <v>44001.488808237664</v>
      </c>
      <c r="E28" s="393">
        <f t="shared" si="2"/>
        <v>44001.478299363327</v>
      </c>
      <c r="F28" s="393">
        <f t="shared" si="2"/>
        <v>44001.427574904381</v>
      </c>
      <c r="G28" s="393">
        <f t="shared" si="2"/>
        <v>44001.362204462705</v>
      </c>
      <c r="H28" s="393">
        <f t="shared" si="2"/>
        <v>44001.357648587909</v>
      </c>
      <c r="I28" s="393">
        <f t="shared" si="2"/>
        <v>44001.332326054318</v>
      </c>
      <c r="J28" s="393">
        <f t="shared" si="2"/>
        <v>44001.251489616807</v>
      </c>
      <c r="K28" s="393">
        <f t="shared" si="2"/>
        <v>44001.271753048066</v>
      </c>
      <c r="L28" s="393">
        <f t="shared" si="2"/>
        <v>44001.286634577555</v>
      </c>
      <c r="M28" s="393">
        <f t="shared" si="2"/>
        <v>44001.28070605774</v>
      </c>
      <c r="N28" s="393">
        <f t="shared" si="2"/>
        <v>44001.260794181268</v>
      </c>
      <c r="O28" s="393">
        <f t="shared" si="2"/>
        <v>44001.33602712331</v>
      </c>
      <c r="P28" s="393">
        <f t="shared" si="2"/>
        <v>44001.438703259533</v>
      </c>
    </row>
    <row r="29" spans="1:16" x14ac:dyDescent="0.25">
      <c r="A29">
        <v>4097</v>
      </c>
      <c r="B29" t="s">
        <v>452</v>
      </c>
      <c r="C29" s="393">
        <f t="shared" si="3"/>
        <v>44001.85768850219</v>
      </c>
      <c r="D29" s="393">
        <f t="shared" si="2"/>
        <v>44001.875</v>
      </c>
      <c r="E29" s="393">
        <f t="shared" si="2"/>
        <v>44001.893268632797</v>
      </c>
      <c r="F29" s="393">
        <f t="shared" si="2"/>
        <v>44001.913285882074</v>
      </c>
      <c r="G29" s="393">
        <f t="shared" si="2"/>
        <v>44001.920241101565</v>
      </c>
      <c r="H29" s="393">
        <f t="shared" si="2"/>
        <v>44001.932581917135</v>
      </c>
      <c r="I29" s="393">
        <f t="shared" si="2"/>
        <v>44001.916666666664</v>
      </c>
      <c r="J29" s="393">
        <f t="shared" si="2"/>
        <v>44001.833333333328</v>
      </c>
      <c r="K29" s="393">
        <f t="shared" si="2"/>
        <v>44001.854166666664</v>
      </c>
      <c r="L29" s="393">
        <f t="shared" si="2"/>
        <v>44001.872937093467</v>
      </c>
      <c r="M29" s="393">
        <f t="shared" si="2"/>
        <v>44001.866975733181</v>
      </c>
      <c r="N29" s="393">
        <f t="shared" si="2"/>
        <v>44001.847405097491</v>
      </c>
      <c r="O29" s="393">
        <f t="shared" si="2"/>
        <v>44001.872937093467</v>
      </c>
      <c r="P29" s="393">
        <f t="shared" si="2"/>
        <v>44001.861315536466</v>
      </c>
    </row>
    <row r="30" spans="1:16" x14ac:dyDescent="0.25">
      <c r="A30">
        <v>4082</v>
      </c>
      <c r="B30" t="s">
        <v>473</v>
      </c>
      <c r="C30" s="393">
        <f t="shared" si="3"/>
        <v>44001.5625</v>
      </c>
      <c r="D30" s="393">
        <f t="shared" si="2"/>
        <v>44001.541666666664</v>
      </c>
      <c r="E30" s="393">
        <f t="shared" si="2"/>
        <v>44001.539687018543</v>
      </c>
      <c r="F30" s="393">
        <f t="shared" si="2"/>
        <v>44001.479166666664</v>
      </c>
      <c r="G30" s="393">
        <f t="shared" si="2"/>
        <v>44001.416280996411</v>
      </c>
      <c r="H30" s="393">
        <f t="shared" si="2"/>
        <v>44001.415125567888</v>
      </c>
      <c r="I30" s="393">
        <f t="shared" si="2"/>
        <v>44001.392494673317</v>
      </c>
      <c r="J30" s="393">
        <f t="shared" si="2"/>
        <v>44001.309576721666</v>
      </c>
      <c r="K30" s="393">
        <f t="shared" si="2"/>
        <v>44001.330316187399</v>
      </c>
      <c r="L30" s="393">
        <f t="shared" si="2"/>
        <v>44001.348635585397</v>
      </c>
      <c r="M30" s="393">
        <f t="shared" si="2"/>
        <v>44001.345545569755</v>
      </c>
      <c r="N30" s="393">
        <f t="shared" si="2"/>
        <v>44001.324986730491</v>
      </c>
      <c r="O30" s="393">
        <f t="shared" si="2"/>
        <v>44001.412438728803</v>
      </c>
      <c r="P30" s="393">
        <f t="shared" si="2"/>
        <v>44001.518001174554</v>
      </c>
    </row>
    <row r="31" spans="1:16" x14ac:dyDescent="0.25">
      <c r="A31">
        <v>3918</v>
      </c>
      <c r="B31" t="s">
        <v>506</v>
      </c>
      <c r="C31" s="393">
        <f t="shared" si="3"/>
        <v>44001.653739596833</v>
      </c>
      <c r="D31" s="393">
        <f t="shared" si="2"/>
        <v>44001.637474594441</v>
      </c>
      <c r="E31" s="393">
        <f t="shared" si="2"/>
        <v>44001.610587374729</v>
      </c>
      <c r="F31" s="393">
        <f t="shared" si="2"/>
        <v>44001.586084119495</v>
      </c>
      <c r="G31" s="393">
        <f t="shared" si="2"/>
        <v>44001.521781283329</v>
      </c>
      <c r="H31" s="393">
        <f t="shared" si="2"/>
        <v>44001.510995728037</v>
      </c>
      <c r="I31" s="393">
        <f t="shared" si="2"/>
        <v>44001.482214148251</v>
      </c>
      <c r="J31" s="393">
        <f t="shared" si="2"/>
        <v>44001.410527330663</v>
      </c>
      <c r="K31" s="393">
        <f t="shared" si="2"/>
        <v>44001.428756466099</v>
      </c>
      <c r="L31" s="393">
        <f t="shared" si="2"/>
        <v>44001.435899799566</v>
      </c>
      <c r="M31" s="393">
        <f t="shared" si="2"/>
        <v>44001.424436376845</v>
      </c>
      <c r="N31" s="393">
        <f t="shared" si="2"/>
        <v>44001.407102907593</v>
      </c>
      <c r="O31" s="393">
        <f t="shared" si="2"/>
        <v>44001.448836580777</v>
      </c>
      <c r="P31" s="393">
        <f t="shared" si="2"/>
        <v>44001.53331386335</v>
      </c>
    </row>
    <row r="32" spans="1:16" x14ac:dyDescent="0.25">
      <c r="A32">
        <v>3884</v>
      </c>
      <c r="B32" t="s">
        <v>495</v>
      </c>
      <c r="C32" s="393">
        <f t="shared" si="3"/>
        <v>44001.410527330663</v>
      </c>
      <c r="D32" s="393">
        <f t="shared" si="2"/>
        <v>44001.389911015678</v>
      </c>
      <c r="E32" s="393">
        <f t="shared" si="2"/>
        <v>44001.382590789028</v>
      </c>
      <c r="F32" s="393">
        <f t="shared" si="2"/>
        <v>44001.327979182992</v>
      </c>
      <c r="G32" s="393">
        <f t="shared" si="2"/>
        <v>44001.263214988438</v>
      </c>
      <c r="H32" s="393">
        <f t="shared" si="2"/>
        <v>44001.259888479093</v>
      </c>
      <c r="I32" s="393">
        <f t="shared" si="2"/>
        <v>44001.235559654262</v>
      </c>
      <c r="J32" s="393">
        <f t="shared" si="2"/>
        <v>44001.153682801822</v>
      </c>
      <c r="K32" s="393">
        <f t="shared" si="2"/>
        <v>44001.174180038062</v>
      </c>
      <c r="L32" s="393">
        <f t="shared" si="2"/>
        <v>44001.190521115386</v>
      </c>
      <c r="M32" s="393">
        <f t="shared" si="2"/>
        <v>44001.185856968135</v>
      </c>
      <c r="N32" s="393">
        <f t="shared" si="2"/>
        <v>44001.165598992091</v>
      </c>
      <c r="O32" s="393">
        <f t="shared" si="2"/>
        <v>44001.247622922245</v>
      </c>
      <c r="P32" s="393">
        <f t="shared" si="2"/>
        <v>44001.352432960142</v>
      </c>
    </row>
    <row r="33" spans="1:16" x14ac:dyDescent="0.25">
      <c r="A33">
        <v>3793</v>
      </c>
      <c r="B33" t="s">
        <v>508</v>
      </c>
      <c r="C33" s="393">
        <f t="shared" si="3"/>
        <v>44001.828935363519</v>
      </c>
      <c r="D33" s="393">
        <f t="shared" si="2"/>
        <v>44001.816453131752</v>
      </c>
      <c r="E33" s="393">
        <f t="shared" si="2"/>
        <v>44001.782625393076</v>
      </c>
      <c r="F33" s="393">
        <f t="shared" si="2"/>
        <v>44001.770833333328</v>
      </c>
      <c r="G33" s="393">
        <f t="shared" si="2"/>
        <v>44001.707533233115</v>
      </c>
      <c r="H33" s="393">
        <f t="shared" si="2"/>
        <v>44001.69580269773</v>
      </c>
      <c r="I33" s="393">
        <f t="shared" si="2"/>
        <v>44001.666666666664</v>
      </c>
      <c r="J33" s="393">
        <f t="shared" si="2"/>
        <v>44001.596717505192</v>
      </c>
      <c r="K33" s="393">
        <f t="shared" si="2"/>
        <v>44001.614732173235</v>
      </c>
      <c r="L33" s="393">
        <f t="shared" si="2"/>
        <v>44001.620736447207</v>
      </c>
      <c r="M33" s="393">
        <f t="shared" si="2"/>
        <v>44001.608239712194</v>
      </c>
      <c r="N33" s="393">
        <f t="shared" si="2"/>
        <v>44001.591644265878</v>
      </c>
      <c r="O33" s="393">
        <f t="shared" si="2"/>
        <v>44001.620736447207</v>
      </c>
      <c r="P33" s="393">
        <f t="shared" si="2"/>
        <v>44001.688991910887</v>
      </c>
    </row>
    <row r="34" spans="1:16" x14ac:dyDescent="0.25">
      <c r="A34">
        <v>3714</v>
      </c>
      <c r="B34" t="s">
        <v>512</v>
      </c>
      <c r="C34" s="393">
        <f t="shared" si="3"/>
        <v>44001.608239712194</v>
      </c>
      <c r="D34" s="393">
        <f t="shared" si="2"/>
        <v>44001.591644265878</v>
      </c>
      <c r="E34" s="393">
        <f t="shared" si="2"/>
        <v>44001.565636807471</v>
      </c>
      <c r="F34" s="393">
        <f t="shared" si="2"/>
        <v>44001.539687018543</v>
      </c>
      <c r="G34" s="393">
        <f t="shared" si="2"/>
        <v>44001.475275557394</v>
      </c>
      <c r="H34" s="393">
        <f t="shared" si="2"/>
        <v>44001.464621290193</v>
      </c>
      <c r="I34" s="393">
        <f t="shared" si="2"/>
        <v>44001.435899799566</v>
      </c>
      <c r="J34" s="393">
        <f t="shared" si="2"/>
        <v>44001.363965705823</v>
      </c>
      <c r="K34" s="393">
        <f t="shared" si="2"/>
        <v>44001.382227134083</v>
      </c>
      <c r="L34" s="393">
        <f t="shared" si="2"/>
        <v>44001.389542845907</v>
      </c>
      <c r="M34" s="393">
        <f t="shared" si="2"/>
        <v>44001.378241454084</v>
      </c>
      <c r="N34" s="393">
        <f t="shared" si="2"/>
        <v>44001.360799080008</v>
      </c>
      <c r="O34" s="393">
        <f t="shared" si="2"/>
        <v>44001.404453573989</v>
      </c>
      <c r="P34" s="393">
        <f t="shared" si="2"/>
        <v>44001.491026061922</v>
      </c>
    </row>
    <row r="35" spans="1:16" x14ac:dyDescent="0.25">
      <c r="A35">
        <v>3659</v>
      </c>
      <c r="B35" t="s">
        <v>448</v>
      </c>
      <c r="C35" s="393">
        <f t="shared" si="3"/>
        <v>44001.549676497329</v>
      </c>
      <c r="D35" s="393">
        <f t="shared" si="2"/>
        <v>44001.529436809476</v>
      </c>
      <c r="E35" s="393">
        <f t="shared" si="2"/>
        <v>44001.537224928419</v>
      </c>
      <c r="F35" s="393">
        <f t="shared" si="2"/>
        <v>44001.468431221991</v>
      </c>
      <c r="G35" s="393">
        <f t="shared" si="2"/>
        <v>44001.410527330663</v>
      </c>
      <c r="H35" s="393">
        <f t="shared" si="2"/>
        <v>44001.41320509553</v>
      </c>
      <c r="I35" s="393">
        <f t="shared" si="2"/>
        <v>44001.394347131347</v>
      </c>
      <c r="J35" s="393">
        <f t="shared" si="2"/>
        <v>44001.311199185751</v>
      </c>
      <c r="K35" s="393">
        <f t="shared" si="2"/>
        <v>44001.331990643041</v>
      </c>
      <c r="L35" s="393">
        <f t="shared" si="2"/>
        <v>44001.35381954084</v>
      </c>
      <c r="M35" s="393">
        <f t="shared" si="2"/>
        <v>44001.354166666664</v>
      </c>
      <c r="N35" s="393">
        <f t="shared" si="2"/>
        <v>44001.333333333328</v>
      </c>
      <c r="O35" s="393">
        <f t="shared" si="2"/>
        <v>44001.433906152983</v>
      </c>
      <c r="P35" s="393">
        <f t="shared" si="2"/>
        <v>44001.539687018543</v>
      </c>
    </row>
    <row r="36" spans="1:16" x14ac:dyDescent="0.25">
      <c r="A36">
        <v>3605</v>
      </c>
      <c r="B36" t="s">
        <v>459</v>
      </c>
      <c r="C36" s="393">
        <f t="shared" si="3"/>
        <v>44001.827497710641</v>
      </c>
      <c r="D36" s="393">
        <f t="shared" si="2"/>
        <v>44001.847405097491</v>
      </c>
      <c r="E36" s="393">
        <f t="shared" si="2"/>
        <v>44001.828935363519</v>
      </c>
      <c r="F36" s="393">
        <f t="shared" si="2"/>
        <v>44001.904051015095</v>
      </c>
      <c r="G36" s="393">
        <f t="shared" si="2"/>
        <v>44001.916666666664</v>
      </c>
      <c r="H36" s="393">
        <f t="shared" si="2"/>
        <v>44001.895833333328</v>
      </c>
      <c r="I36" s="393">
        <f t="shared" si="2"/>
        <v>44001.872937093467</v>
      </c>
      <c r="J36" s="393">
        <f t="shared" si="2"/>
        <v>44001.831852753916</v>
      </c>
      <c r="K36" s="393">
        <f t="shared" si="2"/>
        <v>44001.845768245053</v>
      </c>
      <c r="L36" s="393">
        <f t="shared" si="2"/>
        <v>44001.83941241807</v>
      </c>
      <c r="M36" s="393">
        <f t="shared" si="2"/>
        <v>44001.820504726958</v>
      </c>
      <c r="N36" s="393">
        <f t="shared" si="2"/>
        <v>44001.811202963574</v>
      </c>
      <c r="O36" s="393">
        <f t="shared" si="2"/>
        <v>44001.769794257889</v>
      </c>
      <c r="P36" s="393">
        <f t="shared" si="2"/>
        <v>44001.75381971195</v>
      </c>
    </row>
    <row r="37" spans="1:16" x14ac:dyDescent="0.25">
      <c r="A37">
        <v>3575</v>
      </c>
      <c r="B37" t="s">
        <v>514</v>
      </c>
      <c r="C37" s="393">
        <f t="shared" si="3"/>
        <v>44001.471841847422</v>
      </c>
      <c r="D37" s="393">
        <f t="shared" si="2"/>
        <v>44001.452120389971</v>
      </c>
      <c r="E37" s="393">
        <f t="shared" si="2"/>
        <v>44001.4375</v>
      </c>
      <c r="F37" s="393">
        <f t="shared" si="2"/>
        <v>44001.392494673317</v>
      </c>
      <c r="G37" s="393">
        <f t="shared" si="2"/>
        <v>44001.326647509857</v>
      </c>
      <c r="H37" s="393">
        <f t="shared" si="2"/>
        <v>44001.320358820798</v>
      </c>
      <c r="I37" s="393">
        <f t="shared" si="2"/>
        <v>44001.293879824858</v>
      </c>
      <c r="J37" s="393">
        <f t="shared" si="2"/>
        <v>44001.214835986335</v>
      </c>
      <c r="K37" s="393">
        <f t="shared" si="2"/>
        <v>44001.234684650612</v>
      </c>
      <c r="L37" s="393">
        <f t="shared" si="2"/>
        <v>44001.247622922245</v>
      </c>
      <c r="M37" s="393">
        <f t="shared" si="2"/>
        <v>44001.240243839544</v>
      </c>
      <c r="N37" s="393">
        <f t="shared" si="2"/>
        <v>44001.220821886534</v>
      </c>
      <c r="O37" s="393">
        <f t="shared" si="2"/>
        <v>44001.289146034927</v>
      </c>
      <c r="P37" s="393">
        <f t="shared" si="2"/>
        <v>44001.389542845907</v>
      </c>
    </row>
    <row r="38" spans="1:16" x14ac:dyDescent="0.25">
      <c r="A38">
        <v>3546</v>
      </c>
      <c r="B38" t="s">
        <v>490</v>
      </c>
      <c r="C38" s="393">
        <f t="shared" si="3"/>
        <v>44001.248810494042</v>
      </c>
      <c r="D38" s="393">
        <f t="shared" si="2"/>
        <v>44001.228010150946</v>
      </c>
      <c r="E38" s="393">
        <f t="shared" si="2"/>
        <v>44001.229166666664</v>
      </c>
      <c r="F38" s="393">
        <f t="shared" si="2"/>
        <v>44001.165598992091</v>
      </c>
      <c r="G38" s="393">
        <f t="shared" si="2"/>
        <v>44001.103918685934</v>
      </c>
      <c r="H38" s="393">
        <f t="shared" si="2"/>
        <v>44001.104166666664</v>
      </c>
      <c r="I38" s="393">
        <f t="shared" si="2"/>
        <v>44001.083091118016</v>
      </c>
      <c r="J38" s="393">
        <f t="shared" si="2"/>
        <v>44000.999778393867</v>
      </c>
      <c r="K38" s="393">
        <f t="shared" si="2"/>
        <v>44001.020606910803</v>
      </c>
      <c r="L38" s="393">
        <f t="shared" si="2"/>
        <v>44001.040741197532</v>
      </c>
      <c r="M38" s="393">
        <f t="shared" si="2"/>
        <v>44001.039585643019</v>
      </c>
      <c r="N38" s="393">
        <f t="shared" si="2"/>
        <v>44001.018797452365</v>
      </c>
      <c r="O38" s="393">
        <f t="shared" si="2"/>
        <v>44001.115902110199</v>
      </c>
      <c r="P38" s="393">
        <f t="shared" si="2"/>
        <v>44001.221967423109</v>
      </c>
    </row>
    <row r="39" spans="1:16" x14ac:dyDescent="0.25">
      <c r="A39">
        <v>3399</v>
      </c>
      <c r="B39" t="s">
        <v>510</v>
      </c>
      <c r="C39" s="393">
        <f t="shared" si="3"/>
        <v>44001.69580269773</v>
      </c>
      <c r="D39" s="393">
        <f t="shared" si="2"/>
        <v>44001.683069366591</v>
      </c>
      <c r="E39" s="393">
        <f t="shared" si="2"/>
        <v>44001.649762743727</v>
      </c>
      <c r="F39" s="393">
        <f t="shared" si="2"/>
        <v>44001.640024570916</v>
      </c>
      <c r="G39" s="393">
        <f t="shared" si="2"/>
        <v>44001.578971401825</v>
      </c>
      <c r="H39" s="393">
        <f t="shared" si="2"/>
        <v>44001.565636807471</v>
      </c>
      <c r="I39" s="393">
        <f t="shared" si="2"/>
        <v>44001.536243924464</v>
      </c>
      <c r="J39" s="393">
        <f t="shared" si="2"/>
        <v>44001.470560182672</v>
      </c>
      <c r="K39" s="393">
        <f t="shared" si="2"/>
        <v>44001.48748234495</v>
      </c>
      <c r="L39" s="393">
        <f t="shared" si="2"/>
        <v>44001.491026061922</v>
      </c>
      <c r="M39" s="393">
        <f t="shared" si="2"/>
        <v>44001.477433559216</v>
      </c>
      <c r="N39" s="393">
        <f t="shared" si="2"/>
        <v>44001.461677402149</v>
      </c>
      <c r="O39" s="393">
        <f t="shared" si="2"/>
        <v>44001.48748234495</v>
      </c>
      <c r="P39" s="393">
        <f t="shared" si="2"/>
        <v>44001.559903920883</v>
      </c>
    </row>
    <row r="40" spans="1:16" x14ac:dyDescent="0.25">
      <c r="A40">
        <v>3280</v>
      </c>
      <c r="B40" t="s">
        <v>469</v>
      </c>
      <c r="C40" s="393">
        <f t="shared" si="3"/>
        <v>44001.736210337709</v>
      </c>
      <c r="D40" s="393">
        <f t="shared" si="2"/>
        <v>44001.718125748201</v>
      </c>
      <c r="E40" s="393">
        <f t="shared" si="2"/>
        <v>44001.69580269773</v>
      </c>
      <c r="F40" s="393">
        <f t="shared" si="2"/>
        <v>44001.661842787253</v>
      </c>
      <c r="G40" s="393">
        <f t="shared" si="2"/>
        <v>44001.596150493519</v>
      </c>
      <c r="H40" s="393">
        <f t="shared" si="2"/>
        <v>44001.587743870245</v>
      </c>
      <c r="I40" s="393">
        <f t="shared" si="2"/>
        <v>44001.559903920883</v>
      </c>
      <c r="J40" s="393">
        <f t="shared" si="2"/>
        <v>44001.483963986495</v>
      </c>
      <c r="K40" s="393">
        <f t="shared" si="2"/>
        <v>44001.503180847547</v>
      </c>
      <c r="L40" s="393">
        <f t="shared" si="2"/>
        <v>44001.513319171354</v>
      </c>
      <c r="M40" s="393">
        <f t="shared" si="2"/>
        <v>44001.503636991227</v>
      </c>
      <c r="N40" s="393">
        <f t="shared" si="2"/>
        <v>44001.485280433699</v>
      </c>
      <c r="O40" s="393">
        <f t="shared" si="2"/>
        <v>44001.536243924464</v>
      </c>
      <c r="P40" s="393">
        <f t="shared" si="2"/>
        <v>44001.624387784039</v>
      </c>
    </row>
    <row r="41" spans="1:16" x14ac:dyDescent="0.25">
      <c r="A41">
        <v>3269</v>
      </c>
      <c r="B41" t="s">
        <v>486</v>
      </c>
      <c r="C41" s="393">
        <f t="shared" si="3"/>
        <v>44001.576808168415</v>
      </c>
      <c r="D41" s="393">
        <f t="shared" si="2"/>
        <v>44001.557323818095</v>
      </c>
      <c r="E41" s="393">
        <f t="shared" si="2"/>
        <v>44001.5411709158</v>
      </c>
      <c r="F41" s="393">
        <f t="shared" si="2"/>
        <v>44001.498191817474</v>
      </c>
      <c r="G41" s="393">
        <f t="shared" si="2"/>
        <v>44001.432316468818</v>
      </c>
      <c r="H41" s="393">
        <f t="shared" si="2"/>
        <v>44001.425611239349</v>
      </c>
      <c r="I41" s="393">
        <f t="shared" si="2"/>
        <v>44001.398817155117</v>
      </c>
      <c r="J41" s="393">
        <f t="shared" si="2"/>
        <v>44001.320358820798</v>
      </c>
      <c r="K41" s="393">
        <f t="shared" si="2"/>
        <v>44001.34008909791</v>
      </c>
      <c r="L41" s="393">
        <f t="shared" si="2"/>
        <v>44001.352432960142</v>
      </c>
      <c r="M41" s="393">
        <f t="shared" si="2"/>
        <v>44001.344518907841</v>
      </c>
      <c r="N41" s="393">
        <f t="shared" si="2"/>
        <v>44001.325318548894</v>
      </c>
      <c r="O41" s="393">
        <f t="shared" si="2"/>
        <v>44001.389542845907</v>
      </c>
      <c r="P41" s="393">
        <f t="shared" si="2"/>
        <v>44001.48748234495</v>
      </c>
    </row>
    <row r="42" spans="1:16" x14ac:dyDescent="0.25">
      <c r="A42">
        <v>3236</v>
      </c>
      <c r="B42" t="s">
        <v>467</v>
      </c>
      <c r="C42" s="393">
        <f t="shared" si="3"/>
        <v>44001.699658169477</v>
      </c>
      <c r="D42" s="393">
        <f t="shared" si="3"/>
        <v>44001.680878727842</v>
      </c>
      <c r="E42" s="393">
        <f t="shared" si="3"/>
        <v>44001.661159634947</v>
      </c>
      <c r="F42" s="393">
        <f t="shared" si="3"/>
        <v>44001.62316651061</v>
      </c>
      <c r="G42" s="393">
        <f t="shared" si="3"/>
        <v>44001.557323818095</v>
      </c>
      <c r="H42" s="393">
        <f t="shared" si="3"/>
        <v>44001.549676497329</v>
      </c>
      <c r="I42" s="393">
        <f t="shared" si="3"/>
        <v>44001.522255995842</v>
      </c>
      <c r="J42" s="393">
        <f t="shared" si="3"/>
        <v>44001.445166432582</v>
      </c>
      <c r="K42" s="393">
        <f t="shared" si="3"/>
        <v>44001.464621290193</v>
      </c>
      <c r="L42" s="393">
        <f t="shared" si="3"/>
        <v>44001.475706417761</v>
      </c>
      <c r="M42" s="393">
        <f t="shared" si="3"/>
        <v>44001.466734421818</v>
      </c>
      <c r="N42" s="393">
        <f t="shared" si="3"/>
        <v>44001.448018800664</v>
      </c>
      <c r="O42" s="393">
        <f t="shared" si="3"/>
        <v>44001.504093572876</v>
      </c>
      <c r="P42" s="393">
        <f t="shared" si="3"/>
        <v>44001.596150493519</v>
      </c>
    </row>
    <row r="43" spans="1:16" x14ac:dyDescent="0.25">
      <c r="A43">
        <v>3150</v>
      </c>
      <c r="B43" t="s">
        <v>513</v>
      </c>
      <c r="C43" s="393">
        <f t="shared" si="3"/>
        <v>44001.787092823804</v>
      </c>
      <c r="D43" s="393">
        <f t="shared" si="3"/>
        <v>44001.772927188817</v>
      </c>
      <c r="E43" s="393">
        <f t="shared" si="3"/>
        <v>44001.741630119766</v>
      </c>
      <c r="F43" s="393">
        <f t="shared" si="3"/>
        <v>44001.724863424672</v>
      </c>
      <c r="G43" s="393">
        <f t="shared" si="3"/>
        <v>44001.661159634947</v>
      </c>
      <c r="H43" s="393">
        <f t="shared" si="3"/>
        <v>44001.649762743727</v>
      </c>
      <c r="I43" s="393">
        <f t="shared" si="3"/>
        <v>44001.620736447207</v>
      </c>
      <c r="J43" s="393">
        <f t="shared" si="3"/>
        <v>44001.550182077459</v>
      </c>
      <c r="K43" s="393">
        <f t="shared" si="3"/>
        <v>44001.568269105759</v>
      </c>
      <c r="L43" s="393">
        <f t="shared" si="3"/>
        <v>44001.574656503355</v>
      </c>
      <c r="M43" s="393">
        <f t="shared" si="3"/>
        <v>44001.5625</v>
      </c>
      <c r="N43" s="393">
        <f t="shared" si="3"/>
        <v>44001.545653082358</v>
      </c>
      <c r="O43" s="393">
        <f t="shared" si="3"/>
        <v>44001.578971401825</v>
      </c>
      <c r="P43" s="393">
        <f t="shared" si="3"/>
        <v>44001.653073419948</v>
      </c>
    </row>
    <row r="44" spans="1:16" x14ac:dyDescent="0.25">
      <c r="A44">
        <v>3003</v>
      </c>
      <c r="B44" t="s">
        <v>451</v>
      </c>
      <c r="C44" s="393">
        <f t="shared" si="3"/>
        <v>44001.872937093467</v>
      </c>
      <c r="D44" s="393">
        <f t="shared" si="3"/>
        <v>44001.893268632797</v>
      </c>
      <c r="E44" s="393">
        <f t="shared" si="3"/>
        <v>44001.875</v>
      </c>
      <c r="F44" s="393">
        <f t="shared" si="3"/>
        <v>44001.949703884115</v>
      </c>
      <c r="G44" s="393">
        <f t="shared" si="3"/>
        <v>44001.920241101565</v>
      </c>
      <c r="H44" s="393">
        <f t="shared" si="3"/>
        <v>44001.904051015095</v>
      </c>
      <c r="I44" s="393">
        <f t="shared" si="3"/>
        <v>44001.875</v>
      </c>
      <c r="J44" s="393">
        <f t="shared" si="3"/>
        <v>44001.811202963574</v>
      </c>
      <c r="K44" s="393">
        <f t="shared" si="3"/>
        <v>44001.828935363519</v>
      </c>
      <c r="L44" s="393">
        <f t="shared" si="3"/>
        <v>44001.831852753916</v>
      </c>
      <c r="M44" s="393">
        <f t="shared" si="3"/>
        <v>44001.816453131752</v>
      </c>
      <c r="N44" s="393">
        <f t="shared" si="3"/>
        <v>44001.802389971366</v>
      </c>
      <c r="O44" s="393">
        <f t="shared" si="3"/>
        <v>44001.790512809617</v>
      </c>
      <c r="P44" s="393">
        <f t="shared" si="3"/>
        <v>44001.792827668542</v>
      </c>
    </row>
    <row r="45" spans="1:16" x14ac:dyDescent="0.25">
      <c r="A45">
        <v>2974</v>
      </c>
      <c r="B45" t="s">
        <v>496</v>
      </c>
      <c r="C45" s="393">
        <f t="shared" si="3"/>
        <v>44001.520833333328</v>
      </c>
      <c r="D45" s="393">
        <f t="shared" si="3"/>
        <v>44001.5</v>
      </c>
      <c r="E45" s="393">
        <f t="shared" si="3"/>
        <v>44001.498191817474</v>
      </c>
      <c r="F45" s="393">
        <f t="shared" si="3"/>
        <v>44001.4375</v>
      </c>
      <c r="G45" s="393">
        <f t="shared" si="3"/>
        <v>44001.374640911308</v>
      </c>
      <c r="H45" s="393">
        <f t="shared" si="3"/>
        <v>44001.37356492276</v>
      </c>
      <c r="I45" s="393">
        <f t="shared" si="3"/>
        <v>44001.351049440345</v>
      </c>
      <c r="J45" s="393">
        <f t="shared" si="3"/>
        <v>44001.268081326416</v>
      </c>
      <c r="K45" s="393">
        <f t="shared" si="3"/>
        <v>44001.288831603088</v>
      </c>
      <c r="L45" s="393">
        <f t="shared" si="3"/>
        <v>44001.307311854303</v>
      </c>
      <c r="M45" s="393">
        <f t="shared" si="3"/>
        <v>44001.304411052472</v>
      </c>
      <c r="N45" s="393">
        <f t="shared" si="3"/>
        <v>44001.283820030483</v>
      </c>
      <c r="O45" s="393">
        <f t="shared" si="3"/>
        <v>44001.372490842557</v>
      </c>
      <c r="P45" s="393">
        <f t="shared" si="3"/>
        <v>44001.478299363327</v>
      </c>
    </row>
    <row r="46" spans="1:16" x14ac:dyDescent="0.25">
      <c r="A46">
        <v>2961</v>
      </c>
      <c r="B46" t="s">
        <v>489</v>
      </c>
      <c r="C46" s="393">
        <f t="shared" si="3"/>
        <v>44001.625</v>
      </c>
      <c r="D46" s="393">
        <f t="shared" si="3"/>
        <v>44001.606488670412</v>
      </c>
      <c r="E46" s="393">
        <f t="shared" si="3"/>
        <v>44001.586084119495</v>
      </c>
      <c r="F46" s="393">
        <f t="shared" si="3"/>
        <v>44001.549676497329</v>
      </c>
      <c r="G46" s="393">
        <f t="shared" si="3"/>
        <v>44001.483963986495</v>
      </c>
      <c r="H46" s="393">
        <f t="shared" si="3"/>
        <v>44001.475706417761</v>
      </c>
      <c r="I46" s="393">
        <f t="shared" si="3"/>
        <v>44001.448018800664</v>
      </c>
      <c r="J46" s="393">
        <f t="shared" si="3"/>
        <v>44001.371775844287</v>
      </c>
      <c r="K46" s="393">
        <f t="shared" si="3"/>
        <v>44001.391016907772</v>
      </c>
      <c r="L46" s="393">
        <f t="shared" si="3"/>
        <v>44001.401440640671</v>
      </c>
      <c r="M46" s="393">
        <f t="shared" si="3"/>
        <v>44001.392124883183</v>
      </c>
      <c r="N46" s="393">
        <f t="shared" si="3"/>
        <v>44001.37356492276</v>
      </c>
      <c r="O46" s="393">
        <f t="shared" si="3"/>
        <v>44001.429150884062</v>
      </c>
      <c r="P46" s="393">
        <f t="shared" si="3"/>
        <v>44001.522255995842</v>
      </c>
    </row>
    <row r="47" spans="1:16" x14ac:dyDescent="0.25">
      <c r="A47">
        <v>2904</v>
      </c>
      <c r="B47" t="s">
        <v>502</v>
      </c>
      <c r="C47" s="393">
        <f t="shared" si="3"/>
        <v>44001.624387784039</v>
      </c>
      <c r="D47" s="393">
        <f t="shared" si="3"/>
        <v>44001.603588408805</v>
      </c>
      <c r="E47" s="393">
        <f t="shared" si="3"/>
        <v>44001.59899400852</v>
      </c>
      <c r="F47" s="393">
        <f t="shared" si="3"/>
        <v>44001.5411709158</v>
      </c>
      <c r="G47" s="393">
        <f t="shared" si="3"/>
        <v>44001.477433559216</v>
      </c>
      <c r="H47" s="393">
        <f t="shared" si="3"/>
        <v>44001.475275557394</v>
      </c>
      <c r="I47" s="393">
        <f t="shared" si="3"/>
        <v>44001.451708795779</v>
      </c>
      <c r="J47" s="393">
        <f t="shared" si="3"/>
        <v>44001.369279951316</v>
      </c>
      <c r="K47" s="393">
        <f t="shared" si="3"/>
        <v>44001.389911015678</v>
      </c>
      <c r="L47" s="393">
        <f t="shared" si="3"/>
        <v>44001.407102907593</v>
      </c>
      <c r="M47" s="393">
        <f t="shared" si="3"/>
        <v>44001.402945138085</v>
      </c>
      <c r="N47" s="393">
        <f t="shared" si="3"/>
        <v>44001.382590789028</v>
      </c>
      <c r="O47" s="393">
        <f t="shared" si="3"/>
        <v>44001.464621290193</v>
      </c>
      <c r="P47" s="393">
        <f t="shared" si="3"/>
        <v>44001.568797591586</v>
      </c>
    </row>
    <row r="48" spans="1:16" x14ac:dyDescent="0.25">
      <c r="A48">
        <v>2901</v>
      </c>
      <c r="B48" t="s">
        <v>468</v>
      </c>
      <c r="C48" s="393">
        <f t="shared" si="3"/>
        <v>44001.916666666664</v>
      </c>
      <c r="D48" s="393">
        <f t="shared" si="3"/>
        <v>44001.895833333328</v>
      </c>
      <c r="E48" s="393">
        <f t="shared" si="3"/>
        <v>44001.885997167599</v>
      </c>
      <c r="F48" s="393">
        <f t="shared" si="3"/>
        <v>44001.833333333328</v>
      </c>
      <c r="G48" s="393">
        <f t="shared" si="3"/>
        <v>44001.769794257889</v>
      </c>
      <c r="H48" s="393">
        <f t="shared" si="3"/>
        <v>44001.766707520263</v>
      </c>
      <c r="I48" s="393">
        <f t="shared" si="3"/>
        <v>44001.741630119766</v>
      </c>
      <c r="J48" s="393">
        <f t="shared" si="3"/>
        <v>44001.660477947065</v>
      </c>
      <c r="K48" s="393">
        <f t="shared" si="3"/>
        <v>44001.680878727842</v>
      </c>
      <c r="L48" s="393">
        <f t="shared" si="3"/>
        <v>44001.69580269773</v>
      </c>
      <c r="M48" s="393">
        <f t="shared" si="3"/>
        <v>44001.688991910887</v>
      </c>
      <c r="N48" s="393">
        <f t="shared" si="3"/>
        <v>44001.669456901094</v>
      </c>
      <c r="O48" s="393">
        <f t="shared" si="3"/>
        <v>44001.72830011294</v>
      </c>
      <c r="P48" s="393">
        <f t="shared" si="3"/>
        <v>44001.811202963574</v>
      </c>
    </row>
    <row r="49" spans="1:16" x14ac:dyDescent="0.25">
      <c r="A49">
        <v>2852</v>
      </c>
      <c r="B49" t="s">
        <v>463</v>
      </c>
      <c r="C49" s="393">
        <f t="shared" si="3"/>
        <v>44001.816453131752</v>
      </c>
      <c r="D49" s="393">
        <f t="shared" si="3"/>
        <v>44001.799951556932</v>
      </c>
      <c r="E49" s="393">
        <f t="shared" si="3"/>
        <v>44001.772927188817</v>
      </c>
      <c r="F49" s="393">
        <f t="shared" si="3"/>
        <v>44001.746242919005</v>
      </c>
      <c r="G49" s="393">
        <f t="shared" si="3"/>
        <v>44001.680878727842</v>
      </c>
      <c r="H49" s="393">
        <f t="shared" si="3"/>
        <v>44001.67156618624</v>
      </c>
      <c r="I49" s="393">
        <f t="shared" si="3"/>
        <v>44001.643239260484</v>
      </c>
      <c r="J49" s="393">
        <f t="shared" si="3"/>
        <v>44001.568797591586</v>
      </c>
      <c r="K49" s="393">
        <f t="shared" si="3"/>
        <v>44001.587743870245</v>
      </c>
      <c r="L49" s="393">
        <f t="shared" si="3"/>
        <v>44001.596717505192</v>
      </c>
      <c r="M49" s="393">
        <f t="shared" si="3"/>
        <v>44001.586084119495</v>
      </c>
      <c r="N49" s="393">
        <f t="shared" si="3"/>
        <v>44001.568269105759</v>
      </c>
      <c r="O49" s="393">
        <f t="shared" si="3"/>
        <v>44001.610587374729</v>
      </c>
      <c r="P49" s="393">
        <f t="shared" si="3"/>
        <v>44001.689740750218</v>
      </c>
    </row>
    <row r="50" spans="1:16" x14ac:dyDescent="0.25">
      <c r="A50">
        <v>2790</v>
      </c>
      <c r="B50" t="s">
        <v>480</v>
      </c>
      <c r="C50" s="393">
        <f t="shared" si="3"/>
        <v>44001.773982129125</v>
      </c>
      <c r="D50" s="393">
        <f t="shared" si="3"/>
        <v>44001.754784799698</v>
      </c>
      <c r="E50" s="393">
        <f t="shared" si="3"/>
        <v>44001.736210337709</v>
      </c>
      <c r="F50" s="393">
        <f t="shared" si="3"/>
        <v>44001.69580269773</v>
      </c>
      <c r="G50" s="393">
        <f t="shared" si="3"/>
        <v>44001.629936362202</v>
      </c>
      <c r="H50" s="393">
        <f t="shared" si="3"/>
        <v>44001.62316651061</v>
      </c>
      <c r="I50" s="393">
        <f t="shared" si="3"/>
        <v>44001.596150493519</v>
      </c>
      <c r="J50" s="393">
        <f t="shared" si="3"/>
        <v>44001.518001174554</v>
      </c>
      <c r="K50" s="393">
        <f t="shared" si="3"/>
        <v>44001.537716247905</v>
      </c>
      <c r="L50" s="393">
        <f t="shared" si="3"/>
        <v>44001.549676497329</v>
      </c>
      <c r="M50" s="393">
        <f t="shared" si="3"/>
        <v>44001.5411709158</v>
      </c>
      <c r="N50" s="393">
        <f t="shared" si="3"/>
        <v>44001.522255995842</v>
      </c>
      <c r="O50" s="393">
        <f t="shared" si="3"/>
        <v>44001.578971401825</v>
      </c>
      <c r="P50" s="393">
        <f t="shared" si="3"/>
        <v>44001.669456901094</v>
      </c>
    </row>
    <row r="51" spans="1:16" x14ac:dyDescent="0.25">
      <c r="A51">
        <v>2420</v>
      </c>
      <c r="B51" t="s">
        <v>449</v>
      </c>
      <c r="C51" s="393">
        <f t="shared" si="3"/>
        <v>44001.521781283329</v>
      </c>
      <c r="D51" s="393">
        <f t="shared" si="3"/>
        <v>44001.510995728037</v>
      </c>
      <c r="E51" s="393">
        <f t="shared" si="3"/>
        <v>44001.475275557394</v>
      </c>
      <c r="F51" s="393">
        <f t="shared" si="3"/>
        <v>44001.474845065124</v>
      </c>
      <c r="G51" s="393">
        <f t="shared" si="3"/>
        <v>44001.41859899804</v>
      </c>
      <c r="H51" s="393">
        <f t="shared" si="3"/>
        <v>44001.402945138085</v>
      </c>
      <c r="I51" s="393">
        <f t="shared" si="3"/>
        <v>44001.37356492276</v>
      </c>
      <c r="J51" s="393">
        <f t="shared" si="3"/>
        <v>44001.316090397377</v>
      </c>
      <c r="K51" s="393">
        <f t="shared" si="3"/>
        <v>44001.330985450579</v>
      </c>
      <c r="L51" s="393">
        <f t="shared" si="3"/>
        <v>44001.330316187399</v>
      </c>
      <c r="M51" s="393">
        <f t="shared" si="3"/>
        <v>44001.314782553367</v>
      </c>
      <c r="N51" s="393">
        <f t="shared" si="3"/>
        <v>44001.30088247516</v>
      </c>
      <c r="O51" s="393">
        <f t="shared" si="3"/>
        <v>44001.314455994434</v>
      </c>
      <c r="P51" s="393">
        <f t="shared" si="3"/>
        <v>44001.382590789028</v>
      </c>
    </row>
    <row r="52" spans="1:16" x14ac:dyDescent="0.25">
      <c r="A52">
        <v>2357</v>
      </c>
      <c r="B52" t="s">
        <v>454</v>
      </c>
      <c r="C52" s="393">
        <f t="shared" si="3"/>
        <v>44001.251489616807</v>
      </c>
      <c r="D52" s="393">
        <f t="shared" si="3"/>
        <v>44001.231194872038</v>
      </c>
      <c r="E52" s="393">
        <f t="shared" si="3"/>
        <v>44001.220821886534</v>
      </c>
      <c r="F52" s="393">
        <f t="shared" si="3"/>
        <v>44001.170146340039</v>
      </c>
      <c r="G52" s="393">
        <f t="shared" si="3"/>
        <v>44001.10466283909</v>
      </c>
      <c r="H52" s="393">
        <f t="shared" si="3"/>
        <v>44001.099960506413</v>
      </c>
      <c r="I52" s="393">
        <f t="shared" si="3"/>
        <v>44001.07465444391</v>
      </c>
      <c r="J52" s="393">
        <f t="shared" si="3"/>
        <v>44000.993813867462</v>
      </c>
      <c r="K52" s="393">
        <f t="shared" si="3"/>
        <v>44001.014063764836</v>
      </c>
      <c r="L52" s="393">
        <f t="shared" si="3"/>
        <v>44001.02902047908</v>
      </c>
      <c r="M52" s="393">
        <f t="shared" si="3"/>
        <v>44001.023327521085</v>
      </c>
      <c r="N52" s="393">
        <f t="shared" si="3"/>
        <v>44001.003330130945</v>
      </c>
      <c r="O52" s="393">
        <f t="shared" si="3"/>
        <v>44001.081639198812</v>
      </c>
      <c r="P52" s="393">
        <f t="shared" si="3"/>
        <v>44001.185856968135</v>
      </c>
    </row>
    <row r="53" spans="1:16" x14ac:dyDescent="0.25">
      <c r="A53">
        <v>2329</v>
      </c>
      <c r="B53" t="s">
        <v>484</v>
      </c>
      <c r="C53" s="393">
        <f t="shared" si="3"/>
        <v>44001.478732827105</v>
      </c>
      <c r="D53" s="393">
        <f t="shared" si="3"/>
        <v>44001.457916833198</v>
      </c>
      <c r="E53" s="393">
        <f t="shared" si="3"/>
        <v>44001.454596737</v>
      </c>
      <c r="F53" s="393">
        <f t="shared" si="3"/>
        <v>44001.395461428074</v>
      </c>
      <c r="G53" s="393">
        <f t="shared" si="3"/>
        <v>44001.331990643041</v>
      </c>
      <c r="H53" s="393">
        <f t="shared" si="3"/>
        <v>44001.330316187399</v>
      </c>
      <c r="I53" s="393">
        <f t="shared" si="3"/>
        <v>44001.307311854303</v>
      </c>
      <c r="J53" s="393">
        <f t="shared" si="3"/>
        <v>44001.224551238483</v>
      </c>
      <c r="K53" s="393">
        <f t="shared" si="3"/>
        <v>44001.245253543588</v>
      </c>
      <c r="L53" s="393">
        <f t="shared" si="3"/>
        <v>44001.263214988438</v>
      </c>
      <c r="M53" s="393">
        <f t="shared" si="3"/>
        <v>44001.259888479093</v>
      </c>
      <c r="N53" s="393">
        <f t="shared" si="3"/>
        <v>44001.239363295637</v>
      </c>
      <c r="O53" s="393">
        <f t="shared" si="3"/>
        <v>44001.326647509857</v>
      </c>
      <c r="P53" s="393">
        <f t="shared" si="3"/>
        <v>44001.432316468818</v>
      </c>
    </row>
    <row r="54" spans="1:16" x14ac:dyDescent="0.25">
      <c r="A54">
        <v>2298</v>
      </c>
      <c r="B54" t="s">
        <v>429</v>
      </c>
      <c r="C54" s="393">
        <f t="shared" si="3"/>
        <v>44001.645833333328</v>
      </c>
      <c r="D54" s="393">
        <f t="shared" si="3"/>
        <v>44001.645182926208</v>
      </c>
      <c r="E54" s="393">
        <f t="shared" si="3"/>
        <v>44001.603588408805</v>
      </c>
      <c r="F54" s="393">
        <f t="shared" si="3"/>
        <v>44001.635574531196</v>
      </c>
      <c r="G54" s="393">
        <f t="shared" si="3"/>
        <v>44001.596150493519</v>
      </c>
      <c r="H54" s="393">
        <f t="shared" si="3"/>
        <v>44001.576808168415</v>
      </c>
      <c r="I54" s="393">
        <f t="shared" si="3"/>
        <v>44001.549676497329</v>
      </c>
      <c r="J54" s="393">
        <f t="shared" si="3"/>
        <v>44001.510995728037</v>
      </c>
      <c r="K54" s="393">
        <f t="shared" si="3"/>
        <v>44001.521781283329</v>
      </c>
      <c r="L54" s="393">
        <f t="shared" si="3"/>
        <v>44001.513319171354</v>
      </c>
      <c r="M54" s="393">
        <f t="shared" si="3"/>
        <v>44001.494595693766</v>
      </c>
      <c r="N54" s="393">
        <f t="shared" si="3"/>
        <v>44001.485280433699</v>
      </c>
      <c r="O54" s="393">
        <f t="shared" si="3"/>
        <v>44001.463778463461</v>
      </c>
      <c r="P54" s="393">
        <f t="shared" si="3"/>
        <v>44001.499547315281</v>
      </c>
    </row>
    <row r="55" spans="1:16" x14ac:dyDescent="0.25">
      <c r="A55">
        <v>2287</v>
      </c>
      <c r="B55" t="s">
        <v>507</v>
      </c>
      <c r="C55" s="393">
        <f t="shared" si="3"/>
        <v>44001.736210337709</v>
      </c>
      <c r="D55" s="393">
        <f t="shared" si="3"/>
        <v>44001.724863424672</v>
      </c>
      <c r="E55" s="393">
        <f t="shared" si="3"/>
        <v>44001.689740750218</v>
      </c>
      <c r="F55" s="393">
        <f t="shared" si="3"/>
        <v>44001.684538841168</v>
      </c>
      <c r="G55" s="393">
        <f t="shared" si="3"/>
        <v>44001.624387784039</v>
      </c>
      <c r="H55" s="393">
        <f t="shared" si="3"/>
        <v>44001.610587374729</v>
      </c>
      <c r="I55" s="393">
        <f t="shared" si="3"/>
        <v>44001.581146392193</v>
      </c>
      <c r="J55" s="393">
        <f t="shared" si="3"/>
        <v>44001.516591597683</v>
      </c>
      <c r="K55" s="393">
        <f t="shared" si="3"/>
        <v>44001.53331386335</v>
      </c>
      <c r="L55" s="393">
        <f t="shared" si="3"/>
        <v>44001.536243924464</v>
      </c>
      <c r="M55" s="393">
        <f t="shared" si="3"/>
        <v>44001.522255995842</v>
      </c>
      <c r="N55" s="393">
        <f t="shared" si="3"/>
        <v>44001.506842331299</v>
      </c>
      <c r="O55" s="393">
        <f t="shared" si="3"/>
        <v>44001.528472757229</v>
      </c>
      <c r="P55" s="393">
        <f t="shared" si="3"/>
        <v>44001.596150493519</v>
      </c>
    </row>
    <row r="56" spans="1:16" x14ac:dyDescent="0.25">
      <c r="A56">
        <v>2225</v>
      </c>
      <c r="B56" t="s">
        <v>477</v>
      </c>
      <c r="C56" s="393">
        <f t="shared" si="3"/>
        <v>44001.655746360491</v>
      </c>
      <c r="D56" s="393">
        <f t="shared" si="3"/>
        <v>44001.635574531196</v>
      </c>
      <c r="E56" s="393">
        <f t="shared" si="3"/>
        <v>44001.62316651061</v>
      </c>
      <c r="F56" s="393">
        <f t="shared" si="3"/>
        <v>44001.574656503355</v>
      </c>
      <c r="G56" s="393">
        <f t="shared" si="3"/>
        <v>44001.509145242802</v>
      </c>
      <c r="H56" s="393">
        <f t="shared" si="3"/>
        <v>44001.504093572876</v>
      </c>
      <c r="I56" s="393">
        <f t="shared" si="3"/>
        <v>44001.478299363327</v>
      </c>
      <c r="J56" s="393">
        <f t="shared" si="3"/>
        <v>44001.398069763287</v>
      </c>
      <c r="K56" s="393">
        <f t="shared" si="3"/>
        <v>44001.418211999255</v>
      </c>
      <c r="L56" s="393">
        <f t="shared" si="3"/>
        <v>44001.432316468818</v>
      </c>
      <c r="M56" s="393">
        <f t="shared" si="3"/>
        <v>44001.425611239349</v>
      </c>
      <c r="N56" s="393">
        <f t="shared" si="3"/>
        <v>44001.405965979488</v>
      </c>
      <c r="O56" s="393">
        <f t="shared" si="3"/>
        <v>44001.475275557394</v>
      </c>
      <c r="P56" s="393">
        <f t="shared" si="3"/>
        <v>44001.574656503355</v>
      </c>
    </row>
    <row r="57" spans="1:16" x14ac:dyDescent="0.25">
      <c r="A57">
        <v>2157</v>
      </c>
      <c r="B57" t="s">
        <v>444</v>
      </c>
      <c r="C57" s="393">
        <f t="shared" si="3"/>
        <v>44001.757705295568</v>
      </c>
      <c r="D57" s="393">
        <f t="shared" si="3"/>
        <v>44001.772927188817</v>
      </c>
      <c r="E57" s="393">
        <f t="shared" si="3"/>
        <v>44001.799951556932</v>
      </c>
      <c r="F57" s="393">
        <f t="shared" si="3"/>
        <v>44001.811202963574</v>
      </c>
      <c r="G57" s="393">
        <f t="shared" si="3"/>
        <v>44001.852442447285</v>
      </c>
      <c r="H57" s="393">
        <f t="shared" si="3"/>
        <v>44001.872937093467</v>
      </c>
      <c r="I57" s="393">
        <f t="shared" si="3"/>
        <v>44001.895833333328</v>
      </c>
      <c r="J57" s="393">
        <f t="shared" si="3"/>
        <v>44001.861315536466</v>
      </c>
      <c r="K57" s="393">
        <f t="shared" si="3"/>
        <v>44001.875</v>
      </c>
      <c r="L57" s="393">
        <f t="shared" si="3"/>
        <v>44001.904051015095</v>
      </c>
      <c r="M57" s="393">
        <f t="shared" si="3"/>
        <v>44001.920241101565</v>
      </c>
      <c r="N57" s="393">
        <f t="shared" si="3"/>
        <v>44001.904051015095</v>
      </c>
      <c r="O57" s="393">
        <f t="shared" si="3"/>
        <v>44001.932581917135</v>
      </c>
      <c r="P57" s="393">
        <f t="shared" si="3"/>
        <v>44001.833333333328</v>
      </c>
    </row>
    <row r="58" spans="1:16" x14ac:dyDescent="0.25">
      <c r="A58">
        <v>2037</v>
      </c>
      <c r="B58" t="s">
        <v>503</v>
      </c>
      <c r="C58" s="393">
        <f t="shared" si="3"/>
        <v>44001.557323818095</v>
      </c>
      <c r="D58" s="393">
        <f t="shared" si="3"/>
        <v>44001.537716247905</v>
      </c>
      <c r="E58" s="393">
        <f t="shared" si="3"/>
        <v>44001.522255995842</v>
      </c>
      <c r="F58" s="393">
        <f t="shared" si="3"/>
        <v>44001.478299363327</v>
      </c>
      <c r="G58" s="393">
        <f t="shared" si="3"/>
        <v>44001.412438728803</v>
      </c>
      <c r="H58" s="393">
        <f t="shared" si="3"/>
        <v>44001.405965979488</v>
      </c>
      <c r="I58" s="393">
        <f t="shared" si="3"/>
        <v>44001.379325831294</v>
      </c>
      <c r="J58" s="393">
        <f t="shared" si="3"/>
        <v>44001.300562605211</v>
      </c>
      <c r="K58" s="393">
        <f t="shared" si="3"/>
        <v>44001.320358820798</v>
      </c>
      <c r="L58" s="393">
        <f t="shared" si="3"/>
        <v>44001.332997399193</v>
      </c>
      <c r="M58" s="393">
        <f t="shared" si="3"/>
        <v>44001.325318548894</v>
      </c>
      <c r="N58" s="393">
        <f t="shared" si="3"/>
        <v>44001.306021065771</v>
      </c>
      <c r="O58" s="393">
        <f t="shared" si="3"/>
        <v>44001.371775844287</v>
      </c>
      <c r="P58" s="393">
        <f t="shared" si="3"/>
        <v>44001.470560182672</v>
      </c>
    </row>
    <row r="59" spans="1:16" x14ac:dyDescent="0.25">
      <c r="A59">
        <v>1965</v>
      </c>
      <c r="B59" t="s">
        <v>455</v>
      </c>
      <c r="C59" s="393">
        <f t="shared" si="3"/>
        <v>44001.346573897885</v>
      </c>
      <c r="D59" s="393">
        <f t="shared" si="3"/>
        <v>44001.326647509857</v>
      </c>
      <c r="E59" s="393">
        <f t="shared" ref="D59:P71" si="4">$D$2-SQRT(((LEFT(E$6,3)-LEFT($B59,3))*(LEFT(E$6,3)-LEFT($B59,3)))+((RIGHT(E$6,3)-RIGHT($B59,3))*(RIGHT(E$6,3)-RIGHT($B59,3))))*$D$1</f>
        <v>44001.313477278803</v>
      </c>
      <c r="F59" s="393">
        <f t="shared" si="4"/>
        <v>44001.266557025978</v>
      </c>
      <c r="G59" s="393">
        <f t="shared" si="4"/>
        <v>44001.200769096155</v>
      </c>
      <c r="H59" s="393">
        <f t="shared" si="4"/>
        <v>44001.194936240638</v>
      </c>
      <c r="I59" s="393">
        <f t="shared" si="4"/>
        <v>44001.168806235881</v>
      </c>
      <c r="J59" s="393">
        <f t="shared" si="4"/>
        <v>44001.089166276528</v>
      </c>
      <c r="K59" s="393">
        <f t="shared" si="4"/>
        <v>44001.109141124252</v>
      </c>
      <c r="L59" s="393">
        <f t="shared" si="4"/>
        <v>44001.122716467034</v>
      </c>
      <c r="M59" s="393">
        <f t="shared" si="4"/>
        <v>44001.115902110199</v>
      </c>
      <c r="N59" s="393">
        <f t="shared" si="4"/>
        <v>44001.096265829146</v>
      </c>
      <c r="O59" s="393">
        <f t="shared" si="4"/>
        <v>44001.168538480902</v>
      </c>
      <c r="P59" s="393">
        <f t="shared" si="4"/>
        <v>44001.270833333328</v>
      </c>
    </row>
    <row r="60" spans="1:16" x14ac:dyDescent="0.25">
      <c r="A60">
        <v>1945</v>
      </c>
      <c r="B60" t="s">
        <v>485</v>
      </c>
      <c r="C60" s="393">
        <f t="shared" ref="C60:P79" si="5">$D$2-SQRT(((LEFT(C$6,3)-LEFT($B60,3))*(LEFT(C$6,3)-LEFT($B60,3)))+((RIGHT(C$6,3)-RIGHT($B60,3))*(RIGHT(C$6,3)-RIGHT($B60,3))))*$D$1</f>
        <v>44001.663901126034</v>
      </c>
      <c r="D60" s="393">
        <f t="shared" si="4"/>
        <v>44001.643239260484</v>
      </c>
      <c r="E60" s="393">
        <f t="shared" si="4"/>
        <v>44001.635574531196</v>
      </c>
      <c r="F60" s="393">
        <f t="shared" si="4"/>
        <v>44001.581146392193</v>
      </c>
      <c r="G60" s="393">
        <f t="shared" si="4"/>
        <v>44001.516591597683</v>
      </c>
      <c r="H60" s="393">
        <f t="shared" si="4"/>
        <v>44001.513319171354</v>
      </c>
      <c r="I60" s="393">
        <f t="shared" si="4"/>
        <v>44001.488808237664</v>
      </c>
      <c r="J60" s="393">
        <f t="shared" si="4"/>
        <v>44001.407102907593</v>
      </c>
      <c r="K60" s="393">
        <f t="shared" si="4"/>
        <v>44001.427574904381</v>
      </c>
      <c r="L60" s="393">
        <f t="shared" si="4"/>
        <v>44001.443543327827</v>
      </c>
      <c r="M60" s="393">
        <f t="shared" si="4"/>
        <v>44001.438301875591</v>
      </c>
      <c r="N60" s="393">
        <f t="shared" si="4"/>
        <v>44001.418211999255</v>
      </c>
      <c r="O60" s="393">
        <f t="shared" si="4"/>
        <v>44001.494595693766</v>
      </c>
      <c r="P60" s="393">
        <f t="shared" si="4"/>
        <v>44001.596717505192</v>
      </c>
    </row>
    <row r="61" spans="1:16" x14ac:dyDescent="0.25">
      <c r="A61">
        <v>1924</v>
      </c>
      <c r="B61" t="s">
        <v>453</v>
      </c>
      <c r="C61" s="393">
        <f t="shared" si="5"/>
        <v>44001.811202963574</v>
      </c>
      <c r="D61" s="393">
        <f t="shared" si="4"/>
        <v>44001.828935363519</v>
      </c>
      <c r="E61" s="393">
        <f t="shared" si="4"/>
        <v>44001.847405097491</v>
      </c>
      <c r="F61" s="393">
        <f t="shared" si="4"/>
        <v>44001.875</v>
      </c>
      <c r="G61" s="393">
        <f t="shared" si="4"/>
        <v>44001.916666666664</v>
      </c>
      <c r="H61" s="393">
        <f t="shared" si="4"/>
        <v>44001.9375</v>
      </c>
      <c r="I61" s="393">
        <f t="shared" si="4"/>
        <v>44001.949703884115</v>
      </c>
      <c r="J61" s="393">
        <f t="shared" si="4"/>
        <v>44001.872937093467</v>
      </c>
      <c r="K61" s="393">
        <f t="shared" si="4"/>
        <v>44001.893268632797</v>
      </c>
      <c r="L61" s="393">
        <f t="shared" si="4"/>
        <v>44001.916666666664</v>
      </c>
      <c r="M61" s="393">
        <f t="shared" si="4"/>
        <v>44001.913285882074</v>
      </c>
      <c r="N61" s="393">
        <f t="shared" si="4"/>
        <v>44001.893268632797</v>
      </c>
      <c r="O61" s="393">
        <f t="shared" si="4"/>
        <v>44001.893268632797</v>
      </c>
      <c r="P61" s="393">
        <f t="shared" si="4"/>
        <v>44001.83941241807</v>
      </c>
    </row>
    <row r="62" spans="1:16" x14ac:dyDescent="0.25">
      <c r="A62">
        <v>1883</v>
      </c>
      <c r="B62" t="s">
        <v>466</v>
      </c>
      <c r="C62" s="393">
        <f t="shared" si="5"/>
        <v>44001.847405097491</v>
      </c>
      <c r="D62" s="393">
        <f t="shared" si="4"/>
        <v>44001.827497710641</v>
      </c>
      <c r="E62" s="393">
        <f t="shared" si="4"/>
        <v>44001.811202963574</v>
      </c>
      <c r="F62" s="393">
        <f t="shared" si="4"/>
        <v>44001.766707520263</v>
      </c>
      <c r="G62" s="393">
        <f t="shared" si="4"/>
        <v>44001.701215331996</v>
      </c>
      <c r="H62" s="393">
        <f t="shared" si="4"/>
        <v>44001.69580269773</v>
      </c>
      <c r="I62" s="393">
        <f t="shared" si="4"/>
        <v>44001.669456901094</v>
      </c>
      <c r="J62" s="393">
        <f t="shared" si="4"/>
        <v>44001.589967881409</v>
      </c>
      <c r="K62" s="393">
        <f t="shared" si="4"/>
        <v>44001.609999059445</v>
      </c>
      <c r="L62" s="393">
        <f t="shared" si="4"/>
        <v>44001.62316651061</v>
      </c>
      <c r="M62" s="393">
        <f t="shared" si="4"/>
        <v>44001.615328141736</v>
      </c>
      <c r="N62" s="393">
        <f t="shared" si="4"/>
        <v>44001.596150493519</v>
      </c>
      <c r="O62" s="393">
        <f t="shared" si="4"/>
        <v>44001.653739596833</v>
      </c>
      <c r="P62" s="393">
        <f t="shared" si="4"/>
        <v>44001.741630119766</v>
      </c>
    </row>
    <row r="63" spans="1:16" x14ac:dyDescent="0.25">
      <c r="A63">
        <v>1840</v>
      </c>
      <c r="B63" t="s">
        <v>461</v>
      </c>
      <c r="C63" s="393">
        <f t="shared" si="5"/>
        <v>44001.811202963574</v>
      </c>
      <c r="D63" s="393">
        <f t="shared" si="4"/>
        <v>44001.792827668542</v>
      </c>
      <c r="E63" s="393">
        <f t="shared" si="4"/>
        <v>44001.770833333328</v>
      </c>
      <c r="F63" s="393">
        <f t="shared" si="4"/>
        <v>44001.73531875186</v>
      </c>
      <c r="G63" s="393">
        <f t="shared" si="4"/>
        <v>44001.669456901094</v>
      </c>
      <c r="H63" s="393">
        <f t="shared" si="4"/>
        <v>44001.661842787253</v>
      </c>
      <c r="I63" s="393">
        <f t="shared" si="4"/>
        <v>44001.634313638388</v>
      </c>
      <c r="J63" s="393">
        <f t="shared" si="4"/>
        <v>44001.557323818095</v>
      </c>
      <c r="K63" s="393">
        <f t="shared" si="4"/>
        <v>44001.576808168415</v>
      </c>
      <c r="L63" s="393">
        <f t="shared" si="4"/>
        <v>44001.587743870245</v>
      </c>
      <c r="M63" s="393">
        <f t="shared" si="4"/>
        <v>44001.57842949871</v>
      </c>
      <c r="N63" s="393">
        <f t="shared" si="4"/>
        <v>44001.559903920883</v>
      </c>
      <c r="O63" s="393">
        <f t="shared" si="4"/>
        <v>44001.610587374729</v>
      </c>
      <c r="P63" s="393">
        <f t="shared" si="4"/>
        <v>44001.69580269773</v>
      </c>
    </row>
    <row r="64" spans="1:16" x14ac:dyDescent="0.25">
      <c r="A64">
        <v>1648</v>
      </c>
      <c r="B64" t="s">
        <v>497</v>
      </c>
      <c r="C64" s="393">
        <f t="shared" si="5"/>
        <v>44001.456669324834</v>
      </c>
      <c r="D64" s="393">
        <f t="shared" si="4"/>
        <v>44001.435899799566</v>
      </c>
      <c r="E64" s="393">
        <f t="shared" si="4"/>
        <v>44001.43112723175</v>
      </c>
      <c r="F64" s="393">
        <f t="shared" si="4"/>
        <v>44001.37356492276</v>
      </c>
      <c r="G64" s="393">
        <f t="shared" si="4"/>
        <v>44001.309576721666</v>
      </c>
      <c r="H64" s="393">
        <f t="shared" si="4"/>
        <v>44001.307311854303</v>
      </c>
      <c r="I64" s="393">
        <f t="shared" si="4"/>
        <v>44001.283820030483</v>
      </c>
      <c r="J64" s="393">
        <f t="shared" si="4"/>
        <v>44001.201326887392</v>
      </c>
      <c r="K64" s="393">
        <f t="shared" si="4"/>
        <v>44001.221967423109</v>
      </c>
      <c r="L64" s="393">
        <f t="shared" si="4"/>
        <v>44001.239363295637</v>
      </c>
      <c r="M64" s="393">
        <f t="shared" si="4"/>
        <v>44001.235559654262</v>
      </c>
      <c r="N64" s="393">
        <f t="shared" si="4"/>
        <v>44001.215119965796</v>
      </c>
      <c r="O64" s="393">
        <f t="shared" si="4"/>
        <v>44001.300562605211</v>
      </c>
      <c r="P64" s="393">
        <f t="shared" si="4"/>
        <v>44001.405965979488</v>
      </c>
    </row>
    <row r="65" spans="1:16" x14ac:dyDescent="0.25">
      <c r="A65">
        <v>1621</v>
      </c>
      <c r="B65" t="s">
        <v>492</v>
      </c>
      <c r="C65" s="393">
        <f t="shared" si="5"/>
        <v>44001.757705295568</v>
      </c>
      <c r="D65" s="393">
        <f t="shared" si="4"/>
        <v>44001.743464406267</v>
      </c>
      <c r="E65" s="393">
        <f t="shared" si="4"/>
        <v>44001.712369823435</v>
      </c>
      <c r="F65" s="393">
        <f t="shared" si="4"/>
        <v>44001.69580269773</v>
      </c>
      <c r="G65" s="393">
        <f t="shared" si="4"/>
        <v>44001.632430896309</v>
      </c>
      <c r="H65" s="393">
        <f t="shared" si="4"/>
        <v>44001.620736447207</v>
      </c>
      <c r="I65" s="393">
        <f t="shared" si="4"/>
        <v>44001.591644265878</v>
      </c>
      <c r="J65" s="393">
        <f t="shared" si="4"/>
        <v>44001.521781283329</v>
      </c>
      <c r="K65" s="393">
        <f t="shared" si="4"/>
        <v>44001.539687018543</v>
      </c>
      <c r="L65" s="393">
        <f t="shared" si="4"/>
        <v>44001.545653082358</v>
      </c>
      <c r="M65" s="393">
        <f t="shared" si="4"/>
        <v>44001.53331386335</v>
      </c>
      <c r="N65" s="393">
        <f t="shared" si="4"/>
        <v>44001.516591597683</v>
      </c>
      <c r="O65" s="393">
        <f t="shared" si="4"/>
        <v>44001.549676497329</v>
      </c>
      <c r="P65" s="393">
        <f t="shared" si="4"/>
        <v>44001.625</v>
      </c>
    </row>
    <row r="66" spans="1:16" x14ac:dyDescent="0.25">
      <c r="A66">
        <v>1529</v>
      </c>
      <c r="B66" t="s">
        <v>482</v>
      </c>
      <c r="C66" s="393">
        <f t="shared" si="5"/>
        <v>44001.83941241807</v>
      </c>
      <c r="D66" s="393">
        <f t="shared" si="4"/>
        <v>44001.828935363519</v>
      </c>
      <c r="E66" s="393">
        <f t="shared" si="4"/>
        <v>44001.792827668542</v>
      </c>
      <c r="F66" s="393">
        <f t="shared" si="4"/>
        <v>44001.787092823804</v>
      </c>
      <c r="G66" s="393">
        <f t="shared" si="4"/>
        <v>44001.724863424672</v>
      </c>
      <c r="H66" s="393">
        <f t="shared" si="4"/>
        <v>44001.712369823435</v>
      </c>
      <c r="I66" s="393">
        <f t="shared" si="4"/>
        <v>44001.683069366591</v>
      </c>
      <c r="J66" s="393">
        <f t="shared" si="4"/>
        <v>44001.614732173235</v>
      </c>
      <c r="K66" s="393">
        <f t="shared" si="4"/>
        <v>44001.632430896309</v>
      </c>
      <c r="L66" s="393">
        <f t="shared" si="4"/>
        <v>44001.637474594441</v>
      </c>
      <c r="M66" s="393">
        <f t="shared" si="4"/>
        <v>44001.624387784039</v>
      </c>
      <c r="N66" s="393">
        <f t="shared" si="4"/>
        <v>44001.608239712194</v>
      </c>
      <c r="O66" s="393">
        <f t="shared" si="4"/>
        <v>44001.632430896309</v>
      </c>
      <c r="P66" s="393">
        <f t="shared" si="4"/>
        <v>44001.69580269773</v>
      </c>
    </row>
    <row r="67" spans="1:16" x14ac:dyDescent="0.25">
      <c r="A67">
        <v>1514</v>
      </c>
      <c r="B67" t="s">
        <v>445</v>
      </c>
      <c r="C67" s="393">
        <f t="shared" si="5"/>
        <v>44001.714001623717</v>
      </c>
      <c r="D67" s="393">
        <f t="shared" si="4"/>
        <v>44001.72830011294</v>
      </c>
      <c r="E67" s="393">
        <f t="shared" si="4"/>
        <v>44001.757705295568</v>
      </c>
      <c r="F67" s="393">
        <f t="shared" si="4"/>
        <v>44001.764674372062</v>
      </c>
      <c r="G67" s="393">
        <f t="shared" si="4"/>
        <v>44001.80737059893</v>
      </c>
      <c r="H67" s="393">
        <f t="shared" si="4"/>
        <v>44001.827497710641</v>
      </c>
      <c r="I67" s="393">
        <f t="shared" si="4"/>
        <v>44001.852442447285</v>
      </c>
      <c r="J67" s="393">
        <f t="shared" si="4"/>
        <v>44001.83941241807</v>
      </c>
      <c r="K67" s="393">
        <f t="shared" si="4"/>
        <v>44001.847405097491</v>
      </c>
      <c r="L67" s="393">
        <f t="shared" si="4"/>
        <v>44001.872937093467</v>
      </c>
      <c r="M67" s="393">
        <f t="shared" si="4"/>
        <v>44001.893268632797</v>
      </c>
      <c r="N67" s="393">
        <f t="shared" si="4"/>
        <v>44001.885997167599</v>
      </c>
      <c r="O67" s="393">
        <f t="shared" si="4"/>
        <v>44001.913285882074</v>
      </c>
      <c r="P67" s="393">
        <f t="shared" si="4"/>
        <v>44001.80737059893</v>
      </c>
    </row>
    <row r="68" spans="1:16" x14ac:dyDescent="0.25">
      <c r="A68">
        <v>1508</v>
      </c>
      <c r="B68" t="s">
        <v>447</v>
      </c>
      <c r="C68" s="393">
        <f t="shared" si="5"/>
        <v>44001.437099507028</v>
      </c>
      <c r="D68" s="393">
        <f t="shared" si="4"/>
        <v>44001.416280996411</v>
      </c>
      <c r="E68" s="393">
        <f t="shared" si="4"/>
        <v>44001.41320509553</v>
      </c>
      <c r="F68" s="393">
        <f t="shared" si="4"/>
        <v>44001.35381954084</v>
      </c>
      <c r="G68" s="393">
        <f t="shared" si="4"/>
        <v>44001.290405197717</v>
      </c>
      <c r="H68" s="393">
        <f t="shared" si="4"/>
        <v>44001.288831603088</v>
      </c>
      <c r="I68" s="393">
        <f t="shared" si="4"/>
        <v>44001.265948217973</v>
      </c>
      <c r="J68" s="393">
        <f t="shared" si="4"/>
        <v>44001.183126117729</v>
      </c>
      <c r="K68" s="393">
        <f t="shared" si="4"/>
        <v>44001.203841913921</v>
      </c>
      <c r="L68" s="393">
        <f t="shared" si="4"/>
        <v>44001.221967423109</v>
      </c>
      <c r="M68" s="393">
        <f t="shared" si="4"/>
        <v>44001.218821350376</v>
      </c>
      <c r="N68" s="393">
        <f t="shared" si="4"/>
        <v>44001.198263966078</v>
      </c>
      <c r="O68" s="393">
        <f t="shared" si="4"/>
        <v>44001.286634577555</v>
      </c>
      <c r="P68" s="393">
        <f t="shared" si="4"/>
        <v>44001.392494673317</v>
      </c>
    </row>
    <row r="69" spans="1:16" x14ac:dyDescent="0.25">
      <c r="A69">
        <v>1436</v>
      </c>
      <c r="B69" t="s">
        <v>470</v>
      </c>
      <c r="C69" s="393">
        <f t="shared" si="5"/>
        <v>44001.724863424672</v>
      </c>
      <c r="D69" s="393">
        <f t="shared" si="4"/>
        <v>44001.707533233115</v>
      </c>
      <c r="E69" s="393">
        <f t="shared" si="4"/>
        <v>44001.683069366591</v>
      </c>
      <c r="F69" s="393">
        <f t="shared" si="4"/>
        <v>44001.653073419948</v>
      </c>
      <c r="G69" s="393">
        <f t="shared" si="4"/>
        <v>44001.587743870245</v>
      </c>
      <c r="H69" s="393">
        <f t="shared" si="4"/>
        <v>44001.57842949871</v>
      </c>
      <c r="I69" s="393">
        <f t="shared" si="4"/>
        <v>44001.550182077459</v>
      </c>
      <c r="J69" s="393">
        <f t="shared" si="4"/>
        <v>44001.475706417761</v>
      </c>
      <c r="K69" s="393">
        <f t="shared" si="4"/>
        <v>44001.494595693766</v>
      </c>
      <c r="L69" s="393">
        <f t="shared" si="4"/>
        <v>44001.503636991227</v>
      </c>
      <c r="M69" s="393">
        <f t="shared" si="4"/>
        <v>44001.493254008761</v>
      </c>
      <c r="N69" s="393">
        <f t="shared" si="4"/>
        <v>44001.475275557394</v>
      </c>
      <c r="O69" s="393">
        <f t="shared" si="4"/>
        <v>44001.522255995842</v>
      </c>
      <c r="P69" s="393">
        <f t="shared" si="4"/>
        <v>44001.608239712194</v>
      </c>
    </row>
    <row r="70" spans="1:16" x14ac:dyDescent="0.25">
      <c r="A70">
        <v>1436</v>
      </c>
      <c r="B70" t="s">
        <v>498</v>
      </c>
      <c r="C70" s="393">
        <f t="shared" si="5"/>
        <v>44001.34008909791</v>
      </c>
      <c r="D70" s="393">
        <f t="shared" si="4"/>
        <v>44001.320358820798</v>
      </c>
      <c r="E70" s="393">
        <f t="shared" si="4"/>
        <v>44001.306021065771</v>
      </c>
      <c r="F70" s="393">
        <f t="shared" si="4"/>
        <v>44001.260794181268</v>
      </c>
      <c r="G70" s="393">
        <f t="shared" si="4"/>
        <v>44001.194936240638</v>
      </c>
      <c r="H70" s="393">
        <f t="shared" si="4"/>
        <v>44001.188597251625</v>
      </c>
      <c r="I70" s="393">
        <f t="shared" si="4"/>
        <v>44001.162138685366</v>
      </c>
      <c r="J70" s="393">
        <f t="shared" si="4"/>
        <v>44001.083091118016</v>
      </c>
      <c r="K70" s="393">
        <f t="shared" si="4"/>
        <v>44001.102927464795</v>
      </c>
      <c r="L70" s="393">
        <f t="shared" si="4"/>
        <v>44001.115902110199</v>
      </c>
      <c r="M70" s="393">
        <f t="shared" si="4"/>
        <v>44001.10864239934</v>
      </c>
      <c r="N70" s="393">
        <f t="shared" si="4"/>
        <v>44001.089166276528</v>
      </c>
      <c r="O70" s="393">
        <f t="shared" si="4"/>
        <v>44001.159222139409</v>
      </c>
      <c r="P70" s="393">
        <f t="shared" si="4"/>
        <v>44001.260794181268</v>
      </c>
    </row>
    <row r="71" spans="1:16" x14ac:dyDescent="0.25">
      <c r="A71">
        <v>1146</v>
      </c>
      <c r="B71" t="s">
        <v>462</v>
      </c>
      <c r="C71" s="393">
        <f t="shared" si="5"/>
        <v>44001.712369823435</v>
      </c>
      <c r="D71" s="393">
        <f t="shared" si="4"/>
        <v>44001.69580269773</v>
      </c>
      <c r="E71" s="393">
        <f t="shared" si="4"/>
        <v>44001.669456901094</v>
      </c>
      <c r="F71" s="393">
        <f t="shared" si="4"/>
        <v>44001.643239260484</v>
      </c>
      <c r="G71" s="393">
        <f t="shared" si="4"/>
        <v>44001.57842949871</v>
      </c>
      <c r="H71" s="393">
        <f t="shared" si="4"/>
        <v>44001.568269105759</v>
      </c>
      <c r="I71" s="393">
        <f t="shared" si="4"/>
        <v>44001.539687018543</v>
      </c>
      <c r="J71" s="393">
        <f t="shared" si="4"/>
        <v>44001.466734421818</v>
      </c>
      <c r="K71" s="393">
        <f t="shared" si="4"/>
        <v>44001.485280433699</v>
      </c>
      <c r="L71" s="393">
        <f t="shared" si="4"/>
        <v>44001.493254008761</v>
      </c>
      <c r="M71" s="393">
        <f t="shared" si="4"/>
        <v>44001.482214148251</v>
      </c>
      <c r="N71" s="393">
        <f t="shared" si="4"/>
        <v>44001.464621290193</v>
      </c>
      <c r="O71" s="393">
        <f t="shared" si="4"/>
        <v>44001.507762145877</v>
      </c>
      <c r="P71" s="393">
        <f t="shared" si="4"/>
        <v>44001.591644265878</v>
      </c>
    </row>
    <row r="72" spans="1:16" x14ac:dyDescent="0.25">
      <c r="A72">
        <v>1084</v>
      </c>
      <c r="B72" t="s">
        <v>509</v>
      </c>
      <c r="C72" s="393">
        <f t="shared" si="5"/>
        <v>44001.707533233115</v>
      </c>
      <c r="D72" s="393">
        <f t="shared" si="5"/>
        <v>44001.69580269773</v>
      </c>
      <c r="E72" s="393">
        <f t="shared" si="5"/>
        <v>44001.661159634947</v>
      </c>
      <c r="F72" s="393">
        <f t="shared" si="5"/>
        <v>44001.655076058618</v>
      </c>
      <c r="G72" s="393">
        <f t="shared" si="5"/>
        <v>44001.595018980945</v>
      </c>
      <c r="H72" s="393">
        <f t="shared" si="5"/>
        <v>44001.581146392193</v>
      </c>
      <c r="I72" s="393">
        <f t="shared" si="5"/>
        <v>44001.551702405653</v>
      </c>
      <c r="J72" s="393">
        <f t="shared" si="5"/>
        <v>44001.48748234495</v>
      </c>
      <c r="K72" s="393">
        <f t="shared" si="5"/>
        <v>44001.504093572876</v>
      </c>
      <c r="L72" s="393">
        <f t="shared" si="5"/>
        <v>44001.506842331299</v>
      </c>
      <c r="M72" s="393">
        <f t="shared" si="5"/>
        <v>44001.492807602917</v>
      </c>
      <c r="N72" s="393">
        <f t="shared" si="5"/>
        <v>44001.477433559216</v>
      </c>
      <c r="O72" s="393">
        <f t="shared" si="5"/>
        <v>44001.499547315281</v>
      </c>
      <c r="P72" s="393">
        <f t="shared" si="5"/>
        <v>44001.568797591586</v>
      </c>
    </row>
    <row r="73" spans="1:16" x14ac:dyDescent="0.25">
      <c r="A73">
        <v>1076</v>
      </c>
      <c r="B73" t="s">
        <v>500</v>
      </c>
      <c r="C73" s="393">
        <f t="shared" si="5"/>
        <v>44001.707533233115</v>
      </c>
      <c r="D73" s="393">
        <f t="shared" si="5"/>
        <v>44001.686756899006</v>
      </c>
      <c r="E73" s="393">
        <f t="shared" si="5"/>
        <v>44001.680878727842</v>
      </c>
      <c r="F73" s="393">
        <f t="shared" si="5"/>
        <v>44001.624387784039</v>
      </c>
      <c r="G73" s="393">
        <f t="shared" si="5"/>
        <v>44001.560421849121</v>
      </c>
      <c r="H73" s="393">
        <f t="shared" si="5"/>
        <v>44001.557838574663</v>
      </c>
      <c r="I73" s="393">
        <f t="shared" si="5"/>
        <v>44001.533800868194</v>
      </c>
      <c r="J73" s="393">
        <f t="shared" si="5"/>
        <v>44001.451708795779</v>
      </c>
      <c r="K73" s="393">
        <f t="shared" si="5"/>
        <v>44001.472269789141</v>
      </c>
      <c r="L73" s="393">
        <f t="shared" si="5"/>
        <v>44001.488808237664</v>
      </c>
      <c r="M73" s="393">
        <f t="shared" si="5"/>
        <v>44001.483963986495</v>
      </c>
      <c r="N73" s="393">
        <f t="shared" si="5"/>
        <v>44001.463778463461</v>
      </c>
      <c r="O73" s="393">
        <f t="shared" si="5"/>
        <v>44001.5411709158</v>
      </c>
      <c r="P73" s="393">
        <f t="shared" si="5"/>
        <v>44001.643239260484</v>
      </c>
    </row>
    <row r="74" spans="1:16" x14ac:dyDescent="0.25">
      <c r="A74">
        <v>1018</v>
      </c>
      <c r="B74" t="s">
        <v>457</v>
      </c>
      <c r="C74" s="393">
        <f t="shared" si="5"/>
        <v>44001.847405097491</v>
      </c>
      <c r="D74" s="393">
        <f t="shared" si="5"/>
        <v>44001.852442447285</v>
      </c>
      <c r="E74" s="393">
        <f t="shared" si="5"/>
        <v>44001.811202963574</v>
      </c>
      <c r="F74" s="393">
        <f t="shared" si="5"/>
        <v>44001.847405097491</v>
      </c>
      <c r="G74" s="393">
        <f t="shared" si="5"/>
        <v>44001.799951556932</v>
      </c>
      <c r="H74" s="393">
        <f t="shared" si="5"/>
        <v>44001.782625393076</v>
      </c>
      <c r="I74" s="393">
        <f t="shared" si="5"/>
        <v>44001.75381971195</v>
      </c>
      <c r="J74" s="393">
        <f t="shared" si="5"/>
        <v>44001.698882832352</v>
      </c>
      <c r="K74" s="393">
        <f t="shared" si="5"/>
        <v>44001.714001623717</v>
      </c>
      <c r="L74" s="393">
        <f t="shared" si="5"/>
        <v>44001.712369823435</v>
      </c>
      <c r="M74" s="393">
        <f t="shared" si="5"/>
        <v>44001.69580269773</v>
      </c>
      <c r="N74" s="393">
        <f t="shared" si="5"/>
        <v>44001.683069366591</v>
      </c>
      <c r="O74" s="393">
        <f t="shared" si="5"/>
        <v>44001.675828754611</v>
      </c>
      <c r="P74" s="393">
        <f t="shared" si="5"/>
        <v>44001.707533233115</v>
      </c>
    </row>
    <row r="75" spans="1:16" x14ac:dyDescent="0.25">
      <c r="A75">
        <v>917</v>
      </c>
      <c r="B75" t="s">
        <v>475</v>
      </c>
      <c r="C75" s="393">
        <f t="shared" si="5"/>
        <v>44001.596717505192</v>
      </c>
      <c r="D75" s="393">
        <f t="shared" si="5"/>
        <v>44001.57842949871</v>
      </c>
      <c r="E75" s="393">
        <f t="shared" si="5"/>
        <v>44001.557323818095</v>
      </c>
      <c r="F75" s="393">
        <f t="shared" si="5"/>
        <v>44001.522255995842</v>
      </c>
      <c r="G75" s="393">
        <f t="shared" si="5"/>
        <v>44001.456669324834</v>
      </c>
      <c r="H75" s="393">
        <f t="shared" si="5"/>
        <v>44001.448018800664</v>
      </c>
      <c r="I75" s="393">
        <f t="shared" si="5"/>
        <v>44001.420149672289</v>
      </c>
      <c r="J75" s="393">
        <f t="shared" si="5"/>
        <v>44001.344518907841</v>
      </c>
      <c r="K75" s="393">
        <f t="shared" si="5"/>
        <v>44001.363613054054</v>
      </c>
      <c r="L75" s="393">
        <f t="shared" si="5"/>
        <v>44001.37356492276</v>
      </c>
      <c r="M75" s="393">
        <f t="shared" si="5"/>
        <v>44001.363965705823</v>
      </c>
      <c r="N75" s="393">
        <f t="shared" si="5"/>
        <v>44001.345545569755</v>
      </c>
      <c r="O75" s="393">
        <f t="shared" si="5"/>
        <v>44001.399940051058</v>
      </c>
      <c r="P75" s="393">
        <f t="shared" si="5"/>
        <v>44001.492807602917</v>
      </c>
    </row>
    <row r="76" spans="1:16" x14ac:dyDescent="0.25">
      <c r="A76">
        <v>713</v>
      </c>
      <c r="B76" t="s">
        <v>472</v>
      </c>
      <c r="C76" s="393">
        <f t="shared" si="5"/>
        <v>44001.904051015095</v>
      </c>
      <c r="D76" s="393">
        <f t="shared" si="5"/>
        <v>44001.890778319015</v>
      </c>
      <c r="E76" s="393">
        <f t="shared" si="5"/>
        <v>44001.85768850219</v>
      </c>
      <c r="F76" s="393">
        <f t="shared" si="5"/>
        <v>44001.83941241807</v>
      </c>
      <c r="G76" s="393">
        <f t="shared" si="5"/>
        <v>44001.773982129125</v>
      </c>
      <c r="H76" s="393">
        <f t="shared" si="5"/>
        <v>44001.764674372062</v>
      </c>
      <c r="I76" s="393">
        <f t="shared" si="5"/>
        <v>44001.736210337709</v>
      </c>
      <c r="J76" s="393">
        <f t="shared" si="5"/>
        <v>44001.661842787253</v>
      </c>
      <c r="K76" s="393">
        <f t="shared" si="5"/>
        <v>44001.680878727842</v>
      </c>
      <c r="L76" s="393">
        <f t="shared" si="5"/>
        <v>44001.689740750218</v>
      </c>
      <c r="M76" s="393">
        <f t="shared" si="5"/>
        <v>44001.678704060374</v>
      </c>
      <c r="N76" s="393">
        <f t="shared" si="5"/>
        <v>44001.661159634947</v>
      </c>
      <c r="O76" s="393">
        <f t="shared" si="5"/>
        <v>44001.69580269773</v>
      </c>
      <c r="P76" s="393">
        <f t="shared" si="5"/>
        <v>44001.761660281059</v>
      </c>
    </row>
    <row r="77" spans="1:16" x14ac:dyDescent="0.25">
      <c r="A77">
        <v>697</v>
      </c>
      <c r="B77" t="s">
        <v>504</v>
      </c>
      <c r="C77" s="393">
        <f t="shared" si="5"/>
        <v>44001.634313638388</v>
      </c>
      <c r="D77" s="393">
        <f t="shared" si="5"/>
        <v>44001.615328141736</v>
      </c>
      <c r="E77" s="393">
        <f t="shared" si="5"/>
        <v>44001.596717505192</v>
      </c>
      <c r="F77" s="393">
        <f t="shared" si="5"/>
        <v>44001.557323818095</v>
      </c>
      <c r="G77" s="393">
        <f t="shared" si="5"/>
        <v>44001.491470837049</v>
      </c>
      <c r="H77" s="393">
        <f t="shared" si="5"/>
        <v>44001.483963986495</v>
      </c>
      <c r="I77" s="393">
        <f t="shared" si="5"/>
        <v>44001.456669324834</v>
      </c>
      <c r="J77" s="393">
        <f t="shared" si="5"/>
        <v>44001.379325831294</v>
      </c>
      <c r="K77" s="393">
        <f t="shared" si="5"/>
        <v>44001.398817155117</v>
      </c>
      <c r="L77" s="393">
        <f t="shared" si="5"/>
        <v>44001.410145821508</v>
      </c>
      <c r="M77" s="393">
        <f t="shared" si="5"/>
        <v>44001.401440640671</v>
      </c>
      <c r="N77" s="393">
        <f t="shared" si="5"/>
        <v>44001.382590789028</v>
      </c>
      <c r="O77" s="393">
        <f t="shared" si="5"/>
        <v>44001.441521337474</v>
      </c>
      <c r="P77" s="393">
        <f t="shared" si="5"/>
        <v>44001.536243924464</v>
      </c>
    </row>
    <row r="78" spans="1:16" x14ac:dyDescent="0.25">
      <c r="A78">
        <v>578</v>
      </c>
      <c r="B78" t="s">
        <v>478</v>
      </c>
      <c r="C78" s="393">
        <f t="shared" si="5"/>
        <v>44001.675828754611</v>
      </c>
      <c r="D78" s="393">
        <f t="shared" si="5"/>
        <v>44001.655746360491</v>
      </c>
      <c r="E78" s="393">
        <f t="shared" si="5"/>
        <v>44001.642593866221</v>
      </c>
      <c r="F78" s="393">
        <f t="shared" si="5"/>
        <v>44001.595018980945</v>
      </c>
      <c r="G78" s="393">
        <f t="shared" si="5"/>
        <v>44001.529436809476</v>
      </c>
      <c r="H78" s="393">
        <f t="shared" si="5"/>
        <v>44001.524159798588</v>
      </c>
      <c r="I78" s="393">
        <f t="shared" si="5"/>
        <v>44001.498191817474</v>
      </c>
      <c r="J78" s="393">
        <f t="shared" si="5"/>
        <v>44001.418211999255</v>
      </c>
      <c r="K78" s="393">
        <f t="shared" si="5"/>
        <v>44001.438301875591</v>
      </c>
      <c r="L78" s="393">
        <f t="shared" si="5"/>
        <v>44001.452120389971</v>
      </c>
      <c r="M78" s="393">
        <f t="shared" si="5"/>
        <v>44001.445166432582</v>
      </c>
      <c r="N78" s="393">
        <f t="shared" si="5"/>
        <v>44001.425611239349</v>
      </c>
      <c r="O78" s="393">
        <f t="shared" si="5"/>
        <v>44001.493254008761</v>
      </c>
      <c r="P78" s="393">
        <f t="shared" si="5"/>
        <v>44001.591644265878</v>
      </c>
    </row>
    <row r="79" spans="1:16" x14ac:dyDescent="0.25">
      <c r="A79">
        <v>176</v>
      </c>
      <c r="B79" t="s">
        <v>488</v>
      </c>
      <c r="C79" s="393">
        <f t="shared" si="5"/>
        <v>43997.995203588827</v>
      </c>
      <c r="D79" s="393">
        <f t="shared" si="5"/>
        <v>43998.007369389474</v>
      </c>
      <c r="E79" s="393">
        <f t="shared" si="5"/>
        <v>43998.041170666162</v>
      </c>
      <c r="F79" s="393">
        <f t="shared" si="5"/>
        <v>43998.043430730257</v>
      </c>
      <c r="G79" s="393">
        <f t="shared" si="5"/>
        <v>43998.096054637921</v>
      </c>
      <c r="H79" s="393">
        <f t="shared" si="5"/>
        <v>43998.113249893118</v>
      </c>
      <c r="I79" s="393">
        <f t="shared" si="5"/>
        <v>43998.142211855593</v>
      </c>
      <c r="J79" s="393">
        <f t="shared" si="5"/>
        <v>43998.188644861482</v>
      </c>
      <c r="K79" s="393">
        <f t="shared" si="5"/>
        <v>43998.177154681034</v>
      </c>
      <c r="L79" s="393">
        <f t="shared" si="5"/>
        <v>43998.182866841686</v>
      </c>
      <c r="M79" s="393">
        <f t="shared" si="5"/>
        <v>43998.200112552207</v>
      </c>
      <c r="N79" s="393">
        <f t="shared" si="5"/>
        <v>43998.211787954468</v>
      </c>
      <c r="O79" s="393">
        <f t="shared" si="5"/>
        <v>43998.203502174008</v>
      </c>
      <c r="P79" s="393">
        <f t="shared" si="5"/>
        <v>43998.125</v>
      </c>
    </row>
  </sheetData>
  <autoFilter ref="A6:P79">
    <sortState ref="A7:P79">
      <sortCondition descending="1" ref="A6:A79"/>
    </sortState>
  </autoFilter>
  <mergeCells count="4">
    <mergeCell ref="G1:H1"/>
    <mergeCell ref="G2:H2"/>
    <mergeCell ref="G3:H3"/>
    <mergeCell ref="C5:P5"/>
  </mergeCells>
  <conditionalFormatting sqref="C7:P79">
    <cfRule type="expression" dxfId="3" priority="1">
      <formula>(OR(C7&lt;$D$3,C7&gt;$D$4))</formula>
    </cfRule>
    <cfRule type="expression" dxfId="2" priority="2">
      <formula>AND(C7&gt;$D$3,C7&lt;$D$4)</formula>
    </cfRule>
  </conditionalFormatting>
  <dataValidations count="1">
    <dataValidation type="list" allowBlank="1" showInputMessage="1" showErrorMessage="1" sqref="A3">
      <formula1>"Laufzeiten,Abschickzeiten"</formula1>
    </dataValidation>
  </dataValidations>
  <pageMargins left="0.7" right="0.7" top="0.78740157499999996" bottom="0.78740157499999996"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Laufzeitrechner!$F$3:$F$13</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election activeCell="F2" sqref="F2:I3"/>
    </sheetView>
  </sheetViews>
  <sheetFormatPr baseColWidth="10" defaultRowHeight="15" x14ac:dyDescent="0.25"/>
  <cols>
    <col min="2" max="2" width="11.140625" bestFit="1" customWidth="1"/>
    <col min="3" max="16" width="10.28515625" bestFit="1" customWidth="1"/>
  </cols>
  <sheetData>
    <row r="1" spans="1:16" x14ac:dyDescent="0.25">
      <c r="B1" s="439" t="s">
        <v>269</v>
      </c>
      <c r="C1" s="440"/>
      <c r="D1" s="394">
        <f>VLOOKUP(B1,Laufzeitrechner!$F$2:$H$13,3,FALSE)</f>
        <v>2.0833333333333332E-2</v>
      </c>
      <c r="F1" s="408" t="s">
        <v>421</v>
      </c>
      <c r="G1" s="413"/>
      <c r="H1" s="413"/>
      <c r="I1" s="227">
        <f>'Construction Planner'!E1</f>
        <v>1</v>
      </c>
    </row>
    <row r="2" spans="1:16" x14ac:dyDescent="0.25">
      <c r="B2" s="434" t="s">
        <v>522</v>
      </c>
      <c r="C2" s="435"/>
      <c r="D2" s="400">
        <v>0</v>
      </c>
      <c r="F2" s="434" t="s">
        <v>420</v>
      </c>
      <c r="G2" s="435"/>
      <c r="H2" s="435"/>
      <c r="I2" s="125">
        <f>'Construction Planner'!E4</f>
        <v>1</v>
      </c>
    </row>
    <row r="3" spans="1:16" ht="15.75" thickBot="1" x14ac:dyDescent="0.3">
      <c r="B3" s="436" t="s">
        <v>523</v>
      </c>
      <c r="C3" s="437"/>
      <c r="D3" s="401">
        <v>0.83333333333333337</v>
      </c>
      <c r="F3" s="436" t="s">
        <v>422</v>
      </c>
      <c r="G3" s="437"/>
      <c r="H3" s="437"/>
      <c r="I3" s="373">
        <f>I1*I2</f>
        <v>1</v>
      </c>
    </row>
    <row r="5" spans="1:16" x14ac:dyDescent="0.25">
      <c r="C5" s="438" t="s">
        <v>515</v>
      </c>
      <c r="D5" s="438"/>
      <c r="E5" s="438"/>
      <c r="F5" s="438"/>
      <c r="G5" s="438"/>
      <c r="H5" s="438"/>
      <c r="I5" s="438"/>
      <c r="J5" s="438"/>
      <c r="K5" s="438"/>
      <c r="L5" s="438"/>
      <c r="M5" s="438"/>
      <c r="N5" s="438"/>
      <c r="O5" s="438"/>
      <c r="P5" s="438"/>
    </row>
    <row r="6" spans="1:16" x14ac:dyDescent="0.25">
      <c r="A6" t="s">
        <v>290</v>
      </c>
      <c r="B6" t="s">
        <v>261</v>
      </c>
      <c r="C6" t="s">
        <v>430</v>
      </c>
      <c r="D6" t="s">
        <v>431</v>
      </c>
      <c r="E6" t="s">
        <v>432</v>
      </c>
      <c r="F6" t="s">
        <v>433</v>
      </c>
      <c r="G6" t="s">
        <v>434</v>
      </c>
      <c r="H6" t="s">
        <v>435</v>
      </c>
      <c r="I6" t="s">
        <v>436</v>
      </c>
      <c r="J6" t="s">
        <v>437</v>
      </c>
      <c r="K6" t="s">
        <v>438</v>
      </c>
      <c r="L6" t="s">
        <v>439</v>
      </c>
      <c r="M6" t="s">
        <v>440</v>
      </c>
      <c r="N6" t="s">
        <v>441</v>
      </c>
      <c r="O6" t="s">
        <v>442</v>
      </c>
      <c r="P6" t="s">
        <v>443</v>
      </c>
    </row>
    <row r="7" spans="1:16" x14ac:dyDescent="0.25">
      <c r="A7">
        <v>6830</v>
      </c>
      <c r="B7" t="s">
        <v>487</v>
      </c>
      <c r="C7" s="399">
        <f>SQRT(((LEFT(C$6,3)-LEFT($B7,3))*(LEFT(C$6,3)-LEFT($B7,3)))+((RIGHT(C$6,3)-RIGHT($B7,3))*(RIGHT(C$6,3)-RIGHT($B7,3))))*$D$1</f>
        <v>0.36916760722227809</v>
      </c>
      <c r="D7" s="399">
        <f t="shared" ref="D7:P7" si="0">SQRT(((LEFT(D$6,3)-LEFT($B7,3))*(LEFT(D$6,3)-LEFT($B7,3)))+((RIGHT(D$6,3)-RIGHT($B7,3))*(RIGHT(D$6,3)-RIGHT($B7,3))))*$D$1</f>
        <v>0.38919878525561258</v>
      </c>
      <c r="E7" s="399">
        <f t="shared" si="0"/>
        <v>0.40235849824641595</v>
      </c>
      <c r="F7" s="399">
        <f t="shared" si="0"/>
        <v>0.44972985718589376</v>
      </c>
      <c r="G7" s="399">
        <f t="shared" si="0"/>
        <v>0.51538820320220746</v>
      </c>
      <c r="H7" s="399">
        <f t="shared" si="0"/>
        <v>0.52083333333333326</v>
      </c>
      <c r="I7" s="399">
        <f t="shared" si="0"/>
        <v>0.54685019785027866</v>
      </c>
      <c r="J7" s="399">
        <f t="shared" si="0"/>
        <v>0.62673370652047178</v>
      </c>
      <c r="K7" s="399">
        <f t="shared" si="0"/>
        <v>0.60667582410670984</v>
      </c>
      <c r="L7" s="399">
        <f t="shared" si="0"/>
        <v>0.59292706128157113</v>
      </c>
      <c r="M7" s="399">
        <f t="shared" si="0"/>
        <v>0.59984083537033195</v>
      </c>
      <c r="N7" s="399">
        <f t="shared" si="0"/>
        <v>0.61941953113827108</v>
      </c>
      <c r="O7" s="399">
        <f t="shared" si="0"/>
        <v>0.55041020056762102</v>
      </c>
      <c r="P7" s="399">
        <f t="shared" si="0"/>
        <v>0.4506939094329987</v>
      </c>
    </row>
    <row r="8" spans="1:16" x14ac:dyDescent="0.25">
      <c r="A8">
        <v>6747</v>
      </c>
      <c r="B8" t="s">
        <v>460</v>
      </c>
      <c r="C8" s="399">
        <f t="shared" ref="C8:P71" si="1">SQRT(((LEFT(C$6,3)-LEFT($B8,3))*(LEFT(C$6,3)-LEFT($B8,3)))+((RIGHT(C$6,3)-RIGHT($B8,3))*(RIGHT(C$6,3)-RIGHT($B8,3))))*$D$1</f>
        <v>0.17179606773406919</v>
      </c>
      <c r="D8" s="399">
        <f t="shared" si="1"/>
        <v>0.16796370308955311</v>
      </c>
      <c r="E8" s="399">
        <f t="shared" si="1"/>
        <v>0.12672421938121289</v>
      </c>
      <c r="F8" s="399">
        <f t="shared" si="1"/>
        <v>0.17179606773406919</v>
      </c>
      <c r="G8" s="399">
        <f t="shared" si="1"/>
        <v>0.17921510973005472</v>
      </c>
      <c r="H8" s="399">
        <f t="shared" si="1"/>
        <v>0.16271353491472196</v>
      </c>
      <c r="I8" s="399">
        <f t="shared" si="1"/>
        <v>0.16271353491472196</v>
      </c>
      <c r="J8" s="399">
        <f t="shared" si="1"/>
        <v>0.23292374765622809</v>
      </c>
      <c r="K8" s="399">
        <f t="shared" si="1"/>
        <v>0.21449229460389585</v>
      </c>
      <c r="L8" s="399">
        <f t="shared" si="1"/>
        <v>0.18633899812498247</v>
      </c>
      <c r="M8" s="399">
        <f t="shared" si="1"/>
        <v>0.17800007802744855</v>
      </c>
      <c r="N8" s="399">
        <f t="shared" si="1"/>
        <v>0.19764235376052369</v>
      </c>
      <c r="O8" s="399">
        <f t="shared" si="1"/>
        <v>8.3333333333333329E-2</v>
      </c>
      <c r="P8" s="399">
        <f t="shared" si="1"/>
        <v>2.946278254943948E-2</v>
      </c>
    </row>
    <row r="9" spans="1:16" x14ac:dyDescent="0.25">
      <c r="A9">
        <v>5944</v>
      </c>
      <c r="B9" t="s">
        <v>479</v>
      </c>
      <c r="C9" s="399">
        <f t="shared" si="1"/>
        <v>0.27083333333333331</v>
      </c>
      <c r="D9" s="399">
        <f t="shared" si="1"/>
        <v>0.29017475577466911</v>
      </c>
      <c r="E9" s="399">
        <f t="shared" si="1"/>
        <v>0.30760048042152915</v>
      </c>
      <c r="F9" s="399">
        <f t="shared" si="1"/>
        <v>0.34923030446333769</v>
      </c>
      <c r="G9" s="399">
        <f t="shared" si="1"/>
        <v>0.41510122594106824</v>
      </c>
      <c r="H9" s="399">
        <f t="shared" si="1"/>
        <v>0.42184284856909554</v>
      </c>
      <c r="I9" s="399">
        <f t="shared" si="1"/>
        <v>0.44876373392787527</v>
      </c>
      <c r="J9" s="399">
        <f t="shared" si="1"/>
        <v>0.52704627669472992</v>
      </c>
      <c r="K9" s="399">
        <f t="shared" si="1"/>
        <v>0.50732481924524664</v>
      </c>
      <c r="L9" s="399">
        <f t="shared" si="1"/>
        <v>0.49520268016686303</v>
      </c>
      <c r="M9" s="399">
        <f t="shared" si="1"/>
        <v>0.50346024889977381</v>
      </c>
      <c r="N9" s="399">
        <f t="shared" si="1"/>
        <v>0.52249734183268548</v>
      </c>
      <c r="O9" s="399">
        <f t="shared" si="1"/>
        <v>0.46257506898280243</v>
      </c>
      <c r="P9" s="399">
        <f t="shared" si="1"/>
        <v>0.36857929193654437</v>
      </c>
    </row>
    <row r="10" spans="1:16" x14ac:dyDescent="0.25">
      <c r="A10">
        <v>5926</v>
      </c>
      <c r="B10" t="s">
        <v>446</v>
      </c>
      <c r="C10" s="399">
        <f t="shared" si="1"/>
        <v>0.23753654689565373</v>
      </c>
      <c r="D10" s="399">
        <f t="shared" si="1"/>
        <v>0.22146137109863853</v>
      </c>
      <c r="E10" s="399">
        <f t="shared" si="1"/>
        <v>0.19654127358451257</v>
      </c>
      <c r="F10" s="399">
        <f t="shared" si="1"/>
        <v>0.17921510973005472</v>
      </c>
      <c r="G10" s="399">
        <f t="shared" si="1"/>
        <v>0.13176156917368248</v>
      </c>
      <c r="H10" s="399">
        <f t="shared" si="1"/>
        <v>0.11219093348196882</v>
      </c>
      <c r="I10" s="399">
        <f t="shared" si="1"/>
        <v>8.5898033867034596E-2</v>
      </c>
      <c r="J10" s="399">
        <f t="shared" si="1"/>
        <v>0.10416666666666666</v>
      </c>
      <c r="K10" s="399">
        <f t="shared" si="1"/>
        <v>9.3169499062491237E-2</v>
      </c>
      <c r="L10" s="399">
        <f t="shared" si="1"/>
        <v>6.588078458684124E-2</v>
      </c>
      <c r="M10" s="399">
        <f t="shared" si="1"/>
        <v>4.6584749531245619E-2</v>
      </c>
      <c r="N10" s="399">
        <f t="shared" si="1"/>
        <v>5.892556509887896E-2</v>
      </c>
      <c r="O10" s="399">
        <f t="shared" si="1"/>
        <v>6.588078458684124E-2</v>
      </c>
      <c r="P10" s="399">
        <f t="shared" si="1"/>
        <v>0.16666666666666666</v>
      </c>
    </row>
    <row r="11" spans="1:16" x14ac:dyDescent="0.25">
      <c r="A11">
        <v>5655</v>
      </c>
      <c r="B11" t="s">
        <v>395</v>
      </c>
      <c r="C11" s="399">
        <f t="shared" si="1"/>
        <v>0.23292374765622809</v>
      </c>
      <c r="D11" s="399">
        <f t="shared" si="1"/>
        <v>0.24295632895188751</v>
      </c>
      <c r="E11" s="399">
        <f t="shared" si="1"/>
        <v>0.27950849718747373</v>
      </c>
      <c r="F11" s="399">
        <f t="shared" si="1"/>
        <v>0.28028383431403558</v>
      </c>
      <c r="G11" s="399">
        <f t="shared" si="1"/>
        <v>0.33914209575207721</v>
      </c>
      <c r="H11" s="399">
        <f t="shared" si="1"/>
        <v>0.35355339059327373</v>
      </c>
      <c r="I11" s="399">
        <f t="shared" si="1"/>
        <v>0.38301617314271319</v>
      </c>
      <c r="J11" s="399">
        <f t="shared" si="1"/>
        <v>0.44585280331318111</v>
      </c>
      <c r="K11" s="399">
        <f t="shared" si="1"/>
        <v>0.42949016933517298</v>
      </c>
      <c r="L11" s="399">
        <f t="shared" si="1"/>
        <v>0.42746426101423318</v>
      </c>
      <c r="M11" s="399">
        <f t="shared" si="1"/>
        <v>0.44194173824159222</v>
      </c>
      <c r="N11" s="399">
        <f t="shared" si="1"/>
        <v>0.45691067082211057</v>
      </c>
      <c r="O11" s="399">
        <f t="shared" si="1"/>
        <v>0.43947964811935392</v>
      </c>
      <c r="P11" s="399">
        <f t="shared" si="1"/>
        <v>0.37557825786083221</v>
      </c>
    </row>
    <row r="12" spans="1:16" x14ac:dyDescent="0.25">
      <c r="A12">
        <v>5171</v>
      </c>
      <c r="B12" t="s">
        <v>476</v>
      </c>
      <c r="C12" s="399">
        <f t="shared" si="1"/>
        <v>0.25</v>
      </c>
      <c r="D12" s="399">
        <f t="shared" si="1"/>
        <v>0.27083333333333331</v>
      </c>
      <c r="E12" s="399">
        <f t="shared" si="1"/>
        <v>0.27401971745762299</v>
      </c>
      <c r="F12" s="399">
        <f t="shared" si="1"/>
        <v>0.33333333333333331</v>
      </c>
      <c r="G12" s="399">
        <f t="shared" si="1"/>
        <v>0.39638119980084263</v>
      </c>
      <c r="H12" s="399">
        <f t="shared" si="1"/>
        <v>0.39802027446964161</v>
      </c>
      <c r="I12" s="399">
        <f t="shared" si="1"/>
        <v>0.42132809200326427</v>
      </c>
      <c r="J12" s="399">
        <f t="shared" si="1"/>
        <v>0.50389110926865932</v>
      </c>
      <c r="K12" s="399">
        <f t="shared" si="1"/>
        <v>0.48322556269763339</v>
      </c>
      <c r="L12" s="399">
        <f t="shared" si="1"/>
        <v>0.46584749531245617</v>
      </c>
      <c r="M12" s="399">
        <f t="shared" si="1"/>
        <v>0.47002142386160323</v>
      </c>
      <c r="N12" s="399">
        <f t="shared" si="1"/>
        <v>0.49035842899749249</v>
      </c>
      <c r="O12" s="399">
        <f t="shared" si="1"/>
        <v>0.41036907507483766</v>
      </c>
      <c r="P12" s="399">
        <f t="shared" si="1"/>
        <v>0.30760048042152915</v>
      </c>
    </row>
    <row r="13" spans="1:16" x14ac:dyDescent="0.25">
      <c r="A13">
        <v>5058</v>
      </c>
      <c r="B13" t="s">
        <v>464</v>
      </c>
      <c r="C13" s="399">
        <f t="shared" si="1"/>
        <v>0.15023130314433286</v>
      </c>
      <c r="D13" s="399">
        <f t="shared" si="1"/>
        <v>0.16796370308955311</v>
      </c>
      <c r="E13" s="399">
        <f t="shared" si="1"/>
        <v>0.19207384286026846</v>
      </c>
      <c r="F13" s="399">
        <f t="shared" si="1"/>
        <v>0.22438186696393764</v>
      </c>
      <c r="G13" s="399">
        <f t="shared" si="1"/>
        <v>0.29017475577466911</v>
      </c>
      <c r="H13" s="399">
        <f t="shared" si="1"/>
        <v>0.29828793881825733</v>
      </c>
      <c r="I13" s="399">
        <f t="shared" si="1"/>
        <v>0.32609324671871931</v>
      </c>
      <c r="J13" s="399">
        <f t="shared" si="1"/>
        <v>0.40235849824641595</v>
      </c>
      <c r="K13" s="399">
        <f t="shared" si="1"/>
        <v>0.38301617314271319</v>
      </c>
      <c r="L13" s="399">
        <f t="shared" si="1"/>
        <v>0.37267799624996495</v>
      </c>
      <c r="M13" s="399">
        <f t="shared" si="1"/>
        <v>0.3824491614726212</v>
      </c>
      <c r="N13" s="399">
        <f t="shared" si="1"/>
        <v>0.40073716795148628</v>
      </c>
      <c r="O13" s="399">
        <f t="shared" si="1"/>
        <v>0.35355339059327373</v>
      </c>
      <c r="P13" s="399">
        <f t="shared" si="1"/>
        <v>0.27163343355011038</v>
      </c>
    </row>
    <row r="14" spans="1:16" x14ac:dyDescent="0.25">
      <c r="A14">
        <v>5050</v>
      </c>
      <c r="B14" t="s">
        <v>456</v>
      </c>
      <c r="C14" s="399">
        <f t="shared" si="1"/>
        <v>5.892556509887896E-2</v>
      </c>
      <c r="D14" s="399">
        <f t="shared" si="1"/>
        <v>4.6584749531245619E-2</v>
      </c>
      <c r="E14" s="399">
        <f t="shared" si="1"/>
        <v>8.5898033867034596E-2</v>
      </c>
      <c r="F14" s="399">
        <f t="shared" si="1"/>
        <v>5.892556509887896E-2</v>
      </c>
      <c r="G14" s="399">
        <f t="shared" si="1"/>
        <v>0.12147816447594376</v>
      </c>
      <c r="H14" s="399">
        <f t="shared" si="1"/>
        <v>0.13339842161318433</v>
      </c>
      <c r="I14" s="399">
        <f t="shared" si="1"/>
        <v>0.16271353491472196</v>
      </c>
      <c r="J14" s="399">
        <f t="shared" si="1"/>
        <v>0.23292374765622809</v>
      </c>
      <c r="K14" s="399">
        <f t="shared" si="1"/>
        <v>0.21449229460389585</v>
      </c>
      <c r="L14" s="399">
        <f t="shared" si="1"/>
        <v>0.20833333333333331</v>
      </c>
      <c r="M14" s="399">
        <f t="shared" si="1"/>
        <v>0.22146137109863853</v>
      </c>
      <c r="N14" s="399">
        <f t="shared" si="1"/>
        <v>0.23753654689565373</v>
      </c>
      <c r="O14" s="399">
        <f t="shared" si="1"/>
        <v>0.22438186696393764</v>
      </c>
      <c r="P14" s="399">
        <f t="shared" si="1"/>
        <v>0.18865385704452953</v>
      </c>
    </row>
    <row r="15" spans="1:16" x14ac:dyDescent="0.25">
      <c r="A15">
        <v>5028</v>
      </c>
      <c r="B15" t="s">
        <v>501</v>
      </c>
      <c r="C15" s="399">
        <f t="shared" si="1"/>
        <v>0.4796193513842224</v>
      </c>
      <c r="D15" s="399">
        <f t="shared" si="1"/>
        <v>0.50043383956101306</v>
      </c>
      <c r="E15" s="399">
        <f t="shared" si="1"/>
        <v>0.50043383956101306</v>
      </c>
      <c r="F15" s="399">
        <f t="shared" si="1"/>
        <v>0.56288567025442893</v>
      </c>
      <c r="G15" s="399">
        <f t="shared" si="1"/>
        <v>0.625</v>
      </c>
      <c r="H15" s="399">
        <f t="shared" si="1"/>
        <v>0.6253471258251514</v>
      </c>
      <c r="I15" s="399">
        <f t="shared" si="1"/>
        <v>0.64717602362537774</v>
      </c>
      <c r="J15" s="399">
        <f t="shared" si="1"/>
        <v>0.73035617262325436</v>
      </c>
      <c r="K15" s="399">
        <f t="shared" si="1"/>
        <v>0.70955776524693337</v>
      </c>
      <c r="L15" s="399">
        <f t="shared" si="1"/>
        <v>0.69033506357420382</v>
      </c>
      <c r="M15" s="399">
        <f t="shared" si="1"/>
        <v>0.69253208910811082</v>
      </c>
      <c r="N15" s="399">
        <f t="shared" si="1"/>
        <v>0.71321844869265372</v>
      </c>
      <c r="O15" s="399">
        <f t="shared" si="1"/>
        <v>0.62151807875734577</v>
      </c>
      <c r="P15" s="399">
        <f t="shared" si="1"/>
        <v>0.51538820320220746</v>
      </c>
    </row>
    <row r="16" spans="1:16" x14ac:dyDescent="0.25">
      <c r="A16">
        <v>4925</v>
      </c>
      <c r="B16" t="s">
        <v>465</v>
      </c>
      <c r="C16" s="399">
        <f t="shared" si="1"/>
        <v>0.12672421938121289</v>
      </c>
      <c r="D16" s="399">
        <f t="shared" si="1"/>
        <v>0.14731391274719741</v>
      </c>
      <c r="E16" s="399">
        <f t="shared" si="1"/>
        <v>0.15866193970549808</v>
      </c>
      <c r="F16" s="399">
        <f t="shared" si="1"/>
        <v>0.20937240877335186</v>
      </c>
      <c r="G16" s="399">
        <f t="shared" si="1"/>
        <v>0.27401971745762299</v>
      </c>
      <c r="H16" s="399">
        <f t="shared" si="1"/>
        <v>0.27795133466929861</v>
      </c>
      <c r="I16" s="399">
        <f t="shared" si="1"/>
        <v>0.30333791205335492</v>
      </c>
      <c r="J16" s="399">
        <f t="shared" si="1"/>
        <v>0.38414768572053692</v>
      </c>
      <c r="K16" s="399">
        <f t="shared" si="1"/>
        <v>0.36383852492860369</v>
      </c>
      <c r="L16" s="399">
        <f t="shared" si="1"/>
        <v>0.34923030446333769</v>
      </c>
      <c r="M16" s="399">
        <f t="shared" si="1"/>
        <v>0.3560001560548971</v>
      </c>
      <c r="N16" s="399">
        <f t="shared" si="1"/>
        <v>0.37557825786083221</v>
      </c>
      <c r="O16" s="399">
        <f t="shared" si="1"/>
        <v>0.3125</v>
      </c>
      <c r="P16" s="399">
        <f t="shared" si="1"/>
        <v>0.22146137109863853</v>
      </c>
    </row>
    <row r="17" spans="1:16" x14ac:dyDescent="0.25">
      <c r="A17">
        <v>4795</v>
      </c>
      <c r="B17" t="s">
        <v>499</v>
      </c>
      <c r="C17" s="399">
        <f t="shared" si="1"/>
        <v>0.33592740617910621</v>
      </c>
      <c r="D17" s="399">
        <f t="shared" si="1"/>
        <v>0.35660922434632686</v>
      </c>
      <c r="E17" s="399">
        <f t="shared" si="1"/>
        <v>0.36383852492860369</v>
      </c>
      <c r="F17" s="399">
        <f t="shared" si="1"/>
        <v>0.41874481754670373</v>
      </c>
      <c r="G17" s="399">
        <f t="shared" si="1"/>
        <v>0.48322556269763339</v>
      </c>
      <c r="H17" s="399">
        <f t="shared" si="1"/>
        <v>0.48635906374703131</v>
      </c>
      <c r="I17" s="399">
        <f t="shared" si="1"/>
        <v>0.51073544467213594</v>
      </c>
      <c r="J17" s="399">
        <f t="shared" si="1"/>
        <v>0.59256094388866209</v>
      </c>
      <c r="K17" s="399">
        <f t="shared" si="1"/>
        <v>0.5720637590727492</v>
      </c>
      <c r="L17" s="399">
        <f t="shared" si="1"/>
        <v>0.55590266933859722</v>
      </c>
      <c r="M17" s="399">
        <f t="shared" si="1"/>
        <v>0.56095466740984412</v>
      </c>
      <c r="N17" s="399">
        <f t="shared" si="1"/>
        <v>0.58109690337422304</v>
      </c>
      <c r="O17" s="399">
        <f t="shared" si="1"/>
        <v>0.50346024889977381</v>
      </c>
      <c r="P17" s="399">
        <f t="shared" si="1"/>
        <v>0.40073716795148628</v>
      </c>
    </row>
    <row r="18" spans="1:16" x14ac:dyDescent="0.25">
      <c r="A18">
        <v>4787</v>
      </c>
      <c r="B18" t="s">
        <v>481</v>
      </c>
      <c r="C18" s="399">
        <f t="shared" si="1"/>
        <v>0.11785113019775792</v>
      </c>
      <c r="D18" s="399">
        <f t="shared" si="1"/>
        <v>0.13339842161318433</v>
      </c>
      <c r="E18" s="399">
        <f t="shared" si="1"/>
        <v>0.16271353491472196</v>
      </c>
      <c r="F18" s="399">
        <f t="shared" si="1"/>
        <v>0.18633899812498247</v>
      </c>
      <c r="G18" s="399">
        <f t="shared" si="1"/>
        <v>0.25173012444988691</v>
      </c>
      <c r="H18" s="399">
        <f t="shared" si="1"/>
        <v>0.26104091846128474</v>
      </c>
      <c r="I18" s="399">
        <f t="shared" si="1"/>
        <v>0.28942591644687088</v>
      </c>
      <c r="J18" s="399">
        <f t="shared" si="1"/>
        <v>0.36383852492860369</v>
      </c>
      <c r="K18" s="399">
        <f t="shared" si="1"/>
        <v>0.34485302827597597</v>
      </c>
      <c r="L18" s="399">
        <f t="shared" si="1"/>
        <v>0.33592740617910621</v>
      </c>
      <c r="M18" s="399">
        <f t="shared" si="1"/>
        <v>0.34673577035610914</v>
      </c>
      <c r="N18" s="399">
        <f t="shared" si="1"/>
        <v>0.36443449342783124</v>
      </c>
      <c r="O18" s="399">
        <f t="shared" si="1"/>
        <v>0.32542706982944392</v>
      </c>
      <c r="P18" s="399">
        <f t="shared" si="1"/>
        <v>0.25173012444988691</v>
      </c>
    </row>
    <row r="19" spans="1:16" x14ac:dyDescent="0.25">
      <c r="A19">
        <v>4730</v>
      </c>
      <c r="B19" t="s">
        <v>458</v>
      </c>
      <c r="C19" s="399">
        <f t="shared" si="1"/>
        <v>9.3169499062491237E-2</v>
      </c>
      <c r="D19" s="399">
        <f t="shared" si="1"/>
        <v>8.5898033867034596E-2</v>
      </c>
      <c r="E19" s="399">
        <f t="shared" si="1"/>
        <v>0.12672421938121289</v>
      </c>
      <c r="F19" s="399">
        <f t="shared" si="1"/>
        <v>9.3169499062491237E-2</v>
      </c>
      <c r="G19" s="399">
        <f t="shared" si="1"/>
        <v>0.14731391274719741</v>
      </c>
      <c r="H19" s="399">
        <f t="shared" si="1"/>
        <v>0.16271353491472196</v>
      </c>
      <c r="I19" s="399">
        <f t="shared" si="1"/>
        <v>0.19207384286026846</v>
      </c>
      <c r="J19" s="399">
        <f t="shared" si="1"/>
        <v>0.25430324199445209</v>
      </c>
      <c r="K19" s="399">
        <f t="shared" si="1"/>
        <v>0.23753654689565373</v>
      </c>
      <c r="L19" s="399">
        <f t="shared" si="1"/>
        <v>0.23570226039551584</v>
      </c>
      <c r="M19" s="399">
        <f t="shared" si="1"/>
        <v>0.25086655372483946</v>
      </c>
      <c r="N19" s="399">
        <f t="shared" si="1"/>
        <v>0.2651650429449553</v>
      </c>
      <c r="O19" s="399">
        <f t="shared" si="1"/>
        <v>0.26352313834736496</v>
      </c>
      <c r="P19" s="399">
        <f t="shared" si="1"/>
        <v>0.23011168785806793</v>
      </c>
    </row>
    <row r="20" spans="1:16" x14ac:dyDescent="0.25">
      <c r="A20">
        <v>4707</v>
      </c>
      <c r="B20" t="s">
        <v>450</v>
      </c>
      <c r="C20" s="399">
        <f t="shared" si="1"/>
        <v>0.12672421938121289</v>
      </c>
      <c r="D20" s="399">
        <f t="shared" si="1"/>
        <v>0.10622957319984967</v>
      </c>
      <c r="E20" s="399">
        <f t="shared" si="1"/>
        <v>0.10622957319984967</v>
      </c>
      <c r="F20" s="399">
        <f t="shared" si="1"/>
        <v>4.6584749531245619E-2</v>
      </c>
      <c r="G20" s="399">
        <f t="shared" si="1"/>
        <v>2.0833333333333332E-2</v>
      </c>
      <c r="H20" s="399">
        <f t="shared" si="1"/>
        <v>2.946278254943948E-2</v>
      </c>
      <c r="I20" s="399">
        <f t="shared" si="1"/>
        <v>5.892556509887896E-2</v>
      </c>
      <c r="J20" s="399">
        <f t="shared" si="1"/>
        <v>0.13176156917368248</v>
      </c>
      <c r="K20" s="399">
        <f t="shared" si="1"/>
        <v>0.11219093348196882</v>
      </c>
      <c r="L20" s="399">
        <f t="shared" si="1"/>
        <v>0.10416666666666666</v>
      </c>
      <c r="M20" s="399">
        <f t="shared" si="1"/>
        <v>0.11785113019775792</v>
      </c>
      <c r="N20" s="399">
        <f t="shared" si="1"/>
        <v>0.13339842161318433</v>
      </c>
      <c r="O20" s="399">
        <f t="shared" si="1"/>
        <v>0.14583333333333331</v>
      </c>
      <c r="P20" s="399">
        <f t="shared" si="1"/>
        <v>0.16271353491472196</v>
      </c>
    </row>
    <row r="21" spans="1:16" x14ac:dyDescent="0.25">
      <c r="A21">
        <v>4703</v>
      </c>
      <c r="B21" t="s">
        <v>505</v>
      </c>
      <c r="C21" s="399">
        <f t="shared" si="1"/>
        <v>0.37557825786083221</v>
      </c>
      <c r="D21" s="399">
        <f t="shared" si="1"/>
        <v>0.39528470752104738</v>
      </c>
      <c r="E21" s="399">
        <f t="shared" si="1"/>
        <v>0.41036907507483766</v>
      </c>
      <c r="F21" s="399">
        <f t="shared" si="1"/>
        <v>0.45500686808003238</v>
      </c>
      <c r="G21" s="399">
        <f t="shared" si="1"/>
        <v>0.52083333333333326</v>
      </c>
      <c r="H21" s="399">
        <f t="shared" si="1"/>
        <v>0.52704627669472992</v>
      </c>
      <c r="I21" s="399">
        <f t="shared" si="1"/>
        <v>0.55355542731610097</v>
      </c>
      <c r="J21" s="399">
        <f t="shared" si="1"/>
        <v>0.63259276877870729</v>
      </c>
      <c r="K21" s="399">
        <f t="shared" si="1"/>
        <v>0.61272671541053092</v>
      </c>
      <c r="L21" s="399">
        <f t="shared" si="1"/>
        <v>0.59984083537033195</v>
      </c>
      <c r="M21" s="399">
        <f t="shared" si="1"/>
        <v>0.60739082237971875</v>
      </c>
      <c r="N21" s="399">
        <f t="shared" si="1"/>
        <v>0.62673370652047178</v>
      </c>
      <c r="O21" s="399">
        <f t="shared" si="1"/>
        <v>0.56095466740984412</v>
      </c>
      <c r="P21" s="399">
        <f t="shared" si="1"/>
        <v>0.46257506898280243</v>
      </c>
    </row>
    <row r="22" spans="1:16" x14ac:dyDescent="0.25">
      <c r="A22">
        <v>4641</v>
      </c>
      <c r="B22" t="s">
        <v>491</v>
      </c>
      <c r="C22" s="399">
        <f t="shared" si="1"/>
        <v>0.17921510973005472</v>
      </c>
      <c r="D22" s="399">
        <f t="shared" si="1"/>
        <v>0.19654127358451257</v>
      </c>
      <c r="E22" s="399">
        <f t="shared" si="1"/>
        <v>0.22146137109863853</v>
      </c>
      <c r="F22" s="399">
        <f t="shared" si="1"/>
        <v>0.25173012444988691</v>
      </c>
      <c r="G22" s="399">
        <f t="shared" si="1"/>
        <v>0.31732387941099616</v>
      </c>
      <c r="H22" s="399">
        <f t="shared" si="1"/>
        <v>0.32609324671871931</v>
      </c>
      <c r="I22" s="399">
        <f t="shared" si="1"/>
        <v>0.35416666666666663</v>
      </c>
      <c r="J22" s="399">
        <f t="shared" si="1"/>
        <v>0.42949016933517298</v>
      </c>
      <c r="K22" s="399">
        <f t="shared" si="1"/>
        <v>0.41036907507483766</v>
      </c>
      <c r="L22" s="399">
        <f t="shared" si="1"/>
        <v>0.40073716795148628</v>
      </c>
      <c r="M22" s="399">
        <f t="shared" ref="D22:P37" si="2">SQRT(((LEFT(M$6,3)-LEFT($B22,3))*(LEFT(M$6,3)-LEFT($B22,3)))+((RIGHT(M$6,3)-RIGHT($B22,3))*(RIGHT(M$6,3)-RIGHT($B22,3))))*$D$1</f>
        <v>0.41089756090241708</v>
      </c>
      <c r="N22" s="399">
        <f t="shared" si="2"/>
        <v>0.4289845892077917</v>
      </c>
      <c r="O22" s="399">
        <f t="shared" si="2"/>
        <v>0.38301617314271319</v>
      </c>
      <c r="P22" s="399">
        <f t="shared" si="2"/>
        <v>0.30046260628866572</v>
      </c>
    </row>
    <row r="23" spans="1:16" x14ac:dyDescent="0.25">
      <c r="A23">
        <v>4506</v>
      </c>
      <c r="B23" t="s">
        <v>471</v>
      </c>
      <c r="C23" s="399">
        <f t="shared" si="1"/>
        <v>0.13339842161318433</v>
      </c>
      <c r="D23" s="399">
        <f t="shared" si="2"/>
        <v>0.14731391274719741</v>
      </c>
      <c r="E23" s="399">
        <f t="shared" si="2"/>
        <v>0.17921510973005472</v>
      </c>
      <c r="F23" s="399">
        <f t="shared" si="2"/>
        <v>0.19654127358451257</v>
      </c>
      <c r="G23" s="399">
        <f t="shared" si="2"/>
        <v>0.26104091846128474</v>
      </c>
      <c r="H23" s="399">
        <f t="shared" si="2"/>
        <v>0.27163343355011038</v>
      </c>
      <c r="I23" s="399">
        <f t="shared" si="2"/>
        <v>0.30046260628866572</v>
      </c>
      <c r="J23" s="399">
        <f t="shared" si="2"/>
        <v>0.37267799624996495</v>
      </c>
      <c r="K23" s="399">
        <f t="shared" si="2"/>
        <v>0.35416666666666663</v>
      </c>
      <c r="L23" s="399">
        <f t="shared" si="2"/>
        <v>0.34673577035610914</v>
      </c>
      <c r="M23" s="399">
        <f t="shared" si="2"/>
        <v>0.35843021946010944</v>
      </c>
      <c r="N23" s="399">
        <f t="shared" si="2"/>
        <v>0.37557825786083221</v>
      </c>
      <c r="O23" s="399">
        <f t="shared" si="2"/>
        <v>0.34169207222618181</v>
      </c>
      <c r="P23" s="399">
        <f t="shared" si="2"/>
        <v>0.27083333333333331</v>
      </c>
    </row>
    <row r="24" spans="1:16" x14ac:dyDescent="0.25">
      <c r="A24">
        <v>4493</v>
      </c>
      <c r="B24" t="s">
        <v>494</v>
      </c>
      <c r="C24" s="399">
        <f t="shared" si="1"/>
        <v>0.5837052385884125</v>
      </c>
      <c r="D24" s="399">
        <f t="shared" si="2"/>
        <v>0.60452575535612119</v>
      </c>
      <c r="E24" s="399">
        <f t="shared" si="2"/>
        <v>0.60739082237971875</v>
      </c>
      <c r="F24" s="399">
        <f t="shared" si="2"/>
        <v>0.66699210806592168</v>
      </c>
      <c r="G24" s="399">
        <f t="shared" si="2"/>
        <v>0.73035617262325436</v>
      </c>
      <c r="H24" s="399">
        <f t="shared" si="2"/>
        <v>0.73184033626042899</v>
      </c>
      <c r="I24" s="399">
        <f t="shared" si="2"/>
        <v>0.75461542817811811</v>
      </c>
      <c r="J24" s="399">
        <f t="shared" si="2"/>
        <v>0.83748963509340746</v>
      </c>
      <c r="K24" s="399">
        <f t="shared" si="2"/>
        <v>0.81676232432969409</v>
      </c>
      <c r="L24" s="399">
        <f t="shared" si="2"/>
        <v>0.79849032903069994</v>
      </c>
      <c r="M24" s="399">
        <f t="shared" si="2"/>
        <v>0.80147433590297257</v>
      </c>
      <c r="N24" s="399">
        <f t="shared" si="2"/>
        <v>0.82205915237286908</v>
      </c>
      <c r="O24" s="399">
        <f t="shared" si="2"/>
        <v>0.73272939146120719</v>
      </c>
      <c r="P24" s="399">
        <f t="shared" si="2"/>
        <v>0.62673370652047178</v>
      </c>
    </row>
    <row r="25" spans="1:16" x14ac:dyDescent="0.25">
      <c r="A25">
        <v>4435</v>
      </c>
      <c r="B25" t="s">
        <v>483</v>
      </c>
      <c r="C25" s="399">
        <f t="shared" si="1"/>
        <v>0.25769410160110373</v>
      </c>
      <c r="D25" s="399">
        <f t="shared" si="2"/>
        <v>0.27795133466929861</v>
      </c>
      <c r="E25" s="399">
        <f t="shared" si="2"/>
        <v>0.29017475577466911</v>
      </c>
      <c r="F25" s="399">
        <f t="shared" si="2"/>
        <v>0.33914209575207721</v>
      </c>
      <c r="G25" s="399">
        <f t="shared" si="2"/>
        <v>0.40451016331140832</v>
      </c>
      <c r="H25" s="399">
        <f t="shared" si="2"/>
        <v>0.40931005634142703</v>
      </c>
      <c r="I25" s="399">
        <f t="shared" si="2"/>
        <v>0.43501277120460624</v>
      </c>
      <c r="J25" s="399">
        <f t="shared" si="2"/>
        <v>0.51538820320220746</v>
      </c>
      <c r="K25" s="399">
        <f t="shared" si="2"/>
        <v>0.49520268016686303</v>
      </c>
      <c r="L25" s="399">
        <f t="shared" si="2"/>
        <v>0.48097484919229982</v>
      </c>
      <c r="M25" s="399">
        <f t="shared" si="2"/>
        <v>0.4876958296133177</v>
      </c>
      <c r="N25" s="399">
        <f t="shared" si="2"/>
        <v>0.50732481924524664</v>
      </c>
      <c r="O25" s="399">
        <f t="shared" si="2"/>
        <v>0.43947964811935392</v>
      </c>
      <c r="P25" s="399">
        <f t="shared" si="2"/>
        <v>0.34169207222618181</v>
      </c>
    </row>
    <row r="26" spans="1:16" x14ac:dyDescent="0.25">
      <c r="A26">
        <v>4419</v>
      </c>
      <c r="B26" t="s">
        <v>493</v>
      </c>
      <c r="C26" s="399">
        <f t="shared" si="1"/>
        <v>0.4375</v>
      </c>
      <c r="D26" s="399">
        <f t="shared" si="2"/>
        <v>0.45833333333333331</v>
      </c>
      <c r="E26" s="399">
        <f t="shared" si="2"/>
        <v>0.46022337571613586</v>
      </c>
      <c r="F26" s="399">
        <f t="shared" si="2"/>
        <v>0.52083333333333326</v>
      </c>
      <c r="G26" s="399">
        <f t="shared" si="2"/>
        <v>0.5837052385884125</v>
      </c>
      <c r="H26" s="399">
        <f t="shared" si="2"/>
        <v>0.58481953531742492</v>
      </c>
      <c r="I26" s="399">
        <f t="shared" si="2"/>
        <v>0.60739082237971875</v>
      </c>
      <c r="J26" s="399">
        <f t="shared" si="2"/>
        <v>0.69033506357420382</v>
      </c>
      <c r="K26" s="399">
        <f t="shared" si="2"/>
        <v>0.66958994499950819</v>
      </c>
      <c r="L26" s="399">
        <f t="shared" si="2"/>
        <v>0.65118748367032431</v>
      </c>
      <c r="M26" s="399">
        <f t="shared" si="2"/>
        <v>0.65417993617114922</v>
      </c>
      <c r="N26" s="399">
        <f t="shared" si="2"/>
        <v>0.67475561419590191</v>
      </c>
      <c r="O26" s="399">
        <f t="shared" si="2"/>
        <v>0.58667199334703013</v>
      </c>
      <c r="P26" s="399">
        <f t="shared" si="2"/>
        <v>0.48097484919229982</v>
      </c>
    </row>
    <row r="27" spans="1:16" x14ac:dyDescent="0.25">
      <c r="A27">
        <v>4356</v>
      </c>
      <c r="B27" t="s">
        <v>474</v>
      </c>
      <c r="C27" s="399">
        <f t="shared" si="1"/>
        <v>0.19654127358451257</v>
      </c>
      <c r="D27" s="399">
        <f t="shared" si="2"/>
        <v>0.21449229460389585</v>
      </c>
      <c r="E27" s="399">
        <f t="shared" si="2"/>
        <v>0.23753654689565373</v>
      </c>
      <c r="F27" s="399">
        <f t="shared" si="2"/>
        <v>0.27083333333333331</v>
      </c>
      <c r="G27" s="399">
        <f t="shared" si="2"/>
        <v>0.33657280044590643</v>
      </c>
      <c r="H27" s="399">
        <f t="shared" si="2"/>
        <v>0.34485302827597597</v>
      </c>
      <c r="I27" s="399">
        <f t="shared" si="2"/>
        <v>0.37267799624996495</v>
      </c>
      <c r="J27" s="399">
        <f t="shared" si="2"/>
        <v>0.44876373392787527</v>
      </c>
      <c r="K27" s="399">
        <f t="shared" si="2"/>
        <v>0.42949016933517298</v>
      </c>
      <c r="L27" s="399">
        <f t="shared" si="2"/>
        <v>0.41926274578121059</v>
      </c>
      <c r="M27" s="399">
        <f t="shared" si="2"/>
        <v>0.4289845892077917</v>
      </c>
      <c r="N27" s="399">
        <f t="shared" si="2"/>
        <v>0.44731063653299763</v>
      </c>
      <c r="O27" s="399">
        <f t="shared" si="2"/>
        <v>0.39802027446964161</v>
      </c>
      <c r="P27" s="399">
        <f t="shared" si="2"/>
        <v>0.3125</v>
      </c>
    </row>
    <row r="28" spans="1:16" x14ac:dyDescent="0.25">
      <c r="A28">
        <v>4172</v>
      </c>
      <c r="B28" t="s">
        <v>511</v>
      </c>
      <c r="C28" s="399">
        <f t="shared" si="1"/>
        <v>0.47002142386160323</v>
      </c>
      <c r="D28" s="399">
        <f t="shared" si="2"/>
        <v>0.49035842899749249</v>
      </c>
      <c r="E28" s="399">
        <f t="shared" si="2"/>
        <v>0.50086730334047114</v>
      </c>
      <c r="F28" s="399">
        <f t="shared" si="2"/>
        <v>0.55159176228640527</v>
      </c>
      <c r="G28" s="399">
        <f t="shared" si="2"/>
        <v>0.61696220395670198</v>
      </c>
      <c r="H28" s="399">
        <f t="shared" si="2"/>
        <v>0.62151807875734577</v>
      </c>
      <c r="I28" s="399">
        <f t="shared" si="2"/>
        <v>0.64684061234416768</v>
      </c>
      <c r="J28" s="399">
        <f t="shared" si="2"/>
        <v>0.72767704985720738</v>
      </c>
      <c r="K28" s="399">
        <f t="shared" si="2"/>
        <v>0.70741361859790186</v>
      </c>
      <c r="L28" s="399">
        <f t="shared" si="2"/>
        <v>0.69253208910811082</v>
      </c>
      <c r="M28" s="399">
        <f t="shared" si="2"/>
        <v>0.69846060892667539</v>
      </c>
      <c r="N28" s="399">
        <f t="shared" si="2"/>
        <v>0.71837248539861109</v>
      </c>
      <c r="O28" s="399">
        <f t="shared" si="2"/>
        <v>0.64313954335138046</v>
      </c>
      <c r="P28" s="399">
        <f t="shared" si="2"/>
        <v>0.5404634071280352</v>
      </c>
    </row>
    <row r="29" spans="1:16" x14ac:dyDescent="0.25">
      <c r="A29">
        <v>4097</v>
      </c>
      <c r="B29" t="s">
        <v>452</v>
      </c>
      <c r="C29" s="399">
        <f t="shared" si="1"/>
        <v>0.12147816447594376</v>
      </c>
      <c r="D29" s="399">
        <f t="shared" si="2"/>
        <v>0.10416666666666666</v>
      </c>
      <c r="E29" s="399">
        <f t="shared" si="2"/>
        <v>8.5898033867034596E-2</v>
      </c>
      <c r="F29" s="399">
        <f t="shared" si="2"/>
        <v>6.588078458684124E-2</v>
      </c>
      <c r="G29" s="399">
        <f t="shared" si="2"/>
        <v>5.892556509887896E-2</v>
      </c>
      <c r="H29" s="399">
        <f t="shared" si="2"/>
        <v>4.6584749531245619E-2</v>
      </c>
      <c r="I29" s="399">
        <f t="shared" si="2"/>
        <v>6.25E-2</v>
      </c>
      <c r="J29" s="399">
        <f t="shared" si="2"/>
        <v>0.14583333333333331</v>
      </c>
      <c r="K29" s="399">
        <f t="shared" si="2"/>
        <v>0.125</v>
      </c>
      <c r="L29" s="399">
        <f t="shared" si="2"/>
        <v>0.10622957319984967</v>
      </c>
      <c r="M29" s="399">
        <f t="shared" si="2"/>
        <v>0.11219093348196882</v>
      </c>
      <c r="N29" s="399">
        <f t="shared" si="2"/>
        <v>0.13176156917368248</v>
      </c>
      <c r="O29" s="399">
        <f t="shared" si="2"/>
        <v>0.10622957319984967</v>
      </c>
      <c r="P29" s="399">
        <f t="shared" si="2"/>
        <v>0.11785113019775792</v>
      </c>
    </row>
    <row r="30" spans="1:16" x14ac:dyDescent="0.25">
      <c r="A30">
        <v>4082</v>
      </c>
      <c r="B30" t="s">
        <v>473</v>
      </c>
      <c r="C30" s="399">
        <f t="shared" si="1"/>
        <v>0.41666666666666663</v>
      </c>
      <c r="D30" s="399">
        <f t="shared" si="2"/>
        <v>0.4375</v>
      </c>
      <c r="E30" s="399">
        <f t="shared" si="2"/>
        <v>0.43947964811935392</v>
      </c>
      <c r="F30" s="399">
        <f t="shared" si="2"/>
        <v>0.5</v>
      </c>
      <c r="G30" s="399">
        <f t="shared" si="2"/>
        <v>0.56288567025442893</v>
      </c>
      <c r="H30" s="399">
        <f t="shared" si="2"/>
        <v>0.56404109877837016</v>
      </c>
      <c r="I30" s="399">
        <f t="shared" si="2"/>
        <v>0.58667199334703013</v>
      </c>
      <c r="J30" s="399">
        <f t="shared" si="2"/>
        <v>0.66958994499950819</v>
      </c>
      <c r="K30" s="399">
        <f t="shared" si="2"/>
        <v>0.64885047926655981</v>
      </c>
      <c r="L30" s="399">
        <f t="shared" si="2"/>
        <v>0.63053108126756485</v>
      </c>
      <c r="M30" s="399">
        <f t="shared" si="2"/>
        <v>0.6336210969060645</v>
      </c>
      <c r="N30" s="399">
        <f t="shared" si="2"/>
        <v>0.65417993617114922</v>
      </c>
      <c r="O30" s="399">
        <f t="shared" si="2"/>
        <v>0.56672793786397679</v>
      </c>
      <c r="P30" s="399">
        <f t="shared" si="2"/>
        <v>0.4611654921078886</v>
      </c>
    </row>
    <row r="31" spans="1:16" x14ac:dyDescent="0.25">
      <c r="A31">
        <v>3918</v>
      </c>
      <c r="B31" t="s">
        <v>506</v>
      </c>
      <c r="C31" s="399">
        <f t="shared" si="1"/>
        <v>0.32542706982944392</v>
      </c>
      <c r="D31" s="399">
        <f t="shared" si="2"/>
        <v>0.34169207222618181</v>
      </c>
      <c r="E31" s="399">
        <f t="shared" si="2"/>
        <v>0.36857929193654437</v>
      </c>
      <c r="F31" s="399">
        <f t="shared" si="2"/>
        <v>0.39308254716902513</v>
      </c>
      <c r="G31" s="399">
        <f t="shared" si="2"/>
        <v>0.45738538333541978</v>
      </c>
      <c r="H31" s="399">
        <f t="shared" si="2"/>
        <v>0.46817093863008813</v>
      </c>
      <c r="I31" s="399">
        <f t="shared" si="2"/>
        <v>0.49695251841152344</v>
      </c>
      <c r="J31" s="399">
        <f t="shared" si="2"/>
        <v>0.56863933599817418</v>
      </c>
      <c r="K31" s="399">
        <f t="shared" si="2"/>
        <v>0.55041020056762102</v>
      </c>
      <c r="L31" s="399">
        <f t="shared" si="2"/>
        <v>0.54326686710022076</v>
      </c>
      <c r="M31" s="399">
        <f t="shared" si="2"/>
        <v>0.5547302898205978</v>
      </c>
      <c r="N31" s="399">
        <f t="shared" si="2"/>
        <v>0.5720637590727492</v>
      </c>
      <c r="O31" s="399">
        <f t="shared" si="2"/>
        <v>0.5303300858899106</v>
      </c>
      <c r="P31" s="399">
        <f t="shared" si="2"/>
        <v>0.44585280331318111</v>
      </c>
    </row>
    <row r="32" spans="1:16" x14ac:dyDescent="0.25">
      <c r="A32">
        <v>3884</v>
      </c>
      <c r="B32" t="s">
        <v>495</v>
      </c>
      <c r="C32" s="399">
        <f t="shared" si="1"/>
        <v>0.56863933599817418</v>
      </c>
      <c r="D32" s="399">
        <f t="shared" si="2"/>
        <v>0.58925565098878963</v>
      </c>
      <c r="E32" s="399">
        <f t="shared" si="2"/>
        <v>0.59657587763651465</v>
      </c>
      <c r="F32" s="399">
        <f t="shared" si="2"/>
        <v>0.65118748367032431</v>
      </c>
      <c r="G32" s="399">
        <f t="shared" si="2"/>
        <v>0.71595167822664918</v>
      </c>
      <c r="H32" s="399">
        <f t="shared" si="2"/>
        <v>0.71927818756800277</v>
      </c>
      <c r="I32" s="399">
        <f t="shared" si="2"/>
        <v>0.74360701239894778</v>
      </c>
      <c r="J32" s="399">
        <f t="shared" si="2"/>
        <v>0.82548386483995628</v>
      </c>
      <c r="K32" s="399">
        <f t="shared" si="2"/>
        <v>0.80498662859840231</v>
      </c>
      <c r="L32" s="399">
        <f t="shared" si="2"/>
        <v>0.7886455512811541</v>
      </c>
      <c r="M32" s="399">
        <f t="shared" si="2"/>
        <v>0.79330969852749045</v>
      </c>
      <c r="N32" s="399">
        <f t="shared" si="2"/>
        <v>0.81356767457360979</v>
      </c>
      <c r="O32" s="399">
        <f t="shared" si="2"/>
        <v>0.7315437444199766</v>
      </c>
      <c r="P32" s="399">
        <f t="shared" si="2"/>
        <v>0.62673370652047178</v>
      </c>
    </row>
    <row r="33" spans="1:16" x14ac:dyDescent="0.25">
      <c r="A33">
        <v>3793</v>
      </c>
      <c r="B33" t="s">
        <v>508</v>
      </c>
      <c r="C33" s="399">
        <f t="shared" si="1"/>
        <v>0.15023130314433286</v>
      </c>
      <c r="D33" s="399">
        <f t="shared" si="2"/>
        <v>0.16271353491472196</v>
      </c>
      <c r="E33" s="399">
        <f t="shared" si="2"/>
        <v>0.19654127358451257</v>
      </c>
      <c r="F33" s="399">
        <f t="shared" si="2"/>
        <v>0.20833333333333331</v>
      </c>
      <c r="G33" s="399">
        <f t="shared" si="2"/>
        <v>0.27163343355011038</v>
      </c>
      <c r="H33" s="399">
        <f t="shared" si="2"/>
        <v>0.2833639689319884</v>
      </c>
      <c r="I33" s="399">
        <f t="shared" si="2"/>
        <v>0.3125</v>
      </c>
      <c r="J33" s="399">
        <f t="shared" si="2"/>
        <v>0.3824491614726212</v>
      </c>
      <c r="K33" s="399">
        <f t="shared" si="2"/>
        <v>0.36443449342783124</v>
      </c>
      <c r="L33" s="399">
        <f t="shared" si="2"/>
        <v>0.35843021946010944</v>
      </c>
      <c r="M33" s="399">
        <f t="shared" si="2"/>
        <v>0.37092695447426782</v>
      </c>
      <c r="N33" s="399">
        <f t="shared" si="2"/>
        <v>0.38752240078621403</v>
      </c>
      <c r="O33" s="399">
        <f t="shared" si="2"/>
        <v>0.35843021946010944</v>
      </c>
      <c r="P33" s="399">
        <f t="shared" si="2"/>
        <v>0.29017475577466911</v>
      </c>
    </row>
    <row r="34" spans="1:16" x14ac:dyDescent="0.25">
      <c r="A34">
        <v>3714</v>
      </c>
      <c r="B34" t="s">
        <v>512</v>
      </c>
      <c r="C34" s="399">
        <f t="shared" si="1"/>
        <v>0.37092695447426782</v>
      </c>
      <c r="D34" s="399">
        <f t="shared" si="2"/>
        <v>0.38752240078621403</v>
      </c>
      <c r="E34" s="399">
        <f t="shared" si="2"/>
        <v>0.41352985919331681</v>
      </c>
      <c r="F34" s="399">
        <f t="shared" si="2"/>
        <v>0.43947964811935392</v>
      </c>
      <c r="G34" s="399">
        <f t="shared" si="2"/>
        <v>0.50389110926865932</v>
      </c>
      <c r="H34" s="399">
        <f t="shared" si="2"/>
        <v>0.51454537646785281</v>
      </c>
      <c r="I34" s="399">
        <f t="shared" si="2"/>
        <v>0.54326686710022076</v>
      </c>
      <c r="J34" s="399">
        <f t="shared" si="2"/>
        <v>0.61520096084305831</v>
      </c>
      <c r="K34" s="399">
        <f t="shared" si="2"/>
        <v>0.5969395325789334</v>
      </c>
      <c r="L34" s="399">
        <f t="shared" si="2"/>
        <v>0.5896238207535377</v>
      </c>
      <c r="M34" s="399">
        <f t="shared" si="2"/>
        <v>0.60092521257733145</v>
      </c>
      <c r="N34" s="399">
        <f t="shared" si="2"/>
        <v>0.61836758665232616</v>
      </c>
      <c r="O34" s="399">
        <f t="shared" si="2"/>
        <v>0.57471309267223836</v>
      </c>
      <c r="P34" s="399">
        <f t="shared" si="2"/>
        <v>0.48814060474416587</v>
      </c>
    </row>
    <row r="35" spans="1:16" x14ac:dyDescent="0.25">
      <c r="A35">
        <v>3659</v>
      </c>
      <c r="B35" t="s">
        <v>448</v>
      </c>
      <c r="C35" s="399">
        <f t="shared" si="1"/>
        <v>0.42949016933517298</v>
      </c>
      <c r="D35" s="399">
        <f t="shared" si="2"/>
        <v>0.44972985718589376</v>
      </c>
      <c r="E35" s="399">
        <f t="shared" si="2"/>
        <v>0.44194173824159222</v>
      </c>
      <c r="F35" s="399">
        <f t="shared" si="2"/>
        <v>0.51073544467213594</v>
      </c>
      <c r="G35" s="399">
        <f t="shared" si="2"/>
        <v>0.56863933599817418</v>
      </c>
      <c r="H35" s="399">
        <f t="shared" si="2"/>
        <v>0.56596157113358847</v>
      </c>
      <c r="I35" s="399">
        <f t="shared" si="2"/>
        <v>0.58481953531742492</v>
      </c>
      <c r="J35" s="399">
        <f t="shared" si="2"/>
        <v>0.66796748091172486</v>
      </c>
      <c r="K35" s="399">
        <f t="shared" si="2"/>
        <v>0.64717602362537774</v>
      </c>
      <c r="L35" s="399">
        <f t="shared" si="2"/>
        <v>0.6253471258251514</v>
      </c>
      <c r="M35" s="399">
        <f t="shared" si="2"/>
        <v>0.625</v>
      </c>
      <c r="N35" s="399">
        <f t="shared" si="2"/>
        <v>0.64583333333333326</v>
      </c>
      <c r="O35" s="399">
        <f t="shared" si="2"/>
        <v>0.54526051367926665</v>
      </c>
      <c r="P35" s="399">
        <f t="shared" si="2"/>
        <v>0.43947964811935392</v>
      </c>
    </row>
    <row r="36" spans="1:16" x14ac:dyDescent="0.25">
      <c r="A36">
        <v>3605</v>
      </c>
      <c r="B36" t="s">
        <v>459</v>
      </c>
      <c r="C36" s="399">
        <f t="shared" si="1"/>
        <v>0.15166895602667746</v>
      </c>
      <c r="D36" s="399">
        <f t="shared" si="2"/>
        <v>0.13176156917368248</v>
      </c>
      <c r="E36" s="399">
        <f t="shared" si="2"/>
        <v>0.15023130314433286</v>
      </c>
      <c r="F36" s="399">
        <f t="shared" si="2"/>
        <v>7.5115651572166431E-2</v>
      </c>
      <c r="G36" s="399">
        <f t="shared" si="2"/>
        <v>6.25E-2</v>
      </c>
      <c r="H36" s="399">
        <f t="shared" si="2"/>
        <v>8.3333333333333329E-2</v>
      </c>
      <c r="I36" s="399">
        <f t="shared" si="2"/>
        <v>0.10622957319984967</v>
      </c>
      <c r="J36" s="399">
        <f t="shared" si="2"/>
        <v>0.14731391274719741</v>
      </c>
      <c r="K36" s="399">
        <f t="shared" si="2"/>
        <v>0.13339842161318433</v>
      </c>
      <c r="L36" s="399">
        <f t="shared" si="2"/>
        <v>0.13975424859373686</v>
      </c>
      <c r="M36" s="399">
        <f t="shared" si="2"/>
        <v>0.15866193970549808</v>
      </c>
      <c r="N36" s="399">
        <f t="shared" si="2"/>
        <v>0.16796370308955311</v>
      </c>
      <c r="O36" s="399">
        <f t="shared" si="2"/>
        <v>0.20937240877335186</v>
      </c>
      <c r="P36" s="399">
        <f t="shared" si="2"/>
        <v>0.22534695471649935</v>
      </c>
    </row>
    <row r="37" spans="1:16" x14ac:dyDescent="0.25">
      <c r="A37">
        <v>3575</v>
      </c>
      <c r="B37" t="s">
        <v>514</v>
      </c>
      <c r="C37" s="399">
        <f t="shared" si="1"/>
        <v>0.50732481924524664</v>
      </c>
      <c r="D37" s="399">
        <f t="shared" si="2"/>
        <v>0.52704627669472992</v>
      </c>
      <c r="E37" s="399">
        <f t="shared" si="2"/>
        <v>0.54166666666666663</v>
      </c>
      <c r="F37" s="399">
        <f t="shared" si="2"/>
        <v>0.58667199334703013</v>
      </c>
      <c r="G37" s="399">
        <f t="shared" si="2"/>
        <v>0.65251915680690931</v>
      </c>
      <c r="H37" s="399">
        <f t="shared" si="2"/>
        <v>0.65880784586841235</v>
      </c>
      <c r="I37" s="399">
        <f t="shared" si="2"/>
        <v>0.68528684180827182</v>
      </c>
      <c r="J37" s="399">
        <f t="shared" si="2"/>
        <v>0.76433068032683915</v>
      </c>
      <c r="K37" s="399">
        <f t="shared" si="2"/>
        <v>0.74448201605023478</v>
      </c>
      <c r="L37" s="399">
        <f t="shared" si="2"/>
        <v>0.7315437444199766</v>
      </c>
      <c r="M37" s="399">
        <f t="shared" si="2"/>
        <v>0.73892282712367496</v>
      </c>
      <c r="N37" s="399">
        <f t="shared" si="2"/>
        <v>0.75834478013338735</v>
      </c>
      <c r="O37" s="399">
        <f t="shared" si="2"/>
        <v>0.69002063173663308</v>
      </c>
      <c r="P37" s="399">
        <f t="shared" si="2"/>
        <v>0.5896238207535377</v>
      </c>
    </row>
    <row r="38" spans="1:16" x14ac:dyDescent="0.25">
      <c r="A38">
        <v>3546</v>
      </c>
      <c r="B38" t="s">
        <v>490</v>
      </c>
      <c r="C38" s="399">
        <f t="shared" si="1"/>
        <v>0.73035617262325436</v>
      </c>
      <c r="D38" s="399">
        <f t="shared" ref="D38:P53" si="3">SQRT(((LEFT(D$6,3)-LEFT($B38,3))*(LEFT(D$6,3)-LEFT($B38,3)))+((RIGHT(D$6,3)-RIGHT($B38,3))*(RIGHT(D$6,3)-RIGHT($B38,3))))*$D$1</f>
        <v>0.75115651572166442</v>
      </c>
      <c r="E38" s="399">
        <f t="shared" si="3"/>
        <v>0.75</v>
      </c>
      <c r="F38" s="399">
        <f t="shared" si="3"/>
        <v>0.81356767457360979</v>
      </c>
      <c r="G38" s="399">
        <f t="shared" si="3"/>
        <v>0.87524798073333354</v>
      </c>
      <c r="H38" s="399">
        <f t="shared" si="3"/>
        <v>0.875</v>
      </c>
      <c r="I38" s="399">
        <f t="shared" si="3"/>
        <v>0.89607554865027361</v>
      </c>
      <c r="J38" s="399">
        <f t="shared" si="3"/>
        <v>0.97938827279526319</v>
      </c>
      <c r="K38" s="399">
        <f t="shared" si="3"/>
        <v>0.95855975586061171</v>
      </c>
      <c r="L38" s="399">
        <f t="shared" si="3"/>
        <v>0.93842546912960068</v>
      </c>
      <c r="M38" s="399">
        <f t="shared" si="3"/>
        <v>0.93958102364830665</v>
      </c>
      <c r="N38" s="399">
        <f t="shared" si="3"/>
        <v>0.96036921430134248</v>
      </c>
      <c r="O38" s="399">
        <f t="shared" si="3"/>
        <v>0.86326455646252742</v>
      </c>
      <c r="P38" s="399">
        <f t="shared" si="3"/>
        <v>0.75719924355776025</v>
      </c>
    </row>
    <row r="39" spans="1:16" x14ac:dyDescent="0.25">
      <c r="A39">
        <v>3399</v>
      </c>
      <c r="B39" t="s">
        <v>510</v>
      </c>
      <c r="C39" s="399">
        <f t="shared" si="1"/>
        <v>0.2833639689319884</v>
      </c>
      <c r="D39" s="399">
        <f t="shared" si="3"/>
        <v>0.29609730007399782</v>
      </c>
      <c r="E39" s="399">
        <f t="shared" si="3"/>
        <v>0.32940392293420617</v>
      </c>
      <c r="F39" s="399">
        <f t="shared" si="3"/>
        <v>0.33914209575207721</v>
      </c>
      <c r="G39" s="399">
        <f t="shared" si="3"/>
        <v>0.40019526483955303</v>
      </c>
      <c r="H39" s="399">
        <f t="shared" si="3"/>
        <v>0.41352985919331681</v>
      </c>
      <c r="I39" s="399">
        <f t="shared" si="3"/>
        <v>0.44292274219727706</v>
      </c>
      <c r="J39" s="399">
        <f t="shared" si="3"/>
        <v>0.50860648398890418</v>
      </c>
      <c r="K39" s="399">
        <f t="shared" si="3"/>
        <v>0.49168432171691445</v>
      </c>
      <c r="L39" s="399">
        <f t="shared" si="3"/>
        <v>0.48814060474416587</v>
      </c>
      <c r="M39" s="399">
        <f t="shared" si="3"/>
        <v>0.50173310744967892</v>
      </c>
      <c r="N39" s="399">
        <f t="shared" si="3"/>
        <v>0.51748926451559252</v>
      </c>
      <c r="O39" s="399">
        <f t="shared" si="3"/>
        <v>0.49168432171691445</v>
      </c>
      <c r="P39" s="399">
        <f t="shared" si="3"/>
        <v>0.41926274578121059</v>
      </c>
    </row>
    <row r="40" spans="1:16" x14ac:dyDescent="0.25">
      <c r="A40">
        <v>3280</v>
      </c>
      <c r="B40" t="s">
        <v>469</v>
      </c>
      <c r="C40" s="399">
        <f t="shared" si="1"/>
        <v>0.24295632895188751</v>
      </c>
      <c r="D40" s="399">
        <f t="shared" si="3"/>
        <v>0.26104091846128474</v>
      </c>
      <c r="E40" s="399">
        <f t="shared" si="3"/>
        <v>0.2833639689319884</v>
      </c>
      <c r="F40" s="399">
        <f t="shared" si="3"/>
        <v>0.31732387941099616</v>
      </c>
      <c r="G40" s="399">
        <f t="shared" si="3"/>
        <v>0.38301617314271319</v>
      </c>
      <c r="H40" s="399">
        <f t="shared" si="3"/>
        <v>0.39142279641783195</v>
      </c>
      <c r="I40" s="399">
        <f t="shared" si="3"/>
        <v>0.41926274578121059</v>
      </c>
      <c r="J40" s="399">
        <f t="shared" si="3"/>
        <v>0.49520268016686303</v>
      </c>
      <c r="K40" s="399">
        <f t="shared" si="3"/>
        <v>0.47598581911649429</v>
      </c>
      <c r="L40" s="399">
        <f t="shared" si="3"/>
        <v>0.46584749531245617</v>
      </c>
      <c r="M40" s="399">
        <f t="shared" si="3"/>
        <v>0.47552967543805524</v>
      </c>
      <c r="N40" s="399">
        <f t="shared" si="3"/>
        <v>0.49388623296373735</v>
      </c>
      <c r="O40" s="399">
        <f t="shared" si="3"/>
        <v>0.44292274219727706</v>
      </c>
      <c r="P40" s="399">
        <f t="shared" si="3"/>
        <v>0.35477888262346668</v>
      </c>
    </row>
    <row r="41" spans="1:16" x14ac:dyDescent="0.25">
      <c r="A41">
        <v>3269</v>
      </c>
      <c r="B41" t="s">
        <v>486</v>
      </c>
      <c r="C41" s="399">
        <f t="shared" si="1"/>
        <v>0.40235849824641595</v>
      </c>
      <c r="D41" s="399">
        <f t="shared" si="3"/>
        <v>0.42184284856909554</v>
      </c>
      <c r="E41" s="399">
        <f t="shared" si="3"/>
        <v>0.43799575086726328</v>
      </c>
      <c r="F41" s="399">
        <f t="shared" si="3"/>
        <v>0.48097484919229982</v>
      </c>
      <c r="G41" s="399">
        <f t="shared" si="3"/>
        <v>0.54685019785027866</v>
      </c>
      <c r="H41" s="399">
        <f t="shared" si="3"/>
        <v>0.55355542731610097</v>
      </c>
      <c r="I41" s="399">
        <f t="shared" si="3"/>
        <v>0.58034951154933823</v>
      </c>
      <c r="J41" s="399">
        <f t="shared" si="3"/>
        <v>0.65880784586841235</v>
      </c>
      <c r="K41" s="399">
        <f t="shared" si="3"/>
        <v>0.63907756875741528</v>
      </c>
      <c r="L41" s="399">
        <f t="shared" si="3"/>
        <v>0.62673370652047178</v>
      </c>
      <c r="M41" s="399">
        <f t="shared" si="3"/>
        <v>0.63464775882199231</v>
      </c>
      <c r="N41" s="399">
        <f t="shared" si="3"/>
        <v>0.65384811776980056</v>
      </c>
      <c r="O41" s="399">
        <f t="shared" si="3"/>
        <v>0.5896238207535377</v>
      </c>
      <c r="P41" s="399">
        <f t="shared" si="3"/>
        <v>0.49168432171691445</v>
      </c>
    </row>
    <row r="42" spans="1:16" x14ac:dyDescent="0.25">
      <c r="A42">
        <v>3236</v>
      </c>
      <c r="B42" t="s">
        <v>467</v>
      </c>
      <c r="C42" s="399">
        <f t="shared" si="1"/>
        <v>0.27950849718747373</v>
      </c>
      <c r="D42" s="399">
        <f t="shared" si="3"/>
        <v>0.29828793881825733</v>
      </c>
      <c r="E42" s="399">
        <f t="shared" si="3"/>
        <v>0.31800703171820305</v>
      </c>
      <c r="F42" s="399">
        <f t="shared" si="3"/>
        <v>0.3560001560548971</v>
      </c>
      <c r="G42" s="399">
        <f t="shared" si="3"/>
        <v>0.42184284856909554</v>
      </c>
      <c r="H42" s="399">
        <f t="shared" si="3"/>
        <v>0.42949016933517298</v>
      </c>
      <c r="I42" s="399">
        <f t="shared" si="3"/>
        <v>0.45691067082211057</v>
      </c>
      <c r="J42" s="399">
        <f t="shared" si="3"/>
        <v>0.53400023408234565</v>
      </c>
      <c r="K42" s="399">
        <f t="shared" si="3"/>
        <v>0.51454537646785281</v>
      </c>
      <c r="L42" s="399">
        <f t="shared" si="3"/>
        <v>0.50346024889977381</v>
      </c>
      <c r="M42" s="399">
        <f t="shared" si="3"/>
        <v>0.51243224484370176</v>
      </c>
      <c r="N42" s="399">
        <f t="shared" si="3"/>
        <v>0.53114786599924835</v>
      </c>
      <c r="O42" s="399">
        <f t="shared" si="3"/>
        <v>0.47507309379130747</v>
      </c>
      <c r="P42" s="399">
        <f t="shared" si="3"/>
        <v>0.38301617314271319</v>
      </c>
    </row>
    <row r="43" spans="1:16" x14ac:dyDescent="0.25">
      <c r="A43">
        <v>3150</v>
      </c>
      <c r="B43" t="s">
        <v>513</v>
      </c>
      <c r="C43" s="399">
        <f t="shared" si="1"/>
        <v>0.19207384286026846</v>
      </c>
      <c r="D43" s="399">
        <f t="shared" si="3"/>
        <v>0.20623947784607635</v>
      </c>
      <c r="E43" s="399">
        <f t="shared" si="3"/>
        <v>0.23753654689565373</v>
      </c>
      <c r="F43" s="399">
        <f t="shared" si="3"/>
        <v>0.25430324199445209</v>
      </c>
      <c r="G43" s="399">
        <f t="shared" si="3"/>
        <v>0.31800703171820305</v>
      </c>
      <c r="H43" s="399">
        <f t="shared" si="3"/>
        <v>0.32940392293420617</v>
      </c>
      <c r="I43" s="399">
        <f t="shared" si="3"/>
        <v>0.35843021946010944</v>
      </c>
      <c r="J43" s="399">
        <f t="shared" si="3"/>
        <v>0.4289845892077917</v>
      </c>
      <c r="K43" s="399">
        <f t="shared" si="3"/>
        <v>0.41089756090241708</v>
      </c>
      <c r="L43" s="399">
        <f t="shared" si="3"/>
        <v>0.40451016331140832</v>
      </c>
      <c r="M43" s="399">
        <f t="shared" si="3"/>
        <v>0.41666666666666663</v>
      </c>
      <c r="N43" s="399">
        <f t="shared" si="3"/>
        <v>0.43351358430593356</v>
      </c>
      <c r="O43" s="399">
        <f t="shared" si="3"/>
        <v>0.40019526483955303</v>
      </c>
      <c r="P43" s="399">
        <f t="shared" si="3"/>
        <v>0.32609324671871931</v>
      </c>
    </row>
    <row r="44" spans="1:16" x14ac:dyDescent="0.25">
      <c r="A44">
        <v>3003</v>
      </c>
      <c r="B44" t="s">
        <v>451</v>
      </c>
      <c r="C44" s="399">
        <f t="shared" si="1"/>
        <v>0.10622957319984967</v>
      </c>
      <c r="D44" s="399">
        <f t="shared" si="3"/>
        <v>8.5898033867034596E-2</v>
      </c>
      <c r="E44" s="399">
        <f t="shared" si="3"/>
        <v>0.10416666666666666</v>
      </c>
      <c r="F44" s="399">
        <f t="shared" si="3"/>
        <v>2.946278254943948E-2</v>
      </c>
      <c r="G44" s="399">
        <f t="shared" si="3"/>
        <v>5.892556509887896E-2</v>
      </c>
      <c r="H44" s="399">
        <f t="shared" si="3"/>
        <v>7.5115651572166431E-2</v>
      </c>
      <c r="I44" s="399">
        <f t="shared" si="3"/>
        <v>0.10416666666666666</v>
      </c>
      <c r="J44" s="399">
        <f t="shared" si="3"/>
        <v>0.16796370308955311</v>
      </c>
      <c r="K44" s="399">
        <f t="shared" si="3"/>
        <v>0.15023130314433286</v>
      </c>
      <c r="L44" s="399">
        <f t="shared" si="3"/>
        <v>0.14731391274719741</v>
      </c>
      <c r="M44" s="399">
        <f t="shared" si="3"/>
        <v>0.16271353491472196</v>
      </c>
      <c r="N44" s="399">
        <f t="shared" si="3"/>
        <v>0.17677669529663687</v>
      </c>
      <c r="O44" s="399">
        <f t="shared" si="3"/>
        <v>0.18865385704452953</v>
      </c>
      <c r="P44" s="399">
        <f t="shared" si="3"/>
        <v>0.18633899812498247</v>
      </c>
    </row>
    <row r="45" spans="1:16" x14ac:dyDescent="0.25">
      <c r="A45">
        <v>2974</v>
      </c>
      <c r="B45" t="s">
        <v>496</v>
      </c>
      <c r="C45" s="399">
        <f t="shared" si="1"/>
        <v>0.45833333333333331</v>
      </c>
      <c r="D45" s="399">
        <f t="shared" si="3"/>
        <v>0.47916666666666663</v>
      </c>
      <c r="E45" s="399">
        <f t="shared" si="3"/>
        <v>0.48097484919229982</v>
      </c>
      <c r="F45" s="399">
        <f t="shared" si="3"/>
        <v>0.54166666666666663</v>
      </c>
      <c r="G45" s="399">
        <f t="shared" si="3"/>
        <v>0.60452575535612119</v>
      </c>
      <c r="H45" s="399">
        <f t="shared" si="3"/>
        <v>0.60560174390619304</v>
      </c>
      <c r="I45" s="399">
        <f t="shared" si="3"/>
        <v>0.62811722632005562</v>
      </c>
      <c r="J45" s="399">
        <f t="shared" si="3"/>
        <v>0.71108534024483383</v>
      </c>
      <c r="K45" s="399">
        <f t="shared" si="3"/>
        <v>0.69033506357420382</v>
      </c>
      <c r="L45" s="399">
        <f t="shared" si="3"/>
        <v>0.67185481235821243</v>
      </c>
      <c r="M45" s="399">
        <f t="shared" si="3"/>
        <v>0.67475561419590191</v>
      </c>
      <c r="N45" s="399">
        <f t="shared" si="3"/>
        <v>0.69534663617827652</v>
      </c>
      <c r="O45" s="399">
        <f t="shared" si="3"/>
        <v>0.60667582410670984</v>
      </c>
      <c r="P45" s="399">
        <f t="shared" si="3"/>
        <v>0.50086730334047114</v>
      </c>
    </row>
    <row r="46" spans="1:16" x14ac:dyDescent="0.25">
      <c r="A46">
        <v>2961</v>
      </c>
      <c r="B46" t="s">
        <v>489</v>
      </c>
      <c r="C46" s="399">
        <f t="shared" si="1"/>
        <v>0.35416666666666663</v>
      </c>
      <c r="D46" s="399">
        <f t="shared" si="3"/>
        <v>0.37267799624996495</v>
      </c>
      <c r="E46" s="399">
        <f t="shared" si="3"/>
        <v>0.39308254716902513</v>
      </c>
      <c r="F46" s="399">
        <f t="shared" si="3"/>
        <v>0.42949016933517298</v>
      </c>
      <c r="G46" s="399">
        <f t="shared" si="3"/>
        <v>0.49520268016686303</v>
      </c>
      <c r="H46" s="399">
        <f t="shared" si="3"/>
        <v>0.50346024889977381</v>
      </c>
      <c r="I46" s="399">
        <f t="shared" si="3"/>
        <v>0.53114786599924835</v>
      </c>
      <c r="J46" s="399">
        <f t="shared" si="3"/>
        <v>0.60739082237971875</v>
      </c>
      <c r="K46" s="399">
        <f t="shared" si="3"/>
        <v>0.58814975889554599</v>
      </c>
      <c r="L46" s="399">
        <f t="shared" si="3"/>
        <v>0.57772602599425193</v>
      </c>
      <c r="M46" s="399">
        <f t="shared" si="3"/>
        <v>0.58704178348355707</v>
      </c>
      <c r="N46" s="399">
        <f t="shared" si="3"/>
        <v>0.60560174390619304</v>
      </c>
      <c r="O46" s="399">
        <f t="shared" si="3"/>
        <v>0.55001578260183681</v>
      </c>
      <c r="P46" s="399">
        <f t="shared" si="3"/>
        <v>0.45691067082211057</v>
      </c>
    </row>
    <row r="47" spans="1:16" x14ac:dyDescent="0.25">
      <c r="A47">
        <v>2904</v>
      </c>
      <c r="B47" t="s">
        <v>502</v>
      </c>
      <c r="C47" s="399">
        <f t="shared" si="1"/>
        <v>0.35477888262346668</v>
      </c>
      <c r="D47" s="399">
        <f t="shared" si="3"/>
        <v>0.37557825786083221</v>
      </c>
      <c r="E47" s="399">
        <f t="shared" si="3"/>
        <v>0.38017265814363871</v>
      </c>
      <c r="F47" s="399">
        <f t="shared" si="3"/>
        <v>0.43799575086726328</v>
      </c>
      <c r="G47" s="399">
        <f t="shared" si="3"/>
        <v>0.50173310744967892</v>
      </c>
      <c r="H47" s="399">
        <f t="shared" si="3"/>
        <v>0.50389110926865932</v>
      </c>
      <c r="I47" s="399">
        <f t="shared" si="3"/>
        <v>0.52745787088217344</v>
      </c>
      <c r="J47" s="399">
        <f t="shared" si="3"/>
        <v>0.60988671534601857</v>
      </c>
      <c r="K47" s="399">
        <f t="shared" si="3"/>
        <v>0.58925565098878963</v>
      </c>
      <c r="L47" s="399">
        <f t="shared" si="3"/>
        <v>0.5720637590727492</v>
      </c>
      <c r="M47" s="399">
        <f t="shared" si="3"/>
        <v>0.57622152858080544</v>
      </c>
      <c r="N47" s="399">
        <f t="shared" si="3"/>
        <v>0.59657587763651465</v>
      </c>
      <c r="O47" s="399">
        <f t="shared" si="3"/>
        <v>0.51454537646785281</v>
      </c>
      <c r="P47" s="399">
        <f t="shared" si="3"/>
        <v>0.41036907507483766</v>
      </c>
    </row>
    <row r="48" spans="1:16" x14ac:dyDescent="0.25">
      <c r="A48">
        <v>2901</v>
      </c>
      <c r="B48" t="s">
        <v>468</v>
      </c>
      <c r="C48" s="399">
        <f t="shared" si="1"/>
        <v>6.25E-2</v>
      </c>
      <c r="D48" s="399">
        <f t="shared" si="3"/>
        <v>8.3333333333333329E-2</v>
      </c>
      <c r="E48" s="399">
        <f t="shared" si="3"/>
        <v>9.3169499062491237E-2</v>
      </c>
      <c r="F48" s="399">
        <f t="shared" si="3"/>
        <v>0.14583333333333331</v>
      </c>
      <c r="G48" s="399">
        <f t="shared" si="3"/>
        <v>0.20937240877335186</v>
      </c>
      <c r="H48" s="399">
        <f t="shared" si="3"/>
        <v>0.21245914639969934</v>
      </c>
      <c r="I48" s="399">
        <f t="shared" si="3"/>
        <v>0.23753654689565373</v>
      </c>
      <c r="J48" s="399">
        <f t="shared" si="3"/>
        <v>0.31868871959954903</v>
      </c>
      <c r="K48" s="399">
        <f t="shared" si="3"/>
        <v>0.29828793881825733</v>
      </c>
      <c r="L48" s="399">
        <f t="shared" si="3"/>
        <v>0.2833639689319884</v>
      </c>
      <c r="M48" s="399">
        <f t="shared" si="3"/>
        <v>0.29017475577466911</v>
      </c>
      <c r="N48" s="399">
        <f t="shared" si="3"/>
        <v>0.30970976556913554</v>
      </c>
      <c r="O48" s="399">
        <f t="shared" si="3"/>
        <v>0.25086655372483946</v>
      </c>
      <c r="P48" s="399">
        <f t="shared" si="3"/>
        <v>0.16796370308955311</v>
      </c>
    </row>
    <row r="49" spans="1:16" x14ac:dyDescent="0.25">
      <c r="A49">
        <v>2852</v>
      </c>
      <c r="B49" t="s">
        <v>463</v>
      </c>
      <c r="C49" s="399">
        <f t="shared" si="1"/>
        <v>0.16271353491472196</v>
      </c>
      <c r="D49" s="399">
        <f t="shared" si="3"/>
        <v>0.17921510973005472</v>
      </c>
      <c r="E49" s="399">
        <f t="shared" si="3"/>
        <v>0.20623947784607635</v>
      </c>
      <c r="F49" s="399">
        <f t="shared" si="3"/>
        <v>0.23292374765622809</v>
      </c>
      <c r="G49" s="399">
        <f t="shared" si="3"/>
        <v>0.29828793881825733</v>
      </c>
      <c r="H49" s="399">
        <f t="shared" si="3"/>
        <v>0.30760048042152915</v>
      </c>
      <c r="I49" s="399">
        <f t="shared" si="3"/>
        <v>0.33592740617910621</v>
      </c>
      <c r="J49" s="399">
        <f t="shared" si="3"/>
        <v>0.41036907507483766</v>
      </c>
      <c r="K49" s="399">
        <f t="shared" si="3"/>
        <v>0.39142279641783195</v>
      </c>
      <c r="L49" s="399">
        <f t="shared" si="3"/>
        <v>0.3824491614726212</v>
      </c>
      <c r="M49" s="399">
        <f t="shared" si="3"/>
        <v>0.39308254716902513</v>
      </c>
      <c r="N49" s="399">
        <f t="shared" si="3"/>
        <v>0.41089756090241708</v>
      </c>
      <c r="O49" s="399">
        <f t="shared" si="3"/>
        <v>0.36857929193654437</v>
      </c>
      <c r="P49" s="399">
        <f t="shared" si="3"/>
        <v>0.28942591644687088</v>
      </c>
    </row>
    <row r="50" spans="1:16" x14ac:dyDescent="0.25">
      <c r="A50">
        <v>2790</v>
      </c>
      <c r="B50" t="s">
        <v>480</v>
      </c>
      <c r="C50" s="399">
        <f t="shared" si="1"/>
        <v>0.20518453753741883</v>
      </c>
      <c r="D50" s="399">
        <f t="shared" si="3"/>
        <v>0.22438186696393764</v>
      </c>
      <c r="E50" s="399">
        <f t="shared" si="3"/>
        <v>0.24295632895188751</v>
      </c>
      <c r="F50" s="399">
        <f t="shared" si="3"/>
        <v>0.2833639689319884</v>
      </c>
      <c r="G50" s="399">
        <f t="shared" si="3"/>
        <v>0.34923030446333769</v>
      </c>
      <c r="H50" s="399">
        <f t="shared" si="3"/>
        <v>0.3560001560548971</v>
      </c>
      <c r="I50" s="399">
        <f t="shared" si="3"/>
        <v>0.38301617314271319</v>
      </c>
      <c r="J50" s="399">
        <f t="shared" si="3"/>
        <v>0.4611654921078886</v>
      </c>
      <c r="K50" s="399">
        <f t="shared" si="3"/>
        <v>0.4414504187586894</v>
      </c>
      <c r="L50" s="399">
        <f t="shared" si="3"/>
        <v>0.42949016933517298</v>
      </c>
      <c r="M50" s="399">
        <f t="shared" si="3"/>
        <v>0.43799575086726328</v>
      </c>
      <c r="N50" s="399">
        <f t="shared" si="3"/>
        <v>0.45691067082211057</v>
      </c>
      <c r="O50" s="399">
        <f t="shared" si="3"/>
        <v>0.40019526483955303</v>
      </c>
      <c r="P50" s="399">
        <f t="shared" si="3"/>
        <v>0.30970976556913554</v>
      </c>
    </row>
    <row r="51" spans="1:16" x14ac:dyDescent="0.25">
      <c r="A51">
        <v>2420</v>
      </c>
      <c r="B51" t="s">
        <v>449</v>
      </c>
      <c r="C51" s="399">
        <f t="shared" si="1"/>
        <v>0.45738538333541978</v>
      </c>
      <c r="D51" s="399">
        <f t="shared" si="3"/>
        <v>0.46817093863008813</v>
      </c>
      <c r="E51" s="399">
        <f t="shared" si="3"/>
        <v>0.50389110926865932</v>
      </c>
      <c r="F51" s="399">
        <f t="shared" si="3"/>
        <v>0.50432160153792516</v>
      </c>
      <c r="G51" s="399">
        <f t="shared" si="3"/>
        <v>0.56056766862807117</v>
      </c>
      <c r="H51" s="399">
        <f t="shared" si="3"/>
        <v>0.57622152858080544</v>
      </c>
      <c r="I51" s="399">
        <f t="shared" si="3"/>
        <v>0.60560174390619304</v>
      </c>
      <c r="J51" s="399">
        <f t="shared" si="3"/>
        <v>0.6630762692849812</v>
      </c>
      <c r="K51" s="399">
        <f t="shared" si="3"/>
        <v>0.64818121608766854</v>
      </c>
      <c r="L51" s="399">
        <f t="shared" si="3"/>
        <v>0.64885047926655981</v>
      </c>
      <c r="M51" s="399">
        <f t="shared" si="3"/>
        <v>0.66438411329591562</v>
      </c>
      <c r="N51" s="399">
        <f t="shared" si="3"/>
        <v>0.67828419150415442</v>
      </c>
      <c r="O51" s="399">
        <f t="shared" si="3"/>
        <v>0.66471067223099234</v>
      </c>
      <c r="P51" s="399">
        <f t="shared" si="3"/>
        <v>0.59657587763651465</v>
      </c>
    </row>
    <row r="52" spans="1:16" x14ac:dyDescent="0.25">
      <c r="A52">
        <v>2357</v>
      </c>
      <c r="B52" t="s">
        <v>454</v>
      </c>
      <c r="C52" s="399">
        <f t="shared" si="1"/>
        <v>0.72767704985720738</v>
      </c>
      <c r="D52" s="399">
        <f t="shared" si="3"/>
        <v>0.74797179462567664</v>
      </c>
      <c r="E52" s="399">
        <f t="shared" si="3"/>
        <v>0.75834478013338735</v>
      </c>
      <c r="F52" s="399">
        <f t="shared" si="3"/>
        <v>0.80902032662281664</v>
      </c>
      <c r="G52" s="399">
        <f t="shared" si="3"/>
        <v>0.87450382757563982</v>
      </c>
      <c r="H52" s="399">
        <f t="shared" si="3"/>
        <v>0.8792061602503829</v>
      </c>
      <c r="I52" s="399">
        <f t="shared" si="3"/>
        <v>0.90451222275385046</v>
      </c>
      <c r="J52" s="399">
        <f t="shared" si="3"/>
        <v>0.98535279919878893</v>
      </c>
      <c r="K52" s="399">
        <f t="shared" si="3"/>
        <v>0.96510290182503911</v>
      </c>
      <c r="L52" s="399">
        <f t="shared" si="3"/>
        <v>0.95014618758261493</v>
      </c>
      <c r="M52" s="399">
        <f t="shared" si="3"/>
        <v>0.95583914557953842</v>
      </c>
      <c r="N52" s="399">
        <f t="shared" si="3"/>
        <v>0.97583653571919737</v>
      </c>
      <c r="O52" s="399">
        <f t="shared" si="3"/>
        <v>0.89752746785575055</v>
      </c>
      <c r="P52" s="399">
        <f t="shared" si="3"/>
        <v>0.79330969852749045</v>
      </c>
    </row>
    <row r="53" spans="1:16" x14ac:dyDescent="0.25">
      <c r="A53">
        <v>2329</v>
      </c>
      <c r="B53" t="s">
        <v>484</v>
      </c>
      <c r="C53" s="399">
        <f t="shared" si="1"/>
        <v>0.50043383956101306</v>
      </c>
      <c r="D53" s="399">
        <f t="shared" si="3"/>
        <v>0.52124983346653342</v>
      </c>
      <c r="E53" s="399">
        <f t="shared" si="3"/>
        <v>0.52456992966725713</v>
      </c>
      <c r="F53" s="399">
        <f t="shared" si="3"/>
        <v>0.5837052385884125</v>
      </c>
      <c r="G53" s="399">
        <f t="shared" si="3"/>
        <v>0.64717602362537774</v>
      </c>
      <c r="H53" s="399">
        <f t="shared" si="3"/>
        <v>0.64885047926655981</v>
      </c>
      <c r="I53" s="399">
        <f t="shared" si="3"/>
        <v>0.67185481235821243</v>
      </c>
      <c r="J53" s="399">
        <f t="shared" si="3"/>
        <v>0.75461542817811811</v>
      </c>
      <c r="K53" s="399">
        <f t="shared" si="3"/>
        <v>0.73391312307535561</v>
      </c>
      <c r="L53" s="399">
        <f t="shared" si="3"/>
        <v>0.71595167822664918</v>
      </c>
      <c r="M53" s="399">
        <f t="shared" si="3"/>
        <v>0.71927818756800277</v>
      </c>
      <c r="N53" s="399">
        <f t="shared" si="3"/>
        <v>0.73980337102352922</v>
      </c>
      <c r="O53" s="399">
        <f t="shared" si="3"/>
        <v>0.65251915680690931</v>
      </c>
      <c r="P53" s="399">
        <f t="shared" si="3"/>
        <v>0.54685019785027866</v>
      </c>
    </row>
    <row r="54" spans="1:16" x14ac:dyDescent="0.25">
      <c r="A54">
        <v>2298</v>
      </c>
      <c r="B54" t="s">
        <v>429</v>
      </c>
      <c r="C54" s="399">
        <f t="shared" si="1"/>
        <v>0.33333333333333331</v>
      </c>
      <c r="D54" s="399">
        <f t="shared" ref="D54:P69" si="4">SQRT(((LEFT(D$6,3)-LEFT($B54,3))*(LEFT(D$6,3)-LEFT($B54,3)))+((RIGHT(D$6,3)-RIGHT($B54,3))*(RIGHT(D$6,3)-RIGHT($B54,3))))*$D$1</f>
        <v>0.33398374045586243</v>
      </c>
      <c r="E54" s="399">
        <f t="shared" si="4"/>
        <v>0.37557825786083221</v>
      </c>
      <c r="F54" s="399">
        <f t="shared" si="4"/>
        <v>0.34359213546813838</v>
      </c>
      <c r="G54" s="399">
        <f t="shared" si="4"/>
        <v>0.38301617314271319</v>
      </c>
      <c r="H54" s="399">
        <f t="shared" si="4"/>
        <v>0.40235849824641595</v>
      </c>
      <c r="I54" s="399">
        <f t="shared" si="4"/>
        <v>0.42949016933517298</v>
      </c>
      <c r="J54" s="399">
        <f t="shared" si="4"/>
        <v>0.46817093863008813</v>
      </c>
      <c r="K54" s="399">
        <f t="shared" si="4"/>
        <v>0.45738538333541978</v>
      </c>
      <c r="L54" s="399">
        <f t="shared" si="4"/>
        <v>0.46584749531245617</v>
      </c>
      <c r="M54" s="399">
        <f t="shared" si="4"/>
        <v>0.48457097290054196</v>
      </c>
      <c r="N54" s="399">
        <f t="shared" si="4"/>
        <v>0.49388623296373735</v>
      </c>
      <c r="O54" s="399">
        <f t="shared" si="4"/>
        <v>0.51538820320220746</v>
      </c>
      <c r="P54" s="399">
        <f t="shared" si="4"/>
        <v>0.4796193513842224</v>
      </c>
    </row>
    <row r="55" spans="1:16" x14ac:dyDescent="0.25">
      <c r="A55">
        <v>2287</v>
      </c>
      <c r="B55" t="s">
        <v>507</v>
      </c>
      <c r="C55" s="399">
        <f t="shared" si="1"/>
        <v>0.24295632895188751</v>
      </c>
      <c r="D55" s="399">
        <f t="shared" si="4"/>
        <v>0.25430324199445209</v>
      </c>
      <c r="E55" s="399">
        <f t="shared" si="4"/>
        <v>0.28942591644687088</v>
      </c>
      <c r="F55" s="399">
        <f t="shared" si="4"/>
        <v>0.29462782549439481</v>
      </c>
      <c r="G55" s="399">
        <f t="shared" si="4"/>
        <v>0.35477888262346668</v>
      </c>
      <c r="H55" s="399">
        <f t="shared" si="4"/>
        <v>0.36857929193654437</v>
      </c>
      <c r="I55" s="399">
        <f t="shared" si="4"/>
        <v>0.39802027446964161</v>
      </c>
      <c r="J55" s="399">
        <f t="shared" si="4"/>
        <v>0.46257506898280243</v>
      </c>
      <c r="K55" s="399">
        <f t="shared" si="4"/>
        <v>0.44585280331318111</v>
      </c>
      <c r="L55" s="399">
        <f t="shared" si="4"/>
        <v>0.44292274219727706</v>
      </c>
      <c r="M55" s="399">
        <f t="shared" si="4"/>
        <v>0.45691067082211057</v>
      </c>
      <c r="N55" s="399">
        <f t="shared" si="4"/>
        <v>0.47232433536477642</v>
      </c>
      <c r="O55" s="399">
        <f t="shared" si="4"/>
        <v>0.4506939094329987</v>
      </c>
      <c r="P55" s="399">
        <f t="shared" si="4"/>
        <v>0.38301617314271319</v>
      </c>
    </row>
    <row r="56" spans="1:16" x14ac:dyDescent="0.25">
      <c r="A56">
        <v>2225</v>
      </c>
      <c r="B56" t="s">
        <v>477</v>
      </c>
      <c r="C56" s="399">
        <f t="shared" si="1"/>
        <v>0.32342030617208384</v>
      </c>
      <c r="D56" s="399">
        <f t="shared" si="4"/>
        <v>0.34359213546813838</v>
      </c>
      <c r="E56" s="399">
        <f t="shared" si="4"/>
        <v>0.3560001560548971</v>
      </c>
      <c r="F56" s="399">
        <f t="shared" si="4"/>
        <v>0.40451016331140832</v>
      </c>
      <c r="G56" s="399">
        <f t="shared" si="4"/>
        <v>0.47002142386160323</v>
      </c>
      <c r="H56" s="399">
        <f t="shared" si="4"/>
        <v>0.47507309379130747</v>
      </c>
      <c r="I56" s="399">
        <f t="shared" si="4"/>
        <v>0.50086730334047114</v>
      </c>
      <c r="J56" s="399">
        <f t="shared" si="4"/>
        <v>0.58109690337422304</v>
      </c>
      <c r="K56" s="399">
        <f t="shared" si="4"/>
        <v>0.56095466740984412</v>
      </c>
      <c r="L56" s="399">
        <f t="shared" si="4"/>
        <v>0.54685019785027866</v>
      </c>
      <c r="M56" s="399">
        <f t="shared" si="4"/>
        <v>0.55355542731610097</v>
      </c>
      <c r="N56" s="399">
        <f t="shared" si="4"/>
        <v>0.57320068717490014</v>
      </c>
      <c r="O56" s="399">
        <f t="shared" si="4"/>
        <v>0.50389110926865932</v>
      </c>
      <c r="P56" s="399">
        <f t="shared" si="4"/>
        <v>0.40451016331140832</v>
      </c>
    </row>
    <row r="57" spans="1:16" x14ac:dyDescent="0.25">
      <c r="A57">
        <v>2157</v>
      </c>
      <c r="B57" t="s">
        <v>444</v>
      </c>
      <c r="C57" s="399">
        <f t="shared" si="1"/>
        <v>0.22146137109863853</v>
      </c>
      <c r="D57" s="399">
        <f t="shared" si="4"/>
        <v>0.20623947784607635</v>
      </c>
      <c r="E57" s="399">
        <f t="shared" si="4"/>
        <v>0.17921510973005472</v>
      </c>
      <c r="F57" s="399">
        <f t="shared" si="4"/>
        <v>0.16796370308955311</v>
      </c>
      <c r="G57" s="399">
        <f t="shared" si="4"/>
        <v>0.12672421938121289</v>
      </c>
      <c r="H57" s="399">
        <f t="shared" si="4"/>
        <v>0.10622957319984967</v>
      </c>
      <c r="I57" s="399">
        <f t="shared" si="4"/>
        <v>8.3333333333333329E-2</v>
      </c>
      <c r="J57" s="399">
        <f t="shared" si="4"/>
        <v>0.11785113019775792</v>
      </c>
      <c r="K57" s="399">
        <f t="shared" si="4"/>
        <v>0.10416666666666666</v>
      </c>
      <c r="L57" s="399">
        <f t="shared" si="4"/>
        <v>7.5115651572166431E-2</v>
      </c>
      <c r="M57" s="399">
        <f t="shared" si="4"/>
        <v>5.892556509887896E-2</v>
      </c>
      <c r="N57" s="399">
        <f t="shared" si="4"/>
        <v>7.5115651572166431E-2</v>
      </c>
      <c r="O57" s="399">
        <f t="shared" si="4"/>
        <v>4.6584749531245619E-2</v>
      </c>
      <c r="P57" s="399">
        <f t="shared" si="4"/>
        <v>0.14583333333333331</v>
      </c>
    </row>
    <row r="58" spans="1:16" x14ac:dyDescent="0.25">
      <c r="A58">
        <v>2037</v>
      </c>
      <c r="B58" t="s">
        <v>503</v>
      </c>
      <c r="C58" s="399">
        <f t="shared" si="1"/>
        <v>0.42184284856909554</v>
      </c>
      <c r="D58" s="399">
        <f t="shared" si="4"/>
        <v>0.4414504187586894</v>
      </c>
      <c r="E58" s="399">
        <f t="shared" si="4"/>
        <v>0.45691067082211057</v>
      </c>
      <c r="F58" s="399">
        <f t="shared" si="4"/>
        <v>0.50086730334047114</v>
      </c>
      <c r="G58" s="399">
        <f t="shared" si="4"/>
        <v>0.56672793786397679</v>
      </c>
      <c r="H58" s="399">
        <f t="shared" si="4"/>
        <v>0.57320068717490014</v>
      </c>
      <c r="I58" s="399">
        <f t="shared" si="4"/>
        <v>0.59984083537033195</v>
      </c>
      <c r="J58" s="399">
        <f t="shared" si="4"/>
        <v>0.67860406145426366</v>
      </c>
      <c r="K58" s="399">
        <f t="shared" si="4"/>
        <v>0.65880784586841235</v>
      </c>
      <c r="L58" s="399">
        <f t="shared" si="4"/>
        <v>0.64616926746961756</v>
      </c>
      <c r="M58" s="399">
        <f t="shared" si="4"/>
        <v>0.65384811776980056</v>
      </c>
      <c r="N58" s="399">
        <f t="shared" si="4"/>
        <v>0.67314560089181286</v>
      </c>
      <c r="O58" s="399">
        <f t="shared" si="4"/>
        <v>0.60739082237971875</v>
      </c>
      <c r="P58" s="399">
        <f t="shared" si="4"/>
        <v>0.50860648398890418</v>
      </c>
    </row>
    <row r="59" spans="1:16" x14ac:dyDescent="0.25">
      <c r="A59">
        <v>1965</v>
      </c>
      <c r="B59" t="s">
        <v>455</v>
      </c>
      <c r="C59" s="399">
        <f t="shared" si="1"/>
        <v>0.63259276877870729</v>
      </c>
      <c r="D59" s="399">
        <f t="shared" si="4"/>
        <v>0.65251915680690931</v>
      </c>
      <c r="E59" s="399">
        <f t="shared" si="4"/>
        <v>0.66568938786126908</v>
      </c>
      <c r="F59" s="399">
        <f t="shared" si="4"/>
        <v>0.71260964068696131</v>
      </c>
      <c r="G59" s="399">
        <f t="shared" si="4"/>
        <v>0.77839757051122516</v>
      </c>
      <c r="H59" s="399">
        <f t="shared" si="4"/>
        <v>0.78423042602994619</v>
      </c>
      <c r="I59" s="399">
        <f t="shared" si="4"/>
        <v>0.81036043078236342</v>
      </c>
      <c r="J59" s="399">
        <f t="shared" si="4"/>
        <v>0.89000039013724275</v>
      </c>
      <c r="K59" s="399">
        <f t="shared" si="4"/>
        <v>0.87002554240921248</v>
      </c>
      <c r="L59" s="399">
        <f t="shared" si="4"/>
        <v>0.85645019962893598</v>
      </c>
      <c r="M59" s="399">
        <f t="shared" si="4"/>
        <v>0.86326455646252742</v>
      </c>
      <c r="N59" s="399">
        <f t="shared" si="4"/>
        <v>0.8829008375173788</v>
      </c>
      <c r="O59" s="399">
        <f t="shared" si="4"/>
        <v>0.81062818576432161</v>
      </c>
      <c r="P59" s="399">
        <f t="shared" si="4"/>
        <v>0.70833333333333326</v>
      </c>
    </row>
    <row r="60" spans="1:16" x14ac:dyDescent="0.25">
      <c r="A60">
        <v>1945</v>
      </c>
      <c r="B60" t="s">
        <v>485</v>
      </c>
      <c r="C60" s="399">
        <f t="shared" si="1"/>
        <v>0.31526554063378243</v>
      </c>
      <c r="D60" s="399">
        <f t="shared" si="4"/>
        <v>0.33592740617910621</v>
      </c>
      <c r="E60" s="399">
        <f t="shared" si="4"/>
        <v>0.34359213546813838</v>
      </c>
      <c r="F60" s="399">
        <f t="shared" si="4"/>
        <v>0.39802027446964161</v>
      </c>
      <c r="G60" s="399">
        <f t="shared" si="4"/>
        <v>0.46257506898280243</v>
      </c>
      <c r="H60" s="399">
        <f t="shared" si="4"/>
        <v>0.46584749531245617</v>
      </c>
      <c r="I60" s="399">
        <f t="shared" si="4"/>
        <v>0.49035842899749249</v>
      </c>
      <c r="J60" s="399">
        <f t="shared" si="4"/>
        <v>0.5720637590727492</v>
      </c>
      <c r="K60" s="399">
        <f t="shared" si="4"/>
        <v>0.55159176228640527</v>
      </c>
      <c r="L60" s="399">
        <f t="shared" si="4"/>
        <v>0.53562333884093505</v>
      </c>
      <c r="M60" s="399">
        <f t="shared" si="4"/>
        <v>0.54086479107279872</v>
      </c>
      <c r="N60" s="399">
        <f t="shared" si="4"/>
        <v>0.56095466740984412</v>
      </c>
      <c r="O60" s="399">
        <f t="shared" si="4"/>
        <v>0.48457097290054196</v>
      </c>
      <c r="P60" s="399">
        <f t="shared" si="4"/>
        <v>0.3824491614726212</v>
      </c>
    </row>
    <row r="61" spans="1:16" x14ac:dyDescent="0.25">
      <c r="A61">
        <v>1924</v>
      </c>
      <c r="B61" t="s">
        <v>453</v>
      </c>
      <c r="C61" s="399">
        <f t="shared" si="1"/>
        <v>0.16796370308955311</v>
      </c>
      <c r="D61" s="399">
        <f t="shared" si="4"/>
        <v>0.15023130314433286</v>
      </c>
      <c r="E61" s="399">
        <f t="shared" si="4"/>
        <v>0.13176156917368248</v>
      </c>
      <c r="F61" s="399">
        <f t="shared" si="4"/>
        <v>0.10416666666666666</v>
      </c>
      <c r="G61" s="399">
        <f t="shared" si="4"/>
        <v>6.25E-2</v>
      </c>
      <c r="H61" s="399">
        <f t="shared" si="4"/>
        <v>4.1666666666666664E-2</v>
      </c>
      <c r="I61" s="399">
        <f t="shared" si="4"/>
        <v>2.946278254943948E-2</v>
      </c>
      <c r="J61" s="399">
        <f t="shared" si="4"/>
        <v>0.10622957319984967</v>
      </c>
      <c r="K61" s="399">
        <f t="shared" si="4"/>
        <v>8.5898033867034596E-2</v>
      </c>
      <c r="L61" s="399">
        <f t="shared" si="4"/>
        <v>6.25E-2</v>
      </c>
      <c r="M61" s="399">
        <f t="shared" si="4"/>
        <v>6.588078458684124E-2</v>
      </c>
      <c r="N61" s="399">
        <f t="shared" si="4"/>
        <v>8.5898033867034596E-2</v>
      </c>
      <c r="O61" s="399">
        <f t="shared" si="4"/>
        <v>8.5898033867034596E-2</v>
      </c>
      <c r="P61" s="399">
        <f t="shared" si="4"/>
        <v>0.13975424859373686</v>
      </c>
    </row>
    <row r="62" spans="1:16" x14ac:dyDescent="0.25">
      <c r="A62">
        <v>1883</v>
      </c>
      <c r="B62" t="s">
        <v>466</v>
      </c>
      <c r="C62" s="399">
        <f t="shared" si="1"/>
        <v>0.13176156917368248</v>
      </c>
      <c r="D62" s="399">
        <f t="shared" si="4"/>
        <v>0.15166895602667746</v>
      </c>
      <c r="E62" s="399">
        <f t="shared" si="4"/>
        <v>0.16796370308955311</v>
      </c>
      <c r="F62" s="399">
        <f t="shared" si="4"/>
        <v>0.21245914639969934</v>
      </c>
      <c r="G62" s="399">
        <f t="shared" si="4"/>
        <v>0.27795133466929861</v>
      </c>
      <c r="H62" s="399">
        <f t="shared" si="4"/>
        <v>0.2833639689319884</v>
      </c>
      <c r="I62" s="399">
        <f t="shared" si="4"/>
        <v>0.30970976556913554</v>
      </c>
      <c r="J62" s="399">
        <f t="shared" si="4"/>
        <v>0.38919878525561258</v>
      </c>
      <c r="K62" s="399">
        <f t="shared" si="4"/>
        <v>0.36916760722227809</v>
      </c>
      <c r="L62" s="399">
        <f t="shared" si="4"/>
        <v>0.3560001560548971</v>
      </c>
      <c r="M62" s="399">
        <f t="shared" si="4"/>
        <v>0.36383852492860369</v>
      </c>
      <c r="N62" s="399">
        <f t="shared" si="4"/>
        <v>0.38301617314271319</v>
      </c>
      <c r="O62" s="399">
        <f t="shared" si="4"/>
        <v>0.32542706982944392</v>
      </c>
      <c r="P62" s="399">
        <f t="shared" si="4"/>
        <v>0.23753654689565373</v>
      </c>
    </row>
    <row r="63" spans="1:16" x14ac:dyDescent="0.25">
      <c r="A63">
        <v>1840</v>
      </c>
      <c r="B63" t="s">
        <v>461</v>
      </c>
      <c r="C63" s="399">
        <f t="shared" si="1"/>
        <v>0.16796370308955311</v>
      </c>
      <c r="D63" s="399">
        <f t="shared" si="4"/>
        <v>0.18633899812498247</v>
      </c>
      <c r="E63" s="399">
        <f t="shared" si="4"/>
        <v>0.20833333333333331</v>
      </c>
      <c r="F63" s="399">
        <f t="shared" si="4"/>
        <v>0.24384791480665885</v>
      </c>
      <c r="G63" s="399">
        <f t="shared" si="4"/>
        <v>0.30970976556913554</v>
      </c>
      <c r="H63" s="399">
        <f t="shared" si="4"/>
        <v>0.31732387941099616</v>
      </c>
      <c r="I63" s="399">
        <f t="shared" si="4"/>
        <v>0.34485302827597597</v>
      </c>
      <c r="J63" s="399">
        <f t="shared" si="4"/>
        <v>0.42184284856909554</v>
      </c>
      <c r="K63" s="399">
        <f t="shared" si="4"/>
        <v>0.40235849824641595</v>
      </c>
      <c r="L63" s="399">
        <f t="shared" si="4"/>
        <v>0.39142279641783195</v>
      </c>
      <c r="M63" s="399">
        <f t="shared" si="4"/>
        <v>0.40073716795148628</v>
      </c>
      <c r="N63" s="399">
        <f t="shared" si="4"/>
        <v>0.41926274578121059</v>
      </c>
      <c r="O63" s="399">
        <f t="shared" si="4"/>
        <v>0.36857929193654437</v>
      </c>
      <c r="P63" s="399">
        <f t="shared" si="4"/>
        <v>0.2833639689319884</v>
      </c>
    </row>
    <row r="64" spans="1:16" x14ac:dyDescent="0.25">
      <c r="A64">
        <v>1648</v>
      </c>
      <c r="B64" t="s">
        <v>497</v>
      </c>
      <c r="C64" s="399">
        <f t="shared" si="1"/>
        <v>0.52249734183268548</v>
      </c>
      <c r="D64" s="399">
        <f t="shared" si="4"/>
        <v>0.54326686710022076</v>
      </c>
      <c r="E64" s="399">
        <f t="shared" si="4"/>
        <v>0.54803943491524598</v>
      </c>
      <c r="F64" s="399">
        <f t="shared" si="4"/>
        <v>0.60560174390619304</v>
      </c>
      <c r="G64" s="399">
        <f t="shared" si="4"/>
        <v>0.66958994499950819</v>
      </c>
      <c r="H64" s="399">
        <f t="shared" si="4"/>
        <v>0.67185481235821243</v>
      </c>
      <c r="I64" s="399">
        <f t="shared" si="4"/>
        <v>0.69534663617827652</v>
      </c>
      <c r="J64" s="399">
        <f t="shared" si="4"/>
        <v>0.77783977927476955</v>
      </c>
      <c r="K64" s="399">
        <f t="shared" si="4"/>
        <v>0.75719924355776025</v>
      </c>
      <c r="L64" s="399">
        <f t="shared" si="4"/>
        <v>0.73980337102352922</v>
      </c>
      <c r="M64" s="399">
        <f t="shared" si="4"/>
        <v>0.74360701239894778</v>
      </c>
      <c r="N64" s="399">
        <f t="shared" si="4"/>
        <v>0.7640467008705103</v>
      </c>
      <c r="O64" s="399">
        <f t="shared" si="4"/>
        <v>0.67860406145426366</v>
      </c>
      <c r="P64" s="399">
        <f t="shared" si="4"/>
        <v>0.57320068717490014</v>
      </c>
    </row>
    <row r="65" spans="1:16" x14ac:dyDescent="0.25">
      <c r="A65">
        <v>1621</v>
      </c>
      <c r="B65" t="s">
        <v>492</v>
      </c>
      <c r="C65" s="399">
        <f t="shared" si="1"/>
        <v>0.22146137109863853</v>
      </c>
      <c r="D65" s="399">
        <f t="shared" si="4"/>
        <v>0.23570226039551584</v>
      </c>
      <c r="E65" s="399">
        <f t="shared" si="4"/>
        <v>0.26679684322636865</v>
      </c>
      <c r="F65" s="399">
        <f t="shared" si="4"/>
        <v>0.2833639689319884</v>
      </c>
      <c r="G65" s="399">
        <f t="shared" si="4"/>
        <v>0.34673577035610914</v>
      </c>
      <c r="H65" s="399">
        <f t="shared" si="4"/>
        <v>0.35843021946010944</v>
      </c>
      <c r="I65" s="399">
        <f t="shared" si="4"/>
        <v>0.38752240078621403</v>
      </c>
      <c r="J65" s="399">
        <f t="shared" si="4"/>
        <v>0.45738538333541978</v>
      </c>
      <c r="K65" s="399">
        <f t="shared" si="4"/>
        <v>0.43947964811935392</v>
      </c>
      <c r="L65" s="399">
        <f t="shared" si="4"/>
        <v>0.43351358430593356</v>
      </c>
      <c r="M65" s="399">
        <f t="shared" si="4"/>
        <v>0.44585280331318111</v>
      </c>
      <c r="N65" s="399">
        <f t="shared" si="4"/>
        <v>0.46257506898280243</v>
      </c>
      <c r="O65" s="399">
        <f t="shared" si="4"/>
        <v>0.42949016933517298</v>
      </c>
      <c r="P65" s="399">
        <f t="shared" si="4"/>
        <v>0.35416666666666663</v>
      </c>
    </row>
    <row r="66" spans="1:16" x14ac:dyDescent="0.25">
      <c r="A66">
        <v>1529</v>
      </c>
      <c r="B66" t="s">
        <v>482</v>
      </c>
      <c r="C66" s="399">
        <f t="shared" si="1"/>
        <v>0.13975424859373686</v>
      </c>
      <c r="D66" s="399">
        <f t="shared" si="4"/>
        <v>0.15023130314433286</v>
      </c>
      <c r="E66" s="399">
        <f t="shared" si="4"/>
        <v>0.18633899812498247</v>
      </c>
      <c r="F66" s="399">
        <f t="shared" si="4"/>
        <v>0.19207384286026846</v>
      </c>
      <c r="G66" s="399">
        <f t="shared" si="4"/>
        <v>0.25430324199445209</v>
      </c>
      <c r="H66" s="399">
        <f t="shared" si="4"/>
        <v>0.26679684322636865</v>
      </c>
      <c r="I66" s="399">
        <f t="shared" si="4"/>
        <v>0.29609730007399782</v>
      </c>
      <c r="J66" s="399">
        <f t="shared" si="4"/>
        <v>0.36443449342783124</v>
      </c>
      <c r="K66" s="399">
        <f t="shared" si="4"/>
        <v>0.34673577035610914</v>
      </c>
      <c r="L66" s="399">
        <f t="shared" si="4"/>
        <v>0.34169207222618181</v>
      </c>
      <c r="M66" s="399">
        <f t="shared" si="4"/>
        <v>0.35477888262346668</v>
      </c>
      <c r="N66" s="399">
        <f t="shared" si="4"/>
        <v>0.37092695447426782</v>
      </c>
      <c r="O66" s="399">
        <f t="shared" si="4"/>
        <v>0.34673577035610914</v>
      </c>
      <c r="P66" s="399">
        <f t="shared" si="4"/>
        <v>0.2833639689319884</v>
      </c>
    </row>
    <row r="67" spans="1:16" x14ac:dyDescent="0.25">
      <c r="A67">
        <v>1514</v>
      </c>
      <c r="B67" t="s">
        <v>445</v>
      </c>
      <c r="C67" s="399">
        <f t="shared" si="1"/>
        <v>0.2651650429449553</v>
      </c>
      <c r="D67" s="399">
        <f t="shared" si="4"/>
        <v>0.25086655372483946</v>
      </c>
      <c r="E67" s="399">
        <f t="shared" si="4"/>
        <v>0.22146137109863853</v>
      </c>
      <c r="F67" s="399">
        <f t="shared" si="4"/>
        <v>0.21449229460389585</v>
      </c>
      <c r="G67" s="399">
        <f t="shared" si="4"/>
        <v>0.17179606773406919</v>
      </c>
      <c r="H67" s="399">
        <f t="shared" si="4"/>
        <v>0.15166895602667746</v>
      </c>
      <c r="I67" s="399">
        <f t="shared" si="4"/>
        <v>0.12672421938121289</v>
      </c>
      <c r="J67" s="399">
        <f t="shared" si="4"/>
        <v>0.13975424859373686</v>
      </c>
      <c r="K67" s="399">
        <f t="shared" si="4"/>
        <v>0.13176156917368248</v>
      </c>
      <c r="L67" s="399">
        <f t="shared" si="4"/>
        <v>0.10622957319984967</v>
      </c>
      <c r="M67" s="399">
        <f t="shared" si="4"/>
        <v>8.5898033867034596E-2</v>
      </c>
      <c r="N67" s="399">
        <f t="shared" si="4"/>
        <v>9.3169499062491237E-2</v>
      </c>
      <c r="O67" s="399">
        <f t="shared" si="4"/>
        <v>6.588078458684124E-2</v>
      </c>
      <c r="P67" s="399">
        <f t="shared" si="4"/>
        <v>0.17179606773406919</v>
      </c>
    </row>
    <row r="68" spans="1:16" x14ac:dyDescent="0.25">
      <c r="A68">
        <v>1508</v>
      </c>
      <c r="B68" t="s">
        <v>447</v>
      </c>
      <c r="C68" s="399">
        <f t="shared" si="1"/>
        <v>0.54206715963573693</v>
      </c>
      <c r="D68" s="399">
        <f t="shared" si="4"/>
        <v>0.56288567025442893</v>
      </c>
      <c r="E68" s="399">
        <f t="shared" si="4"/>
        <v>0.56596157113358847</v>
      </c>
      <c r="F68" s="399">
        <f t="shared" si="4"/>
        <v>0.6253471258251514</v>
      </c>
      <c r="G68" s="399">
        <f t="shared" si="4"/>
        <v>0.68876146895068913</v>
      </c>
      <c r="H68" s="399">
        <f t="shared" si="4"/>
        <v>0.69033506357420382</v>
      </c>
      <c r="I68" s="399">
        <f t="shared" si="4"/>
        <v>0.71321844869265372</v>
      </c>
      <c r="J68" s="399">
        <f t="shared" si="4"/>
        <v>0.79604054893928322</v>
      </c>
      <c r="K68" s="399">
        <f t="shared" si="4"/>
        <v>0.7753247527470164</v>
      </c>
      <c r="L68" s="399">
        <f t="shared" si="4"/>
        <v>0.75719924355776025</v>
      </c>
      <c r="M68" s="399">
        <f t="shared" si="4"/>
        <v>0.76034531628727742</v>
      </c>
      <c r="N68" s="399">
        <f t="shared" si="4"/>
        <v>0.7809027005829714</v>
      </c>
      <c r="O68" s="399">
        <f t="shared" si="4"/>
        <v>0.69253208910811082</v>
      </c>
      <c r="P68" s="399">
        <f t="shared" si="4"/>
        <v>0.58667199334703013</v>
      </c>
    </row>
    <row r="69" spans="1:16" x14ac:dyDescent="0.25">
      <c r="A69">
        <v>1436</v>
      </c>
      <c r="B69" t="s">
        <v>470</v>
      </c>
      <c r="C69" s="399">
        <f t="shared" si="1"/>
        <v>0.25430324199445209</v>
      </c>
      <c r="D69" s="399">
        <f t="shared" si="4"/>
        <v>0.27163343355011038</v>
      </c>
      <c r="E69" s="399">
        <f t="shared" si="4"/>
        <v>0.29609730007399782</v>
      </c>
      <c r="F69" s="399">
        <f t="shared" si="4"/>
        <v>0.32609324671871931</v>
      </c>
      <c r="G69" s="399">
        <f t="shared" si="4"/>
        <v>0.39142279641783195</v>
      </c>
      <c r="H69" s="399">
        <f t="shared" si="4"/>
        <v>0.40073716795148628</v>
      </c>
      <c r="I69" s="399">
        <f t="shared" si="4"/>
        <v>0.4289845892077917</v>
      </c>
      <c r="J69" s="399">
        <f t="shared" si="4"/>
        <v>0.50346024889977381</v>
      </c>
      <c r="K69" s="399">
        <f t="shared" si="4"/>
        <v>0.48457097290054196</v>
      </c>
      <c r="L69" s="399">
        <f t="shared" si="4"/>
        <v>0.47552967543805524</v>
      </c>
      <c r="M69" s="399">
        <f t="shared" si="4"/>
        <v>0.48591265790377502</v>
      </c>
      <c r="N69" s="399">
        <f t="shared" si="4"/>
        <v>0.50389110926865932</v>
      </c>
      <c r="O69" s="399">
        <f t="shared" si="4"/>
        <v>0.45691067082211057</v>
      </c>
      <c r="P69" s="399">
        <f t="shared" si="4"/>
        <v>0.37092695447426782</v>
      </c>
    </row>
    <row r="70" spans="1:16" x14ac:dyDescent="0.25">
      <c r="A70">
        <v>1436</v>
      </c>
      <c r="B70" t="s">
        <v>498</v>
      </c>
      <c r="C70" s="399">
        <f t="shared" si="1"/>
        <v>0.63907756875741528</v>
      </c>
      <c r="D70" s="399">
        <f t="shared" ref="D70:P71" si="5">SQRT(((LEFT(D$6,3)-LEFT($B70,3))*(LEFT(D$6,3)-LEFT($B70,3)))+((RIGHT(D$6,3)-RIGHT($B70,3))*(RIGHT(D$6,3)-RIGHT($B70,3))))*$D$1</f>
        <v>0.65880784586841235</v>
      </c>
      <c r="E70" s="399">
        <f t="shared" si="5"/>
        <v>0.67314560089181286</v>
      </c>
      <c r="F70" s="399">
        <f t="shared" si="5"/>
        <v>0.71837248539861109</v>
      </c>
      <c r="G70" s="399">
        <f t="shared" si="5"/>
        <v>0.78423042602994619</v>
      </c>
      <c r="H70" s="399">
        <f t="shared" si="5"/>
        <v>0.79056941504209477</v>
      </c>
      <c r="I70" s="399">
        <f t="shared" si="5"/>
        <v>0.8170279812969824</v>
      </c>
      <c r="J70" s="399">
        <f t="shared" si="5"/>
        <v>0.89607554865027361</v>
      </c>
      <c r="K70" s="399">
        <f t="shared" si="5"/>
        <v>0.87623920186721205</v>
      </c>
      <c r="L70" s="399">
        <f t="shared" si="5"/>
        <v>0.86326455646252742</v>
      </c>
      <c r="M70" s="399">
        <f t="shared" si="5"/>
        <v>0.87052426732400745</v>
      </c>
      <c r="N70" s="399">
        <f t="shared" si="5"/>
        <v>0.89000039013724275</v>
      </c>
      <c r="O70" s="399">
        <f t="shared" si="5"/>
        <v>0.81994452725643452</v>
      </c>
      <c r="P70" s="399">
        <f t="shared" si="5"/>
        <v>0.71837248539861109</v>
      </c>
    </row>
    <row r="71" spans="1:16" x14ac:dyDescent="0.25">
      <c r="A71">
        <v>1146</v>
      </c>
      <c r="B71" t="s">
        <v>462</v>
      </c>
      <c r="C71" s="399">
        <f t="shared" si="1"/>
        <v>0.26679684322636865</v>
      </c>
      <c r="D71" s="399">
        <f t="shared" si="5"/>
        <v>0.2833639689319884</v>
      </c>
      <c r="E71" s="399">
        <f t="shared" si="5"/>
        <v>0.30970976556913554</v>
      </c>
      <c r="F71" s="399">
        <f t="shared" si="5"/>
        <v>0.33592740617910621</v>
      </c>
      <c r="G71" s="399">
        <f t="shared" si="5"/>
        <v>0.40073716795148628</v>
      </c>
      <c r="H71" s="399">
        <f t="shared" si="5"/>
        <v>0.41089756090241708</v>
      </c>
      <c r="I71" s="399">
        <f t="shared" si="5"/>
        <v>0.43947964811935392</v>
      </c>
      <c r="J71" s="399">
        <f t="shared" si="5"/>
        <v>0.51243224484370176</v>
      </c>
      <c r="K71" s="399">
        <f t="shared" si="5"/>
        <v>0.49388623296373735</v>
      </c>
      <c r="L71" s="399">
        <f t="shared" si="5"/>
        <v>0.48591265790377502</v>
      </c>
      <c r="M71" s="399">
        <f t="shared" si="5"/>
        <v>0.49695251841152344</v>
      </c>
      <c r="N71" s="399">
        <f t="shared" si="5"/>
        <v>0.51454537646785281</v>
      </c>
      <c r="O71" s="399">
        <f t="shared" si="5"/>
        <v>0.47140452079103168</v>
      </c>
      <c r="P71" s="399">
        <f t="shared" si="5"/>
        <v>0.38752240078621403</v>
      </c>
    </row>
    <row r="72" spans="1:16" x14ac:dyDescent="0.25">
      <c r="A72">
        <v>1084</v>
      </c>
      <c r="B72" t="s">
        <v>509</v>
      </c>
      <c r="C72" s="399">
        <f t="shared" ref="C72:P79" si="6">SQRT(((LEFT(C$6,3)-LEFT($B72,3))*(LEFT(C$6,3)-LEFT($B72,3)))+((RIGHT(C$6,3)-RIGHT($B72,3))*(RIGHT(C$6,3)-RIGHT($B72,3))))*$D$1</f>
        <v>0.27163343355011038</v>
      </c>
      <c r="D72" s="399">
        <f t="shared" si="6"/>
        <v>0.2833639689319884</v>
      </c>
      <c r="E72" s="399">
        <f t="shared" si="6"/>
        <v>0.31800703171820305</v>
      </c>
      <c r="F72" s="399">
        <f t="shared" si="6"/>
        <v>0.32409060804383427</v>
      </c>
      <c r="G72" s="399">
        <f t="shared" si="6"/>
        <v>0.38414768572053692</v>
      </c>
      <c r="H72" s="399">
        <f t="shared" si="6"/>
        <v>0.39802027446964161</v>
      </c>
      <c r="I72" s="399">
        <f t="shared" si="6"/>
        <v>0.42746426101423318</v>
      </c>
      <c r="J72" s="399">
        <f t="shared" si="6"/>
        <v>0.49168432171691445</v>
      </c>
      <c r="K72" s="399">
        <f t="shared" si="6"/>
        <v>0.47507309379130747</v>
      </c>
      <c r="L72" s="399">
        <f t="shared" si="6"/>
        <v>0.47232433536477642</v>
      </c>
      <c r="M72" s="399">
        <f t="shared" si="6"/>
        <v>0.48635906374703131</v>
      </c>
      <c r="N72" s="399">
        <f t="shared" si="6"/>
        <v>0.50173310744967892</v>
      </c>
      <c r="O72" s="399">
        <f t="shared" si="6"/>
        <v>0.4796193513842224</v>
      </c>
      <c r="P72" s="399">
        <f t="shared" si="6"/>
        <v>0.41036907507483766</v>
      </c>
    </row>
    <row r="73" spans="1:16" x14ac:dyDescent="0.25">
      <c r="A73">
        <v>1076</v>
      </c>
      <c r="B73" t="s">
        <v>500</v>
      </c>
      <c r="C73" s="399">
        <f t="shared" si="6"/>
        <v>0.27163343355011038</v>
      </c>
      <c r="D73" s="399">
        <f t="shared" si="6"/>
        <v>0.29240976765871246</v>
      </c>
      <c r="E73" s="399">
        <f t="shared" si="6"/>
        <v>0.29828793881825733</v>
      </c>
      <c r="F73" s="399">
        <f t="shared" si="6"/>
        <v>0.35477888262346668</v>
      </c>
      <c r="G73" s="399">
        <f t="shared" si="6"/>
        <v>0.41874481754670373</v>
      </c>
      <c r="H73" s="399">
        <f t="shared" si="6"/>
        <v>0.42132809200326427</v>
      </c>
      <c r="I73" s="399">
        <f t="shared" si="6"/>
        <v>0.44536579846733226</v>
      </c>
      <c r="J73" s="399">
        <f t="shared" si="6"/>
        <v>0.52745787088217344</v>
      </c>
      <c r="K73" s="399">
        <f t="shared" si="6"/>
        <v>0.50689687752485157</v>
      </c>
      <c r="L73" s="399">
        <f t="shared" si="6"/>
        <v>0.49035842899749249</v>
      </c>
      <c r="M73" s="399">
        <f t="shared" si="6"/>
        <v>0.49520268016686303</v>
      </c>
      <c r="N73" s="399">
        <f t="shared" si="6"/>
        <v>0.51538820320220746</v>
      </c>
      <c r="O73" s="399">
        <f t="shared" si="6"/>
        <v>0.43799575086726328</v>
      </c>
      <c r="P73" s="399">
        <f t="shared" si="6"/>
        <v>0.33592740617910621</v>
      </c>
    </row>
    <row r="74" spans="1:16" x14ac:dyDescent="0.25">
      <c r="A74">
        <v>1018</v>
      </c>
      <c r="B74" t="s">
        <v>457</v>
      </c>
      <c r="C74" s="399">
        <f t="shared" si="6"/>
        <v>0.13176156917368248</v>
      </c>
      <c r="D74" s="399">
        <f t="shared" si="6"/>
        <v>0.12672421938121289</v>
      </c>
      <c r="E74" s="399">
        <f t="shared" si="6"/>
        <v>0.16796370308955311</v>
      </c>
      <c r="F74" s="399">
        <f t="shared" si="6"/>
        <v>0.13176156917368248</v>
      </c>
      <c r="G74" s="399">
        <f t="shared" si="6"/>
        <v>0.17921510973005472</v>
      </c>
      <c r="H74" s="399">
        <f t="shared" si="6"/>
        <v>0.19654127358451257</v>
      </c>
      <c r="I74" s="399">
        <f t="shared" si="6"/>
        <v>0.22534695471649935</v>
      </c>
      <c r="J74" s="399">
        <f t="shared" si="6"/>
        <v>0.28028383431403558</v>
      </c>
      <c r="K74" s="399">
        <f t="shared" si="6"/>
        <v>0.2651650429449553</v>
      </c>
      <c r="L74" s="399">
        <f t="shared" si="6"/>
        <v>0.26679684322636865</v>
      </c>
      <c r="M74" s="399">
        <f t="shared" si="6"/>
        <v>0.2833639689319884</v>
      </c>
      <c r="N74" s="399">
        <f t="shared" si="6"/>
        <v>0.29609730007399782</v>
      </c>
      <c r="O74" s="399">
        <f t="shared" si="6"/>
        <v>0.30333791205335492</v>
      </c>
      <c r="P74" s="399">
        <f t="shared" si="6"/>
        <v>0.27163343355011038</v>
      </c>
    </row>
    <row r="75" spans="1:16" x14ac:dyDescent="0.25">
      <c r="A75">
        <v>917</v>
      </c>
      <c r="B75" t="s">
        <v>475</v>
      </c>
      <c r="C75" s="399">
        <f t="shared" si="6"/>
        <v>0.3824491614726212</v>
      </c>
      <c r="D75" s="399">
        <f t="shared" si="6"/>
        <v>0.40073716795148628</v>
      </c>
      <c r="E75" s="399">
        <f t="shared" si="6"/>
        <v>0.42184284856909554</v>
      </c>
      <c r="F75" s="399">
        <f t="shared" si="6"/>
        <v>0.45691067082211057</v>
      </c>
      <c r="G75" s="399">
        <f t="shared" si="6"/>
        <v>0.52249734183268548</v>
      </c>
      <c r="H75" s="399">
        <f t="shared" si="6"/>
        <v>0.53114786599924835</v>
      </c>
      <c r="I75" s="399">
        <f t="shared" si="6"/>
        <v>0.55901699437494745</v>
      </c>
      <c r="J75" s="399">
        <f t="shared" si="6"/>
        <v>0.63464775882199231</v>
      </c>
      <c r="K75" s="399">
        <f t="shared" si="6"/>
        <v>0.6155536126122565</v>
      </c>
      <c r="L75" s="399">
        <f t="shared" si="6"/>
        <v>0.60560174390619304</v>
      </c>
      <c r="M75" s="399">
        <f t="shared" si="6"/>
        <v>0.61520096084305831</v>
      </c>
      <c r="N75" s="399">
        <f t="shared" si="6"/>
        <v>0.6336210969060645</v>
      </c>
      <c r="O75" s="399">
        <f t="shared" si="6"/>
        <v>0.57922661560241018</v>
      </c>
      <c r="P75" s="399">
        <f t="shared" si="6"/>
        <v>0.48635906374703131</v>
      </c>
    </row>
    <row r="76" spans="1:16" x14ac:dyDescent="0.25">
      <c r="A76">
        <v>713</v>
      </c>
      <c r="B76" t="s">
        <v>472</v>
      </c>
      <c r="C76" s="399">
        <f t="shared" si="6"/>
        <v>7.5115651572166431E-2</v>
      </c>
      <c r="D76" s="399">
        <f t="shared" si="6"/>
        <v>8.8388347648318433E-2</v>
      </c>
      <c r="E76" s="399">
        <f t="shared" si="6"/>
        <v>0.12147816447594376</v>
      </c>
      <c r="F76" s="399">
        <f t="shared" si="6"/>
        <v>0.13975424859373686</v>
      </c>
      <c r="G76" s="399">
        <f t="shared" si="6"/>
        <v>0.20518453753741883</v>
      </c>
      <c r="H76" s="399">
        <f t="shared" si="6"/>
        <v>0.21449229460389585</v>
      </c>
      <c r="I76" s="399">
        <f t="shared" si="6"/>
        <v>0.24295632895188751</v>
      </c>
      <c r="J76" s="399">
        <f t="shared" si="6"/>
        <v>0.31732387941099616</v>
      </c>
      <c r="K76" s="399">
        <f t="shared" si="6"/>
        <v>0.29828793881825733</v>
      </c>
      <c r="L76" s="399">
        <f t="shared" si="6"/>
        <v>0.28942591644687088</v>
      </c>
      <c r="M76" s="399">
        <f t="shared" si="6"/>
        <v>0.30046260628866572</v>
      </c>
      <c r="N76" s="399">
        <f t="shared" si="6"/>
        <v>0.31800703171820305</v>
      </c>
      <c r="O76" s="399">
        <f t="shared" si="6"/>
        <v>0.2833639689319884</v>
      </c>
      <c r="P76" s="399">
        <f t="shared" si="6"/>
        <v>0.21750638560230312</v>
      </c>
    </row>
    <row r="77" spans="1:16" x14ac:dyDescent="0.25">
      <c r="A77">
        <v>697</v>
      </c>
      <c r="B77" t="s">
        <v>504</v>
      </c>
      <c r="C77" s="399">
        <f t="shared" si="6"/>
        <v>0.34485302827597597</v>
      </c>
      <c r="D77" s="399">
        <f t="shared" si="6"/>
        <v>0.36383852492860369</v>
      </c>
      <c r="E77" s="399">
        <f t="shared" si="6"/>
        <v>0.3824491614726212</v>
      </c>
      <c r="F77" s="399">
        <f t="shared" si="6"/>
        <v>0.42184284856909554</v>
      </c>
      <c r="G77" s="399">
        <f t="shared" si="6"/>
        <v>0.4876958296133177</v>
      </c>
      <c r="H77" s="399">
        <f t="shared" si="6"/>
        <v>0.49520268016686303</v>
      </c>
      <c r="I77" s="399">
        <f t="shared" si="6"/>
        <v>0.52249734183268548</v>
      </c>
      <c r="J77" s="399">
        <f t="shared" si="6"/>
        <v>0.59984083537033195</v>
      </c>
      <c r="K77" s="399">
        <f t="shared" si="6"/>
        <v>0.58034951154933823</v>
      </c>
      <c r="L77" s="399">
        <f t="shared" si="6"/>
        <v>0.56902084515615259</v>
      </c>
      <c r="M77" s="399">
        <f t="shared" si="6"/>
        <v>0.57772602599425193</v>
      </c>
      <c r="N77" s="399">
        <f t="shared" si="6"/>
        <v>0.59657587763651465</v>
      </c>
      <c r="O77" s="399">
        <f t="shared" si="6"/>
        <v>0.53764532919016417</v>
      </c>
      <c r="P77" s="399">
        <f t="shared" si="6"/>
        <v>0.44292274219727706</v>
      </c>
    </row>
    <row r="78" spans="1:16" x14ac:dyDescent="0.25">
      <c r="A78">
        <v>578</v>
      </c>
      <c r="B78" t="s">
        <v>478</v>
      </c>
      <c r="C78" s="399">
        <f t="shared" si="6"/>
        <v>0.30333791205335492</v>
      </c>
      <c r="D78" s="399">
        <f t="shared" si="6"/>
        <v>0.32342030617208384</v>
      </c>
      <c r="E78" s="399">
        <f t="shared" si="6"/>
        <v>0.33657280044590643</v>
      </c>
      <c r="F78" s="399">
        <f t="shared" si="6"/>
        <v>0.38414768572053692</v>
      </c>
      <c r="G78" s="399">
        <f t="shared" si="6"/>
        <v>0.44972985718589376</v>
      </c>
      <c r="H78" s="399">
        <f t="shared" si="6"/>
        <v>0.45500686808003238</v>
      </c>
      <c r="I78" s="399">
        <f t="shared" si="6"/>
        <v>0.48097484919229982</v>
      </c>
      <c r="J78" s="399">
        <f t="shared" si="6"/>
        <v>0.56095466740984412</v>
      </c>
      <c r="K78" s="399">
        <f t="shared" si="6"/>
        <v>0.54086479107279872</v>
      </c>
      <c r="L78" s="399">
        <f t="shared" si="6"/>
        <v>0.52704627669472992</v>
      </c>
      <c r="M78" s="399">
        <f t="shared" si="6"/>
        <v>0.53400023408234565</v>
      </c>
      <c r="N78" s="399">
        <f t="shared" si="6"/>
        <v>0.55355542731610097</v>
      </c>
      <c r="O78" s="399">
        <f t="shared" si="6"/>
        <v>0.48591265790377502</v>
      </c>
      <c r="P78" s="399">
        <f t="shared" si="6"/>
        <v>0.38752240078621403</v>
      </c>
    </row>
    <row r="79" spans="1:16" x14ac:dyDescent="0.25">
      <c r="A79">
        <v>176</v>
      </c>
      <c r="B79" t="s">
        <v>488</v>
      </c>
      <c r="C79" s="399">
        <f t="shared" si="6"/>
        <v>3.9839630778353801</v>
      </c>
      <c r="D79" s="399">
        <f t="shared" si="6"/>
        <v>3.971797277192167</v>
      </c>
      <c r="E79" s="399">
        <f t="shared" si="6"/>
        <v>3.9379960005058408</v>
      </c>
      <c r="F79" s="399">
        <f t="shared" si="6"/>
        <v>3.9357359364051736</v>
      </c>
      <c r="G79" s="399">
        <f t="shared" si="6"/>
        <v>3.8831120287441845</v>
      </c>
      <c r="H79" s="399">
        <f t="shared" si="6"/>
        <v>3.8659167735480287</v>
      </c>
      <c r="I79" s="399">
        <f t="shared" si="6"/>
        <v>3.8369548110737792</v>
      </c>
      <c r="J79" s="399">
        <f t="shared" si="6"/>
        <v>3.7905218051813865</v>
      </c>
      <c r="K79" s="399">
        <f t="shared" si="6"/>
        <v>3.8020119856319345</v>
      </c>
      <c r="L79" s="399">
        <f t="shared" si="6"/>
        <v>3.7962998249757764</v>
      </c>
      <c r="M79" s="399">
        <f t="shared" si="6"/>
        <v>3.7790541144577436</v>
      </c>
      <c r="N79" s="399">
        <f t="shared" si="6"/>
        <v>3.767378712196467</v>
      </c>
      <c r="O79" s="399">
        <f t="shared" si="6"/>
        <v>3.775664492657036</v>
      </c>
      <c r="P79" s="399">
        <f t="shared" si="6"/>
        <v>3.8541666666666665</v>
      </c>
    </row>
  </sheetData>
  <autoFilter ref="A6:P79">
    <sortState ref="A7:P79">
      <sortCondition descending="1" ref="A6:A79"/>
    </sortState>
  </autoFilter>
  <mergeCells count="7">
    <mergeCell ref="C5:P5"/>
    <mergeCell ref="B1:C1"/>
    <mergeCell ref="B2:C2"/>
    <mergeCell ref="B3:C3"/>
    <mergeCell ref="F1:H1"/>
    <mergeCell ref="F2:H2"/>
    <mergeCell ref="F3:H3"/>
  </mergeCells>
  <conditionalFormatting sqref="C7:P79">
    <cfRule type="expression" dxfId="1" priority="3">
      <formula>(OR(C7&lt;$D$2,C7&gt;$D$3))</formula>
    </cfRule>
    <cfRule type="expression" dxfId="0" priority="4">
      <formula>AND(C7&gt;$D$2,C7&lt;$D$3)</formula>
    </cfRule>
  </conditionalFormatting>
  <dataValidations count="1">
    <dataValidation type="list" allowBlank="1" showInputMessage="1" showErrorMessage="1" sqref="A3">
      <formula1>"Laufzeiten,Abschickzeiten"</formula1>
    </dataValidation>
  </dataValidations>
  <pageMargins left="0.7" right="0.7" top="0.78740157499999996" bottom="0.78740157499999996"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Laufzeitrechner!$F$3:$F$13</xm:f>
          </x14:formula1>
          <xm:sqref>B1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9"/>
  <sheetViews>
    <sheetView workbookViewId="0">
      <selection activeCell="B4" sqref="B4"/>
    </sheetView>
  </sheetViews>
  <sheetFormatPr baseColWidth="10" defaultRowHeight="15" x14ac:dyDescent="0.25"/>
  <cols>
    <col min="1" max="1" width="28.85546875" bestFit="1" customWidth="1"/>
    <col min="2" max="2" width="15.140625" bestFit="1" customWidth="1"/>
    <col min="3" max="3" width="11.140625" bestFit="1" customWidth="1"/>
    <col min="4" max="4" width="13.140625" bestFit="1" customWidth="1"/>
    <col min="5" max="5" width="12.7109375" bestFit="1" customWidth="1"/>
    <col min="6" max="6" width="9.140625" bestFit="1" customWidth="1"/>
    <col min="7" max="7" width="6.5703125" customWidth="1"/>
    <col min="8" max="8" width="11.7109375" customWidth="1"/>
    <col min="9" max="9" width="4.85546875" bestFit="1" customWidth="1"/>
    <col min="10" max="10" width="5.85546875" bestFit="1" customWidth="1"/>
    <col min="11" max="11" width="5.7109375" bestFit="1" customWidth="1"/>
    <col min="12" max="12" width="8.140625" bestFit="1" customWidth="1"/>
    <col min="13" max="13" width="4.85546875" bestFit="1" customWidth="1"/>
    <col min="14" max="14" width="9.7109375" bestFit="1" customWidth="1"/>
    <col min="15" max="15" width="8.7109375" bestFit="1" customWidth="1"/>
    <col min="16" max="18" width="6" bestFit="1" customWidth="1"/>
    <col min="19" max="19" width="12.42578125" bestFit="1" customWidth="1"/>
    <col min="20" max="20" width="11.28515625" bestFit="1" customWidth="1"/>
    <col min="21" max="21" width="8.28515625" bestFit="1" customWidth="1"/>
    <col min="22" max="22" width="11.85546875" bestFit="1" customWidth="1"/>
    <col min="23" max="23" width="11.85546875" customWidth="1"/>
    <col min="24" max="24" width="8.140625" bestFit="1" customWidth="1"/>
    <col min="25" max="25" width="6.140625" bestFit="1" customWidth="1"/>
    <col min="26" max="26" width="8.140625" bestFit="1" customWidth="1"/>
    <col min="27" max="28" width="5.5703125" bestFit="1" customWidth="1"/>
    <col min="29" max="29" width="5.5703125" customWidth="1"/>
    <col min="30" max="30" width="8.85546875" bestFit="1" customWidth="1"/>
    <col min="31" max="33" width="7.42578125" customWidth="1"/>
    <col min="34" max="34" width="6.5703125" bestFit="1" customWidth="1"/>
    <col min="35" max="35" width="9.42578125" bestFit="1" customWidth="1"/>
  </cols>
  <sheetData>
    <row r="1" spans="1:62" ht="15.75" thickBot="1" x14ac:dyDescent="0.3">
      <c r="A1" s="100" t="s">
        <v>66</v>
      </c>
      <c r="B1" s="227">
        <f>'Construction Planner'!E1</f>
        <v>1</v>
      </c>
      <c r="D1" s="161"/>
      <c r="E1" s="162" t="s">
        <v>100</v>
      </c>
      <c r="F1" s="343">
        <v>4.1666666666666664E-2</v>
      </c>
      <c r="H1" s="158"/>
      <c r="I1" s="442" t="s">
        <v>155</v>
      </c>
      <c r="J1" s="442"/>
      <c r="K1" s="442"/>
      <c r="L1" s="413" t="s">
        <v>167</v>
      </c>
      <c r="M1" s="413"/>
      <c r="N1" s="413"/>
      <c r="O1" s="157" t="s">
        <v>183</v>
      </c>
      <c r="P1" s="413" t="s">
        <v>156</v>
      </c>
      <c r="Q1" s="413"/>
      <c r="R1" s="413"/>
      <c r="S1" s="443" t="s">
        <v>157</v>
      </c>
      <c r="T1" s="435"/>
      <c r="U1" s="435"/>
      <c r="V1" s="435"/>
      <c r="W1" s="435"/>
      <c r="X1" s="435"/>
      <c r="Y1" s="435" t="s">
        <v>158</v>
      </c>
      <c r="Z1" s="435"/>
      <c r="AA1" s="435"/>
      <c r="AB1" s="435"/>
      <c r="AC1" s="435"/>
      <c r="AD1" s="435"/>
      <c r="AE1" s="441" t="s">
        <v>159</v>
      </c>
      <c r="AF1" s="441"/>
      <c r="AG1" s="441"/>
      <c r="AI1" t="s">
        <v>184</v>
      </c>
      <c r="AO1" t="s">
        <v>398</v>
      </c>
      <c r="AP1" t="s">
        <v>290</v>
      </c>
    </row>
    <row r="2" spans="1:62" ht="15.75" thickBot="1" x14ac:dyDescent="0.3">
      <c r="A2" s="81" t="s">
        <v>148</v>
      </c>
      <c r="B2" s="125">
        <f>'Construction Planner'!E2</f>
        <v>1</v>
      </c>
      <c r="H2" s="159" t="s">
        <v>150</v>
      </c>
      <c r="I2" s="79" t="s">
        <v>151</v>
      </c>
      <c r="J2" s="79" t="s">
        <v>152</v>
      </c>
      <c r="K2" s="79" t="s">
        <v>153</v>
      </c>
      <c r="L2" s="79" t="s">
        <v>168</v>
      </c>
      <c r="M2" s="79" t="s">
        <v>169</v>
      </c>
      <c r="N2" s="79" t="s">
        <v>170</v>
      </c>
      <c r="O2" s="82"/>
      <c r="P2" s="79" t="s">
        <v>151</v>
      </c>
      <c r="Q2" s="79" t="s">
        <v>152</v>
      </c>
      <c r="R2" s="79" t="s">
        <v>153</v>
      </c>
      <c r="S2" s="165" t="s">
        <v>73</v>
      </c>
      <c r="T2" s="79" t="s">
        <v>74</v>
      </c>
      <c r="U2" s="79" t="s">
        <v>75</v>
      </c>
      <c r="V2" s="79" t="s">
        <v>76</v>
      </c>
      <c r="W2" s="79" t="s">
        <v>77</v>
      </c>
      <c r="X2" s="79" t="s">
        <v>78</v>
      </c>
      <c r="Y2" s="79" t="s">
        <v>160</v>
      </c>
      <c r="Z2" s="79" t="s">
        <v>161</v>
      </c>
      <c r="AA2" s="79" t="s">
        <v>171</v>
      </c>
      <c r="AB2" s="79" t="s">
        <v>122</v>
      </c>
      <c r="AC2" s="79" t="s">
        <v>125</v>
      </c>
      <c r="AD2" s="79" t="s">
        <v>123</v>
      </c>
      <c r="AE2" s="79" t="s">
        <v>151</v>
      </c>
      <c r="AF2" s="79" t="s">
        <v>152</v>
      </c>
      <c r="AG2" s="79" t="s">
        <v>153</v>
      </c>
      <c r="AI2" t="s">
        <v>185</v>
      </c>
      <c r="AL2" t="str">
        <f>LEFT(RIGHT(AO2,13),7)</f>
        <v>522|500</v>
      </c>
      <c r="AN2" s="154"/>
      <c r="AO2" t="s">
        <v>296</v>
      </c>
      <c r="AP2" s="154">
        <v>8998</v>
      </c>
      <c r="AQ2">
        <v>20</v>
      </c>
      <c r="AR2">
        <v>25</v>
      </c>
      <c r="AS2">
        <v>16</v>
      </c>
      <c r="AT2">
        <v>7</v>
      </c>
      <c r="AU2">
        <v>2</v>
      </c>
      <c r="AV2">
        <v>20</v>
      </c>
      <c r="AW2">
        <v>1</v>
      </c>
      <c r="AX2">
        <v>10</v>
      </c>
      <c r="AY2">
        <v>30</v>
      </c>
      <c r="AZ2">
        <v>30</v>
      </c>
      <c r="BA2">
        <v>30</v>
      </c>
      <c r="BB2">
        <v>30</v>
      </c>
      <c r="BC2">
        <v>30</v>
      </c>
      <c r="BD2">
        <v>5</v>
      </c>
      <c r="BE2" t="s">
        <v>300</v>
      </c>
      <c r="BF2">
        <v>1</v>
      </c>
      <c r="BG2" s="154">
        <v>8998</v>
      </c>
      <c r="BH2" t="s">
        <v>301</v>
      </c>
      <c r="BI2" t="s">
        <v>302</v>
      </c>
      <c r="BJ2" t="s">
        <v>303</v>
      </c>
    </row>
    <row r="3" spans="1:62" x14ac:dyDescent="0.25">
      <c r="A3" s="81" t="s">
        <v>149</v>
      </c>
      <c r="B3" s="125">
        <f>'Construction Planner'!E3</f>
        <v>1</v>
      </c>
      <c r="D3" s="100" t="s">
        <v>173</v>
      </c>
      <c r="E3" s="163">
        <f>COUNTA(H:H)-1</f>
        <v>3</v>
      </c>
      <c r="H3" s="228" t="s">
        <v>298</v>
      </c>
      <c r="I3" s="11">
        <v>30</v>
      </c>
      <c r="J3" s="11">
        <v>30</v>
      </c>
      <c r="K3" s="11">
        <v>30</v>
      </c>
      <c r="L3" s="11">
        <v>25</v>
      </c>
      <c r="M3" s="11">
        <v>16</v>
      </c>
      <c r="N3" s="11">
        <v>7</v>
      </c>
      <c r="O3" s="40" t="s">
        <v>185</v>
      </c>
      <c r="P3" s="229">
        <f t="shared" ref="P3:R11" si="0">IF(H3="","",IF(I3 = 0,$B$3*5,$B$3*30*1.163118^(I3-1)))</f>
        <v>2399.9974535898937</v>
      </c>
      <c r="Q3" s="229">
        <f t="shared" si="0"/>
        <v>2399.9974535898937</v>
      </c>
      <c r="R3" s="229">
        <f t="shared" si="0"/>
        <v>2399.9974535898937</v>
      </c>
      <c r="S3" s="230">
        <f>IF($H3="","",HLOOKUP(S$2,'Unit information'!$B$3:$K$29,$L3+2,FALSE))</f>
        <v>1.8371865211979867E-3</v>
      </c>
      <c r="T3" s="231">
        <f>IF($H3="","",HLOOKUP(T$2,'Unit information'!$B$3:$K$29,$L3+2,FALSE))</f>
        <v>2.7100428306398843E-3</v>
      </c>
      <c r="U3" s="231">
        <f>IF($H3="","",HLOOKUP(U$2,'Unit information'!$B$3:$K$29,$L3+2,FALSE))</f>
        <v>2.3767797651862072E-3</v>
      </c>
      <c r="V3" s="231">
        <f>IF($H3="","",HLOOKUP(V$2,'Unit information'!$B$3:$K$29,$M3+2,FALSE))</f>
        <v>5.4697885928286227E-3</v>
      </c>
      <c r="W3" s="231">
        <f>IF($H3="","",HLOOKUP(W$2,'Unit information'!$B$3:$K$29,$M3+2,FALSE))</f>
        <v>1.0939577185657245E-2</v>
      </c>
      <c r="X3" s="231">
        <f>IF($H3="","",HLOOKUP(X$2,'Unit information'!$B$3:$K$29,$N3+2,FALSE))</f>
        <v>2.4642913967405072E-2</v>
      </c>
      <c r="Y3" s="232">
        <f t="shared" ref="Y3:Z5" si="1">IF($H3="","",IF($O3=$AI$1,"0%","50"%))</f>
        <v>0.5</v>
      </c>
      <c r="Z3" s="232">
        <f t="shared" si="1"/>
        <v>0.5</v>
      </c>
      <c r="AA3" s="232">
        <f t="shared" ref="AA3:AB5" si="2">IF($H3="","",IF($O3=$AI$1,"100%","0"%))</f>
        <v>0</v>
      </c>
      <c r="AB3" s="232">
        <f t="shared" si="2"/>
        <v>0</v>
      </c>
      <c r="AC3" s="232">
        <f>IF($H3="","",IF($O3=$AI$3,"100%","0"%))</f>
        <v>0</v>
      </c>
      <c r="AD3" s="232">
        <f>IF($H3="","",IF($O3=$AI$1,"75%","50"%))</f>
        <v>0.5</v>
      </c>
      <c r="AE3" s="229">
        <f>IF($H3="","",($F$1/$S3*$Y3*'Unit information'!$AB$3)+($F$1/$T3*$Z3*'Unit information'!$AB$4)+($F$1/$U3*$AA3*'Unit information'!$AB$5)+($F$1/$V3*$AB3*'Unit information'!$AB$8)+($F$1/$W3*$AC3*'Unit information'!$AB$10)+($F$1/$X3*$AD3*'Unit information'!$AB$11))</f>
        <v>1051.2364178731086</v>
      </c>
      <c r="AF3" s="229">
        <f>IF($H3="","",($F$1/$S3*$Y3*'Unit information'!$AC$3)+($F$1/$T3*$Z3*'Unit information'!$AC$4)+($F$1/$U3*$AA3*'Unit information'!$AC$5)+($F$1/$V3*$AB3*'Unit information'!$AC$8)+($F$1/$W3*$AC3*'Unit information'!$AC$10)+($F$1/$X3*$AD3*'Unit information'!$AC$11))</f>
        <v>739.89948883271245</v>
      </c>
      <c r="AG3" s="229">
        <f>IF($H3="","",($F$1/$S3*$Y3*'Unit information'!$AD$3)+($F$1/$T3*$Z3*'Unit information'!$AD$4)+($F$1/$U3*$AA3*'Unit information'!$AD$5)+($F$1/$V3*$AB3*'Unit information'!$AD$8)+($F$1/$W3*$AC3*'Unit information'!$AD$10)+($F$1/$X3*$AD3*'Unit information'!$AD$11))</f>
        <v>820.60164277418858</v>
      </c>
      <c r="AI3" t="s">
        <v>186</v>
      </c>
      <c r="AL3" t="str">
        <f t="shared" ref="AL3" si="3">LEFT(RIGHT(AO3,13),7)</f>
        <v>521|498</v>
      </c>
      <c r="AN3" s="154"/>
      <c r="AO3" t="s">
        <v>297</v>
      </c>
      <c r="AP3" s="154">
        <v>3322</v>
      </c>
      <c r="AQ3">
        <v>20</v>
      </c>
      <c r="AR3">
        <v>10</v>
      </c>
      <c r="AS3">
        <v>10</v>
      </c>
      <c r="AT3">
        <v>1</v>
      </c>
      <c r="AU3">
        <v>1</v>
      </c>
      <c r="AV3">
        <v>20</v>
      </c>
      <c r="AW3">
        <v>1</v>
      </c>
      <c r="AX3">
        <v>10</v>
      </c>
      <c r="AY3">
        <v>24</v>
      </c>
      <c r="AZ3">
        <v>26</v>
      </c>
      <c r="BA3">
        <v>21</v>
      </c>
      <c r="BB3">
        <v>20</v>
      </c>
      <c r="BC3">
        <v>20</v>
      </c>
      <c r="BD3">
        <v>13</v>
      </c>
      <c r="BE3" t="s">
        <v>304</v>
      </c>
      <c r="BF3">
        <v>1</v>
      </c>
      <c r="BG3" s="154">
        <v>3322</v>
      </c>
      <c r="BH3" t="s">
        <v>305</v>
      </c>
      <c r="BI3" t="s">
        <v>302</v>
      </c>
      <c r="BJ3" t="s">
        <v>303</v>
      </c>
    </row>
    <row r="4" spans="1:62" x14ac:dyDescent="0.25">
      <c r="A4" s="81" t="s">
        <v>387</v>
      </c>
      <c r="B4" s="125" t="str">
        <f>'Construction Planner'!G2</f>
        <v>Goldmünzen</v>
      </c>
      <c r="D4" s="81" t="s">
        <v>172</v>
      </c>
      <c r="E4" s="40">
        <v>0</v>
      </c>
      <c r="H4" s="228" t="s">
        <v>299</v>
      </c>
      <c r="I4" s="11">
        <v>30</v>
      </c>
      <c r="J4" s="11">
        <v>30</v>
      </c>
      <c r="K4" s="11">
        <v>30</v>
      </c>
      <c r="L4" s="11">
        <v>10</v>
      </c>
      <c r="M4" s="11">
        <v>10</v>
      </c>
      <c r="N4" s="11">
        <v>1</v>
      </c>
      <c r="O4" s="40" t="s">
        <v>185</v>
      </c>
      <c r="P4" s="229">
        <f t="shared" si="0"/>
        <v>2399.9974535898937</v>
      </c>
      <c r="Q4" s="229">
        <f t="shared" si="0"/>
        <v>2399.9974535898937</v>
      </c>
      <c r="R4" s="229">
        <f t="shared" si="0"/>
        <v>2399.9974535898937</v>
      </c>
      <c r="S4" s="230">
        <f>IF($H4="","",HLOOKUP(S$2,'Unit information'!$B$3:$K$29,$L4+2,FALSE))</f>
        <v>4.4029244096293546E-3</v>
      </c>
      <c r="T4" s="231">
        <f>IF($H4="","",HLOOKUP(T$2,'Unit information'!$B$3:$K$29,$L4+2,FALSE))</f>
        <v>6.4947753494210923E-3</v>
      </c>
      <c r="U4" s="231">
        <f>IF($H4="","",HLOOKUP(U$2,'Unit information'!$B$3:$K$29,$L4+2,FALSE))</f>
        <v>5.6960910194505648E-3</v>
      </c>
      <c r="V4" s="231">
        <f>IF($H4="","",HLOOKUP(V$2,'Unit information'!$B$3:$K$29,$M4+2,FALSE))</f>
        <v>7.7589996589272556E-3</v>
      </c>
      <c r="W4" s="231">
        <f>IF($H4="","",HLOOKUP(W$2,'Unit information'!$B$3:$K$29,$M4+2,FALSE))</f>
        <v>1.5517999317854511E-2</v>
      </c>
      <c r="X4" s="231">
        <f>IF($H4="","",HLOOKUP(X$2,'Unit information'!$B$3:$K$29,$N4+2,FALSE))</f>
        <v>3.4956444444444443E-2</v>
      </c>
      <c r="Y4" s="232">
        <f t="shared" si="1"/>
        <v>0.5</v>
      </c>
      <c r="Z4" s="232">
        <f t="shared" si="1"/>
        <v>0.5</v>
      </c>
      <c r="AA4" s="232">
        <f t="shared" si="2"/>
        <v>0</v>
      </c>
      <c r="AB4" s="232">
        <f t="shared" si="2"/>
        <v>0</v>
      </c>
      <c r="AC4" s="232">
        <f>IF($H4="","",IF($O4=$AI$3,"100%","0"%))</f>
        <v>0</v>
      </c>
      <c r="AD4" s="232">
        <f t="shared" ref="AD4:AD69" si="4">IF($H4="","",IF($O4=$AI$1,"75%","50"%))</f>
        <v>0.5</v>
      </c>
      <c r="AE4" s="229">
        <f>IF($H4="","",($F$1/$S4*$Y4*'Unit information'!$AB$3)+($F$1/$T4*$Z4*'Unit information'!$AB$4)+($F$1/$U4*$AA4*'Unit information'!$AB$5)+($F$1/$V4*$AB4*'Unit information'!$AB$8)+($F$1/$W4*$AC4*'Unit information'!$AB$10)+($F$1/$X4*$AD4*'Unit information'!$AB$11))</f>
        <v>511.61030434952875</v>
      </c>
      <c r="AF4" s="229">
        <f>IF($H4="","",($F$1/$S4*$Y4*'Unit information'!$AC$3)+($F$1/$T4*$Z4*'Unit information'!$AC$4)+($F$1/$U4*$AA4*'Unit information'!$AC$5)+($F$1/$V4*$AB4*'Unit information'!$AC$8)+($F$1/$W4*$AC4*'Unit information'!$AC$10)+($F$1/$X4*$AD4*'Unit information'!$AC$11))</f>
        <v>357.37825621150654</v>
      </c>
      <c r="AG4" s="229">
        <f>IF($H4="","",($F$1/$S4*$Y4*'Unit information'!$AD$3)+($F$1/$T4*$Z4*'Unit information'!$AD$4)+($F$1/$U4*$AA4*'Unit information'!$AD$5)+($F$1/$V4*$AB4*'Unit information'!$AD$8)+($F$1/$W4*$AC4*'Unit information'!$AD$10)+($F$1/$X4*$AD4*'Unit information'!$AD$11))</f>
        <v>391.05244537738554</v>
      </c>
      <c r="AN4" s="154"/>
      <c r="AP4" s="154"/>
      <c r="BG4" s="154"/>
    </row>
    <row r="5" spans="1:62" ht="15.75" thickBot="1" x14ac:dyDescent="0.3">
      <c r="A5" s="126" t="s">
        <v>163</v>
      </c>
      <c r="B5" s="352">
        <f ca="1">'Construction Planner'!AK5*('Construction Planner'!AK8+E3+1)</f>
        <v>321745.58564809558</v>
      </c>
      <c r="D5" s="88" t="s">
        <v>174</v>
      </c>
      <c r="E5" s="226">
        <v>4</v>
      </c>
      <c r="H5" s="228" t="s">
        <v>291</v>
      </c>
      <c r="I5" s="11">
        <v>30</v>
      </c>
      <c r="J5" s="11">
        <v>30</v>
      </c>
      <c r="K5" s="11">
        <v>30</v>
      </c>
      <c r="L5" s="11">
        <v>25</v>
      </c>
      <c r="M5" s="11">
        <v>20</v>
      </c>
      <c r="N5" s="11">
        <v>5</v>
      </c>
      <c r="O5" s="40" t="s">
        <v>184</v>
      </c>
      <c r="P5" s="229">
        <f t="shared" si="0"/>
        <v>2399.9974535898937</v>
      </c>
      <c r="Q5" s="229">
        <f t="shared" si="0"/>
        <v>2399.9974535898937</v>
      </c>
      <c r="R5" s="229">
        <f t="shared" si="0"/>
        <v>2399.9974535898937</v>
      </c>
      <c r="S5" s="230">
        <f>IF($H5="","",HLOOKUP(S$2,'Unit information'!$B$3:$K$29,$L5+2,FALSE))</f>
        <v>1.8371865211979867E-3</v>
      </c>
      <c r="T5" s="231">
        <f>IF($H5="","",HLOOKUP(T$2,'Unit information'!$B$3:$K$29,$L5+2,FALSE))</f>
        <v>2.7100428306398843E-3</v>
      </c>
      <c r="U5" s="231">
        <f>IF($H5="","",HLOOKUP(U$2,'Unit information'!$B$3:$K$29,$L5+2,FALSE))</f>
        <v>2.3767797651862072E-3</v>
      </c>
      <c r="V5" s="231">
        <f>IF($H5="","",HLOOKUP(V$2,'Unit information'!$B$3:$K$29,$M5+2,FALSE))</f>
        <v>4.3325848836311609E-3</v>
      </c>
      <c r="W5" s="231">
        <f>IF($H5="","",HLOOKUP(W$2,'Unit information'!$B$3:$K$29,$M5+2,FALSE))</f>
        <v>8.6651697672623217E-3</v>
      </c>
      <c r="X5" s="231">
        <f>IF($H5="","",HLOOKUP(X$2,'Unit information'!$B$3:$K$29,$N5+2,FALSE))</f>
        <v>2.7688778133776345E-2</v>
      </c>
      <c r="Y5" s="232" t="str">
        <f t="shared" si="1"/>
        <v>0%</v>
      </c>
      <c r="Z5" s="232" t="str">
        <f t="shared" si="1"/>
        <v>0%</v>
      </c>
      <c r="AA5" s="232" t="str">
        <f t="shared" si="2"/>
        <v>100%</v>
      </c>
      <c r="AB5" s="232" t="str">
        <f t="shared" si="2"/>
        <v>100%</v>
      </c>
      <c r="AC5" s="232">
        <f>IF($H5="","",IF($O5=$AI$3,"100%","0"%))</f>
        <v>0</v>
      </c>
      <c r="AD5" s="232" t="str">
        <f t="shared" si="4"/>
        <v>75%</v>
      </c>
      <c r="AE5" s="229">
        <f>IF($H5="","",($F$1/$S5*$Y5*'Unit information'!$AB$3)+($F$1/$T5*$Z5*'Unit information'!$AB$4)+($F$1/$U5*$AA5*'Unit information'!$AB$5)+($F$1/$V5*$AB5*'Unit information'!$AB$8)+($F$1/$W5*$AC5*'Unit information'!$AB$10)+($F$1/$X5*$AD5*'Unit information'!$AB$11))</f>
        <v>2592.5588833884613</v>
      </c>
      <c r="AF5" s="229">
        <f>IF($H5="","",($F$1/$S5*$Y5*'Unit information'!$AC$3)+($F$1/$T5*$Z5*'Unit information'!$AC$4)+($F$1/$U5*$AA5*'Unit information'!$AC$5)+($F$1/$V5*$AB5*'Unit information'!$AC$8)+($F$1/$W5*$AC5*'Unit information'!$AC$10)+($F$1/$X5*$AD5*'Unit information'!$AC$11))</f>
        <v>1713.3494576451433</v>
      </c>
      <c r="AG5" s="229">
        <f>IF($H5="","",($F$1/$S5*$Y5*'Unit information'!$AD$3)+($F$1/$T5*$Z5*'Unit information'!$AD$4)+($F$1/$U5*$AA5*'Unit information'!$AD$5)+($F$1/$V5*$AB5*'Unit information'!$AD$8)+($F$1/$W5*$AC5*'Unit information'!$AD$10)+($F$1/$X5*$AD5*'Unit information'!$AD$11))</f>
        <v>3331.213532834458</v>
      </c>
      <c r="AN5" s="154"/>
      <c r="AP5" s="154"/>
      <c r="BG5" s="154"/>
    </row>
    <row r="6" spans="1:62" ht="15.75" thickBot="1" x14ac:dyDescent="0.3">
      <c r="A6" s="353" t="s">
        <v>388</v>
      </c>
      <c r="B6" s="354">
        <v>1</v>
      </c>
      <c r="D6" s="12"/>
      <c r="E6" s="13"/>
      <c r="H6" s="228"/>
      <c r="I6" s="11"/>
      <c r="J6" s="11"/>
      <c r="K6" s="11"/>
      <c r="L6" s="11"/>
      <c r="M6" s="11"/>
      <c r="N6" s="11"/>
      <c r="O6" s="40"/>
      <c r="P6" s="229"/>
      <c r="Q6" s="229"/>
      <c r="R6" s="229"/>
      <c r="S6" s="230"/>
      <c r="T6" s="231"/>
      <c r="U6" s="231"/>
      <c r="V6" s="231"/>
      <c r="W6" s="231"/>
      <c r="X6" s="231"/>
      <c r="Y6" s="232"/>
      <c r="Z6" s="232"/>
      <c r="AA6" s="232"/>
      <c r="AB6" s="232"/>
      <c r="AC6" s="232"/>
      <c r="AD6" s="232"/>
      <c r="AE6" s="229"/>
      <c r="AF6" s="229"/>
      <c r="AG6" s="229"/>
      <c r="AN6" s="154"/>
      <c r="AP6" s="154"/>
      <c r="BG6" s="154"/>
    </row>
    <row r="7" spans="1:62" ht="15.75" thickBot="1" x14ac:dyDescent="0.3">
      <c r="A7" s="236" t="s">
        <v>182</v>
      </c>
      <c r="B7" s="237">
        <f ca="1">NOW()</f>
        <v>44000.030114120367</v>
      </c>
      <c r="D7" s="12"/>
      <c r="E7" s="13"/>
      <c r="H7" s="228"/>
      <c r="I7" s="11"/>
      <c r="J7" s="11"/>
      <c r="K7" s="11"/>
      <c r="L7" s="11"/>
      <c r="M7" s="11"/>
      <c r="N7" s="11"/>
      <c r="O7" s="40"/>
      <c r="P7" s="229"/>
      <c r="Q7" s="229"/>
      <c r="R7" s="229"/>
      <c r="S7" s="230"/>
      <c r="T7" s="231"/>
      <c r="U7" s="231"/>
      <c r="V7" s="231"/>
      <c r="W7" s="231"/>
      <c r="X7" s="231"/>
      <c r="Y7" s="232"/>
      <c r="Z7" s="232"/>
      <c r="AA7" s="232"/>
      <c r="AB7" s="232"/>
      <c r="AC7" s="232"/>
      <c r="AD7" s="232"/>
      <c r="AE7" s="229"/>
      <c r="AF7" s="229"/>
      <c r="AG7" s="229"/>
      <c r="AN7" s="154"/>
      <c r="AP7" s="154"/>
      <c r="BG7" s="154"/>
    </row>
    <row r="8" spans="1:62" ht="15.75" thickBot="1" x14ac:dyDescent="0.3">
      <c r="E8" s="153"/>
      <c r="H8" s="228"/>
      <c r="I8" s="11"/>
      <c r="J8" s="11"/>
      <c r="K8" s="11"/>
      <c r="L8" s="11"/>
      <c r="M8" s="11"/>
      <c r="N8" s="11"/>
      <c r="O8" s="40"/>
      <c r="P8" s="229" t="str">
        <f t="shared" si="0"/>
        <v/>
      </c>
      <c r="Q8" s="229" t="str">
        <f t="shared" si="0"/>
        <v/>
      </c>
      <c r="R8" s="229" t="str">
        <f t="shared" si="0"/>
        <v/>
      </c>
      <c r="S8" s="230" t="str">
        <f>IF($H8="","",HLOOKUP(S$2,'Unit information'!$B$3:$K$29,$L8+2,FALSE))</f>
        <v/>
      </c>
      <c r="T8" s="231" t="str">
        <f>IF($H8="","",HLOOKUP(T$2,'Unit information'!$B$3:$K$29,$L8+2,FALSE))</f>
        <v/>
      </c>
      <c r="U8" s="231" t="str">
        <f>IF($H8="","",HLOOKUP(U$2,'Unit information'!$B$3:$K$29,$L8+2,FALSE))</f>
        <v/>
      </c>
      <c r="V8" s="231" t="str">
        <f>IF($H8="","",HLOOKUP(V$2,'Unit information'!$B$3:$K$29,$M8+2,FALSE))</f>
        <v/>
      </c>
      <c r="W8" s="231" t="str">
        <f>IF($H8="","",HLOOKUP(W$2,'Unit information'!$B$3:$K$29,$M8+2,FALSE))</f>
        <v/>
      </c>
      <c r="X8" s="231" t="str">
        <f>IF($H8="","",HLOOKUP(X$2,'Unit information'!$B$3:$K$29,$N8+2,FALSE))</f>
        <v/>
      </c>
      <c r="Y8" s="232" t="str">
        <f>IF($H8="","",IF($O8=$AI$1,"0%","50"%))</f>
        <v/>
      </c>
      <c r="Z8" s="232" t="str">
        <f>IF($H8="","",IF($O8=$AI$1,"0%","50"%))</f>
        <v/>
      </c>
      <c r="AA8" s="232" t="str">
        <f>IF($H8="","",IF($O8=$AI$1,"100%","0"%))</f>
        <v/>
      </c>
      <c r="AB8" s="232" t="str">
        <f>IF($H8="","",IF($O8=$AI$1,"100%","0"%))</f>
        <v/>
      </c>
      <c r="AC8" s="232" t="str">
        <f>IF($H8="","",IF($O8=$AI$3,"100%","0"%))</f>
        <v/>
      </c>
      <c r="AD8" s="232" t="str">
        <f t="shared" si="4"/>
        <v/>
      </c>
      <c r="AE8" s="229" t="str">
        <f>IF($H8="","",($F$1/$S8*$Y8*'Unit information'!$AB$3)+($F$1/$T8*$Z8*'Unit information'!$AB$4)+($F$1/$U8*$AA8*'Unit information'!$AB$5)+($F$1/$V8*$AB8*'Unit information'!$AB$8)+($F$1/$W8*$AC8*'Unit information'!$AB$10)+($F$1/$X8*$AD8*'Unit information'!$AB$11))</f>
        <v/>
      </c>
      <c r="AF8" s="229" t="str">
        <f>IF($H8="","",($F$1/$S8*$Y8*'Unit information'!$AC$3)+($F$1/$T8*$Z8*'Unit information'!$AC$4)+($F$1/$U8*$AA8*'Unit information'!$AC$5)+($F$1/$V8*$AB8*'Unit information'!$AC$8)+($F$1/$W8*$AC8*'Unit information'!$AC$10)+($F$1/$X8*$AD8*'Unit information'!$AC$11))</f>
        <v/>
      </c>
      <c r="AG8" s="229" t="str">
        <f>IF($H8="","",($F$1/$S8*$Y8*'Unit information'!$AD$3)+($F$1/$T8*$Z8*'Unit information'!$AD$4)+($F$1/$U8*$AA8*'Unit information'!$AD$5)+($F$1/$V8*$AB8*'Unit information'!$AD$8)+($F$1/$W8*$AC8*'Unit information'!$AD$10)+($F$1/$X8*$AD8*'Unit information'!$AD$11))</f>
        <v/>
      </c>
      <c r="AN8" s="154"/>
      <c r="AP8" s="154"/>
      <c r="BG8" s="154"/>
    </row>
    <row r="9" spans="1:62" ht="15.75" thickBot="1" x14ac:dyDescent="0.3">
      <c r="B9" s="219" t="s">
        <v>151</v>
      </c>
      <c r="C9" s="220" t="s">
        <v>152</v>
      </c>
      <c r="D9" s="220" t="s">
        <v>153</v>
      </c>
      <c r="E9" s="221" t="s">
        <v>154</v>
      </c>
      <c r="H9" s="228"/>
      <c r="I9" s="11"/>
      <c r="J9" s="11"/>
      <c r="K9" s="11"/>
      <c r="L9" s="11"/>
      <c r="M9" s="11"/>
      <c r="N9" s="11"/>
      <c r="O9" s="40"/>
      <c r="P9" s="229" t="str">
        <f t="shared" si="0"/>
        <v/>
      </c>
      <c r="Q9" s="229" t="str">
        <f t="shared" si="0"/>
        <v/>
      </c>
      <c r="R9" s="229" t="str">
        <f t="shared" si="0"/>
        <v/>
      </c>
      <c r="S9" s="230" t="str">
        <f>IF($H9="","",HLOOKUP(S$2,'Unit information'!$B$3:$K$29,$L9+2,FALSE))</f>
        <v/>
      </c>
      <c r="T9" s="231" t="str">
        <f>IF($H9="","",HLOOKUP(T$2,'Unit information'!$B$3:$K$29,$L9+2,FALSE))</f>
        <v/>
      </c>
      <c r="U9" s="231" t="str">
        <f>IF($H9="","",HLOOKUP(U$2,'Unit information'!$B$3:$K$29,$L9+2,FALSE))</f>
        <v/>
      </c>
      <c r="V9" s="231" t="str">
        <f>IF($H9="","",HLOOKUP(V$2,'Unit information'!$B$3:$K$29,$M9+2,FALSE))</f>
        <v/>
      </c>
      <c r="W9" s="231" t="str">
        <f>IF($H9="","",HLOOKUP(W$2,'Unit information'!$B$3:$K$29,$M9+2,FALSE))</f>
        <v/>
      </c>
      <c r="X9" s="231" t="str">
        <f>IF($H9="","",HLOOKUP(X$2,'Unit information'!$B$3:$K$29,$N9+2,FALSE))</f>
        <v/>
      </c>
      <c r="Y9" s="232" t="str">
        <f t="shared" ref="Y9:Z40" si="5">IF($H9="","",IF($O9=$AI$1,"0%","50"%))</f>
        <v/>
      </c>
      <c r="Z9" s="232" t="str">
        <f t="shared" si="5"/>
        <v/>
      </c>
      <c r="AA9" s="232" t="str">
        <f t="shared" ref="AA9:AB40" si="6">IF($H9="","",IF($O9=$AI$1,"100%","0"%))</f>
        <v/>
      </c>
      <c r="AB9" s="232" t="str">
        <f t="shared" si="6"/>
        <v/>
      </c>
      <c r="AC9" s="232" t="str">
        <f t="shared" ref="AC9:AC72" si="7">IF($H9="","",IF($O9=$AI$3,"100%","0"%))</f>
        <v/>
      </c>
      <c r="AD9" s="232" t="str">
        <f t="shared" si="4"/>
        <v/>
      </c>
      <c r="AE9" s="229" t="str">
        <f>IF($H9="","",($F$1/$S9*$Y9*'Unit information'!$AB$3)+($F$1/$T9*$Z9*'Unit information'!$AB$4)+($F$1/$U9*$AA9*'Unit information'!$AB$5)+($F$1/$V9*$AB9*'Unit information'!$AB$8)+($F$1/$W9*$AC9*'Unit information'!$AB$10)+($F$1/$X9*$AD9*'Unit information'!$AB$11))</f>
        <v/>
      </c>
      <c r="AF9" s="229" t="str">
        <f>IF($H9="","",($F$1/$S9*$Y9*'Unit information'!$AC$3)+($F$1/$T9*$Z9*'Unit information'!$AC$4)+($F$1/$U9*$AA9*'Unit information'!$AC$5)+($F$1/$V9*$AB9*'Unit information'!$AC$8)+($F$1/$W9*$AC9*'Unit information'!$AC$10)+($F$1/$X9*$AD9*'Unit information'!$AC$11))</f>
        <v/>
      </c>
      <c r="AG9" s="229" t="str">
        <f>IF($H9="","",($F$1/$S9*$Y9*'Unit information'!$AD$3)+($F$1/$T9*$Z9*'Unit information'!$AD$4)+($F$1/$U9*$AA9*'Unit information'!$AD$5)+($F$1/$V9*$AB9*'Unit information'!$AD$8)+($F$1/$W9*$AC9*'Unit information'!$AD$10)+($F$1/$X9*$AD9*'Unit information'!$AD$11))</f>
        <v/>
      </c>
      <c r="AN9" s="154"/>
      <c r="AP9" s="154"/>
      <c r="BG9" s="154"/>
    </row>
    <row r="10" spans="1:62" x14ac:dyDescent="0.25">
      <c r="A10" s="233" t="s">
        <v>162</v>
      </c>
      <c r="B10" s="240">
        <f>SUM(P3:P105)</f>
        <v>7199.992360769681</v>
      </c>
      <c r="C10" s="241">
        <f>SUM(Q3:Q105)</f>
        <v>7199.992360769681</v>
      </c>
      <c r="D10" s="241">
        <f>SUM(R3:R105)</f>
        <v>7199.992360769681</v>
      </c>
      <c r="E10" s="242">
        <f>SUM(B10:D10)</f>
        <v>21599.977082309044</v>
      </c>
      <c r="H10" s="228"/>
      <c r="I10" s="11"/>
      <c r="J10" s="11"/>
      <c r="K10" s="11"/>
      <c r="L10" s="11"/>
      <c r="M10" s="11"/>
      <c r="N10" s="11"/>
      <c r="O10" s="40"/>
      <c r="P10" s="229" t="str">
        <f t="shared" si="0"/>
        <v/>
      </c>
      <c r="Q10" s="229" t="str">
        <f t="shared" si="0"/>
        <v/>
      </c>
      <c r="R10" s="229" t="str">
        <f t="shared" si="0"/>
        <v/>
      </c>
      <c r="S10" s="230" t="str">
        <f>IF($H10="","",HLOOKUP(S$2,'Unit information'!$B$3:$K$29,$L10+2,FALSE))</f>
        <v/>
      </c>
      <c r="T10" s="231" t="str">
        <f>IF($H10="","",HLOOKUP(T$2,'Unit information'!$B$3:$K$29,$L10+2,FALSE))</f>
        <v/>
      </c>
      <c r="U10" s="231" t="str">
        <f>IF($H10="","",HLOOKUP(U$2,'Unit information'!$B$3:$K$29,$L10+2,FALSE))</f>
        <v/>
      </c>
      <c r="V10" s="231" t="str">
        <f>IF($H10="","",HLOOKUP(V$2,'Unit information'!$B$3:$K$29,$M10+2,FALSE))</f>
        <v/>
      </c>
      <c r="W10" s="231" t="str">
        <f>IF($H10="","",HLOOKUP(W$2,'Unit information'!$B$3:$K$29,$M10+2,FALSE))</f>
        <v/>
      </c>
      <c r="X10" s="231" t="str">
        <f>IF($H10="","",HLOOKUP(X$2,'Unit information'!$B$3:$K$29,$N10+2,FALSE))</f>
        <v/>
      </c>
      <c r="Y10" s="232" t="str">
        <f t="shared" si="5"/>
        <v/>
      </c>
      <c r="Z10" s="232" t="str">
        <f t="shared" si="5"/>
        <v/>
      </c>
      <c r="AA10" s="232" t="str">
        <f t="shared" si="6"/>
        <v/>
      </c>
      <c r="AB10" s="232" t="str">
        <f t="shared" si="6"/>
        <v/>
      </c>
      <c r="AC10" s="232" t="str">
        <f t="shared" si="7"/>
        <v/>
      </c>
      <c r="AD10" s="232" t="str">
        <f t="shared" si="4"/>
        <v/>
      </c>
      <c r="AE10" s="229" t="str">
        <f>IF($H10="","",($F$1/$S10*$Y10*'Unit information'!$AB$3)+($F$1/$T10*$Z10*'Unit information'!$AB$4)+($F$1/$U10*$AA10*'Unit information'!$AB$5)+($F$1/$V10*$AB10*'Unit information'!$AB$8)+($F$1/$W10*$AC10*'Unit information'!$AB$10)+($F$1/$X10*$AD10*'Unit information'!$AB$11))</f>
        <v/>
      </c>
      <c r="AF10" s="229" t="str">
        <f>IF($H10="","",($F$1/$S10*$Y10*'Unit information'!$AC$3)+($F$1/$T10*$Z10*'Unit information'!$AC$4)+($F$1/$U10*$AA10*'Unit information'!$AC$5)+($F$1/$V10*$AB10*'Unit information'!$AC$8)+($F$1/$W10*$AC10*'Unit information'!$AC$10)+($F$1/$X10*$AD10*'Unit information'!$AC$11))</f>
        <v/>
      </c>
      <c r="AG10" s="229" t="str">
        <f>IF($H10="","",($F$1/$S10*$Y10*'Unit information'!$AD$3)+($F$1/$T10*$Z10*'Unit information'!$AD$4)+($F$1/$U10*$AA10*'Unit information'!$AD$5)+($F$1/$V10*$AB10*'Unit information'!$AD$8)+($F$1/$W10*$AC10*'Unit information'!$AD$10)+($F$1/$X10*$AD10*'Unit information'!$AD$11))</f>
        <v/>
      </c>
      <c r="AN10" s="154"/>
      <c r="AP10" s="154"/>
      <c r="BG10" s="154"/>
    </row>
    <row r="11" spans="1:62" x14ac:dyDescent="0.25">
      <c r="A11" s="234" t="s">
        <v>164</v>
      </c>
      <c r="B11" s="245">
        <f ca="1">($B$5/3/24)*$B$6</f>
        <v>4468.6886895568832</v>
      </c>
      <c r="C11" s="246">
        <f ca="1">($B$5/3/24)*$B$6</f>
        <v>4468.6886895568832</v>
      </c>
      <c r="D11" s="246">
        <f ca="1">($B$5/3/24)*$B$6</f>
        <v>4468.6886895568832</v>
      </c>
      <c r="E11" s="243">
        <f ca="1">$B$5</f>
        <v>321745.58564809558</v>
      </c>
      <c r="H11" s="228"/>
      <c r="I11" s="11"/>
      <c r="J11" s="11"/>
      <c r="K11" s="11"/>
      <c r="L11" s="11"/>
      <c r="M11" s="11"/>
      <c r="N11" s="11"/>
      <c r="O11" s="40"/>
      <c r="P11" s="229" t="str">
        <f t="shared" si="0"/>
        <v/>
      </c>
      <c r="Q11" s="229" t="str">
        <f t="shared" si="0"/>
        <v/>
      </c>
      <c r="R11" s="229" t="str">
        <f t="shared" si="0"/>
        <v/>
      </c>
      <c r="S11" s="230" t="str">
        <f>IF($H11="","",HLOOKUP(S$2,'Unit information'!$B$3:$K$29,$L11+2,FALSE))</f>
        <v/>
      </c>
      <c r="T11" s="231" t="str">
        <f>IF($H11="","",HLOOKUP(T$2,'Unit information'!$B$3:$K$29,$L11+2,FALSE))</f>
        <v/>
      </c>
      <c r="U11" s="231" t="str">
        <f>IF($H11="","",HLOOKUP(U$2,'Unit information'!$B$3:$K$29,$L11+2,FALSE))</f>
        <v/>
      </c>
      <c r="V11" s="231" t="str">
        <f>IF($H11="","",HLOOKUP(V$2,'Unit information'!$B$3:$K$29,$M11+2,FALSE))</f>
        <v/>
      </c>
      <c r="W11" s="231" t="str">
        <f>IF($H11="","",HLOOKUP(W$2,'Unit information'!$B$3:$K$29,$M11+2,FALSE))</f>
        <v/>
      </c>
      <c r="X11" s="231" t="str">
        <f>IF($H11="","",HLOOKUP(X$2,'Unit information'!$B$3:$K$29,$N11+2,FALSE))</f>
        <v/>
      </c>
      <c r="Y11" s="232" t="str">
        <f t="shared" si="5"/>
        <v/>
      </c>
      <c r="Z11" s="232" t="str">
        <f t="shared" si="5"/>
        <v/>
      </c>
      <c r="AA11" s="232" t="str">
        <f t="shared" si="6"/>
        <v/>
      </c>
      <c r="AB11" s="232" t="str">
        <f t="shared" si="6"/>
        <v/>
      </c>
      <c r="AC11" s="232" t="str">
        <f t="shared" si="7"/>
        <v/>
      </c>
      <c r="AD11" s="232" t="str">
        <f t="shared" si="4"/>
        <v/>
      </c>
      <c r="AE11" s="229" t="str">
        <f>IF($H11="","",($F$1/$S11*$Y11*'Unit information'!$AB$3)+($F$1/$T11*$Z11*'Unit information'!$AB$4)+($F$1/$U11*$AA11*'Unit information'!$AB$5)+($F$1/$V11*$AB11*'Unit information'!$AB$8)+($F$1/$W11*$AC11*'Unit information'!$AB$10)+($F$1/$X11*$AD11*'Unit information'!$AB$11))</f>
        <v/>
      </c>
      <c r="AF11" s="229" t="str">
        <f>IF($H11="","",($F$1/$S11*$Y11*'Unit information'!$AC$3)+($F$1/$T11*$Z11*'Unit information'!$AC$4)+($F$1/$U11*$AA11*'Unit information'!$AC$5)+($F$1/$V11*$AB11*'Unit information'!$AC$8)+($F$1/$W11*$AC11*'Unit information'!$AC$10)+($F$1/$X11*$AD11*'Unit information'!$AC$11))</f>
        <v/>
      </c>
      <c r="AG11" s="229" t="str">
        <f>IF($H11="","",($F$1/$S11*$Y11*'Unit information'!$AD$3)+($F$1/$T11*$Z11*'Unit information'!$AD$4)+($F$1/$U11*$AA11*'Unit information'!$AD$5)+($F$1/$V11*$AB11*'Unit information'!$AD$8)+($F$1/$W11*$AC11*'Unit information'!$AD$10)+($F$1/$X11*$AD11*'Unit information'!$AD$11))</f>
        <v/>
      </c>
      <c r="AN11" s="154"/>
      <c r="AP11" s="154"/>
      <c r="BG11" s="154"/>
    </row>
    <row r="12" spans="1:62" x14ac:dyDescent="0.25">
      <c r="A12" s="234" t="s">
        <v>181</v>
      </c>
      <c r="B12" s="245">
        <f ca="1">B11+B10</f>
        <v>11668.681050326564</v>
      </c>
      <c r="C12" s="246">
        <f ca="1">C11+C10</f>
        <v>11668.681050326564</v>
      </c>
      <c r="D12" s="246">
        <f ca="1">D11+D10</f>
        <v>11668.681050326564</v>
      </c>
      <c r="E12" s="243">
        <f ca="1">E11+E10</f>
        <v>343345.56273040461</v>
      </c>
      <c r="H12" s="228"/>
      <c r="I12" s="11"/>
      <c r="J12" s="11"/>
      <c r="K12" s="11"/>
      <c r="L12" s="11"/>
      <c r="M12" s="11"/>
      <c r="N12" s="11"/>
      <c r="O12" s="40"/>
      <c r="P12" s="229" t="str">
        <f t="shared" ref="P12:P75" si="8">IF(H12="","",IF(I12 = 0,$B$3*5,$B$3*30*1.163118^(I12-1)))</f>
        <v/>
      </c>
      <c r="Q12" s="229" t="str">
        <f t="shared" ref="Q12:Q75" si="9">IF(I12="","",IF(J12 = 0,$B$3*5,$B$3*30*1.163118^(J12-1)))</f>
        <v/>
      </c>
      <c r="R12" s="229" t="str">
        <f t="shared" ref="R12:R75" si="10">IF(J12="","",IF(K12 = 0,$B$3*5,$B$3*30*1.163118^(K12-1)))</f>
        <v/>
      </c>
      <c r="S12" s="230" t="str">
        <f>IF($H12="","",HLOOKUP(S$2,'Unit information'!$B$3:$K$29,$L12+2,FALSE))</f>
        <v/>
      </c>
      <c r="T12" s="231" t="str">
        <f>IF($H12="","",HLOOKUP(T$2,'Unit information'!$B$3:$K$29,$L12+2,FALSE))</f>
        <v/>
      </c>
      <c r="U12" s="231" t="str">
        <f>IF($H12="","",HLOOKUP(U$2,'Unit information'!$B$3:$K$29,$L12+2,FALSE))</f>
        <v/>
      </c>
      <c r="V12" s="231" t="str">
        <f>IF($H12="","",HLOOKUP(V$2,'Unit information'!$B$3:$K$29,$M12+2,FALSE))</f>
        <v/>
      </c>
      <c r="W12" s="231" t="str">
        <f>IF($H12="","",HLOOKUP(W$2,'Unit information'!$B$3:$K$29,$M12+2,FALSE))</f>
        <v/>
      </c>
      <c r="X12" s="231" t="str">
        <f>IF($H12="","",HLOOKUP(X$2,'Unit information'!$B$3:$K$29,$N12+2,FALSE))</f>
        <v/>
      </c>
      <c r="Y12" s="232" t="str">
        <f t="shared" si="5"/>
        <v/>
      </c>
      <c r="Z12" s="232" t="str">
        <f t="shared" si="5"/>
        <v/>
      </c>
      <c r="AA12" s="232" t="str">
        <f t="shared" si="6"/>
        <v/>
      </c>
      <c r="AB12" s="232" t="str">
        <f t="shared" si="6"/>
        <v/>
      </c>
      <c r="AC12" s="232" t="str">
        <f t="shared" si="7"/>
        <v/>
      </c>
      <c r="AD12" s="232" t="str">
        <f t="shared" si="4"/>
        <v/>
      </c>
      <c r="AE12" s="229" t="str">
        <f>IF($H12="","",($F$1/$S12*$Y12*'Unit information'!$AB$3)+($F$1/$T12*$Z12*'Unit information'!$AB$4)+($F$1/$U12*$AA12*'Unit information'!$AB$5)+($F$1/$V12*$AB12*'Unit information'!$AB$8)+($F$1/$W12*$AC12*'Unit information'!$AB$10)+($F$1/$X12*$AD12*'Unit information'!$AB$11))</f>
        <v/>
      </c>
      <c r="AF12" s="229" t="str">
        <f>IF($H12="","",($F$1/$S12*$Y12*'Unit information'!$AC$3)+($F$1/$T12*$Z12*'Unit information'!$AC$4)+($F$1/$U12*$AA12*'Unit information'!$AC$5)+($F$1/$V12*$AB12*'Unit information'!$AC$8)+($F$1/$W12*$AC12*'Unit information'!$AC$10)+($F$1/$X12*$AD12*'Unit information'!$AC$11))</f>
        <v/>
      </c>
      <c r="AG12" s="229" t="str">
        <f>IF($H12="","",($F$1/$S12*$Y12*'Unit information'!$AD$3)+($F$1/$T12*$Z12*'Unit information'!$AD$4)+($F$1/$U12*$AA12*'Unit information'!$AD$5)+($F$1/$V12*$AB12*'Unit information'!$AD$8)+($F$1/$W12*$AC12*'Unit information'!$AD$10)+($F$1/$X12*$AD12*'Unit information'!$AD$11))</f>
        <v/>
      </c>
      <c r="AN12" s="154"/>
      <c r="AP12" s="154"/>
      <c r="BG12" s="154"/>
    </row>
    <row r="13" spans="1:62" x14ac:dyDescent="0.25">
      <c r="A13" s="234" t="s">
        <v>177</v>
      </c>
      <c r="B13" s="245">
        <f>AE113</f>
        <v>4155.4056056110985</v>
      </c>
      <c r="C13" s="246">
        <f>AF113</f>
        <v>2810.6272026893621</v>
      </c>
      <c r="D13" s="246">
        <f>AG113</f>
        <v>4542.8676209860323</v>
      </c>
      <c r="E13" s="243">
        <f>SUM(B13:D13)</f>
        <v>11508.900429286492</v>
      </c>
      <c r="H13" s="228"/>
      <c r="I13" s="11"/>
      <c r="J13" s="11"/>
      <c r="K13" s="11"/>
      <c r="L13" s="11"/>
      <c r="M13" s="11"/>
      <c r="N13" s="11"/>
      <c r="O13" s="40"/>
      <c r="P13" s="229" t="str">
        <f t="shared" si="8"/>
        <v/>
      </c>
      <c r="Q13" s="229" t="str">
        <f t="shared" si="9"/>
        <v/>
      </c>
      <c r="R13" s="229" t="str">
        <f t="shared" si="10"/>
        <v/>
      </c>
      <c r="S13" s="230" t="str">
        <f>IF($H13="","",HLOOKUP(S$2,'Unit information'!$B$3:$K$29,$L13+2,FALSE))</f>
        <v/>
      </c>
      <c r="T13" s="231" t="str">
        <f>IF($H13="","",HLOOKUP(T$2,'Unit information'!$B$3:$K$29,$L13+2,FALSE))</f>
        <v/>
      </c>
      <c r="U13" s="231" t="str">
        <f>IF($H13="","",HLOOKUP(U$2,'Unit information'!$B$3:$K$29,$L13+2,FALSE))</f>
        <v/>
      </c>
      <c r="V13" s="231" t="str">
        <f>IF($H13="","",HLOOKUP(V$2,'Unit information'!$B$3:$K$29,$M13+2,FALSE))</f>
        <v/>
      </c>
      <c r="W13" s="231" t="str">
        <f>IF($H13="","",HLOOKUP(W$2,'Unit information'!$B$3:$K$29,$M13+2,FALSE))</f>
        <v/>
      </c>
      <c r="X13" s="231" t="str">
        <f>IF($H13="","",HLOOKUP(X$2,'Unit information'!$B$3:$K$29,$N13+2,FALSE))</f>
        <v/>
      </c>
      <c r="Y13" s="232" t="str">
        <f t="shared" si="5"/>
        <v/>
      </c>
      <c r="Z13" s="232" t="str">
        <f t="shared" si="5"/>
        <v/>
      </c>
      <c r="AA13" s="232" t="str">
        <f t="shared" si="6"/>
        <v/>
      </c>
      <c r="AB13" s="232" t="str">
        <f t="shared" si="6"/>
        <v/>
      </c>
      <c r="AC13" s="232" t="str">
        <f t="shared" si="7"/>
        <v/>
      </c>
      <c r="AD13" s="232" t="str">
        <f t="shared" si="4"/>
        <v/>
      </c>
      <c r="AE13" s="229" t="str">
        <f>IF($H13="","",($F$1/$S13*$Y13*'Unit information'!$AB$3)+($F$1/$T13*$Z13*'Unit information'!$AB$4)+($F$1/$U13*$AA13*'Unit information'!$AB$5)+($F$1/$V13*$AB13*'Unit information'!$AB$8)+($F$1/$W13*$AC13*'Unit information'!$AB$10)+($F$1/$X13*$AD13*'Unit information'!$AB$11))</f>
        <v/>
      </c>
      <c r="AF13" s="229" t="str">
        <f>IF($H13="","",($F$1/$S13*$Y13*'Unit information'!$AC$3)+($F$1/$T13*$Z13*'Unit information'!$AC$4)+($F$1/$U13*$AA13*'Unit information'!$AC$5)+($F$1/$V13*$AB13*'Unit information'!$AC$8)+($F$1/$W13*$AC13*'Unit information'!$AC$10)+($F$1/$X13*$AD13*'Unit information'!$AC$11))</f>
        <v/>
      </c>
      <c r="AG13" s="229" t="str">
        <f>IF($H13="","",($F$1/$S13*$Y13*'Unit information'!$AD$3)+($F$1/$T13*$Z13*'Unit information'!$AD$4)+($F$1/$U13*$AA13*'Unit information'!$AD$5)+($F$1/$V13*$AB13*'Unit information'!$AD$8)+($F$1/$W13*$AC13*'Unit information'!$AD$10)+($F$1/$X13*$AD13*'Unit information'!$AD$11))</f>
        <v/>
      </c>
      <c r="AN13" s="154"/>
      <c r="AP13" s="154"/>
      <c r="BG13" s="154"/>
    </row>
    <row r="14" spans="1:62" x14ac:dyDescent="0.25">
      <c r="A14" s="234" t="s">
        <v>176</v>
      </c>
      <c r="B14" s="238">
        <v>0</v>
      </c>
      <c r="C14" s="239">
        <v>0</v>
      </c>
      <c r="D14" s="239">
        <v>0</v>
      </c>
      <c r="E14" s="243">
        <f>SUM(B14:D14)</f>
        <v>0</v>
      </c>
      <c r="H14" s="228"/>
      <c r="I14" s="11"/>
      <c r="J14" s="11"/>
      <c r="K14" s="11"/>
      <c r="L14" s="11"/>
      <c r="M14" s="11"/>
      <c r="N14" s="11"/>
      <c r="O14" s="40"/>
      <c r="P14" s="229" t="str">
        <f t="shared" si="8"/>
        <v/>
      </c>
      <c r="Q14" s="229" t="str">
        <f t="shared" si="9"/>
        <v/>
      </c>
      <c r="R14" s="229" t="str">
        <f t="shared" si="10"/>
        <v/>
      </c>
      <c r="S14" s="230" t="str">
        <f>IF($H14="","",HLOOKUP(S$2,'Unit information'!$B$3:$K$29,$L14+2,FALSE))</f>
        <v/>
      </c>
      <c r="T14" s="231" t="str">
        <f>IF($H14="","",HLOOKUP(T$2,'Unit information'!$B$3:$K$29,$L14+2,FALSE))</f>
        <v/>
      </c>
      <c r="U14" s="231" t="str">
        <f>IF($H14="","",HLOOKUP(U$2,'Unit information'!$B$3:$K$29,$L14+2,FALSE))</f>
        <v/>
      </c>
      <c r="V14" s="231" t="str">
        <f>IF($H14="","",HLOOKUP(V$2,'Unit information'!$B$3:$K$29,$M14+2,FALSE))</f>
        <v/>
      </c>
      <c r="W14" s="231" t="str">
        <f>IF($H14="","",HLOOKUP(W$2,'Unit information'!$B$3:$K$29,$M14+2,FALSE))</f>
        <v/>
      </c>
      <c r="X14" s="231" t="str">
        <f>IF($H14="","",HLOOKUP(X$2,'Unit information'!$B$3:$K$29,$N14+2,FALSE))</f>
        <v/>
      </c>
      <c r="Y14" s="232" t="str">
        <f t="shared" si="5"/>
        <v/>
      </c>
      <c r="Z14" s="232" t="str">
        <f t="shared" si="5"/>
        <v/>
      </c>
      <c r="AA14" s="232" t="str">
        <f t="shared" si="6"/>
        <v/>
      </c>
      <c r="AB14" s="232" t="str">
        <f t="shared" si="6"/>
        <v/>
      </c>
      <c r="AC14" s="232" t="str">
        <f t="shared" si="7"/>
        <v/>
      </c>
      <c r="AD14" s="232" t="str">
        <f t="shared" si="4"/>
        <v/>
      </c>
      <c r="AE14" s="229" t="str">
        <f>IF($H14="","",($F$1/$S14*$Y14*'Unit information'!$AB$3)+($F$1/$T14*$Z14*'Unit information'!$AB$4)+($F$1/$U14*$AA14*'Unit information'!$AB$5)+($F$1/$V14*$AB14*'Unit information'!$AB$8)+($F$1/$W14*$AC14*'Unit information'!$AB$10)+($F$1/$X14*$AD14*'Unit information'!$AB$11))</f>
        <v/>
      </c>
      <c r="AF14" s="229" t="str">
        <f>IF($H14="","",($F$1/$S14*$Y14*'Unit information'!$AC$3)+($F$1/$T14*$Z14*'Unit information'!$AC$4)+($F$1/$U14*$AA14*'Unit information'!$AC$5)+($F$1/$V14*$AB14*'Unit information'!$AC$8)+($F$1/$W14*$AC14*'Unit information'!$AC$10)+($F$1/$X14*$AD14*'Unit information'!$AC$11))</f>
        <v/>
      </c>
      <c r="AG14" s="229" t="str">
        <f>IF($H14="","",($F$1/$S14*$Y14*'Unit information'!$AD$3)+($F$1/$T14*$Z14*'Unit information'!$AD$4)+($F$1/$U14*$AA14*'Unit information'!$AD$5)+($F$1/$V14*$AB14*'Unit information'!$AD$8)+($F$1/$W14*$AC14*'Unit information'!$AD$10)+($F$1/$X14*$AD14*'Unit information'!$AD$11))</f>
        <v/>
      </c>
      <c r="AN14" s="154"/>
      <c r="AP14" s="154"/>
      <c r="BG14" s="154"/>
    </row>
    <row r="15" spans="1:62" ht="15.75" thickBot="1" x14ac:dyDescent="0.3">
      <c r="A15" s="235" t="s">
        <v>178</v>
      </c>
      <c r="B15" s="247">
        <f ca="1">B12-B13-B14</f>
        <v>7513.2754447154657</v>
      </c>
      <c r="C15" s="248">
        <f ca="1">C12-C13-C14</f>
        <v>8858.0538476372021</v>
      </c>
      <c r="D15" s="248">
        <f ca="1">D12-D13-D14</f>
        <v>7125.8134293405319</v>
      </c>
      <c r="E15" s="244">
        <f ca="1">SUM(B15:D15)</f>
        <v>23497.142721693199</v>
      </c>
      <c r="H15" s="228"/>
      <c r="I15" s="11"/>
      <c r="J15" s="11"/>
      <c r="K15" s="11"/>
      <c r="L15" s="11"/>
      <c r="M15" s="11"/>
      <c r="N15" s="11"/>
      <c r="O15" s="40"/>
      <c r="P15" s="229" t="str">
        <f t="shared" si="8"/>
        <v/>
      </c>
      <c r="Q15" s="229" t="str">
        <f t="shared" si="9"/>
        <v/>
      </c>
      <c r="R15" s="229" t="str">
        <f t="shared" si="10"/>
        <v/>
      </c>
      <c r="S15" s="230" t="str">
        <f>IF($H15="","",HLOOKUP(S$2,'Unit information'!$B$3:$K$29,$L15+2,FALSE))</f>
        <v/>
      </c>
      <c r="T15" s="231" t="str">
        <f>IF($H15="","",HLOOKUP(T$2,'Unit information'!$B$3:$K$29,$L15+2,FALSE))</f>
        <v/>
      </c>
      <c r="U15" s="231" t="str">
        <f>IF($H15="","",HLOOKUP(U$2,'Unit information'!$B$3:$K$29,$L15+2,FALSE))</f>
        <v/>
      </c>
      <c r="V15" s="231" t="str">
        <f>IF($H15="","",HLOOKUP(V$2,'Unit information'!$B$3:$K$29,$M15+2,FALSE))</f>
        <v/>
      </c>
      <c r="W15" s="231" t="str">
        <f>IF($H15="","",HLOOKUP(W$2,'Unit information'!$B$3:$K$29,$M15+2,FALSE))</f>
        <v/>
      </c>
      <c r="X15" s="231" t="str">
        <f>IF($H15="","",HLOOKUP(X$2,'Unit information'!$B$3:$K$29,$N15+2,FALSE))</f>
        <v/>
      </c>
      <c r="Y15" s="232" t="str">
        <f t="shared" si="5"/>
        <v/>
      </c>
      <c r="Z15" s="232" t="str">
        <f t="shared" si="5"/>
        <v/>
      </c>
      <c r="AA15" s="232" t="str">
        <f t="shared" si="6"/>
        <v/>
      </c>
      <c r="AB15" s="232" t="str">
        <f t="shared" si="6"/>
        <v/>
      </c>
      <c r="AC15" s="232" t="str">
        <f t="shared" si="7"/>
        <v/>
      </c>
      <c r="AD15" s="232" t="str">
        <f t="shared" si="4"/>
        <v/>
      </c>
      <c r="AE15" s="229" t="str">
        <f>IF($H15="","",($F$1/$S15*$Y15*'Unit information'!$AB$3)+($F$1/$T15*$Z15*'Unit information'!$AB$4)+($F$1/$U15*$AA15*'Unit information'!$AB$5)+($F$1/$V15*$AB15*'Unit information'!$AB$8)+($F$1/$W15*$AC15*'Unit information'!$AB$10)+($F$1/$X15*$AD15*'Unit information'!$AB$11))</f>
        <v/>
      </c>
      <c r="AF15" s="229" t="str">
        <f>IF($H15="","",($F$1/$S15*$Y15*'Unit information'!$AC$3)+($F$1/$T15*$Z15*'Unit information'!$AC$4)+($F$1/$U15*$AA15*'Unit information'!$AC$5)+($F$1/$V15*$AB15*'Unit information'!$AC$8)+($F$1/$W15*$AC15*'Unit information'!$AC$10)+($F$1/$X15*$AD15*'Unit information'!$AC$11))</f>
        <v/>
      </c>
      <c r="AG15" s="229" t="str">
        <f>IF($H15="","",($F$1/$S15*$Y15*'Unit information'!$AD$3)+($F$1/$T15*$Z15*'Unit information'!$AD$4)+($F$1/$U15*$AA15*'Unit information'!$AD$5)+($F$1/$V15*$AB15*'Unit information'!$AD$8)+($F$1/$W15*$AC15*'Unit information'!$AD$10)+($F$1/$X15*$AD15*'Unit information'!$AD$11))</f>
        <v/>
      </c>
      <c r="AP15" s="154"/>
      <c r="BG15" s="154"/>
    </row>
    <row r="16" spans="1:62" ht="15.75" thickBot="1" x14ac:dyDescent="0.3">
      <c r="E16" s="153"/>
      <c r="H16" s="228"/>
      <c r="I16" s="11"/>
      <c r="J16" s="11"/>
      <c r="K16" s="11"/>
      <c r="L16" s="11"/>
      <c r="M16" s="11"/>
      <c r="N16" s="11"/>
      <c r="O16" s="40"/>
      <c r="P16" s="229" t="str">
        <f t="shared" si="8"/>
        <v/>
      </c>
      <c r="Q16" s="229" t="str">
        <f t="shared" si="9"/>
        <v/>
      </c>
      <c r="R16" s="229" t="str">
        <f t="shared" si="10"/>
        <v/>
      </c>
      <c r="S16" s="230" t="str">
        <f>IF($H16="","",HLOOKUP(S$2,'Unit information'!$B$3:$K$29,$L16+2,FALSE))</f>
        <v/>
      </c>
      <c r="T16" s="231" t="str">
        <f>IF($H16="","",HLOOKUP(T$2,'Unit information'!$B$3:$K$29,$L16+2,FALSE))</f>
        <v/>
      </c>
      <c r="U16" s="231" t="str">
        <f>IF($H16="","",HLOOKUP(U$2,'Unit information'!$B$3:$K$29,$L16+2,FALSE))</f>
        <v/>
      </c>
      <c r="V16" s="231" t="str">
        <f>IF($H16="","",HLOOKUP(V$2,'Unit information'!$B$3:$K$29,$M16+2,FALSE))</f>
        <v/>
      </c>
      <c r="W16" s="231" t="str">
        <f>IF($H16="","",HLOOKUP(W$2,'Unit information'!$B$3:$K$29,$M16+2,FALSE))</f>
        <v/>
      </c>
      <c r="X16" s="231" t="str">
        <f>IF($H16="","",HLOOKUP(X$2,'Unit information'!$B$3:$K$29,$N16+2,FALSE))</f>
        <v/>
      </c>
      <c r="Y16" s="232" t="str">
        <f t="shared" si="5"/>
        <v/>
      </c>
      <c r="Z16" s="232" t="str">
        <f t="shared" si="5"/>
        <v/>
      </c>
      <c r="AA16" s="232" t="str">
        <f t="shared" si="6"/>
        <v/>
      </c>
      <c r="AB16" s="232" t="str">
        <f t="shared" si="6"/>
        <v/>
      </c>
      <c r="AC16" s="232" t="str">
        <f t="shared" si="7"/>
        <v/>
      </c>
      <c r="AD16" s="232" t="str">
        <f t="shared" si="4"/>
        <v/>
      </c>
      <c r="AE16" s="229" t="str">
        <f>IF($H16="","",($F$1/$S16*$Y16*'Unit information'!$AB$3)+($F$1/$T16*$Z16*'Unit information'!$AB$4)+($F$1/$U16*$AA16*'Unit information'!$AB$5)+($F$1/$V16*$AB16*'Unit information'!$AB$8)+($F$1/$W16*$AC16*'Unit information'!$AB$10)+($F$1/$X16*$AD16*'Unit information'!$AB$11))</f>
        <v/>
      </c>
      <c r="AF16" s="229" t="str">
        <f>IF($H16="","",($F$1/$S16*$Y16*'Unit information'!$AC$3)+($F$1/$T16*$Z16*'Unit information'!$AC$4)+($F$1/$U16*$AA16*'Unit information'!$AC$5)+($F$1/$V16*$AB16*'Unit information'!$AC$8)+($F$1/$W16*$AC16*'Unit information'!$AC$10)+($F$1/$X16*$AD16*'Unit information'!$AC$11))</f>
        <v/>
      </c>
      <c r="AG16" s="229" t="str">
        <f>IF($H16="","",($F$1/$S16*$Y16*'Unit information'!$AD$3)+($F$1/$T16*$Z16*'Unit information'!$AD$4)+($F$1/$U16*$AA16*'Unit information'!$AD$5)+($F$1/$V16*$AB16*'Unit information'!$AD$8)+($F$1/$W16*$AC16*'Unit information'!$AD$10)+($F$1/$X16*$AD16*'Unit information'!$AD$11))</f>
        <v/>
      </c>
      <c r="AP16" s="154"/>
      <c r="BG16" s="154"/>
    </row>
    <row r="17" spans="1:59" x14ac:dyDescent="0.25">
      <c r="A17" s="100"/>
      <c r="B17" s="156" t="s">
        <v>151</v>
      </c>
      <c r="C17" s="156" t="s">
        <v>152</v>
      </c>
      <c r="D17" s="156" t="s">
        <v>153</v>
      </c>
      <c r="E17" s="157" t="s">
        <v>154</v>
      </c>
      <c r="H17" s="228"/>
      <c r="I17" s="11"/>
      <c r="J17" s="11"/>
      <c r="K17" s="11"/>
      <c r="L17" s="11"/>
      <c r="M17" s="11"/>
      <c r="N17" s="11"/>
      <c r="O17" s="40"/>
      <c r="P17" s="229" t="str">
        <f t="shared" si="8"/>
        <v/>
      </c>
      <c r="Q17" s="229" t="str">
        <f t="shared" si="9"/>
        <v/>
      </c>
      <c r="R17" s="229" t="str">
        <f t="shared" si="10"/>
        <v/>
      </c>
      <c r="S17" s="230" t="str">
        <f>IF($H17="","",HLOOKUP(S$2,'Unit information'!$B$3:$K$29,$L17+2,FALSE))</f>
        <v/>
      </c>
      <c r="T17" s="231" t="str">
        <f>IF($H17="","",HLOOKUP(T$2,'Unit information'!$B$3:$K$29,$L17+2,FALSE))</f>
        <v/>
      </c>
      <c r="U17" s="231" t="str">
        <f>IF($H17="","",HLOOKUP(U$2,'Unit information'!$B$3:$K$29,$L17+2,FALSE))</f>
        <v/>
      </c>
      <c r="V17" s="231" t="str">
        <f>IF($H17="","",HLOOKUP(V$2,'Unit information'!$B$3:$K$29,$M17+2,FALSE))</f>
        <v/>
      </c>
      <c r="W17" s="231" t="str">
        <f>IF($H17="","",HLOOKUP(W$2,'Unit information'!$B$3:$K$29,$M17+2,FALSE))</f>
        <v/>
      </c>
      <c r="X17" s="231" t="str">
        <f>IF($H17="","",HLOOKUP(X$2,'Unit information'!$B$3:$K$29,$N17+2,FALSE))</f>
        <v/>
      </c>
      <c r="Y17" s="232" t="str">
        <f t="shared" si="5"/>
        <v/>
      </c>
      <c r="Z17" s="232" t="str">
        <f t="shared" si="5"/>
        <v/>
      </c>
      <c r="AA17" s="232" t="str">
        <f t="shared" si="6"/>
        <v/>
      </c>
      <c r="AB17" s="232" t="str">
        <f t="shared" si="6"/>
        <v/>
      </c>
      <c r="AC17" s="232" t="str">
        <f t="shared" si="7"/>
        <v/>
      </c>
      <c r="AD17" s="232" t="str">
        <f t="shared" si="4"/>
        <v/>
      </c>
      <c r="AE17" s="229" t="str">
        <f>IF($H17="","",($F$1/$S17*$Y17*'Unit information'!$AB$3)+($F$1/$T17*$Z17*'Unit information'!$AB$4)+($F$1/$U17*$AA17*'Unit information'!$AB$5)+($F$1/$V17*$AB17*'Unit information'!$AB$8)+($F$1/$W17*$AC17*'Unit information'!$AB$10)+($F$1/$X17*$AD17*'Unit information'!$AB$11))</f>
        <v/>
      </c>
      <c r="AF17" s="229" t="str">
        <f>IF($H17="","",($F$1/$S17*$Y17*'Unit information'!$AC$3)+($F$1/$T17*$Z17*'Unit information'!$AC$4)+($F$1/$U17*$AA17*'Unit information'!$AC$5)+($F$1/$V17*$AB17*'Unit information'!$AC$8)+($F$1/$W17*$AC17*'Unit information'!$AC$10)+($F$1/$X17*$AD17*'Unit information'!$AC$11))</f>
        <v/>
      </c>
      <c r="AG17" s="229" t="str">
        <f>IF($H17="","",($F$1/$S17*$Y17*'Unit information'!$AD$3)+($F$1/$T17*$Z17*'Unit information'!$AD$4)+($F$1/$U17*$AA17*'Unit information'!$AD$5)+($F$1/$V17*$AB17*'Unit information'!$AD$8)+($F$1/$W17*$AC17*'Unit information'!$AD$10)+($F$1/$X17*$AD17*'Unit information'!$AD$11))</f>
        <v/>
      </c>
      <c r="AP17" s="154"/>
      <c r="BG17" s="154"/>
    </row>
    <row r="18" spans="1:59" x14ac:dyDescent="0.25">
      <c r="A18" s="81" t="s">
        <v>180</v>
      </c>
      <c r="B18" s="249">
        <f>VLOOKUP($E$5+$E$3-1,$A$29:$E$128,2,FALSE)-VLOOKUP($E$3-1+$E$4,$A$29:$E$128,2,FALSE)</f>
        <v>1384000</v>
      </c>
      <c r="C18" s="249">
        <f>VLOOKUP($E$5+$E$3-1,$A$29:$E$128,3,FALSE)-VLOOKUP($E$3-1+$E$4,$A$29:$E$128,3,FALSE)</f>
        <v>1640000</v>
      </c>
      <c r="D18" s="249">
        <f>VLOOKUP($E$5+$E$3-1,$A$29:$E$128,4,FALSE)-VLOOKUP($E$3-1+$E$4,$A$29:$E$128,4,FALSE)</f>
        <v>1550000</v>
      </c>
      <c r="E18" s="243">
        <f>VLOOKUP($E$5+$E$3-1,$A$29:$E$128,5,FALSE)-VLOOKUP($E$3-1+$E$4,$A$29:$E$128,5,FALSE)</f>
        <v>4014000</v>
      </c>
      <c r="H18" s="228"/>
      <c r="I18" s="11"/>
      <c r="J18" s="11"/>
      <c r="K18" s="11"/>
      <c r="L18" s="11"/>
      <c r="M18" s="11"/>
      <c r="N18" s="11"/>
      <c r="O18" s="40"/>
      <c r="P18" s="229" t="str">
        <f t="shared" si="8"/>
        <v/>
      </c>
      <c r="Q18" s="229" t="str">
        <f t="shared" si="9"/>
        <v/>
      </c>
      <c r="R18" s="229" t="str">
        <f t="shared" si="10"/>
        <v/>
      </c>
      <c r="S18" s="230" t="str">
        <f>IF($H18="","",HLOOKUP(S$2,'Unit information'!$B$3:$K$29,$L18+2,FALSE))</f>
        <v/>
      </c>
      <c r="T18" s="231" t="str">
        <f>IF($H18="","",HLOOKUP(T$2,'Unit information'!$B$3:$K$29,$L18+2,FALSE))</f>
        <v/>
      </c>
      <c r="U18" s="231" t="str">
        <f>IF($H18="","",HLOOKUP(U$2,'Unit information'!$B$3:$K$29,$L18+2,FALSE))</f>
        <v/>
      </c>
      <c r="V18" s="231" t="str">
        <f>IF($H18="","",HLOOKUP(V$2,'Unit information'!$B$3:$K$29,$M18+2,FALSE))</f>
        <v/>
      </c>
      <c r="W18" s="231" t="str">
        <f>IF($H18="","",HLOOKUP(W$2,'Unit information'!$B$3:$K$29,$M18+2,FALSE))</f>
        <v/>
      </c>
      <c r="X18" s="231" t="str">
        <f>IF($H18="","",HLOOKUP(X$2,'Unit information'!$B$3:$K$29,$N18+2,FALSE))</f>
        <v/>
      </c>
      <c r="Y18" s="232" t="str">
        <f t="shared" si="5"/>
        <v/>
      </c>
      <c r="Z18" s="232" t="str">
        <f t="shared" si="5"/>
        <v/>
      </c>
      <c r="AA18" s="232" t="str">
        <f t="shared" si="6"/>
        <v/>
      </c>
      <c r="AB18" s="232" t="str">
        <f t="shared" si="6"/>
        <v/>
      </c>
      <c r="AC18" s="232" t="str">
        <f t="shared" si="7"/>
        <v/>
      </c>
      <c r="AD18" s="232" t="str">
        <f t="shared" si="4"/>
        <v/>
      </c>
      <c r="AE18" s="229" t="str">
        <f>IF($H18="","",($F$1/$S18*$Y18*'Unit information'!$AB$3)+($F$1/$T18*$Z18*'Unit information'!$AB$4)+($F$1/$U18*$AA18*'Unit information'!$AB$5)+($F$1/$V18*$AB18*'Unit information'!$AB$8)+($F$1/$W18*$AC18*'Unit information'!$AB$10)+($F$1/$X18*$AD18*'Unit information'!$AB$11))</f>
        <v/>
      </c>
      <c r="AF18" s="229" t="str">
        <f>IF($H18="","",($F$1/$S18*$Y18*'Unit information'!$AC$3)+($F$1/$T18*$Z18*'Unit information'!$AC$4)+($F$1/$U18*$AA18*'Unit information'!$AC$5)+($F$1/$V18*$AB18*'Unit information'!$AC$8)+($F$1/$W18*$AC18*'Unit information'!$AC$10)+($F$1/$X18*$AD18*'Unit information'!$AC$11))</f>
        <v/>
      </c>
      <c r="AG18" s="229" t="str">
        <f>IF($H18="","",($F$1/$S18*$Y18*'Unit information'!$AD$3)+($F$1/$T18*$Z18*'Unit information'!$AD$4)+($F$1/$U18*$AA18*'Unit information'!$AD$5)+($F$1/$V18*$AB18*'Unit information'!$AD$8)+($F$1/$W18*$AC18*'Unit information'!$AD$10)+($F$1/$X18*$AD18*'Unit information'!$AD$11))</f>
        <v/>
      </c>
      <c r="AP18" s="154"/>
      <c r="BG18" s="154"/>
    </row>
    <row r="19" spans="1:59" x14ac:dyDescent="0.25">
      <c r="A19" s="81" t="s">
        <v>179</v>
      </c>
      <c r="B19" s="249">
        <v>10000</v>
      </c>
      <c r="C19" s="249">
        <v>15000</v>
      </c>
      <c r="D19" s="249">
        <v>15000</v>
      </c>
      <c r="E19" s="243">
        <f>SUM(B19:D19)</f>
        <v>40000</v>
      </c>
      <c r="H19" s="228"/>
      <c r="I19" s="11"/>
      <c r="J19" s="11"/>
      <c r="K19" s="11"/>
      <c r="L19" s="11"/>
      <c r="M19" s="11"/>
      <c r="N19" s="11"/>
      <c r="O19" s="40"/>
      <c r="P19" s="229" t="str">
        <f t="shared" si="8"/>
        <v/>
      </c>
      <c r="Q19" s="229" t="str">
        <f t="shared" si="9"/>
        <v/>
      </c>
      <c r="R19" s="229" t="str">
        <f t="shared" si="10"/>
        <v/>
      </c>
      <c r="S19" s="230" t="str">
        <f>IF($H19="","",HLOOKUP(S$2,'Unit information'!$B$3:$K$29,$L19+2,FALSE))</f>
        <v/>
      </c>
      <c r="T19" s="231" t="str">
        <f>IF($H19="","",HLOOKUP(T$2,'Unit information'!$B$3:$K$29,$L19+2,FALSE))</f>
        <v/>
      </c>
      <c r="U19" s="231" t="str">
        <f>IF($H19="","",HLOOKUP(U$2,'Unit information'!$B$3:$K$29,$L19+2,FALSE))</f>
        <v/>
      </c>
      <c r="V19" s="231" t="str">
        <f>IF($H19="","",HLOOKUP(V$2,'Unit information'!$B$3:$K$29,$M19+2,FALSE))</f>
        <v/>
      </c>
      <c r="W19" s="231" t="str">
        <f>IF($H19="","",HLOOKUP(W$2,'Unit information'!$B$3:$K$29,$M19+2,FALSE))</f>
        <v/>
      </c>
      <c r="X19" s="231" t="str">
        <f>IF($H19="","",HLOOKUP(X$2,'Unit information'!$B$3:$K$29,$N19+2,FALSE))</f>
        <v/>
      </c>
      <c r="Y19" s="232" t="str">
        <f t="shared" si="5"/>
        <v/>
      </c>
      <c r="Z19" s="232" t="str">
        <f t="shared" si="5"/>
        <v/>
      </c>
      <c r="AA19" s="232" t="str">
        <f t="shared" si="6"/>
        <v/>
      </c>
      <c r="AB19" s="232" t="str">
        <f t="shared" si="6"/>
        <v/>
      </c>
      <c r="AC19" s="232" t="str">
        <f t="shared" si="7"/>
        <v/>
      </c>
      <c r="AD19" s="232" t="str">
        <f t="shared" si="4"/>
        <v/>
      </c>
      <c r="AE19" s="229" t="str">
        <f>IF($H19="","",($F$1/$S19*$Y19*'Unit information'!$AB$3)+($F$1/$T19*$Z19*'Unit information'!$AB$4)+($F$1/$U19*$AA19*'Unit information'!$AB$5)+($F$1/$V19*$AB19*'Unit information'!$AB$8)+($F$1/$W19*$AC19*'Unit information'!$AB$10)+($F$1/$X19*$AD19*'Unit information'!$AB$11))</f>
        <v/>
      </c>
      <c r="AF19" s="229" t="str">
        <f>IF($H19="","",($F$1/$S19*$Y19*'Unit information'!$AC$3)+($F$1/$T19*$Z19*'Unit information'!$AC$4)+($F$1/$U19*$AA19*'Unit information'!$AC$5)+($F$1/$V19*$AB19*'Unit information'!$AC$8)+($F$1/$W19*$AC19*'Unit information'!$AC$10)+($F$1/$X19*$AD19*'Unit information'!$AC$11))</f>
        <v/>
      </c>
      <c r="AG19" s="229" t="str">
        <f>IF($H19="","",($F$1/$S19*$Y19*'Unit information'!$AD$3)+($F$1/$T19*$Z19*'Unit information'!$AD$4)+($F$1/$U19*$AA19*'Unit information'!$AD$5)+($F$1/$V19*$AB19*'Unit information'!$AD$8)+($F$1/$W19*$AC19*'Unit information'!$AD$10)+($F$1/$X19*$AD19*'Unit information'!$AD$11))</f>
        <v/>
      </c>
      <c r="AP19" s="154"/>
      <c r="BG19" s="154"/>
    </row>
    <row r="20" spans="1:59" x14ac:dyDescent="0.25">
      <c r="A20" s="81" t="s">
        <v>175</v>
      </c>
      <c r="B20" s="249">
        <f>B18-B19</f>
        <v>1374000</v>
      </c>
      <c r="C20" s="249">
        <f>C18-C19</f>
        <v>1625000</v>
      </c>
      <c r="D20" s="249">
        <f>D18-D19</f>
        <v>1535000</v>
      </c>
      <c r="E20" s="243">
        <f>SUM(B20:D20)</f>
        <v>4534000</v>
      </c>
      <c r="H20" s="228"/>
      <c r="I20" s="11"/>
      <c r="J20" s="11"/>
      <c r="K20" s="11"/>
      <c r="L20" s="11"/>
      <c r="M20" s="11"/>
      <c r="N20" s="11"/>
      <c r="O20" s="40"/>
      <c r="P20" s="229" t="str">
        <f t="shared" si="8"/>
        <v/>
      </c>
      <c r="Q20" s="229" t="str">
        <f t="shared" si="9"/>
        <v/>
      </c>
      <c r="R20" s="229" t="str">
        <f t="shared" si="10"/>
        <v/>
      </c>
      <c r="S20" s="230" t="str">
        <f>IF($H20="","",HLOOKUP(S$2,'Unit information'!$B$3:$K$29,$L20+2,FALSE))</f>
        <v/>
      </c>
      <c r="T20" s="231" t="str">
        <f>IF($H20="","",HLOOKUP(T$2,'Unit information'!$B$3:$K$29,$L20+2,FALSE))</f>
        <v/>
      </c>
      <c r="U20" s="231" t="str">
        <f>IF($H20="","",HLOOKUP(U$2,'Unit information'!$B$3:$K$29,$L20+2,FALSE))</f>
        <v/>
      </c>
      <c r="V20" s="231" t="str">
        <f>IF($H20="","",HLOOKUP(V$2,'Unit information'!$B$3:$K$29,$M20+2,FALSE))</f>
        <v/>
      </c>
      <c r="W20" s="231" t="str">
        <f>IF($H20="","",HLOOKUP(W$2,'Unit information'!$B$3:$K$29,$M20+2,FALSE))</f>
        <v/>
      </c>
      <c r="X20" s="231" t="str">
        <f>IF($H20="","",HLOOKUP(X$2,'Unit information'!$B$3:$K$29,$N20+2,FALSE))</f>
        <v/>
      </c>
      <c r="Y20" s="232" t="str">
        <f t="shared" si="5"/>
        <v/>
      </c>
      <c r="Z20" s="232" t="str">
        <f t="shared" si="5"/>
        <v/>
      </c>
      <c r="AA20" s="232" t="str">
        <f t="shared" si="6"/>
        <v/>
      </c>
      <c r="AB20" s="232" t="str">
        <f t="shared" si="6"/>
        <v/>
      </c>
      <c r="AC20" s="232" t="str">
        <f t="shared" si="7"/>
        <v/>
      </c>
      <c r="AD20" s="232" t="str">
        <f t="shared" si="4"/>
        <v/>
      </c>
      <c r="AE20" s="229" t="str">
        <f>IF($H20="","",($F$1/$S20*$Y20*'Unit information'!$AB$3)+($F$1/$T20*$Z20*'Unit information'!$AB$4)+($F$1/$U20*$AA20*'Unit information'!$AB$5)+($F$1/$V20*$AB20*'Unit information'!$AB$8)+($F$1/$W20*$AC20*'Unit information'!$AB$10)+($F$1/$X20*$AD20*'Unit information'!$AB$11))</f>
        <v/>
      </c>
      <c r="AF20" s="229" t="str">
        <f>IF($H20="","",($F$1/$S20*$Y20*'Unit information'!$AC$3)+($F$1/$T20*$Z20*'Unit information'!$AC$4)+($F$1/$U20*$AA20*'Unit information'!$AC$5)+($F$1/$V20*$AB20*'Unit information'!$AC$8)+($F$1/$W20*$AC20*'Unit information'!$AC$10)+($F$1/$X20*$AD20*'Unit information'!$AC$11))</f>
        <v/>
      </c>
      <c r="AG20" s="229" t="str">
        <f>IF($H20="","",($F$1/$S20*$Y20*'Unit information'!$AD$3)+($F$1/$T20*$Z20*'Unit information'!$AD$4)+($F$1/$U20*$AA20*'Unit information'!$AD$5)+($F$1/$V20*$AB20*'Unit information'!$AD$8)+($F$1/$W20*$AC20*'Unit information'!$AD$10)+($F$1/$X20*$AD20*'Unit information'!$AD$11))</f>
        <v/>
      </c>
      <c r="AP20" s="154"/>
      <c r="BG20" s="154"/>
    </row>
    <row r="21" spans="1:59" x14ac:dyDescent="0.25">
      <c r="A21" s="81" t="s">
        <v>399</v>
      </c>
      <c r="B21" s="250">
        <f ca="1">B18/B12</f>
        <v>118.60809238258054</v>
      </c>
      <c r="C21" s="250">
        <f ca="1">C18/C12</f>
        <v>140.54716149380931</v>
      </c>
      <c r="D21" s="250">
        <f ca="1">D18/D12</f>
        <v>132.83420750939294</v>
      </c>
      <c r="E21" s="251">
        <f ca="1">E18/E12</f>
        <v>11.690845712637906</v>
      </c>
      <c r="F21" t="s">
        <v>166</v>
      </c>
      <c r="H21" s="228"/>
      <c r="I21" s="11"/>
      <c r="J21" s="11"/>
      <c r="K21" s="11"/>
      <c r="L21" s="11"/>
      <c r="M21" s="11"/>
      <c r="N21" s="11"/>
      <c r="O21" s="40"/>
      <c r="P21" s="229" t="str">
        <f t="shared" si="8"/>
        <v/>
      </c>
      <c r="Q21" s="229" t="str">
        <f t="shared" si="9"/>
        <v/>
      </c>
      <c r="R21" s="229" t="str">
        <f t="shared" si="10"/>
        <v/>
      </c>
      <c r="S21" s="230" t="str">
        <f>IF($H21="","",HLOOKUP(S$2,'Unit information'!$B$3:$K$29,$L21+2,FALSE))</f>
        <v/>
      </c>
      <c r="T21" s="231" t="str">
        <f>IF($H21="","",HLOOKUP(T$2,'Unit information'!$B$3:$K$29,$L21+2,FALSE))</f>
        <v/>
      </c>
      <c r="U21" s="231" t="str">
        <f>IF($H21="","",HLOOKUP(U$2,'Unit information'!$B$3:$K$29,$L21+2,FALSE))</f>
        <v/>
      </c>
      <c r="V21" s="231" t="str">
        <f>IF($H21="","",HLOOKUP(V$2,'Unit information'!$B$3:$K$29,$M21+2,FALSE))</f>
        <v/>
      </c>
      <c r="W21" s="231" t="str">
        <f>IF($H21="","",HLOOKUP(W$2,'Unit information'!$B$3:$K$29,$M21+2,FALSE))</f>
        <v/>
      </c>
      <c r="X21" s="231" t="str">
        <f>IF($H21="","",HLOOKUP(X$2,'Unit information'!$B$3:$K$29,$N21+2,FALSE))</f>
        <v/>
      </c>
      <c r="Y21" s="232" t="str">
        <f t="shared" si="5"/>
        <v/>
      </c>
      <c r="Z21" s="232" t="str">
        <f t="shared" si="5"/>
        <v/>
      </c>
      <c r="AA21" s="232" t="str">
        <f t="shared" si="6"/>
        <v/>
      </c>
      <c r="AB21" s="232" t="str">
        <f t="shared" si="6"/>
        <v/>
      </c>
      <c r="AC21" s="232" t="str">
        <f t="shared" si="7"/>
        <v/>
      </c>
      <c r="AD21" s="232" t="str">
        <f t="shared" si="4"/>
        <v/>
      </c>
      <c r="AE21" s="229" t="str">
        <f>IF($H21="","",($F$1/$S21*$Y21*'Unit information'!$AB$3)+($F$1/$T21*$Z21*'Unit information'!$AB$4)+($F$1/$U21*$AA21*'Unit information'!$AB$5)+($F$1/$V21*$AB21*'Unit information'!$AB$8)+($F$1/$W21*$AC21*'Unit information'!$AB$10)+($F$1/$X21*$AD21*'Unit information'!$AB$11))</f>
        <v/>
      </c>
      <c r="AF21" s="229" t="str">
        <f>IF($H21="","",($F$1/$S21*$Y21*'Unit information'!$AC$3)+($F$1/$T21*$Z21*'Unit information'!$AC$4)+($F$1/$U21*$AA21*'Unit information'!$AC$5)+($F$1/$V21*$AB21*'Unit information'!$AC$8)+($F$1/$W21*$AC21*'Unit information'!$AC$10)+($F$1/$X21*$AD21*'Unit information'!$AC$11))</f>
        <v/>
      </c>
      <c r="AG21" s="229" t="str">
        <f>IF($H21="","",($F$1/$S21*$Y21*'Unit information'!$AD$3)+($F$1/$T21*$Z21*'Unit information'!$AD$4)+($F$1/$U21*$AA21*'Unit information'!$AD$5)+($F$1/$V21*$AB21*'Unit information'!$AD$8)+($F$1/$W21*$AC21*'Unit information'!$AD$10)+($F$1/$X21*$AD21*'Unit information'!$AD$11))</f>
        <v/>
      </c>
      <c r="AP21" s="154"/>
      <c r="BG21" s="154"/>
    </row>
    <row r="22" spans="1:59" x14ac:dyDescent="0.25">
      <c r="A22" s="81" t="s">
        <v>289</v>
      </c>
      <c r="B22" s="252">
        <f ca="1">B20/B12*$F$1+$B$7</f>
        <v>44004.936409849346</v>
      </c>
      <c r="C22" s="252">
        <f ca="1">C20/C12*$F$1+$B$7</f>
        <v>44005.832683668828</v>
      </c>
      <c r="D22" s="252">
        <f ca="1">D20/D12*$F$1+$B$7</f>
        <v>44005.511310586146</v>
      </c>
      <c r="E22" s="253">
        <f ca="1">E20/E12*$F$1+$B$7</f>
        <v>44000.580337240084</v>
      </c>
      <c r="H22" s="228"/>
      <c r="I22" s="11"/>
      <c r="J22" s="11"/>
      <c r="K22" s="11"/>
      <c r="L22" s="11"/>
      <c r="M22" s="11"/>
      <c r="N22" s="11"/>
      <c r="O22" s="40"/>
      <c r="P22" s="229" t="str">
        <f t="shared" si="8"/>
        <v/>
      </c>
      <c r="Q22" s="229" t="str">
        <f t="shared" si="9"/>
        <v/>
      </c>
      <c r="R22" s="229" t="str">
        <f t="shared" si="10"/>
        <v/>
      </c>
      <c r="S22" s="230" t="str">
        <f>IF($H22="","",HLOOKUP(S$2,'Unit information'!$B$3:$K$29,$L22+2,FALSE))</f>
        <v/>
      </c>
      <c r="T22" s="231" t="str">
        <f>IF($H22="","",HLOOKUP(T$2,'Unit information'!$B$3:$K$29,$L22+2,FALSE))</f>
        <v/>
      </c>
      <c r="U22" s="231" t="str">
        <f>IF($H22="","",HLOOKUP(U$2,'Unit information'!$B$3:$K$29,$L22+2,FALSE))</f>
        <v/>
      </c>
      <c r="V22" s="231" t="str">
        <f>IF($H22="","",HLOOKUP(V$2,'Unit information'!$B$3:$K$29,$M22+2,FALSE))</f>
        <v/>
      </c>
      <c r="W22" s="231" t="str">
        <f>IF($H22="","",HLOOKUP(W$2,'Unit information'!$B$3:$K$29,$M22+2,FALSE))</f>
        <v/>
      </c>
      <c r="X22" s="231" t="str">
        <f>IF($H22="","",HLOOKUP(X$2,'Unit information'!$B$3:$K$29,$N22+2,FALSE))</f>
        <v/>
      </c>
      <c r="Y22" s="232" t="str">
        <f t="shared" si="5"/>
        <v/>
      </c>
      <c r="Z22" s="232" t="str">
        <f t="shared" si="5"/>
        <v/>
      </c>
      <c r="AA22" s="232" t="str">
        <f t="shared" si="6"/>
        <v/>
      </c>
      <c r="AB22" s="232" t="str">
        <f t="shared" si="6"/>
        <v/>
      </c>
      <c r="AC22" s="232" t="str">
        <f t="shared" si="7"/>
        <v/>
      </c>
      <c r="AD22" s="232" t="str">
        <f t="shared" si="4"/>
        <v/>
      </c>
      <c r="AE22" s="229" t="str">
        <f>IF($H22="","",($F$1/$S22*$Y22*'Unit information'!$AB$3)+($F$1/$T22*$Z22*'Unit information'!$AB$4)+($F$1/$U22*$AA22*'Unit information'!$AB$5)+($F$1/$V22*$AB22*'Unit information'!$AB$8)+($F$1/$W22*$AC22*'Unit information'!$AB$10)+($F$1/$X22*$AD22*'Unit information'!$AB$11))</f>
        <v/>
      </c>
      <c r="AF22" s="229" t="str">
        <f>IF($H22="","",($F$1/$S22*$Y22*'Unit information'!$AC$3)+($F$1/$T22*$Z22*'Unit information'!$AC$4)+($F$1/$U22*$AA22*'Unit information'!$AC$5)+($F$1/$V22*$AB22*'Unit information'!$AC$8)+($F$1/$W22*$AC22*'Unit information'!$AC$10)+($F$1/$X22*$AD22*'Unit information'!$AC$11))</f>
        <v/>
      </c>
      <c r="AG22" s="229" t="str">
        <f>IF($H22="","",($F$1/$S22*$Y22*'Unit information'!$AD$3)+($F$1/$T22*$Z22*'Unit information'!$AD$4)+($F$1/$U22*$AA22*'Unit information'!$AD$5)+($F$1/$V22*$AB22*'Unit information'!$AD$8)+($F$1/$W22*$AC22*'Unit information'!$AD$10)+($F$1/$X22*$AD22*'Unit information'!$AD$11))</f>
        <v/>
      </c>
      <c r="AP22" s="154"/>
      <c r="BG22" s="154"/>
    </row>
    <row r="23" spans="1:59" x14ac:dyDescent="0.25">
      <c r="A23" s="81" t="s">
        <v>400</v>
      </c>
      <c r="B23" s="250">
        <f ca="1">B18/B15</f>
        <v>184.20727553299668</v>
      </c>
      <c r="C23" s="250">
        <f ca="1">C18/C15</f>
        <v>185.14224774524865</v>
      </c>
      <c r="D23" s="250">
        <f ca="1">D18/D15</f>
        <v>217.51902647603376</v>
      </c>
      <c r="E23" s="251">
        <f ca="1">E18/E15</f>
        <v>170.82928114039015</v>
      </c>
      <c r="F23" t="s">
        <v>166</v>
      </c>
      <c r="H23" s="228"/>
      <c r="I23" s="11"/>
      <c r="J23" s="11"/>
      <c r="K23" s="11"/>
      <c r="L23" s="11"/>
      <c r="M23" s="11"/>
      <c r="N23" s="11"/>
      <c r="O23" s="40"/>
      <c r="P23" s="229" t="str">
        <f t="shared" si="8"/>
        <v/>
      </c>
      <c r="Q23" s="229" t="str">
        <f t="shared" si="9"/>
        <v/>
      </c>
      <c r="R23" s="229" t="str">
        <f t="shared" si="10"/>
        <v/>
      </c>
      <c r="S23" s="230" t="str">
        <f>IF($H23="","",HLOOKUP(S$2,'Unit information'!$B$3:$K$29,$L23+2,FALSE))</f>
        <v/>
      </c>
      <c r="T23" s="231" t="str">
        <f>IF($H23="","",HLOOKUP(T$2,'Unit information'!$B$3:$K$29,$L23+2,FALSE))</f>
        <v/>
      </c>
      <c r="U23" s="231" t="str">
        <f>IF($H23="","",HLOOKUP(U$2,'Unit information'!$B$3:$K$29,$L23+2,FALSE))</f>
        <v/>
      </c>
      <c r="V23" s="231" t="str">
        <f>IF($H23="","",HLOOKUP(V$2,'Unit information'!$B$3:$K$29,$M23+2,FALSE))</f>
        <v/>
      </c>
      <c r="W23" s="231" t="str">
        <f>IF($H23="","",HLOOKUP(W$2,'Unit information'!$B$3:$K$29,$M23+2,FALSE))</f>
        <v/>
      </c>
      <c r="X23" s="231" t="str">
        <f>IF($H23="","",HLOOKUP(X$2,'Unit information'!$B$3:$K$29,$N23+2,FALSE))</f>
        <v/>
      </c>
      <c r="Y23" s="232" t="str">
        <f t="shared" si="5"/>
        <v/>
      </c>
      <c r="Z23" s="232" t="str">
        <f t="shared" si="5"/>
        <v/>
      </c>
      <c r="AA23" s="232" t="str">
        <f t="shared" si="6"/>
        <v/>
      </c>
      <c r="AB23" s="232" t="str">
        <f t="shared" si="6"/>
        <v/>
      </c>
      <c r="AC23" s="232" t="str">
        <f t="shared" si="7"/>
        <v/>
      </c>
      <c r="AD23" s="232" t="str">
        <f t="shared" si="4"/>
        <v/>
      </c>
      <c r="AE23" s="229" t="str">
        <f>IF($H23="","",($F$1/$S23*$Y23*'Unit information'!$AB$3)+($F$1/$T23*$Z23*'Unit information'!$AB$4)+($F$1/$U23*$AA23*'Unit information'!$AB$5)+($F$1/$V23*$AB23*'Unit information'!$AB$8)+($F$1/$W23*$AC23*'Unit information'!$AB$10)+($F$1/$X23*$AD23*'Unit information'!$AB$11))</f>
        <v/>
      </c>
      <c r="AF23" s="229" t="str">
        <f>IF($H23="","",($F$1/$S23*$Y23*'Unit information'!$AC$3)+($F$1/$T23*$Z23*'Unit information'!$AC$4)+($F$1/$U23*$AA23*'Unit information'!$AC$5)+($F$1/$V23*$AB23*'Unit information'!$AC$8)+($F$1/$W23*$AC23*'Unit information'!$AC$10)+($F$1/$X23*$AD23*'Unit information'!$AC$11))</f>
        <v/>
      </c>
      <c r="AG23" s="229" t="str">
        <f>IF($H23="","",($F$1/$S23*$Y23*'Unit information'!$AD$3)+($F$1/$T23*$Z23*'Unit information'!$AD$4)+($F$1/$U23*$AA23*'Unit information'!$AD$5)+($F$1/$V23*$AB23*'Unit information'!$AD$8)+($F$1/$W23*$AC23*'Unit information'!$AD$10)+($F$1/$X23*$AD23*'Unit information'!$AD$11))</f>
        <v/>
      </c>
      <c r="AP23" s="154"/>
      <c r="BG23" s="154"/>
    </row>
    <row r="24" spans="1:59" ht="15.75" thickBot="1" x14ac:dyDescent="0.3">
      <c r="A24" s="88" t="s">
        <v>288</v>
      </c>
      <c r="B24" s="254">
        <f ca="1">B20/B15*$F$1+$B$7</f>
        <v>44007.649959874892</v>
      </c>
      <c r="C24" s="254">
        <f ca="1">C20/C15*$F$1+$B$7</f>
        <v>44007.673817184033</v>
      </c>
      <c r="D24" s="254">
        <f ca="1">D20/D15*$F$1+$B$7</f>
        <v>44009.005697605331</v>
      </c>
      <c r="E24" s="255">
        <f ca="1">E20/E15*$F$1+$B$7</f>
        <v>44008.070098764641</v>
      </c>
      <c r="H24" s="228"/>
      <c r="I24" s="11"/>
      <c r="J24" s="11"/>
      <c r="K24" s="11"/>
      <c r="L24" s="11"/>
      <c r="M24" s="11"/>
      <c r="N24" s="11"/>
      <c r="O24" s="40"/>
      <c r="P24" s="229" t="str">
        <f t="shared" si="8"/>
        <v/>
      </c>
      <c r="Q24" s="229" t="str">
        <f t="shared" si="9"/>
        <v/>
      </c>
      <c r="R24" s="229" t="str">
        <f t="shared" si="10"/>
        <v/>
      </c>
      <c r="S24" s="230" t="str">
        <f>IF($H24="","",HLOOKUP(S$2,'Unit information'!$B$3:$K$29,$L24+2,FALSE))</f>
        <v/>
      </c>
      <c r="T24" s="231" t="str">
        <f>IF($H24="","",HLOOKUP(T$2,'Unit information'!$B$3:$K$29,$L24+2,FALSE))</f>
        <v/>
      </c>
      <c r="U24" s="231" t="str">
        <f>IF($H24="","",HLOOKUP(U$2,'Unit information'!$B$3:$K$29,$L24+2,FALSE))</f>
        <v/>
      </c>
      <c r="V24" s="231" t="str">
        <f>IF($H24="","",HLOOKUP(V$2,'Unit information'!$B$3:$K$29,$M24+2,FALSE))</f>
        <v/>
      </c>
      <c r="W24" s="231" t="str">
        <f>IF($H24="","",HLOOKUP(W$2,'Unit information'!$B$3:$K$29,$M24+2,FALSE))</f>
        <v/>
      </c>
      <c r="X24" s="231" t="str">
        <f>IF($H24="","",HLOOKUP(X$2,'Unit information'!$B$3:$K$29,$N24+2,FALSE))</f>
        <v/>
      </c>
      <c r="Y24" s="232" t="str">
        <f t="shared" si="5"/>
        <v/>
      </c>
      <c r="Z24" s="232" t="str">
        <f t="shared" si="5"/>
        <v/>
      </c>
      <c r="AA24" s="232" t="str">
        <f t="shared" si="6"/>
        <v/>
      </c>
      <c r="AB24" s="232" t="str">
        <f t="shared" si="6"/>
        <v/>
      </c>
      <c r="AC24" s="232" t="str">
        <f t="shared" si="7"/>
        <v/>
      </c>
      <c r="AD24" s="232" t="str">
        <f t="shared" si="4"/>
        <v/>
      </c>
      <c r="AE24" s="229" t="str">
        <f>IF($H24="","",($F$1/$S24*$Y24*'Unit information'!$AB$3)+($F$1/$T24*$Z24*'Unit information'!$AB$4)+($F$1/$U24*$AA24*'Unit information'!$AB$5)+($F$1/$V24*$AB24*'Unit information'!$AB$8)+($F$1/$W24*$AC24*'Unit information'!$AB$10)+($F$1/$X24*$AD24*'Unit information'!$AB$11))</f>
        <v/>
      </c>
      <c r="AF24" s="229" t="str">
        <f>IF($H24="","",($F$1/$S24*$Y24*'Unit information'!$AC$3)+($F$1/$T24*$Z24*'Unit information'!$AC$4)+($F$1/$U24*$AA24*'Unit information'!$AC$5)+($F$1/$V24*$AB24*'Unit information'!$AC$8)+($F$1/$W24*$AC24*'Unit information'!$AC$10)+($F$1/$X24*$AD24*'Unit information'!$AC$11))</f>
        <v/>
      </c>
      <c r="AG24" s="229" t="str">
        <f>IF($H24="","",($F$1/$S24*$Y24*'Unit information'!$AD$3)+($F$1/$T24*$Z24*'Unit information'!$AD$4)+($F$1/$U24*$AA24*'Unit information'!$AD$5)+($F$1/$V24*$AB24*'Unit information'!$AD$8)+($F$1/$W24*$AC24*'Unit information'!$AD$10)+($F$1/$X24*$AD24*'Unit information'!$AD$11))</f>
        <v/>
      </c>
      <c r="AP24" s="154"/>
      <c r="BG24" s="154"/>
    </row>
    <row r="25" spans="1:59" x14ac:dyDescent="0.25">
      <c r="H25" s="228"/>
      <c r="I25" s="11"/>
      <c r="J25" s="11"/>
      <c r="K25" s="11"/>
      <c r="L25" s="11"/>
      <c r="M25" s="11"/>
      <c r="N25" s="11"/>
      <c r="O25" s="40"/>
      <c r="P25" s="229" t="str">
        <f t="shared" si="8"/>
        <v/>
      </c>
      <c r="Q25" s="229" t="str">
        <f t="shared" si="9"/>
        <v/>
      </c>
      <c r="R25" s="229" t="str">
        <f t="shared" si="10"/>
        <v/>
      </c>
      <c r="S25" s="230" t="str">
        <f>IF($H25="","",HLOOKUP(S$2,'Unit information'!$B$3:$K$29,$L25+2,FALSE))</f>
        <v/>
      </c>
      <c r="T25" s="231" t="str">
        <f>IF($H25="","",HLOOKUP(T$2,'Unit information'!$B$3:$K$29,$L25+2,FALSE))</f>
        <v/>
      </c>
      <c r="U25" s="231" t="str">
        <f>IF($H25="","",HLOOKUP(U$2,'Unit information'!$B$3:$K$29,$L25+2,FALSE))</f>
        <v/>
      </c>
      <c r="V25" s="231" t="str">
        <f>IF($H25="","",HLOOKUP(V$2,'Unit information'!$B$3:$K$29,$M25+2,FALSE))</f>
        <v/>
      </c>
      <c r="W25" s="231" t="str">
        <f>IF($H25="","",HLOOKUP(W$2,'Unit information'!$B$3:$K$29,$M25+2,FALSE))</f>
        <v/>
      </c>
      <c r="X25" s="231" t="str">
        <f>IF($H25="","",HLOOKUP(X$2,'Unit information'!$B$3:$K$29,$N25+2,FALSE))</f>
        <v/>
      </c>
      <c r="Y25" s="232" t="str">
        <f t="shared" si="5"/>
        <v/>
      </c>
      <c r="Z25" s="232" t="str">
        <f t="shared" si="5"/>
        <v/>
      </c>
      <c r="AA25" s="232" t="str">
        <f t="shared" si="6"/>
        <v/>
      </c>
      <c r="AB25" s="232" t="str">
        <f t="shared" si="6"/>
        <v/>
      </c>
      <c r="AC25" s="232" t="str">
        <f t="shared" si="7"/>
        <v/>
      </c>
      <c r="AD25" s="232" t="str">
        <f t="shared" si="4"/>
        <v/>
      </c>
      <c r="AE25" s="229" t="str">
        <f>IF($H25="","",($F$1/$S25*$Y25*'Unit information'!$AB$3)+($F$1/$T25*$Z25*'Unit information'!$AB$4)+($F$1/$U25*$AA25*'Unit information'!$AB$5)+($F$1/$V25*$AB25*'Unit information'!$AB$8)+($F$1/$W25*$AC25*'Unit information'!$AB$10)+($F$1/$X25*$AD25*'Unit information'!$AB$11))</f>
        <v/>
      </c>
      <c r="AF25" s="229" t="str">
        <f>IF($H25="","",($F$1/$S25*$Y25*'Unit information'!$AC$3)+($F$1/$T25*$Z25*'Unit information'!$AC$4)+($F$1/$U25*$AA25*'Unit information'!$AC$5)+($F$1/$V25*$AB25*'Unit information'!$AC$8)+($F$1/$W25*$AC25*'Unit information'!$AC$10)+($F$1/$X25*$AD25*'Unit information'!$AC$11))</f>
        <v/>
      </c>
      <c r="AG25" s="229" t="str">
        <f>IF($H25="","",($F$1/$S25*$Y25*'Unit information'!$AD$3)+($F$1/$T25*$Z25*'Unit information'!$AD$4)+($F$1/$U25*$AA25*'Unit information'!$AD$5)+($F$1/$V25*$AB25*'Unit information'!$AD$8)+($F$1/$W25*$AC25*'Unit information'!$AD$10)+($F$1/$X25*$AD25*'Unit information'!$AD$11))</f>
        <v/>
      </c>
      <c r="AP25" s="154"/>
      <c r="BG25" s="154"/>
    </row>
    <row r="26" spans="1:59" x14ac:dyDescent="0.25">
      <c r="H26" s="228"/>
      <c r="I26" s="11"/>
      <c r="J26" s="11"/>
      <c r="K26" s="11"/>
      <c r="L26" s="11"/>
      <c r="M26" s="11"/>
      <c r="N26" s="11"/>
      <c r="O26" s="40"/>
      <c r="P26" s="229" t="str">
        <f t="shared" si="8"/>
        <v/>
      </c>
      <c r="Q26" s="229" t="str">
        <f t="shared" si="9"/>
        <v/>
      </c>
      <c r="R26" s="229" t="str">
        <f t="shared" si="10"/>
        <v/>
      </c>
      <c r="S26" s="230" t="str">
        <f>IF($H26="","",HLOOKUP(S$2,'Unit information'!$B$3:$K$29,$L26+2,FALSE))</f>
        <v/>
      </c>
      <c r="T26" s="231" t="str">
        <f>IF($H26="","",HLOOKUP(T$2,'Unit information'!$B$3:$K$29,$L26+2,FALSE))</f>
        <v/>
      </c>
      <c r="U26" s="231" t="str">
        <f>IF($H26="","",HLOOKUP(U$2,'Unit information'!$B$3:$K$29,$L26+2,FALSE))</f>
        <v/>
      </c>
      <c r="V26" s="231" t="str">
        <f>IF($H26="","",HLOOKUP(V$2,'Unit information'!$B$3:$K$29,$M26+2,FALSE))</f>
        <v/>
      </c>
      <c r="W26" s="231" t="str">
        <f>IF($H26="","",HLOOKUP(W$2,'Unit information'!$B$3:$K$29,$M26+2,FALSE))</f>
        <v/>
      </c>
      <c r="X26" s="231" t="str">
        <f>IF($H26="","",HLOOKUP(X$2,'Unit information'!$B$3:$K$29,$N26+2,FALSE))</f>
        <v/>
      </c>
      <c r="Y26" s="232" t="str">
        <f t="shared" si="5"/>
        <v/>
      </c>
      <c r="Z26" s="232" t="str">
        <f t="shared" si="5"/>
        <v/>
      </c>
      <c r="AA26" s="232" t="str">
        <f t="shared" si="6"/>
        <v/>
      </c>
      <c r="AB26" s="232" t="str">
        <f t="shared" si="6"/>
        <v/>
      </c>
      <c r="AC26" s="232" t="str">
        <f t="shared" si="7"/>
        <v/>
      </c>
      <c r="AD26" s="232" t="str">
        <f t="shared" si="4"/>
        <v/>
      </c>
      <c r="AE26" s="229" t="str">
        <f>IF($H26="","",($F$1/$S26*$Y26*'Unit information'!$AB$3)+($F$1/$T26*$Z26*'Unit information'!$AB$4)+($F$1/$U26*$AA26*'Unit information'!$AB$5)+($F$1/$V26*$AB26*'Unit information'!$AB$8)+($F$1/$W26*$AC26*'Unit information'!$AB$10)+($F$1/$X26*$AD26*'Unit information'!$AB$11))</f>
        <v/>
      </c>
      <c r="AF26" s="229" t="str">
        <f>IF($H26="","",($F$1/$S26*$Y26*'Unit information'!$AC$3)+($F$1/$T26*$Z26*'Unit information'!$AC$4)+($F$1/$U26*$AA26*'Unit information'!$AC$5)+($F$1/$V26*$AB26*'Unit information'!$AC$8)+($F$1/$W26*$AC26*'Unit information'!$AC$10)+($F$1/$X26*$AD26*'Unit information'!$AC$11))</f>
        <v/>
      </c>
      <c r="AG26" s="229" t="str">
        <f>IF($H26="","",($F$1/$S26*$Y26*'Unit information'!$AD$3)+($F$1/$T26*$Z26*'Unit information'!$AD$4)+($F$1/$U26*$AA26*'Unit information'!$AD$5)+($F$1/$V26*$AB26*'Unit information'!$AD$8)+($F$1/$W26*$AC26*'Unit information'!$AD$10)+($F$1/$X26*$AD26*'Unit information'!$AD$11))</f>
        <v/>
      </c>
      <c r="AP26" s="154"/>
      <c r="BG26" s="154"/>
    </row>
    <row r="27" spans="1:59" x14ac:dyDescent="0.25">
      <c r="B27" s="438" t="s">
        <v>384</v>
      </c>
      <c r="C27" s="438"/>
      <c r="D27" s="438"/>
      <c r="E27" s="438"/>
      <c r="G27" s="155"/>
      <c r="H27" s="228"/>
      <c r="I27" s="11"/>
      <c r="J27" s="11"/>
      <c r="K27" s="11"/>
      <c r="L27" s="11"/>
      <c r="M27" s="11"/>
      <c r="N27" s="11"/>
      <c r="O27" s="40"/>
      <c r="P27" s="229" t="str">
        <f t="shared" si="8"/>
        <v/>
      </c>
      <c r="Q27" s="229" t="str">
        <f t="shared" si="9"/>
        <v/>
      </c>
      <c r="R27" s="229" t="str">
        <f t="shared" si="10"/>
        <v/>
      </c>
      <c r="S27" s="230" t="str">
        <f>IF($H27="","",HLOOKUP(S$2,'Unit information'!$B$3:$K$29,$L27+2,FALSE))</f>
        <v/>
      </c>
      <c r="T27" s="231" t="str">
        <f>IF($H27="","",HLOOKUP(T$2,'Unit information'!$B$3:$K$29,$L27+2,FALSE))</f>
        <v/>
      </c>
      <c r="U27" s="231" t="str">
        <f>IF($H27="","",HLOOKUP(U$2,'Unit information'!$B$3:$K$29,$L27+2,FALSE))</f>
        <v/>
      </c>
      <c r="V27" s="231" t="str">
        <f>IF($H27="","",HLOOKUP(V$2,'Unit information'!$B$3:$K$29,$M27+2,FALSE))</f>
        <v/>
      </c>
      <c r="W27" s="231" t="str">
        <f>IF($H27="","",HLOOKUP(W$2,'Unit information'!$B$3:$K$29,$M27+2,FALSE))</f>
        <v/>
      </c>
      <c r="X27" s="231" t="str">
        <f>IF($H27="","",HLOOKUP(X$2,'Unit information'!$B$3:$K$29,$N27+2,FALSE))</f>
        <v/>
      </c>
      <c r="Y27" s="232" t="str">
        <f t="shared" si="5"/>
        <v/>
      </c>
      <c r="Z27" s="232" t="str">
        <f t="shared" si="5"/>
        <v/>
      </c>
      <c r="AA27" s="232" t="str">
        <f t="shared" si="6"/>
        <v/>
      </c>
      <c r="AB27" s="232" t="str">
        <f t="shared" si="6"/>
        <v/>
      </c>
      <c r="AC27" s="232" t="str">
        <f t="shared" si="7"/>
        <v/>
      </c>
      <c r="AD27" s="232" t="str">
        <f t="shared" si="4"/>
        <v/>
      </c>
      <c r="AE27" s="229" t="str">
        <f>IF($H27="","",($F$1/$S27*$Y27*'Unit information'!$AB$3)+($F$1/$T27*$Z27*'Unit information'!$AB$4)+($F$1/$U27*$AA27*'Unit information'!$AB$5)+($F$1/$V27*$AB27*'Unit information'!$AB$8)+($F$1/$W27*$AC27*'Unit information'!$AB$10)+($F$1/$X27*$AD27*'Unit information'!$AB$11))</f>
        <v/>
      </c>
      <c r="AF27" s="229" t="str">
        <f>IF($H27="","",($F$1/$S27*$Y27*'Unit information'!$AC$3)+($F$1/$T27*$Z27*'Unit information'!$AC$4)+($F$1/$U27*$AA27*'Unit information'!$AC$5)+($F$1/$V27*$AB27*'Unit information'!$AC$8)+($F$1/$W27*$AC27*'Unit information'!$AC$10)+($F$1/$X27*$AD27*'Unit information'!$AC$11))</f>
        <v/>
      </c>
      <c r="AG27" s="229" t="str">
        <f>IF($H27="","",($F$1/$S27*$Y27*'Unit information'!$AD$3)+($F$1/$T27*$Z27*'Unit information'!$AD$4)+($F$1/$U27*$AA27*'Unit information'!$AD$5)+($F$1/$V27*$AB27*'Unit information'!$AD$8)+($F$1/$W27*$AC27*'Unit information'!$AD$10)+($F$1/$X27*$AD27*'Unit information'!$AD$11))</f>
        <v/>
      </c>
      <c r="AP27" s="154"/>
      <c r="BG27" s="154"/>
    </row>
    <row r="28" spans="1:59" x14ac:dyDescent="0.25">
      <c r="A28" t="s">
        <v>165</v>
      </c>
      <c r="B28" t="s">
        <v>151</v>
      </c>
      <c r="C28" t="s">
        <v>152</v>
      </c>
      <c r="D28" t="s">
        <v>153</v>
      </c>
      <c r="E28" t="s">
        <v>154</v>
      </c>
      <c r="H28" s="228"/>
      <c r="I28" s="11"/>
      <c r="J28" s="11"/>
      <c r="K28" s="11"/>
      <c r="L28" s="11"/>
      <c r="M28" s="11"/>
      <c r="N28" s="11"/>
      <c r="O28" s="40"/>
      <c r="P28" s="229" t="str">
        <f t="shared" si="8"/>
        <v/>
      </c>
      <c r="Q28" s="229" t="str">
        <f t="shared" si="9"/>
        <v/>
      </c>
      <c r="R28" s="229" t="str">
        <f t="shared" si="10"/>
        <v/>
      </c>
      <c r="S28" s="230" t="str">
        <f>IF($H28="","",HLOOKUP(S$2,'Unit information'!$B$3:$K$29,$L28+2,FALSE))</f>
        <v/>
      </c>
      <c r="T28" s="231" t="str">
        <f>IF($H28="","",HLOOKUP(T$2,'Unit information'!$B$3:$K$29,$L28+2,FALSE))</f>
        <v/>
      </c>
      <c r="U28" s="231" t="str">
        <f>IF($H28="","",HLOOKUP(U$2,'Unit information'!$B$3:$K$29,$L28+2,FALSE))</f>
        <v/>
      </c>
      <c r="V28" s="231" t="str">
        <f>IF($H28="","",HLOOKUP(V$2,'Unit information'!$B$3:$K$29,$M28+2,FALSE))</f>
        <v/>
      </c>
      <c r="W28" s="231" t="str">
        <f>IF($H28="","",HLOOKUP(W$2,'Unit information'!$B$3:$K$29,$M28+2,FALSE))</f>
        <v/>
      </c>
      <c r="X28" s="231" t="str">
        <f>IF($H28="","",HLOOKUP(X$2,'Unit information'!$B$3:$K$29,$N28+2,FALSE))</f>
        <v/>
      </c>
      <c r="Y28" s="232" t="str">
        <f t="shared" si="5"/>
        <v/>
      </c>
      <c r="Z28" s="232" t="str">
        <f t="shared" si="5"/>
        <v/>
      </c>
      <c r="AA28" s="232" t="str">
        <f t="shared" si="6"/>
        <v/>
      </c>
      <c r="AB28" s="232" t="str">
        <f t="shared" si="6"/>
        <v/>
      </c>
      <c r="AC28" s="232" t="str">
        <f t="shared" si="7"/>
        <v/>
      </c>
      <c r="AD28" s="232" t="str">
        <f t="shared" si="4"/>
        <v/>
      </c>
      <c r="AE28" s="229" t="str">
        <f>IF($H28="","",($F$1/$S28*$Y28*'Unit information'!$AB$3)+($F$1/$T28*$Z28*'Unit information'!$AB$4)+($F$1/$U28*$AA28*'Unit information'!$AB$5)+($F$1/$V28*$AB28*'Unit information'!$AB$8)+($F$1/$W28*$AC28*'Unit information'!$AB$10)+($F$1/$X28*$AD28*'Unit information'!$AB$11))</f>
        <v/>
      </c>
      <c r="AF28" s="229" t="str">
        <f>IF($H28="","",($F$1/$S28*$Y28*'Unit information'!$AC$3)+($F$1/$T28*$Z28*'Unit information'!$AC$4)+($F$1/$U28*$AA28*'Unit information'!$AC$5)+($F$1/$V28*$AB28*'Unit information'!$AC$8)+($F$1/$W28*$AC28*'Unit information'!$AC$10)+($F$1/$X28*$AD28*'Unit information'!$AC$11))</f>
        <v/>
      </c>
      <c r="AG28" s="229" t="str">
        <f>IF($H28="","",($F$1/$S28*$Y28*'Unit information'!$AD$3)+($F$1/$T28*$Z28*'Unit information'!$AD$4)+($F$1/$U28*$AA28*'Unit information'!$AD$5)+($F$1/$V28*$AB28*'Unit information'!$AD$8)+($F$1/$W28*$AC28*'Unit information'!$AD$10)+($F$1/$X28*$AD28*'Unit information'!$AD$11))</f>
        <v/>
      </c>
      <c r="AP28" s="154"/>
      <c r="BG28" s="154"/>
    </row>
    <row r="29" spans="1:59" x14ac:dyDescent="0.25">
      <c r="A29">
        <v>1</v>
      </c>
      <c r="B29" s="367">
        <f>IF($B$4="Goldmünzen",28000+40000,28000)</f>
        <v>68000</v>
      </c>
      <c r="C29" s="367">
        <f>IF($B$4="Goldmünzen",30000+50000,30000)</f>
        <v>80000</v>
      </c>
      <c r="D29" s="367">
        <f>IF($B$4="Goldmünzen",25000+50000,25000)</f>
        <v>75000</v>
      </c>
      <c r="E29" s="155">
        <f>SUM(B29:D29)</f>
        <v>223000</v>
      </c>
      <c r="H29" s="228"/>
      <c r="I29" s="11"/>
      <c r="J29" s="11"/>
      <c r="K29" s="11"/>
      <c r="L29" s="11"/>
      <c r="M29" s="11"/>
      <c r="N29" s="11"/>
      <c r="O29" s="40"/>
      <c r="P29" s="229" t="str">
        <f t="shared" si="8"/>
        <v/>
      </c>
      <c r="Q29" s="229" t="str">
        <f t="shared" si="9"/>
        <v/>
      </c>
      <c r="R29" s="229" t="str">
        <f t="shared" si="10"/>
        <v/>
      </c>
      <c r="S29" s="230" t="str">
        <f>IF($H29="","",HLOOKUP(S$2,'Unit information'!$B$3:$K$29,$L29+2,FALSE))</f>
        <v/>
      </c>
      <c r="T29" s="231" t="str">
        <f>IF($H29="","",HLOOKUP(T$2,'Unit information'!$B$3:$K$29,$L29+2,FALSE))</f>
        <v/>
      </c>
      <c r="U29" s="231" t="str">
        <f>IF($H29="","",HLOOKUP(U$2,'Unit information'!$B$3:$K$29,$L29+2,FALSE))</f>
        <v/>
      </c>
      <c r="V29" s="231" t="str">
        <f>IF($H29="","",HLOOKUP(V$2,'Unit information'!$B$3:$K$29,$M29+2,FALSE))</f>
        <v/>
      </c>
      <c r="W29" s="231" t="str">
        <f>IF($H29="","",HLOOKUP(W$2,'Unit information'!$B$3:$K$29,$M29+2,FALSE))</f>
        <v/>
      </c>
      <c r="X29" s="231" t="str">
        <f>IF($H29="","",HLOOKUP(X$2,'Unit information'!$B$3:$K$29,$N29+2,FALSE))</f>
        <v/>
      </c>
      <c r="Y29" s="232" t="str">
        <f t="shared" si="5"/>
        <v/>
      </c>
      <c r="Z29" s="232" t="str">
        <f t="shared" si="5"/>
        <v/>
      </c>
      <c r="AA29" s="232" t="str">
        <f t="shared" si="6"/>
        <v/>
      </c>
      <c r="AB29" s="232" t="str">
        <f t="shared" si="6"/>
        <v/>
      </c>
      <c r="AC29" s="232" t="str">
        <f t="shared" si="7"/>
        <v/>
      </c>
      <c r="AD29" s="232" t="str">
        <f t="shared" si="4"/>
        <v/>
      </c>
      <c r="AE29" s="229" t="str">
        <f>IF($H29="","",($F$1/$S29*$Y29*'Unit information'!$AB$3)+($F$1/$T29*$Z29*'Unit information'!$AB$4)+($F$1/$U29*$AA29*'Unit information'!$AB$5)+($F$1/$V29*$AB29*'Unit information'!$AB$8)+($F$1/$W29*$AC29*'Unit information'!$AB$10)+($F$1/$X29*$AD29*'Unit information'!$AB$11))</f>
        <v/>
      </c>
      <c r="AF29" s="229" t="str">
        <f>IF($H29="","",($F$1/$S29*$Y29*'Unit information'!$AC$3)+($F$1/$T29*$Z29*'Unit information'!$AC$4)+($F$1/$U29*$AA29*'Unit information'!$AC$5)+($F$1/$V29*$AB29*'Unit information'!$AC$8)+($F$1/$W29*$AC29*'Unit information'!$AC$10)+($F$1/$X29*$AD29*'Unit information'!$AC$11))</f>
        <v/>
      </c>
      <c r="AG29" s="229" t="str">
        <f>IF($H29="","",($F$1/$S29*$Y29*'Unit information'!$AD$3)+($F$1/$T29*$Z29*'Unit information'!$AD$4)+($F$1/$U29*$AA29*'Unit information'!$AD$5)+($F$1/$V29*$AB29*'Unit information'!$AD$8)+($F$1/$W29*$AC29*'Unit information'!$AD$10)+($F$1/$X29*$AD29*'Unit information'!$AD$11))</f>
        <v/>
      </c>
      <c r="AP29" s="154"/>
      <c r="BG29" s="154"/>
    </row>
    <row r="30" spans="1:59" x14ac:dyDescent="0.25">
      <c r="A30">
        <v>2</v>
      </c>
      <c r="B30" s="367">
        <f>IF($B$4="Goldmünzen",$A30*B$29+B29+40000,$A30*B$29+B29)</f>
        <v>244000</v>
      </c>
      <c r="C30" s="367">
        <f>IF($B$4="Goldmünzen",$A30*C$29+C29+50000,$A30*C$29+C29)</f>
        <v>290000</v>
      </c>
      <c r="D30" s="367">
        <f>IF($B$4="Goldmünzen",$A30*D$29+D29+50000,$A30*D$29+D29)</f>
        <v>275000</v>
      </c>
      <c r="E30" s="155">
        <f t="shared" ref="E30:E38" si="11">$A30*E$29+E29</f>
        <v>669000</v>
      </c>
      <c r="H30" s="228"/>
      <c r="I30" s="11"/>
      <c r="J30" s="11"/>
      <c r="K30" s="11"/>
      <c r="L30" s="11"/>
      <c r="M30" s="11"/>
      <c r="N30" s="11"/>
      <c r="O30" s="40"/>
      <c r="P30" s="229" t="str">
        <f t="shared" si="8"/>
        <v/>
      </c>
      <c r="Q30" s="229" t="str">
        <f t="shared" si="9"/>
        <v/>
      </c>
      <c r="R30" s="229" t="str">
        <f t="shared" si="10"/>
        <v/>
      </c>
      <c r="S30" s="230" t="str">
        <f>IF($H30="","",HLOOKUP(S$2,'Unit information'!$B$3:$K$29,$L30+2,FALSE))</f>
        <v/>
      </c>
      <c r="T30" s="231" t="str">
        <f>IF($H30="","",HLOOKUP(T$2,'Unit information'!$B$3:$K$29,$L30+2,FALSE))</f>
        <v/>
      </c>
      <c r="U30" s="231" t="str">
        <f>IF($H30="","",HLOOKUP(U$2,'Unit information'!$B$3:$K$29,$L30+2,FALSE))</f>
        <v/>
      </c>
      <c r="V30" s="231" t="str">
        <f>IF($H30="","",HLOOKUP(V$2,'Unit information'!$B$3:$K$29,$M30+2,FALSE))</f>
        <v/>
      </c>
      <c r="W30" s="231" t="str">
        <f>IF($H30="","",HLOOKUP(W$2,'Unit information'!$B$3:$K$29,$M30+2,FALSE))</f>
        <v/>
      </c>
      <c r="X30" s="231" t="str">
        <f>IF($H30="","",HLOOKUP(X$2,'Unit information'!$B$3:$K$29,$N30+2,FALSE))</f>
        <v/>
      </c>
      <c r="Y30" s="232" t="str">
        <f t="shared" si="5"/>
        <v/>
      </c>
      <c r="Z30" s="232" t="str">
        <f t="shared" si="5"/>
        <v/>
      </c>
      <c r="AA30" s="232" t="str">
        <f t="shared" si="6"/>
        <v/>
      </c>
      <c r="AB30" s="232" t="str">
        <f t="shared" si="6"/>
        <v/>
      </c>
      <c r="AC30" s="232" t="str">
        <f t="shared" si="7"/>
        <v/>
      </c>
      <c r="AD30" s="232" t="str">
        <f t="shared" si="4"/>
        <v/>
      </c>
      <c r="AE30" s="229" t="str">
        <f>IF($H30="","",($F$1/$S30*$Y30*'Unit information'!$AB$3)+($F$1/$T30*$Z30*'Unit information'!$AB$4)+($F$1/$U30*$AA30*'Unit information'!$AB$5)+($F$1/$V30*$AB30*'Unit information'!$AB$8)+($F$1/$W30*$AC30*'Unit information'!$AB$10)+($F$1/$X30*$AD30*'Unit information'!$AB$11))</f>
        <v/>
      </c>
      <c r="AF30" s="229" t="str">
        <f>IF($H30="","",($F$1/$S30*$Y30*'Unit information'!$AC$3)+($F$1/$T30*$Z30*'Unit information'!$AC$4)+($F$1/$U30*$AA30*'Unit information'!$AC$5)+($F$1/$V30*$AB30*'Unit information'!$AC$8)+($F$1/$W30*$AC30*'Unit information'!$AC$10)+($F$1/$X30*$AD30*'Unit information'!$AC$11))</f>
        <v/>
      </c>
      <c r="AG30" s="229" t="str">
        <f>IF($H30="","",($F$1/$S30*$Y30*'Unit information'!$AD$3)+($F$1/$T30*$Z30*'Unit information'!$AD$4)+($F$1/$U30*$AA30*'Unit information'!$AD$5)+($F$1/$V30*$AB30*'Unit information'!$AD$8)+($F$1/$W30*$AC30*'Unit information'!$AD$10)+($F$1/$X30*$AD30*'Unit information'!$AD$11))</f>
        <v/>
      </c>
      <c r="AP30" s="154"/>
      <c r="BG30" s="154"/>
    </row>
    <row r="31" spans="1:59" x14ac:dyDescent="0.25">
      <c r="A31">
        <v>3</v>
      </c>
      <c r="B31" s="367">
        <f t="shared" ref="B31:B94" si="12">IF($B$4="Goldmünzen",$A31*B$29+B30+40000,$A31*B$29+B30)</f>
        <v>488000</v>
      </c>
      <c r="C31" s="367">
        <f t="shared" ref="C31:C94" si="13">IF($B$4="Goldmünzen",$A31*C$29+C30+50000,$A31*C$29+C30)</f>
        <v>580000</v>
      </c>
      <c r="D31" s="367">
        <f t="shared" ref="D31:D94" si="14">IF($B$4="Goldmünzen",$A31*D$29+D30+50000,$A31*D$29+D30)</f>
        <v>550000</v>
      </c>
      <c r="E31" s="155">
        <f t="shared" si="11"/>
        <v>1338000</v>
      </c>
      <c r="H31" s="228"/>
      <c r="I31" s="11"/>
      <c r="J31" s="11"/>
      <c r="K31" s="11"/>
      <c r="L31" s="11"/>
      <c r="M31" s="11"/>
      <c r="N31" s="11"/>
      <c r="O31" s="40"/>
      <c r="P31" s="229" t="str">
        <f t="shared" si="8"/>
        <v/>
      </c>
      <c r="Q31" s="229" t="str">
        <f t="shared" si="9"/>
        <v/>
      </c>
      <c r="R31" s="229" t="str">
        <f t="shared" si="10"/>
        <v/>
      </c>
      <c r="S31" s="230" t="str">
        <f>IF($H31="","",HLOOKUP(S$2,'Unit information'!$B$3:$K$29,$L31+2,FALSE))</f>
        <v/>
      </c>
      <c r="T31" s="231" t="str">
        <f>IF($H31="","",HLOOKUP(T$2,'Unit information'!$B$3:$K$29,$L31+2,FALSE))</f>
        <v/>
      </c>
      <c r="U31" s="231" t="str">
        <f>IF($H31="","",HLOOKUP(U$2,'Unit information'!$B$3:$K$29,$L31+2,FALSE))</f>
        <v/>
      </c>
      <c r="V31" s="231" t="str">
        <f>IF($H31="","",HLOOKUP(V$2,'Unit information'!$B$3:$K$29,$M31+2,FALSE))</f>
        <v/>
      </c>
      <c r="W31" s="231" t="str">
        <f>IF($H31="","",HLOOKUP(W$2,'Unit information'!$B$3:$K$29,$M31+2,FALSE))</f>
        <v/>
      </c>
      <c r="X31" s="231" t="str">
        <f>IF($H31="","",HLOOKUP(X$2,'Unit information'!$B$3:$K$29,$N31+2,FALSE))</f>
        <v/>
      </c>
      <c r="Y31" s="232" t="str">
        <f t="shared" si="5"/>
        <v/>
      </c>
      <c r="Z31" s="232" t="str">
        <f t="shared" si="5"/>
        <v/>
      </c>
      <c r="AA31" s="232" t="str">
        <f t="shared" si="6"/>
        <v/>
      </c>
      <c r="AB31" s="232" t="str">
        <f t="shared" si="6"/>
        <v/>
      </c>
      <c r="AC31" s="232" t="str">
        <f t="shared" si="7"/>
        <v/>
      </c>
      <c r="AD31" s="232" t="str">
        <f t="shared" si="4"/>
        <v/>
      </c>
      <c r="AE31" s="229" t="str">
        <f>IF($H31="","",($F$1/$S31*$Y31*'Unit information'!$AB$3)+($F$1/$T31*$Z31*'Unit information'!$AB$4)+($F$1/$U31*$AA31*'Unit information'!$AB$5)+($F$1/$V31*$AB31*'Unit information'!$AB$8)+($F$1/$W31*$AC31*'Unit information'!$AB$10)+($F$1/$X31*$AD31*'Unit information'!$AB$11))</f>
        <v/>
      </c>
      <c r="AF31" s="229" t="str">
        <f>IF($H31="","",($F$1/$S31*$Y31*'Unit information'!$AC$3)+($F$1/$T31*$Z31*'Unit information'!$AC$4)+($F$1/$U31*$AA31*'Unit information'!$AC$5)+($F$1/$V31*$AB31*'Unit information'!$AC$8)+($F$1/$W31*$AC31*'Unit information'!$AC$10)+($F$1/$X31*$AD31*'Unit information'!$AC$11))</f>
        <v/>
      </c>
      <c r="AG31" s="229" t="str">
        <f>IF($H31="","",($F$1/$S31*$Y31*'Unit information'!$AD$3)+($F$1/$T31*$Z31*'Unit information'!$AD$4)+($F$1/$U31*$AA31*'Unit information'!$AD$5)+($F$1/$V31*$AB31*'Unit information'!$AD$8)+($F$1/$W31*$AC31*'Unit information'!$AD$10)+($F$1/$X31*$AD31*'Unit information'!$AD$11))</f>
        <v/>
      </c>
      <c r="AP31" s="154"/>
      <c r="BG31" s="154"/>
    </row>
    <row r="32" spans="1:59" x14ac:dyDescent="0.25">
      <c r="A32" s="62">
        <v>4</v>
      </c>
      <c r="B32" s="367">
        <f t="shared" si="12"/>
        <v>800000</v>
      </c>
      <c r="C32" s="367">
        <f t="shared" si="13"/>
        <v>950000</v>
      </c>
      <c r="D32" s="367">
        <f t="shared" si="14"/>
        <v>900000</v>
      </c>
      <c r="E32" s="155">
        <f t="shared" si="11"/>
        <v>2230000</v>
      </c>
      <c r="H32" s="228"/>
      <c r="I32" s="11"/>
      <c r="J32" s="11"/>
      <c r="K32" s="11"/>
      <c r="L32" s="11"/>
      <c r="M32" s="11"/>
      <c r="N32" s="11"/>
      <c r="O32" s="40"/>
      <c r="P32" s="229" t="str">
        <f t="shared" si="8"/>
        <v/>
      </c>
      <c r="Q32" s="229" t="str">
        <f t="shared" si="9"/>
        <v/>
      </c>
      <c r="R32" s="229" t="str">
        <f t="shared" si="10"/>
        <v/>
      </c>
      <c r="S32" s="230" t="str">
        <f>IF($H32="","",HLOOKUP(S$2,'Unit information'!$B$3:$K$29,$L32+2,FALSE))</f>
        <v/>
      </c>
      <c r="T32" s="231" t="str">
        <f>IF($H32="","",HLOOKUP(T$2,'Unit information'!$B$3:$K$29,$L32+2,FALSE))</f>
        <v/>
      </c>
      <c r="U32" s="231" t="str">
        <f>IF($H32="","",HLOOKUP(U$2,'Unit information'!$B$3:$K$29,$L32+2,FALSE))</f>
        <v/>
      </c>
      <c r="V32" s="231" t="str">
        <f>IF($H32="","",HLOOKUP(V$2,'Unit information'!$B$3:$K$29,$M32+2,FALSE))</f>
        <v/>
      </c>
      <c r="W32" s="231" t="str">
        <f>IF($H32="","",HLOOKUP(W$2,'Unit information'!$B$3:$K$29,$M32+2,FALSE))</f>
        <v/>
      </c>
      <c r="X32" s="231" t="str">
        <f>IF($H32="","",HLOOKUP(X$2,'Unit information'!$B$3:$K$29,$N32+2,FALSE))</f>
        <v/>
      </c>
      <c r="Y32" s="232" t="str">
        <f t="shared" si="5"/>
        <v/>
      </c>
      <c r="Z32" s="232" t="str">
        <f t="shared" si="5"/>
        <v/>
      </c>
      <c r="AA32" s="232" t="str">
        <f t="shared" si="6"/>
        <v/>
      </c>
      <c r="AB32" s="232" t="str">
        <f t="shared" si="6"/>
        <v/>
      </c>
      <c r="AC32" s="232" t="str">
        <f t="shared" si="7"/>
        <v/>
      </c>
      <c r="AD32" s="232" t="str">
        <f t="shared" si="4"/>
        <v/>
      </c>
      <c r="AE32" s="229" t="str">
        <f>IF($H32="","",($F$1/$S32*$Y32*'Unit information'!$AB$3)+($F$1/$T32*$Z32*'Unit information'!$AB$4)+($F$1/$U32*$AA32*'Unit information'!$AB$5)+($F$1/$V32*$AB32*'Unit information'!$AB$8)+($F$1/$W32*$AC32*'Unit information'!$AB$10)+($F$1/$X32*$AD32*'Unit information'!$AB$11))</f>
        <v/>
      </c>
      <c r="AF32" s="229" t="str">
        <f>IF($H32="","",($F$1/$S32*$Y32*'Unit information'!$AC$3)+($F$1/$T32*$Z32*'Unit information'!$AC$4)+($F$1/$U32*$AA32*'Unit information'!$AC$5)+($F$1/$V32*$AB32*'Unit information'!$AC$8)+($F$1/$W32*$AC32*'Unit information'!$AC$10)+($F$1/$X32*$AD32*'Unit information'!$AC$11))</f>
        <v/>
      </c>
      <c r="AG32" s="229" t="str">
        <f>IF($H32="","",($F$1/$S32*$Y32*'Unit information'!$AD$3)+($F$1/$T32*$Z32*'Unit information'!$AD$4)+($F$1/$U32*$AA32*'Unit information'!$AD$5)+($F$1/$V32*$AB32*'Unit information'!$AD$8)+($F$1/$W32*$AC32*'Unit information'!$AD$10)+($F$1/$X32*$AD32*'Unit information'!$AD$11))</f>
        <v/>
      </c>
      <c r="AP32" s="154"/>
      <c r="BG32" s="154"/>
    </row>
    <row r="33" spans="1:59" x14ac:dyDescent="0.25">
      <c r="A33" s="62">
        <v>5</v>
      </c>
      <c r="B33" s="367">
        <f t="shared" si="12"/>
        <v>1180000</v>
      </c>
      <c r="C33" s="367">
        <f t="shared" si="13"/>
        <v>1400000</v>
      </c>
      <c r="D33" s="367">
        <f t="shared" si="14"/>
        <v>1325000</v>
      </c>
      <c r="E33" s="155">
        <f t="shared" si="11"/>
        <v>3345000</v>
      </c>
      <c r="H33" s="228"/>
      <c r="I33" s="11"/>
      <c r="J33" s="11"/>
      <c r="K33" s="11"/>
      <c r="L33" s="11"/>
      <c r="M33" s="11"/>
      <c r="N33" s="11"/>
      <c r="O33" s="40"/>
      <c r="P33" s="229" t="str">
        <f t="shared" si="8"/>
        <v/>
      </c>
      <c r="Q33" s="229" t="str">
        <f t="shared" si="9"/>
        <v/>
      </c>
      <c r="R33" s="229" t="str">
        <f t="shared" si="10"/>
        <v/>
      </c>
      <c r="S33" s="230" t="str">
        <f>IF($H33="","",HLOOKUP(S$2,'Unit information'!$B$3:$K$29,$L33+2,FALSE))</f>
        <v/>
      </c>
      <c r="T33" s="231" t="str">
        <f>IF($H33="","",HLOOKUP(T$2,'Unit information'!$B$3:$K$29,$L33+2,FALSE))</f>
        <v/>
      </c>
      <c r="U33" s="231" t="str">
        <f>IF($H33="","",HLOOKUP(U$2,'Unit information'!$B$3:$K$29,$L33+2,FALSE))</f>
        <v/>
      </c>
      <c r="V33" s="231" t="str">
        <f>IF($H33="","",HLOOKUP(V$2,'Unit information'!$B$3:$K$29,$M33+2,FALSE))</f>
        <v/>
      </c>
      <c r="W33" s="231" t="str">
        <f>IF($H33="","",HLOOKUP(W$2,'Unit information'!$B$3:$K$29,$M33+2,FALSE))</f>
        <v/>
      </c>
      <c r="X33" s="231" t="str">
        <f>IF($H33="","",HLOOKUP(X$2,'Unit information'!$B$3:$K$29,$N33+2,FALSE))</f>
        <v/>
      </c>
      <c r="Y33" s="232" t="str">
        <f t="shared" si="5"/>
        <v/>
      </c>
      <c r="Z33" s="232" t="str">
        <f t="shared" si="5"/>
        <v/>
      </c>
      <c r="AA33" s="232" t="str">
        <f t="shared" si="6"/>
        <v/>
      </c>
      <c r="AB33" s="232" t="str">
        <f t="shared" si="6"/>
        <v/>
      </c>
      <c r="AC33" s="232" t="str">
        <f t="shared" si="7"/>
        <v/>
      </c>
      <c r="AD33" s="232" t="str">
        <f t="shared" si="4"/>
        <v/>
      </c>
      <c r="AE33" s="229" t="str">
        <f>IF($H33="","",($F$1/$S33*$Y33*'Unit information'!$AB$3)+($F$1/$T33*$Z33*'Unit information'!$AB$4)+($F$1/$U33*$AA33*'Unit information'!$AB$5)+($F$1/$V33*$AB33*'Unit information'!$AB$8)+($F$1/$W33*$AC33*'Unit information'!$AB$10)+($F$1/$X33*$AD33*'Unit information'!$AB$11))</f>
        <v/>
      </c>
      <c r="AF33" s="229" t="str">
        <f>IF($H33="","",($F$1/$S33*$Y33*'Unit information'!$AC$3)+($F$1/$T33*$Z33*'Unit information'!$AC$4)+($F$1/$U33*$AA33*'Unit information'!$AC$5)+($F$1/$V33*$AB33*'Unit information'!$AC$8)+($F$1/$W33*$AC33*'Unit information'!$AC$10)+($F$1/$X33*$AD33*'Unit information'!$AC$11))</f>
        <v/>
      </c>
      <c r="AG33" s="229" t="str">
        <f>IF($H33="","",($F$1/$S33*$Y33*'Unit information'!$AD$3)+($F$1/$T33*$Z33*'Unit information'!$AD$4)+($F$1/$U33*$AA33*'Unit information'!$AD$5)+($F$1/$V33*$AB33*'Unit information'!$AD$8)+($F$1/$W33*$AC33*'Unit information'!$AD$10)+($F$1/$X33*$AD33*'Unit information'!$AD$11))</f>
        <v/>
      </c>
      <c r="AP33" s="154"/>
      <c r="BG33" s="154"/>
    </row>
    <row r="34" spans="1:59" x14ac:dyDescent="0.25">
      <c r="A34" s="62">
        <v>6</v>
      </c>
      <c r="B34" s="367">
        <f t="shared" si="12"/>
        <v>1628000</v>
      </c>
      <c r="C34" s="367">
        <f t="shared" si="13"/>
        <v>1930000</v>
      </c>
      <c r="D34" s="367">
        <f t="shared" si="14"/>
        <v>1825000</v>
      </c>
      <c r="E34" s="155">
        <f t="shared" si="11"/>
        <v>4683000</v>
      </c>
      <c r="H34" s="228"/>
      <c r="I34" s="11"/>
      <c r="J34" s="11"/>
      <c r="K34" s="11"/>
      <c r="L34" s="11"/>
      <c r="M34" s="11"/>
      <c r="N34" s="11"/>
      <c r="O34" s="40"/>
      <c r="P34" s="229" t="str">
        <f t="shared" si="8"/>
        <v/>
      </c>
      <c r="Q34" s="229" t="str">
        <f t="shared" si="9"/>
        <v/>
      </c>
      <c r="R34" s="229" t="str">
        <f t="shared" si="10"/>
        <v/>
      </c>
      <c r="S34" s="230" t="str">
        <f>IF($H34="","",HLOOKUP(S$2,'Unit information'!$B$3:$K$29,$L34+2,FALSE))</f>
        <v/>
      </c>
      <c r="T34" s="231" t="str">
        <f>IF($H34="","",HLOOKUP(T$2,'Unit information'!$B$3:$K$29,$L34+2,FALSE))</f>
        <v/>
      </c>
      <c r="U34" s="231" t="str">
        <f>IF($H34="","",HLOOKUP(U$2,'Unit information'!$B$3:$K$29,$L34+2,FALSE))</f>
        <v/>
      </c>
      <c r="V34" s="231" t="str">
        <f>IF($H34="","",HLOOKUP(V$2,'Unit information'!$B$3:$K$29,$M34+2,FALSE))</f>
        <v/>
      </c>
      <c r="W34" s="231" t="str">
        <f>IF($H34="","",HLOOKUP(W$2,'Unit information'!$B$3:$K$29,$M34+2,FALSE))</f>
        <v/>
      </c>
      <c r="X34" s="231" t="str">
        <f>IF($H34="","",HLOOKUP(X$2,'Unit information'!$B$3:$K$29,$N34+2,FALSE))</f>
        <v/>
      </c>
      <c r="Y34" s="232" t="str">
        <f t="shared" si="5"/>
        <v/>
      </c>
      <c r="Z34" s="232" t="str">
        <f t="shared" si="5"/>
        <v/>
      </c>
      <c r="AA34" s="232" t="str">
        <f t="shared" si="6"/>
        <v/>
      </c>
      <c r="AB34" s="232" t="str">
        <f t="shared" si="6"/>
        <v/>
      </c>
      <c r="AC34" s="232" t="str">
        <f t="shared" si="7"/>
        <v/>
      </c>
      <c r="AD34" s="232" t="str">
        <f t="shared" si="4"/>
        <v/>
      </c>
      <c r="AE34" s="229" t="str">
        <f>IF($H34="","",($F$1/$S34*$Y34*'Unit information'!$AB$3)+($F$1/$T34*$Z34*'Unit information'!$AB$4)+($F$1/$U34*$AA34*'Unit information'!$AB$5)+($F$1/$V34*$AB34*'Unit information'!$AB$8)+($F$1/$W34*$AC34*'Unit information'!$AB$10)+($F$1/$X34*$AD34*'Unit information'!$AB$11))</f>
        <v/>
      </c>
      <c r="AF34" s="229" t="str">
        <f>IF($H34="","",($F$1/$S34*$Y34*'Unit information'!$AC$3)+($F$1/$T34*$Z34*'Unit information'!$AC$4)+($F$1/$U34*$AA34*'Unit information'!$AC$5)+($F$1/$V34*$AB34*'Unit information'!$AC$8)+($F$1/$W34*$AC34*'Unit information'!$AC$10)+($F$1/$X34*$AD34*'Unit information'!$AC$11))</f>
        <v/>
      </c>
      <c r="AG34" s="229" t="str">
        <f>IF($H34="","",($F$1/$S34*$Y34*'Unit information'!$AD$3)+($F$1/$T34*$Z34*'Unit information'!$AD$4)+($F$1/$U34*$AA34*'Unit information'!$AD$5)+($F$1/$V34*$AB34*'Unit information'!$AD$8)+($F$1/$W34*$AC34*'Unit information'!$AD$10)+($F$1/$X34*$AD34*'Unit information'!$AD$11))</f>
        <v/>
      </c>
      <c r="AP34" s="154"/>
      <c r="BG34" s="154"/>
    </row>
    <row r="35" spans="1:59" x14ac:dyDescent="0.25">
      <c r="A35" s="62">
        <v>7</v>
      </c>
      <c r="B35" s="367">
        <f t="shared" si="12"/>
        <v>2144000</v>
      </c>
      <c r="C35" s="367">
        <f t="shared" si="13"/>
        <v>2540000</v>
      </c>
      <c r="D35" s="367">
        <f t="shared" si="14"/>
        <v>2400000</v>
      </c>
      <c r="E35" s="155">
        <f t="shared" si="11"/>
        <v>6244000</v>
      </c>
      <c r="H35" s="228"/>
      <c r="I35" s="11"/>
      <c r="J35" s="11"/>
      <c r="K35" s="11"/>
      <c r="L35" s="11"/>
      <c r="M35" s="11"/>
      <c r="N35" s="11"/>
      <c r="O35" s="40"/>
      <c r="P35" s="229" t="str">
        <f t="shared" si="8"/>
        <v/>
      </c>
      <c r="Q35" s="229" t="str">
        <f t="shared" si="9"/>
        <v/>
      </c>
      <c r="R35" s="229" t="str">
        <f t="shared" si="10"/>
        <v/>
      </c>
      <c r="S35" s="230" t="str">
        <f>IF($H35="","",HLOOKUP(S$2,'Unit information'!$B$3:$K$29,$L35+2,FALSE))</f>
        <v/>
      </c>
      <c r="T35" s="231" t="str">
        <f>IF($H35="","",HLOOKUP(T$2,'Unit information'!$B$3:$K$29,$L35+2,FALSE))</f>
        <v/>
      </c>
      <c r="U35" s="231" t="str">
        <f>IF($H35="","",HLOOKUP(U$2,'Unit information'!$B$3:$K$29,$L35+2,FALSE))</f>
        <v/>
      </c>
      <c r="V35" s="231" t="str">
        <f>IF($H35="","",HLOOKUP(V$2,'Unit information'!$B$3:$K$29,$M35+2,FALSE))</f>
        <v/>
      </c>
      <c r="W35" s="231" t="str">
        <f>IF($H35="","",HLOOKUP(W$2,'Unit information'!$B$3:$K$29,$M35+2,FALSE))</f>
        <v/>
      </c>
      <c r="X35" s="231" t="str">
        <f>IF($H35="","",HLOOKUP(X$2,'Unit information'!$B$3:$K$29,$N35+2,FALSE))</f>
        <v/>
      </c>
      <c r="Y35" s="232" t="str">
        <f t="shared" si="5"/>
        <v/>
      </c>
      <c r="Z35" s="232" t="str">
        <f t="shared" si="5"/>
        <v/>
      </c>
      <c r="AA35" s="232" t="str">
        <f t="shared" si="6"/>
        <v/>
      </c>
      <c r="AB35" s="232" t="str">
        <f t="shared" si="6"/>
        <v/>
      </c>
      <c r="AC35" s="232" t="str">
        <f t="shared" si="7"/>
        <v/>
      </c>
      <c r="AD35" s="232" t="str">
        <f t="shared" si="4"/>
        <v/>
      </c>
      <c r="AE35" s="229" t="str">
        <f>IF($H35="","",($F$1/$S35*$Y35*'Unit information'!$AB$3)+($F$1/$T35*$Z35*'Unit information'!$AB$4)+($F$1/$U35*$AA35*'Unit information'!$AB$5)+($F$1/$V35*$AB35*'Unit information'!$AB$8)+($F$1/$W35*$AC35*'Unit information'!$AB$10)+($F$1/$X35*$AD35*'Unit information'!$AB$11))</f>
        <v/>
      </c>
      <c r="AF35" s="229" t="str">
        <f>IF($H35="","",($F$1/$S35*$Y35*'Unit information'!$AC$3)+($F$1/$T35*$Z35*'Unit information'!$AC$4)+($F$1/$U35*$AA35*'Unit information'!$AC$5)+($F$1/$V35*$AB35*'Unit information'!$AC$8)+($F$1/$W35*$AC35*'Unit information'!$AC$10)+($F$1/$X35*$AD35*'Unit information'!$AC$11))</f>
        <v/>
      </c>
      <c r="AG35" s="229" t="str">
        <f>IF($H35="","",($F$1/$S35*$Y35*'Unit information'!$AD$3)+($F$1/$T35*$Z35*'Unit information'!$AD$4)+($F$1/$U35*$AA35*'Unit information'!$AD$5)+($F$1/$V35*$AB35*'Unit information'!$AD$8)+($F$1/$W35*$AC35*'Unit information'!$AD$10)+($F$1/$X35*$AD35*'Unit information'!$AD$11))</f>
        <v/>
      </c>
    </row>
    <row r="36" spans="1:59" x14ac:dyDescent="0.25">
      <c r="A36">
        <v>8</v>
      </c>
      <c r="B36" s="367">
        <f t="shared" si="12"/>
        <v>2728000</v>
      </c>
      <c r="C36" s="367">
        <f t="shared" si="13"/>
        <v>3230000</v>
      </c>
      <c r="D36" s="367">
        <f t="shared" si="14"/>
        <v>3050000</v>
      </c>
      <c r="E36" s="155">
        <f t="shared" si="11"/>
        <v>8028000</v>
      </c>
      <c r="H36" s="228"/>
      <c r="I36" s="11"/>
      <c r="J36" s="11"/>
      <c r="K36" s="11"/>
      <c r="L36" s="11"/>
      <c r="M36" s="11"/>
      <c r="N36" s="11"/>
      <c r="O36" s="40"/>
      <c r="P36" s="229" t="str">
        <f t="shared" si="8"/>
        <v/>
      </c>
      <c r="Q36" s="229" t="str">
        <f t="shared" si="9"/>
        <v/>
      </c>
      <c r="R36" s="229" t="str">
        <f t="shared" si="10"/>
        <v/>
      </c>
      <c r="S36" s="230" t="str">
        <f>IF($H36="","",HLOOKUP(S$2,'Unit information'!$B$3:$K$29,$L36+2,FALSE))</f>
        <v/>
      </c>
      <c r="T36" s="231" t="str">
        <f>IF($H36="","",HLOOKUP(T$2,'Unit information'!$B$3:$K$29,$L36+2,FALSE))</f>
        <v/>
      </c>
      <c r="U36" s="231" t="str">
        <f>IF($H36="","",HLOOKUP(U$2,'Unit information'!$B$3:$K$29,$L36+2,FALSE))</f>
        <v/>
      </c>
      <c r="V36" s="231" t="str">
        <f>IF($H36="","",HLOOKUP(V$2,'Unit information'!$B$3:$K$29,$M36+2,FALSE))</f>
        <v/>
      </c>
      <c r="W36" s="231" t="str">
        <f>IF($H36="","",HLOOKUP(W$2,'Unit information'!$B$3:$K$29,$M36+2,FALSE))</f>
        <v/>
      </c>
      <c r="X36" s="231" t="str">
        <f>IF($H36="","",HLOOKUP(X$2,'Unit information'!$B$3:$K$29,$N36+2,FALSE))</f>
        <v/>
      </c>
      <c r="Y36" s="232" t="str">
        <f t="shared" si="5"/>
        <v/>
      </c>
      <c r="Z36" s="232" t="str">
        <f t="shared" si="5"/>
        <v/>
      </c>
      <c r="AA36" s="232" t="str">
        <f t="shared" si="6"/>
        <v/>
      </c>
      <c r="AB36" s="232" t="str">
        <f t="shared" si="6"/>
        <v/>
      </c>
      <c r="AC36" s="232" t="str">
        <f t="shared" si="7"/>
        <v/>
      </c>
      <c r="AD36" s="232" t="str">
        <f t="shared" si="4"/>
        <v/>
      </c>
      <c r="AE36" s="229" t="str">
        <f>IF($H36="","",($F$1/$S36*$Y36*'Unit information'!$AB$3)+($F$1/$T36*$Z36*'Unit information'!$AB$4)+($F$1/$U36*$AA36*'Unit information'!$AB$5)+($F$1/$V36*$AB36*'Unit information'!$AB$8)+($F$1/$W36*$AC36*'Unit information'!$AB$10)+($F$1/$X36*$AD36*'Unit information'!$AB$11))</f>
        <v/>
      </c>
      <c r="AF36" s="229" t="str">
        <f>IF($H36="","",($F$1/$S36*$Y36*'Unit information'!$AC$3)+($F$1/$T36*$Z36*'Unit information'!$AC$4)+($F$1/$U36*$AA36*'Unit information'!$AC$5)+($F$1/$V36*$AB36*'Unit information'!$AC$8)+($F$1/$W36*$AC36*'Unit information'!$AC$10)+($F$1/$X36*$AD36*'Unit information'!$AC$11))</f>
        <v/>
      </c>
      <c r="AG36" s="229" t="str">
        <f>IF($H36="","",($F$1/$S36*$Y36*'Unit information'!$AD$3)+($F$1/$T36*$Z36*'Unit information'!$AD$4)+($F$1/$U36*$AA36*'Unit information'!$AD$5)+($F$1/$V36*$AB36*'Unit information'!$AD$8)+($F$1/$W36*$AC36*'Unit information'!$AD$10)+($F$1/$X36*$AD36*'Unit information'!$AD$11))</f>
        <v/>
      </c>
    </row>
    <row r="37" spans="1:59" x14ac:dyDescent="0.25">
      <c r="A37">
        <v>9</v>
      </c>
      <c r="B37" s="367">
        <f t="shared" si="12"/>
        <v>3380000</v>
      </c>
      <c r="C37" s="367">
        <f t="shared" si="13"/>
        <v>4000000</v>
      </c>
      <c r="D37" s="367">
        <f t="shared" si="14"/>
        <v>3775000</v>
      </c>
      <c r="E37" s="155">
        <f t="shared" si="11"/>
        <v>10035000</v>
      </c>
      <c r="H37" s="228"/>
      <c r="I37" s="11"/>
      <c r="J37" s="11"/>
      <c r="K37" s="11"/>
      <c r="L37" s="11"/>
      <c r="M37" s="11"/>
      <c r="N37" s="11"/>
      <c r="O37" s="40"/>
      <c r="P37" s="229" t="str">
        <f t="shared" si="8"/>
        <v/>
      </c>
      <c r="Q37" s="229" t="str">
        <f t="shared" si="9"/>
        <v/>
      </c>
      <c r="R37" s="229" t="str">
        <f t="shared" si="10"/>
        <v/>
      </c>
      <c r="S37" s="230" t="str">
        <f>IF($H37="","",HLOOKUP(S$2,'Unit information'!$B$3:$K$29,$L37+2,FALSE))</f>
        <v/>
      </c>
      <c r="T37" s="231" t="str">
        <f>IF($H37="","",HLOOKUP(T$2,'Unit information'!$B$3:$K$29,$L37+2,FALSE))</f>
        <v/>
      </c>
      <c r="U37" s="231" t="str">
        <f>IF($H37="","",HLOOKUP(U$2,'Unit information'!$B$3:$K$29,$L37+2,FALSE))</f>
        <v/>
      </c>
      <c r="V37" s="231" t="str">
        <f>IF($H37="","",HLOOKUP(V$2,'Unit information'!$B$3:$K$29,$M37+2,FALSE))</f>
        <v/>
      </c>
      <c r="W37" s="231" t="str">
        <f>IF($H37="","",HLOOKUP(W$2,'Unit information'!$B$3:$K$29,$M37+2,FALSE))</f>
        <v/>
      </c>
      <c r="X37" s="231" t="str">
        <f>IF($H37="","",HLOOKUP(X$2,'Unit information'!$B$3:$K$29,$N37+2,FALSE))</f>
        <v/>
      </c>
      <c r="Y37" s="232" t="str">
        <f t="shared" si="5"/>
        <v/>
      </c>
      <c r="Z37" s="232" t="str">
        <f t="shared" si="5"/>
        <v/>
      </c>
      <c r="AA37" s="232" t="str">
        <f t="shared" si="6"/>
        <v/>
      </c>
      <c r="AB37" s="232" t="str">
        <f t="shared" si="6"/>
        <v/>
      </c>
      <c r="AC37" s="232" t="str">
        <f t="shared" si="7"/>
        <v/>
      </c>
      <c r="AD37" s="232" t="str">
        <f t="shared" si="4"/>
        <v/>
      </c>
      <c r="AE37" s="229" t="str">
        <f>IF($H37="","",($F$1/$S37*$Y37*'Unit information'!$AB$3)+($F$1/$T37*$Z37*'Unit information'!$AB$4)+($F$1/$U37*$AA37*'Unit information'!$AB$5)+($F$1/$V37*$AB37*'Unit information'!$AB$8)+($F$1/$W37*$AC37*'Unit information'!$AB$10)+($F$1/$X37*$AD37*'Unit information'!$AB$11))</f>
        <v/>
      </c>
      <c r="AF37" s="229" t="str">
        <f>IF($H37="","",($F$1/$S37*$Y37*'Unit information'!$AC$3)+($F$1/$T37*$Z37*'Unit information'!$AC$4)+($F$1/$U37*$AA37*'Unit information'!$AC$5)+($F$1/$V37*$AB37*'Unit information'!$AC$8)+($F$1/$W37*$AC37*'Unit information'!$AC$10)+($F$1/$X37*$AD37*'Unit information'!$AC$11))</f>
        <v/>
      </c>
      <c r="AG37" s="229" t="str">
        <f>IF($H37="","",($F$1/$S37*$Y37*'Unit information'!$AD$3)+($F$1/$T37*$Z37*'Unit information'!$AD$4)+($F$1/$U37*$AA37*'Unit information'!$AD$5)+($F$1/$V37*$AB37*'Unit information'!$AD$8)+($F$1/$W37*$AC37*'Unit information'!$AD$10)+($F$1/$X37*$AD37*'Unit information'!$AD$11))</f>
        <v/>
      </c>
    </row>
    <row r="38" spans="1:59" x14ac:dyDescent="0.25">
      <c r="A38">
        <v>10</v>
      </c>
      <c r="B38" s="367">
        <f t="shared" si="12"/>
        <v>4100000</v>
      </c>
      <c r="C38" s="367">
        <f t="shared" si="13"/>
        <v>4850000</v>
      </c>
      <c r="D38" s="367">
        <f t="shared" si="14"/>
        <v>4575000</v>
      </c>
      <c r="E38" s="155">
        <f t="shared" si="11"/>
        <v>12265000</v>
      </c>
      <c r="H38" s="228"/>
      <c r="I38" s="11"/>
      <c r="J38" s="11"/>
      <c r="K38" s="11"/>
      <c r="L38" s="11"/>
      <c r="M38" s="11"/>
      <c r="N38" s="11"/>
      <c r="O38" s="40"/>
      <c r="P38" s="229" t="str">
        <f t="shared" si="8"/>
        <v/>
      </c>
      <c r="Q38" s="229" t="str">
        <f t="shared" si="9"/>
        <v/>
      </c>
      <c r="R38" s="229" t="str">
        <f t="shared" si="10"/>
        <v/>
      </c>
      <c r="S38" s="230" t="str">
        <f>IF($H38="","",HLOOKUP(S$2,'Unit information'!$B$3:$K$29,$L38+2,FALSE))</f>
        <v/>
      </c>
      <c r="T38" s="231" t="str">
        <f>IF($H38="","",HLOOKUP(T$2,'Unit information'!$B$3:$K$29,$L38+2,FALSE))</f>
        <v/>
      </c>
      <c r="U38" s="231" t="str">
        <f>IF($H38="","",HLOOKUP(U$2,'Unit information'!$B$3:$K$29,$L38+2,FALSE))</f>
        <v/>
      </c>
      <c r="V38" s="231" t="str">
        <f>IF($H38="","",HLOOKUP(V$2,'Unit information'!$B$3:$K$29,$M38+2,FALSE))</f>
        <v/>
      </c>
      <c r="W38" s="231" t="str">
        <f>IF($H38="","",HLOOKUP(W$2,'Unit information'!$B$3:$K$29,$M38+2,FALSE))</f>
        <v/>
      </c>
      <c r="X38" s="231" t="str">
        <f>IF($H38="","",HLOOKUP(X$2,'Unit information'!$B$3:$K$29,$N38+2,FALSE))</f>
        <v/>
      </c>
      <c r="Y38" s="232" t="str">
        <f t="shared" si="5"/>
        <v/>
      </c>
      <c r="Z38" s="232" t="str">
        <f t="shared" si="5"/>
        <v/>
      </c>
      <c r="AA38" s="232" t="str">
        <f t="shared" si="6"/>
        <v/>
      </c>
      <c r="AB38" s="232" t="str">
        <f t="shared" si="6"/>
        <v/>
      </c>
      <c r="AC38" s="232" t="str">
        <f t="shared" si="7"/>
        <v/>
      </c>
      <c r="AD38" s="232" t="str">
        <f t="shared" si="4"/>
        <v/>
      </c>
      <c r="AE38" s="229" t="str">
        <f>IF($H38="","",($F$1/$S38*$Y38*'Unit information'!$AB$3)+($F$1/$T38*$Z38*'Unit information'!$AB$4)+($F$1/$U38*$AA38*'Unit information'!$AB$5)+($F$1/$V38*$AB38*'Unit information'!$AB$8)+($F$1/$W38*$AC38*'Unit information'!$AB$10)+($F$1/$X38*$AD38*'Unit information'!$AB$11))</f>
        <v/>
      </c>
      <c r="AF38" s="229" t="str">
        <f>IF($H38="","",($F$1/$S38*$Y38*'Unit information'!$AC$3)+($F$1/$T38*$Z38*'Unit information'!$AC$4)+($F$1/$U38*$AA38*'Unit information'!$AC$5)+($F$1/$V38*$AB38*'Unit information'!$AC$8)+($F$1/$W38*$AC38*'Unit information'!$AC$10)+($F$1/$X38*$AD38*'Unit information'!$AC$11))</f>
        <v/>
      </c>
      <c r="AG38" s="229" t="str">
        <f>IF($H38="","",($F$1/$S38*$Y38*'Unit information'!$AD$3)+($F$1/$T38*$Z38*'Unit information'!$AD$4)+($F$1/$U38*$AA38*'Unit information'!$AD$5)+($F$1/$V38*$AB38*'Unit information'!$AD$8)+($F$1/$W38*$AC38*'Unit information'!$AD$10)+($F$1/$X38*$AD38*'Unit information'!$AD$11))</f>
        <v/>
      </c>
    </row>
    <row r="39" spans="1:59" x14ac:dyDescent="0.25">
      <c r="A39">
        <v>11</v>
      </c>
      <c r="B39" s="367">
        <f t="shared" si="12"/>
        <v>4888000</v>
      </c>
      <c r="C39" s="367">
        <f t="shared" si="13"/>
        <v>5780000</v>
      </c>
      <c r="D39" s="367">
        <f t="shared" si="14"/>
        <v>5450000</v>
      </c>
      <c r="E39" s="155">
        <f t="shared" ref="E39:E102" si="15">$A39*E$29+E38</f>
        <v>14718000</v>
      </c>
      <c r="H39" s="228"/>
      <c r="I39" s="11"/>
      <c r="J39" s="11"/>
      <c r="K39" s="11"/>
      <c r="L39" s="11"/>
      <c r="M39" s="11"/>
      <c r="N39" s="11"/>
      <c r="O39" s="40"/>
      <c r="P39" s="229" t="str">
        <f t="shared" si="8"/>
        <v/>
      </c>
      <c r="Q39" s="229" t="str">
        <f t="shared" si="9"/>
        <v/>
      </c>
      <c r="R39" s="229" t="str">
        <f t="shared" si="10"/>
        <v/>
      </c>
      <c r="S39" s="230" t="str">
        <f>IF($H39="","",HLOOKUP(S$2,'Unit information'!$B$3:$K$29,$L39+2,FALSE))</f>
        <v/>
      </c>
      <c r="T39" s="231" t="str">
        <f>IF($H39="","",HLOOKUP(T$2,'Unit information'!$B$3:$K$29,$L39+2,FALSE))</f>
        <v/>
      </c>
      <c r="U39" s="231" t="str">
        <f>IF($H39="","",HLOOKUP(U$2,'Unit information'!$B$3:$K$29,$L39+2,FALSE))</f>
        <v/>
      </c>
      <c r="V39" s="231" t="str">
        <f>IF($H39="","",HLOOKUP(V$2,'Unit information'!$B$3:$K$29,$M39+2,FALSE))</f>
        <v/>
      </c>
      <c r="W39" s="231" t="str">
        <f>IF($H39="","",HLOOKUP(W$2,'Unit information'!$B$3:$K$29,$M39+2,FALSE))</f>
        <v/>
      </c>
      <c r="X39" s="231" t="str">
        <f>IF($H39="","",HLOOKUP(X$2,'Unit information'!$B$3:$K$29,$N39+2,FALSE))</f>
        <v/>
      </c>
      <c r="Y39" s="232" t="str">
        <f t="shared" si="5"/>
        <v/>
      </c>
      <c r="Z39" s="232" t="str">
        <f t="shared" si="5"/>
        <v/>
      </c>
      <c r="AA39" s="232" t="str">
        <f t="shared" si="6"/>
        <v/>
      </c>
      <c r="AB39" s="232" t="str">
        <f t="shared" si="6"/>
        <v/>
      </c>
      <c r="AC39" s="232" t="str">
        <f t="shared" si="7"/>
        <v/>
      </c>
      <c r="AD39" s="232" t="str">
        <f t="shared" si="4"/>
        <v/>
      </c>
      <c r="AE39" s="229" t="str">
        <f>IF($H39="","",($F$1/$S39*$Y39*'Unit information'!$AB$3)+($F$1/$T39*$Z39*'Unit information'!$AB$4)+($F$1/$U39*$AA39*'Unit information'!$AB$5)+($F$1/$V39*$AB39*'Unit information'!$AB$8)+($F$1/$W39*$AC39*'Unit information'!$AB$10)+($F$1/$X39*$AD39*'Unit information'!$AB$11))</f>
        <v/>
      </c>
      <c r="AF39" s="229" t="str">
        <f>IF($H39="","",($F$1/$S39*$Y39*'Unit information'!$AC$3)+($F$1/$T39*$Z39*'Unit information'!$AC$4)+($F$1/$U39*$AA39*'Unit information'!$AC$5)+($F$1/$V39*$AB39*'Unit information'!$AC$8)+($F$1/$W39*$AC39*'Unit information'!$AC$10)+($F$1/$X39*$AD39*'Unit information'!$AC$11))</f>
        <v/>
      </c>
      <c r="AG39" s="229" t="str">
        <f>IF($H39="","",($F$1/$S39*$Y39*'Unit information'!$AD$3)+($F$1/$T39*$Z39*'Unit information'!$AD$4)+($F$1/$U39*$AA39*'Unit information'!$AD$5)+($F$1/$V39*$AB39*'Unit information'!$AD$8)+($F$1/$W39*$AC39*'Unit information'!$AD$10)+($F$1/$X39*$AD39*'Unit information'!$AD$11))</f>
        <v/>
      </c>
    </row>
    <row r="40" spans="1:59" x14ac:dyDescent="0.25">
      <c r="A40">
        <v>12</v>
      </c>
      <c r="B40" s="367">
        <f t="shared" si="12"/>
        <v>5744000</v>
      </c>
      <c r="C40" s="367">
        <f t="shared" si="13"/>
        <v>6790000</v>
      </c>
      <c r="D40" s="367">
        <f t="shared" si="14"/>
        <v>6400000</v>
      </c>
      <c r="E40" s="155">
        <f t="shared" si="15"/>
        <v>17394000</v>
      </c>
      <c r="H40" s="228"/>
      <c r="I40" s="11"/>
      <c r="J40" s="11"/>
      <c r="K40" s="11"/>
      <c r="L40" s="11"/>
      <c r="M40" s="11"/>
      <c r="N40" s="11"/>
      <c r="O40" s="40"/>
      <c r="P40" s="229" t="str">
        <f t="shared" si="8"/>
        <v/>
      </c>
      <c r="Q40" s="229" t="str">
        <f t="shared" si="9"/>
        <v/>
      </c>
      <c r="R40" s="229" t="str">
        <f t="shared" si="10"/>
        <v/>
      </c>
      <c r="S40" s="230" t="str">
        <f>IF($H40="","",HLOOKUP(S$2,'Unit information'!$B$3:$K$29,$L40+2,FALSE))</f>
        <v/>
      </c>
      <c r="T40" s="231" t="str">
        <f>IF($H40="","",HLOOKUP(T$2,'Unit information'!$B$3:$K$29,$L40+2,FALSE))</f>
        <v/>
      </c>
      <c r="U40" s="231" t="str">
        <f>IF($H40="","",HLOOKUP(U$2,'Unit information'!$B$3:$K$29,$L40+2,FALSE))</f>
        <v/>
      </c>
      <c r="V40" s="231" t="str">
        <f>IF($H40="","",HLOOKUP(V$2,'Unit information'!$B$3:$K$29,$M40+2,FALSE))</f>
        <v/>
      </c>
      <c r="W40" s="231" t="str">
        <f>IF($H40="","",HLOOKUP(W$2,'Unit information'!$B$3:$K$29,$M40+2,FALSE))</f>
        <v/>
      </c>
      <c r="X40" s="231" t="str">
        <f>IF($H40="","",HLOOKUP(X$2,'Unit information'!$B$3:$K$29,$N40+2,FALSE))</f>
        <v/>
      </c>
      <c r="Y40" s="232" t="str">
        <f t="shared" si="5"/>
        <v/>
      </c>
      <c r="Z40" s="232" t="str">
        <f t="shared" si="5"/>
        <v/>
      </c>
      <c r="AA40" s="232" t="str">
        <f t="shared" si="6"/>
        <v/>
      </c>
      <c r="AB40" s="232" t="str">
        <f t="shared" si="6"/>
        <v/>
      </c>
      <c r="AC40" s="232" t="str">
        <f t="shared" si="7"/>
        <v/>
      </c>
      <c r="AD40" s="232" t="str">
        <f t="shared" si="4"/>
        <v/>
      </c>
      <c r="AE40" s="229" t="str">
        <f>IF($H40="","",($F$1/$S40*$Y40*'Unit information'!$AB$3)+($F$1/$T40*$Z40*'Unit information'!$AB$4)+($F$1/$U40*$AA40*'Unit information'!$AB$5)+($F$1/$V40*$AB40*'Unit information'!$AB$8)+($F$1/$W40*$AC40*'Unit information'!$AB$10)+($F$1/$X40*$AD40*'Unit information'!$AB$11))</f>
        <v/>
      </c>
      <c r="AF40" s="229" t="str">
        <f>IF($H40="","",($F$1/$S40*$Y40*'Unit information'!$AC$3)+($F$1/$T40*$Z40*'Unit information'!$AC$4)+($F$1/$U40*$AA40*'Unit information'!$AC$5)+($F$1/$V40*$AB40*'Unit information'!$AC$8)+($F$1/$W40*$AC40*'Unit information'!$AC$10)+($F$1/$X40*$AD40*'Unit information'!$AC$11))</f>
        <v/>
      </c>
      <c r="AG40" s="229" t="str">
        <f>IF($H40="","",($F$1/$S40*$Y40*'Unit information'!$AD$3)+($F$1/$T40*$Z40*'Unit information'!$AD$4)+($F$1/$U40*$AA40*'Unit information'!$AD$5)+($F$1/$V40*$AB40*'Unit information'!$AD$8)+($F$1/$W40*$AC40*'Unit information'!$AD$10)+($F$1/$X40*$AD40*'Unit information'!$AD$11))</f>
        <v/>
      </c>
    </row>
    <row r="41" spans="1:59" x14ac:dyDescent="0.25">
      <c r="A41">
        <v>13</v>
      </c>
      <c r="B41" s="367">
        <f t="shared" si="12"/>
        <v>6668000</v>
      </c>
      <c r="C41" s="367">
        <f t="shared" si="13"/>
        <v>7880000</v>
      </c>
      <c r="D41" s="367">
        <f t="shared" si="14"/>
        <v>7425000</v>
      </c>
      <c r="E41" s="155">
        <f t="shared" si="15"/>
        <v>20293000</v>
      </c>
      <c r="H41" s="228"/>
      <c r="I41" s="11"/>
      <c r="J41" s="11"/>
      <c r="K41" s="11"/>
      <c r="L41" s="11"/>
      <c r="M41" s="11"/>
      <c r="N41" s="11"/>
      <c r="O41" s="40"/>
      <c r="P41" s="229" t="str">
        <f t="shared" si="8"/>
        <v/>
      </c>
      <c r="Q41" s="229" t="str">
        <f t="shared" si="9"/>
        <v/>
      </c>
      <c r="R41" s="229" t="str">
        <f t="shared" si="10"/>
        <v/>
      </c>
      <c r="S41" s="230" t="str">
        <f>IF($H41="","",HLOOKUP(S$2,'Unit information'!$B$3:$K$29,$L41+2,FALSE))</f>
        <v/>
      </c>
      <c r="T41" s="231" t="str">
        <f>IF($H41="","",HLOOKUP(T$2,'Unit information'!$B$3:$K$29,$L41+2,FALSE))</f>
        <v/>
      </c>
      <c r="U41" s="231" t="str">
        <f>IF($H41="","",HLOOKUP(U$2,'Unit information'!$B$3:$K$29,$L41+2,FALSE))</f>
        <v/>
      </c>
      <c r="V41" s="231" t="str">
        <f>IF($H41="","",HLOOKUP(V$2,'Unit information'!$B$3:$K$29,$M41+2,FALSE))</f>
        <v/>
      </c>
      <c r="W41" s="231" t="str">
        <f>IF($H41="","",HLOOKUP(W$2,'Unit information'!$B$3:$K$29,$M41+2,FALSE))</f>
        <v/>
      </c>
      <c r="X41" s="231" t="str">
        <f>IF($H41="","",HLOOKUP(X$2,'Unit information'!$B$3:$K$29,$N41+2,FALSE))</f>
        <v/>
      </c>
      <c r="Y41" s="232" t="str">
        <f t="shared" ref="Y41:Z104" si="16">IF($H41="","",IF($O41=$AI$1,"0%","50"%))</f>
        <v/>
      </c>
      <c r="Z41" s="232" t="str">
        <f t="shared" si="16"/>
        <v/>
      </c>
      <c r="AA41" s="232" t="str">
        <f t="shared" ref="AA41:AB104" si="17">IF($H41="","",IF($O41=$AI$1,"100%","0"%))</f>
        <v/>
      </c>
      <c r="AB41" s="232" t="str">
        <f t="shared" si="17"/>
        <v/>
      </c>
      <c r="AC41" s="232" t="str">
        <f t="shared" si="7"/>
        <v/>
      </c>
      <c r="AD41" s="232" t="str">
        <f t="shared" si="4"/>
        <v/>
      </c>
      <c r="AE41" s="229" t="str">
        <f>IF($H41="","",($F$1/$S41*$Y41*'Unit information'!$AB$3)+($F$1/$T41*$Z41*'Unit information'!$AB$4)+($F$1/$U41*$AA41*'Unit information'!$AB$5)+($F$1/$V41*$AB41*'Unit information'!$AB$8)+($F$1/$W41*$AC41*'Unit information'!$AB$10)+($F$1/$X41*$AD41*'Unit information'!$AB$11))</f>
        <v/>
      </c>
      <c r="AF41" s="229" t="str">
        <f>IF($H41="","",($F$1/$S41*$Y41*'Unit information'!$AC$3)+($F$1/$T41*$Z41*'Unit information'!$AC$4)+($F$1/$U41*$AA41*'Unit information'!$AC$5)+($F$1/$V41*$AB41*'Unit information'!$AC$8)+($F$1/$W41*$AC41*'Unit information'!$AC$10)+($F$1/$X41*$AD41*'Unit information'!$AC$11))</f>
        <v/>
      </c>
      <c r="AG41" s="229" t="str">
        <f>IF($H41="","",($F$1/$S41*$Y41*'Unit information'!$AD$3)+($F$1/$T41*$Z41*'Unit information'!$AD$4)+($F$1/$U41*$AA41*'Unit information'!$AD$5)+($F$1/$V41*$AB41*'Unit information'!$AD$8)+($F$1/$W41*$AC41*'Unit information'!$AD$10)+($F$1/$X41*$AD41*'Unit information'!$AD$11))</f>
        <v/>
      </c>
    </row>
    <row r="42" spans="1:59" x14ac:dyDescent="0.25">
      <c r="A42">
        <v>14</v>
      </c>
      <c r="B42" s="367">
        <f t="shared" si="12"/>
        <v>7660000</v>
      </c>
      <c r="C42" s="367">
        <f t="shared" si="13"/>
        <v>9050000</v>
      </c>
      <c r="D42" s="367">
        <f t="shared" si="14"/>
        <v>8525000</v>
      </c>
      <c r="E42" s="155">
        <f t="shared" si="15"/>
        <v>23415000</v>
      </c>
      <c r="H42" s="228"/>
      <c r="I42" s="11"/>
      <c r="J42" s="11"/>
      <c r="K42" s="11"/>
      <c r="L42" s="11"/>
      <c r="M42" s="11"/>
      <c r="N42" s="11"/>
      <c r="O42" s="40"/>
      <c r="P42" s="229" t="str">
        <f t="shared" si="8"/>
        <v/>
      </c>
      <c r="Q42" s="229" t="str">
        <f t="shared" si="9"/>
        <v/>
      </c>
      <c r="R42" s="229" t="str">
        <f t="shared" si="10"/>
        <v/>
      </c>
      <c r="S42" s="230" t="str">
        <f>IF($H42="","",HLOOKUP(S$2,'Unit information'!$B$3:$K$29,$L42+2,FALSE))</f>
        <v/>
      </c>
      <c r="T42" s="231" t="str">
        <f>IF($H42="","",HLOOKUP(T$2,'Unit information'!$B$3:$K$29,$L42+2,FALSE))</f>
        <v/>
      </c>
      <c r="U42" s="231" t="str">
        <f>IF($H42="","",HLOOKUP(U$2,'Unit information'!$B$3:$K$29,$L42+2,FALSE))</f>
        <v/>
      </c>
      <c r="V42" s="231" t="str">
        <f>IF($H42="","",HLOOKUP(V$2,'Unit information'!$B$3:$K$29,$M42+2,FALSE))</f>
        <v/>
      </c>
      <c r="W42" s="231" t="str">
        <f>IF($H42="","",HLOOKUP(W$2,'Unit information'!$B$3:$K$29,$M42+2,FALSE))</f>
        <v/>
      </c>
      <c r="X42" s="231" t="str">
        <f>IF($H42="","",HLOOKUP(X$2,'Unit information'!$B$3:$K$29,$N42+2,FALSE))</f>
        <v/>
      </c>
      <c r="Y42" s="232" t="str">
        <f t="shared" si="16"/>
        <v/>
      </c>
      <c r="Z42" s="232" t="str">
        <f t="shared" si="16"/>
        <v/>
      </c>
      <c r="AA42" s="232" t="str">
        <f t="shared" si="17"/>
        <v/>
      </c>
      <c r="AB42" s="232" t="str">
        <f t="shared" si="17"/>
        <v/>
      </c>
      <c r="AC42" s="232" t="str">
        <f t="shared" si="7"/>
        <v/>
      </c>
      <c r="AD42" s="232" t="str">
        <f t="shared" si="4"/>
        <v/>
      </c>
      <c r="AE42" s="229" t="str">
        <f>IF($H42="","",($F$1/$S42*$Y42*'Unit information'!$AB$3)+($F$1/$T42*$Z42*'Unit information'!$AB$4)+($F$1/$U42*$AA42*'Unit information'!$AB$5)+($F$1/$V42*$AB42*'Unit information'!$AB$8)+($F$1/$W42*$AC42*'Unit information'!$AB$10)+($F$1/$X42*$AD42*'Unit information'!$AB$11))</f>
        <v/>
      </c>
      <c r="AF42" s="229" t="str">
        <f>IF($H42="","",($F$1/$S42*$Y42*'Unit information'!$AC$3)+($F$1/$T42*$Z42*'Unit information'!$AC$4)+($F$1/$U42*$AA42*'Unit information'!$AC$5)+($F$1/$V42*$AB42*'Unit information'!$AC$8)+($F$1/$W42*$AC42*'Unit information'!$AC$10)+($F$1/$X42*$AD42*'Unit information'!$AC$11))</f>
        <v/>
      </c>
      <c r="AG42" s="229" t="str">
        <f>IF($H42="","",($F$1/$S42*$Y42*'Unit information'!$AD$3)+($F$1/$T42*$Z42*'Unit information'!$AD$4)+($F$1/$U42*$AA42*'Unit information'!$AD$5)+($F$1/$V42*$AB42*'Unit information'!$AD$8)+($F$1/$W42*$AC42*'Unit information'!$AD$10)+($F$1/$X42*$AD42*'Unit information'!$AD$11))</f>
        <v/>
      </c>
    </row>
    <row r="43" spans="1:59" x14ac:dyDescent="0.25">
      <c r="A43">
        <v>15</v>
      </c>
      <c r="B43" s="367">
        <f t="shared" si="12"/>
        <v>8720000</v>
      </c>
      <c r="C43" s="367">
        <f t="shared" si="13"/>
        <v>10300000</v>
      </c>
      <c r="D43" s="367">
        <f t="shared" si="14"/>
        <v>9700000</v>
      </c>
      <c r="E43" s="155">
        <f t="shared" si="15"/>
        <v>26760000</v>
      </c>
      <c r="H43" s="228"/>
      <c r="I43" s="11"/>
      <c r="J43" s="11"/>
      <c r="K43" s="11"/>
      <c r="L43" s="11"/>
      <c r="M43" s="11"/>
      <c r="N43" s="11"/>
      <c r="O43" s="40"/>
      <c r="P43" s="229" t="str">
        <f t="shared" si="8"/>
        <v/>
      </c>
      <c r="Q43" s="229" t="str">
        <f t="shared" si="9"/>
        <v/>
      </c>
      <c r="R43" s="229" t="str">
        <f t="shared" si="10"/>
        <v/>
      </c>
      <c r="S43" s="230" t="str">
        <f>IF($H43="","",HLOOKUP(S$2,'Unit information'!$B$3:$K$29,$L43+2,FALSE))</f>
        <v/>
      </c>
      <c r="T43" s="231" t="str">
        <f>IF($H43="","",HLOOKUP(T$2,'Unit information'!$B$3:$K$29,$L43+2,FALSE))</f>
        <v/>
      </c>
      <c r="U43" s="231" t="str">
        <f>IF($H43="","",HLOOKUP(U$2,'Unit information'!$B$3:$K$29,$L43+2,FALSE))</f>
        <v/>
      </c>
      <c r="V43" s="231" t="str">
        <f>IF($H43="","",HLOOKUP(V$2,'Unit information'!$B$3:$K$29,$M43+2,FALSE))</f>
        <v/>
      </c>
      <c r="W43" s="231" t="str">
        <f>IF($H43="","",HLOOKUP(W$2,'Unit information'!$B$3:$K$29,$M43+2,FALSE))</f>
        <v/>
      </c>
      <c r="X43" s="231" t="str">
        <f>IF($H43="","",HLOOKUP(X$2,'Unit information'!$B$3:$K$29,$N43+2,FALSE))</f>
        <v/>
      </c>
      <c r="Y43" s="232" t="str">
        <f t="shared" si="16"/>
        <v/>
      </c>
      <c r="Z43" s="232" t="str">
        <f t="shared" si="16"/>
        <v/>
      </c>
      <c r="AA43" s="232" t="str">
        <f t="shared" si="17"/>
        <v/>
      </c>
      <c r="AB43" s="232" t="str">
        <f t="shared" si="17"/>
        <v/>
      </c>
      <c r="AC43" s="232" t="str">
        <f t="shared" si="7"/>
        <v/>
      </c>
      <c r="AD43" s="232" t="str">
        <f t="shared" si="4"/>
        <v/>
      </c>
      <c r="AE43" s="229" t="str">
        <f>IF($H43="","",($F$1/$S43*$Y43*'Unit information'!$AB$3)+($F$1/$T43*$Z43*'Unit information'!$AB$4)+($F$1/$U43*$AA43*'Unit information'!$AB$5)+($F$1/$V43*$AB43*'Unit information'!$AB$8)+($F$1/$W43*$AC43*'Unit information'!$AB$10)+($F$1/$X43*$AD43*'Unit information'!$AB$11))</f>
        <v/>
      </c>
      <c r="AF43" s="229" t="str">
        <f>IF($H43="","",($F$1/$S43*$Y43*'Unit information'!$AC$3)+($F$1/$T43*$Z43*'Unit information'!$AC$4)+($F$1/$U43*$AA43*'Unit information'!$AC$5)+($F$1/$V43*$AB43*'Unit information'!$AC$8)+($F$1/$W43*$AC43*'Unit information'!$AC$10)+($F$1/$X43*$AD43*'Unit information'!$AC$11))</f>
        <v/>
      </c>
      <c r="AG43" s="229" t="str">
        <f>IF($H43="","",($F$1/$S43*$Y43*'Unit information'!$AD$3)+($F$1/$T43*$Z43*'Unit information'!$AD$4)+($F$1/$U43*$AA43*'Unit information'!$AD$5)+($F$1/$V43*$AB43*'Unit information'!$AD$8)+($F$1/$W43*$AC43*'Unit information'!$AD$10)+($F$1/$X43*$AD43*'Unit information'!$AD$11))</f>
        <v/>
      </c>
    </row>
    <row r="44" spans="1:59" x14ac:dyDescent="0.25">
      <c r="A44">
        <v>16</v>
      </c>
      <c r="B44" s="367">
        <f t="shared" si="12"/>
        <v>9848000</v>
      </c>
      <c r="C44" s="367">
        <f t="shared" si="13"/>
        <v>11630000</v>
      </c>
      <c r="D44" s="367">
        <f t="shared" si="14"/>
        <v>10950000</v>
      </c>
      <c r="E44" s="155">
        <f t="shared" si="15"/>
        <v>30328000</v>
      </c>
      <c r="H44" s="228"/>
      <c r="I44" s="11"/>
      <c r="J44" s="11"/>
      <c r="K44" s="11"/>
      <c r="L44" s="11"/>
      <c r="M44" s="11"/>
      <c r="N44" s="11"/>
      <c r="O44" s="40"/>
      <c r="P44" s="229" t="str">
        <f t="shared" si="8"/>
        <v/>
      </c>
      <c r="Q44" s="229" t="str">
        <f t="shared" si="9"/>
        <v/>
      </c>
      <c r="R44" s="229" t="str">
        <f t="shared" si="10"/>
        <v/>
      </c>
      <c r="S44" s="230" t="str">
        <f>IF($H44="","",HLOOKUP(S$2,'Unit information'!$B$3:$K$29,$L44+2,FALSE))</f>
        <v/>
      </c>
      <c r="T44" s="231" t="str">
        <f>IF($H44="","",HLOOKUP(T$2,'Unit information'!$B$3:$K$29,$L44+2,FALSE))</f>
        <v/>
      </c>
      <c r="U44" s="231" t="str">
        <f>IF($H44="","",HLOOKUP(U$2,'Unit information'!$B$3:$K$29,$L44+2,FALSE))</f>
        <v/>
      </c>
      <c r="V44" s="231" t="str">
        <f>IF($H44="","",HLOOKUP(V$2,'Unit information'!$B$3:$K$29,$M44+2,FALSE))</f>
        <v/>
      </c>
      <c r="W44" s="231" t="str">
        <f>IF($H44="","",HLOOKUP(W$2,'Unit information'!$B$3:$K$29,$M44+2,FALSE))</f>
        <v/>
      </c>
      <c r="X44" s="231" t="str">
        <f>IF($H44="","",HLOOKUP(X$2,'Unit information'!$B$3:$K$29,$N44+2,FALSE))</f>
        <v/>
      </c>
      <c r="Y44" s="232" t="str">
        <f t="shared" si="16"/>
        <v/>
      </c>
      <c r="Z44" s="232" t="str">
        <f t="shared" si="16"/>
        <v/>
      </c>
      <c r="AA44" s="232" t="str">
        <f t="shared" si="17"/>
        <v/>
      </c>
      <c r="AB44" s="232" t="str">
        <f t="shared" si="17"/>
        <v/>
      </c>
      <c r="AC44" s="232" t="str">
        <f t="shared" si="7"/>
        <v/>
      </c>
      <c r="AD44" s="232" t="str">
        <f t="shared" si="4"/>
        <v/>
      </c>
      <c r="AE44" s="229" t="str">
        <f>IF($H44="","",($F$1/$S44*$Y44*'Unit information'!$AB$3)+($F$1/$T44*$Z44*'Unit information'!$AB$4)+($F$1/$U44*$AA44*'Unit information'!$AB$5)+($F$1/$V44*$AB44*'Unit information'!$AB$8)+($F$1/$W44*$AC44*'Unit information'!$AB$10)+($F$1/$X44*$AD44*'Unit information'!$AB$11))</f>
        <v/>
      </c>
      <c r="AF44" s="229" t="str">
        <f>IF($H44="","",($F$1/$S44*$Y44*'Unit information'!$AC$3)+($F$1/$T44*$Z44*'Unit information'!$AC$4)+($F$1/$U44*$AA44*'Unit information'!$AC$5)+($F$1/$V44*$AB44*'Unit information'!$AC$8)+($F$1/$W44*$AC44*'Unit information'!$AC$10)+($F$1/$X44*$AD44*'Unit information'!$AC$11))</f>
        <v/>
      </c>
      <c r="AG44" s="229" t="str">
        <f>IF($H44="","",($F$1/$S44*$Y44*'Unit information'!$AD$3)+($F$1/$T44*$Z44*'Unit information'!$AD$4)+($F$1/$U44*$AA44*'Unit information'!$AD$5)+($F$1/$V44*$AB44*'Unit information'!$AD$8)+($F$1/$W44*$AC44*'Unit information'!$AD$10)+($F$1/$X44*$AD44*'Unit information'!$AD$11))</f>
        <v/>
      </c>
    </row>
    <row r="45" spans="1:59" x14ac:dyDescent="0.25">
      <c r="A45">
        <v>17</v>
      </c>
      <c r="B45" s="367">
        <f t="shared" si="12"/>
        <v>11044000</v>
      </c>
      <c r="C45" s="367">
        <f t="shared" si="13"/>
        <v>13040000</v>
      </c>
      <c r="D45" s="367">
        <f t="shared" si="14"/>
        <v>12275000</v>
      </c>
      <c r="E45" s="155">
        <f t="shared" si="15"/>
        <v>34119000</v>
      </c>
      <c r="H45" s="228"/>
      <c r="I45" s="11"/>
      <c r="J45" s="11"/>
      <c r="K45" s="11"/>
      <c r="L45" s="11"/>
      <c r="M45" s="11"/>
      <c r="N45" s="11"/>
      <c r="O45" s="40"/>
      <c r="P45" s="229" t="str">
        <f t="shared" si="8"/>
        <v/>
      </c>
      <c r="Q45" s="229" t="str">
        <f t="shared" si="9"/>
        <v/>
      </c>
      <c r="R45" s="229" t="str">
        <f t="shared" si="10"/>
        <v/>
      </c>
      <c r="S45" s="230" t="str">
        <f>IF($H45="","",HLOOKUP(S$2,'Unit information'!$B$3:$K$29,$L45+2,FALSE))</f>
        <v/>
      </c>
      <c r="T45" s="231" t="str">
        <f>IF($H45="","",HLOOKUP(T$2,'Unit information'!$B$3:$K$29,$L45+2,FALSE))</f>
        <v/>
      </c>
      <c r="U45" s="231" t="str">
        <f>IF($H45="","",HLOOKUP(U$2,'Unit information'!$B$3:$K$29,$L45+2,FALSE))</f>
        <v/>
      </c>
      <c r="V45" s="231" t="str">
        <f>IF($H45="","",HLOOKUP(V$2,'Unit information'!$B$3:$K$29,$M45+2,FALSE))</f>
        <v/>
      </c>
      <c r="W45" s="231" t="str">
        <f>IF($H45="","",HLOOKUP(W$2,'Unit information'!$B$3:$K$29,$M45+2,FALSE))</f>
        <v/>
      </c>
      <c r="X45" s="231" t="str">
        <f>IF($H45="","",HLOOKUP(X$2,'Unit information'!$B$3:$K$29,$N45+2,FALSE))</f>
        <v/>
      </c>
      <c r="Y45" s="232" t="str">
        <f t="shared" si="16"/>
        <v/>
      </c>
      <c r="Z45" s="232" t="str">
        <f t="shared" si="16"/>
        <v/>
      </c>
      <c r="AA45" s="232" t="str">
        <f t="shared" si="17"/>
        <v/>
      </c>
      <c r="AB45" s="232" t="str">
        <f t="shared" si="17"/>
        <v/>
      </c>
      <c r="AC45" s="232" t="str">
        <f t="shared" si="7"/>
        <v/>
      </c>
      <c r="AD45" s="232" t="str">
        <f t="shared" si="4"/>
        <v/>
      </c>
      <c r="AE45" s="229" t="str">
        <f>IF($H45="","",($F$1/$S45*$Y45*'Unit information'!$AB$3)+($F$1/$T45*$Z45*'Unit information'!$AB$4)+($F$1/$U45*$AA45*'Unit information'!$AB$5)+($F$1/$V45*$AB45*'Unit information'!$AB$8)+($F$1/$W45*$AC45*'Unit information'!$AB$10)+($F$1/$X45*$AD45*'Unit information'!$AB$11))</f>
        <v/>
      </c>
      <c r="AF45" s="229" t="str">
        <f>IF($H45="","",($F$1/$S45*$Y45*'Unit information'!$AC$3)+($F$1/$T45*$Z45*'Unit information'!$AC$4)+($F$1/$U45*$AA45*'Unit information'!$AC$5)+($F$1/$V45*$AB45*'Unit information'!$AC$8)+($F$1/$W45*$AC45*'Unit information'!$AC$10)+($F$1/$X45*$AD45*'Unit information'!$AC$11))</f>
        <v/>
      </c>
      <c r="AG45" s="229" t="str">
        <f>IF($H45="","",($F$1/$S45*$Y45*'Unit information'!$AD$3)+($F$1/$T45*$Z45*'Unit information'!$AD$4)+($F$1/$U45*$AA45*'Unit information'!$AD$5)+($F$1/$V45*$AB45*'Unit information'!$AD$8)+($F$1/$W45*$AC45*'Unit information'!$AD$10)+($F$1/$X45*$AD45*'Unit information'!$AD$11))</f>
        <v/>
      </c>
    </row>
    <row r="46" spans="1:59" x14ac:dyDescent="0.25">
      <c r="A46">
        <v>18</v>
      </c>
      <c r="B46" s="367">
        <f t="shared" si="12"/>
        <v>12308000</v>
      </c>
      <c r="C46" s="367">
        <f t="shared" si="13"/>
        <v>14530000</v>
      </c>
      <c r="D46" s="367">
        <f t="shared" si="14"/>
        <v>13675000</v>
      </c>
      <c r="E46" s="155">
        <f t="shared" si="15"/>
        <v>38133000</v>
      </c>
      <c r="H46" s="228"/>
      <c r="I46" s="11"/>
      <c r="J46" s="11"/>
      <c r="K46" s="11"/>
      <c r="L46" s="11"/>
      <c r="M46" s="11"/>
      <c r="N46" s="11"/>
      <c r="O46" s="40"/>
      <c r="P46" s="229" t="str">
        <f t="shared" si="8"/>
        <v/>
      </c>
      <c r="Q46" s="229" t="str">
        <f t="shared" si="9"/>
        <v/>
      </c>
      <c r="R46" s="229" t="str">
        <f t="shared" si="10"/>
        <v/>
      </c>
      <c r="S46" s="230" t="str">
        <f>IF($H46="","",HLOOKUP(S$2,'Unit information'!$B$3:$K$29,$L46+2,FALSE))</f>
        <v/>
      </c>
      <c r="T46" s="231" t="str">
        <f>IF($H46="","",HLOOKUP(T$2,'Unit information'!$B$3:$K$29,$L46+2,FALSE))</f>
        <v/>
      </c>
      <c r="U46" s="231" t="str">
        <f>IF($H46="","",HLOOKUP(U$2,'Unit information'!$B$3:$K$29,$L46+2,FALSE))</f>
        <v/>
      </c>
      <c r="V46" s="231" t="str">
        <f>IF($H46="","",HLOOKUP(V$2,'Unit information'!$B$3:$K$29,$M46+2,FALSE))</f>
        <v/>
      </c>
      <c r="W46" s="231" t="str">
        <f>IF($H46="","",HLOOKUP(W$2,'Unit information'!$B$3:$K$29,$M46+2,FALSE))</f>
        <v/>
      </c>
      <c r="X46" s="231" t="str">
        <f>IF($H46="","",HLOOKUP(X$2,'Unit information'!$B$3:$K$29,$N46+2,FALSE))</f>
        <v/>
      </c>
      <c r="Y46" s="232" t="str">
        <f t="shared" si="16"/>
        <v/>
      </c>
      <c r="Z46" s="232" t="str">
        <f t="shared" si="16"/>
        <v/>
      </c>
      <c r="AA46" s="232" t="str">
        <f t="shared" si="17"/>
        <v/>
      </c>
      <c r="AB46" s="232" t="str">
        <f t="shared" si="17"/>
        <v/>
      </c>
      <c r="AC46" s="232" t="str">
        <f t="shared" si="7"/>
        <v/>
      </c>
      <c r="AD46" s="232" t="str">
        <f t="shared" si="4"/>
        <v/>
      </c>
      <c r="AE46" s="229" t="str">
        <f>IF($H46="","",($F$1/$S46*$Y46*'Unit information'!$AB$3)+($F$1/$T46*$Z46*'Unit information'!$AB$4)+($F$1/$U46*$AA46*'Unit information'!$AB$5)+($F$1/$V46*$AB46*'Unit information'!$AB$8)+($F$1/$W46*$AC46*'Unit information'!$AB$10)+($F$1/$X46*$AD46*'Unit information'!$AB$11))</f>
        <v/>
      </c>
      <c r="AF46" s="229" t="str">
        <f>IF($H46="","",($F$1/$S46*$Y46*'Unit information'!$AC$3)+($F$1/$T46*$Z46*'Unit information'!$AC$4)+($F$1/$U46*$AA46*'Unit information'!$AC$5)+($F$1/$V46*$AB46*'Unit information'!$AC$8)+($F$1/$W46*$AC46*'Unit information'!$AC$10)+($F$1/$X46*$AD46*'Unit information'!$AC$11))</f>
        <v/>
      </c>
      <c r="AG46" s="229" t="str">
        <f>IF($H46="","",($F$1/$S46*$Y46*'Unit information'!$AD$3)+($F$1/$T46*$Z46*'Unit information'!$AD$4)+($F$1/$U46*$AA46*'Unit information'!$AD$5)+($F$1/$V46*$AB46*'Unit information'!$AD$8)+($F$1/$W46*$AC46*'Unit information'!$AD$10)+($F$1/$X46*$AD46*'Unit information'!$AD$11))</f>
        <v/>
      </c>
    </row>
    <row r="47" spans="1:59" x14ac:dyDescent="0.25">
      <c r="A47">
        <v>19</v>
      </c>
      <c r="B47" s="367">
        <f t="shared" si="12"/>
        <v>13640000</v>
      </c>
      <c r="C47" s="367">
        <f t="shared" si="13"/>
        <v>16100000</v>
      </c>
      <c r="D47" s="367">
        <f t="shared" si="14"/>
        <v>15150000</v>
      </c>
      <c r="E47" s="155">
        <f t="shared" si="15"/>
        <v>42370000</v>
      </c>
      <c r="H47" s="228"/>
      <c r="I47" s="11"/>
      <c r="J47" s="11"/>
      <c r="K47" s="11"/>
      <c r="L47" s="11"/>
      <c r="M47" s="11"/>
      <c r="N47" s="11"/>
      <c r="O47" s="40"/>
      <c r="P47" s="229" t="str">
        <f t="shared" si="8"/>
        <v/>
      </c>
      <c r="Q47" s="229" t="str">
        <f t="shared" si="9"/>
        <v/>
      </c>
      <c r="R47" s="229" t="str">
        <f t="shared" si="10"/>
        <v/>
      </c>
      <c r="S47" s="230" t="str">
        <f>IF($H47="","",HLOOKUP(S$2,'Unit information'!$B$3:$K$29,$L47+2,FALSE))</f>
        <v/>
      </c>
      <c r="T47" s="231" t="str">
        <f>IF($H47="","",HLOOKUP(T$2,'Unit information'!$B$3:$K$29,$L47+2,FALSE))</f>
        <v/>
      </c>
      <c r="U47" s="231" t="str">
        <f>IF($H47="","",HLOOKUP(U$2,'Unit information'!$B$3:$K$29,$L47+2,FALSE))</f>
        <v/>
      </c>
      <c r="V47" s="231" t="str">
        <f>IF($H47="","",HLOOKUP(V$2,'Unit information'!$B$3:$K$29,$M47+2,FALSE))</f>
        <v/>
      </c>
      <c r="W47" s="231" t="str">
        <f>IF($H47="","",HLOOKUP(W$2,'Unit information'!$B$3:$K$29,$M47+2,FALSE))</f>
        <v/>
      </c>
      <c r="X47" s="231" t="str">
        <f>IF($H47="","",HLOOKUP(X$2,'Unit information'!$B$3:$K$29,$N47+2,FALSE))</f>
        <v/>
      </c>
      <c r="Y47" s="232" t="str">
        <f t="shared" si="16"/>
        <v/>
      </c>
      <c r="Z47" s="232" t="str">
        <f t="shared" si="16"/>
        <v/>
      </c>
      <c r="AA47" s="232" t="str">
        <f t="shared" si="17"/>
        <v/>
      </c>
      <c r="AB47" s="232" t="str">
        <f t="shared" si="17"/>
        <v/>
      </c>
      <c r="AC47" s="232" t="str">
        <f t="shared" si="7"/>
        <v/>
      </c>
      <c r="AD47" s="232" t="str">
        <f t="shared" si="4"/>
        <v/>
      </c>
      <c r="AE47" s="229" t="str">
        <f>IF($H47="","",($F$1/$S47*$Y47*'Unit information'!$AB$3)+($F$1/$T47*$Z47*'Unit information'!$AB$4)+($F$1/$U47*$AA47*'Unit information'!$AB$5)+($F$1/$V47*$AB47*'Unit information'!$AB$8)+($F$1/$W47*$AC47*'Unit information'!$AB$10)+($F$1/$X47*$AD47*'Unit information'!$AB$11))</f>
        <v/>
      </c>
      <c r="AF47" s="229" t="str">
        <f>IF($H47="","",($F$1/$S47*$Y47*'Unit information'!$AC$3)+($F$1/$T47*$Z47*'Unit information'!$AC$4)+($F$1/$U47*$AA47*'Unit information'!$AC$5)+($F$1/$V47*$AB47*'Unit information'!$AC$8)+($F$1/$W47*$AC47*'Unit information'!$AC$10)+($F$1/$X47*$AD47*'Unit information'!$AC$11))</f>
        <v/>
      </c>
      <c r="AG47" s="229" t="str">
        <f>IF($H47="","",($F$1/$S47*$Y47*'Unit information'!$AD$3)+($F$1/$T47*$Z47*'Unit information'!$AD$4)+($F$1/$U47*$AA47*'Unit information'!$AD$5)+($F$1/$V47*$AB47*'Unit information'!$AD$8)+($F$1/$W47*$AC47*'Unit information'!$AD$10)+($F$1/$X47*$AD47*'Unit information'!$AD$11))</f>
        <v/>
      </c>
    </row>
    <row r="48" spans="1:59" x14ac:dyDescent="0.25">
      <c r="A48">
        <v>20</v>
      </c>
      <c r="B48" s="367">
        <f t="shared" si="12"/>
        <v>15040000</v>
      </c>
      <c r="C48" s="367">
        <f t="shared" si="13"/>
        <v>17750000</v>
      </c>
      <c r="D48" s="367">
        <f t="shared" si="14"/>
        <v>16700000</v>
      </c>
      <c r="E48" s="155">
        <f t="shared" si="15"/>
        <v>46830000</v>
      </c>
      <c r="H48" s="228"/>
      <c r="I48" s="11"/>
      <c r="J48" s="11"/>
      <c r="K48" s="11"/>
      <c r="L48" s="11"/>
      <c r="M48" s="11"/>
      <c r="N48" s="11"/>
      <c r="O48" s="40"/>
      <c r="P48" s="229" t="str">
        <f t="shared" si="8"/>
        <v/>
      </c>
      <c r="Q48" s="229" t="str">
        <f t="shared" si="9"/>
        <v/>
      </c>
      <c r="R48" s="229" t="str">
        <f t="shared" si="10"/>
        <v/>
      </c>
      <c r="S48" s="230" t="str">
        <f>IF($H48="","",HLOOKUP(S$2,'Unit information'!$B$3:$K$29,$L48+2,FALSE))</f>
        <v/>
      </c>
      <c r="T48" s="231" t="str">
        <f>IF($H48="","",HLOOKUP(T$2,'Unit information'!$B$3:$K$29,$L48+2,FALSE))</f>
        <v/>
      </c>
      <c r="U48" s="231" t="str">
        <f>IF($H48="","",HLOOKUP(U$2,'Unit information'!$B$3:$K$29,$L48+2,FALSE))</f>
        <v/>
      </c>
      <c r="V48" s="231" t="str">
        <f>IF($H48="","",HLOOKUP(V$2,'Unit information'!$B$3:$K$29,$M48+2,FALSE))</f>
        <v/>
      </c>
      <c r="W48" s="231" t="str">
        <f>IF($H48="","",HLOOKUP(W$2,'Unit information'!$B$3:$K$29,$M48+2,FALSE))</f>
        <v/>
      </c>
      <c r="X48" s="231" t="str">
        <f>IF($H48="","",HLOOKUP(X$2,'Unit information'!$B$3:$K$29,$N48+2,FALSE))</f>
        <v/>
      </c>
      <c r="Y48" s="232" t="str">
        <f t="shared" si="16"/>
        <v/>
      </c>
      <c r="Z48" s="232" t="str">
        <f t="shared" si="16"/>
        <v/>
      </c>
      <c r="AA48" s="232" t="str">
        <f t="shared" si="17"/>
        <v/>
      </c>
      <c r="AB48" s="232" t="str">
        <f t="shared" si="17"/>
        <v/>
      </c>
      <c r="AC48" s="232" t="str">
        <f t="shared" si="7"/>
        <v/>
      </c>
      <c r="AD48" s="232" t="str">
        <f t="shared" si="4"/>
        <v/>
      </c>
      <c r="AE48" s="229" t="str">
        <f>IF($H48="","",($F$1/$S48*$Y48*'Unit information'!$AB$3)+($F$1/$T48*$Z48*'Unit information'!$AB$4)+($F$1/$U48*$AA48*'Unit information'!$AB$5)+($F$1/$V48*$AB48*'Unit information'!$AB$8)+($F$1/$W48*$AC48*'Unit information'!$AB$10)+($F$1/$X48*$AD48*'Unit information'!$AB$11))</f>
        <v/>
      </c>
      <c r="AF48" s="229" t="str">
        <f>IF($H48="","",($F$1/$S48*$Y48*'Unit information'!$AC$3)+($F$1/$T48*$Z48*'Unit information'!$AC$4)+($F$1/$U48*$AA48*'Unit information'!$AC$5)+($F$1/$V48*$AB48*'Unit information'!$AC$8)+($F$1/$W48*$AC48*'Unit information'!$AC$10)+($F$1/$X48*$AD48*'Unit information'!$AC$11))</f>
        <v/>
      </c>
      <c r="AG48" s="229" t="str">
        <f>IF($H48="","",($F$1/$S48*$Y48*'Unit information'!$AD$3)+($F$1/$T48*$Z48*'Unit information'!$AD$4)+($F$1/$U48*$AA48*'Unit information'!$AD$5)+($F$1/$V48*$AB48*'Unit information'!$AD$8)+($F$1/$W48*$AC48*'Unit information'!$AD$10)+($F$1/$X48*$AD48*'Unit information'!$AD$11))</f>
        <v/>
      </c>
    </row>
    <row r="49" spans="1:33" x14ac:dyDescent="0.25">
      <c r="A49">
        <v>21</v>
      </c>
      <c r="B49" s="367">
        <f t="shared" si="12"/>
        <v>16508000</v>
      </c>
      <c r="C49" s="367">
        <f t="shared" si="13"/>
        <v>19480000</v>
      </c>
      <c r="D49" s="367">
        <f t="shared" si="14"/>
        <v>18325000</v>
      </c>
      <c r="E49" s="155">
        <f t="shared" si="15"/>
        <v>51513000</v>
      </c>
      <c r="H49" s="228"/>
      <c r="I49" s="11"/>
      <c r="J49" s="11"/>
      <c r="K49" s="11"/>
      <c r="L49" s="11"/>
      <c r="M49" s="11"/>
      <c r="N49" s="11"/>
      <c r="O49" s="40"/>
      <c r="P49" s="229" t="str">
        <f t="shared" si="8"/>
        <v/>
      </c>
      <c r="Q49" s="229" t="str">
        <f t="shared" si="9"/>
        <v/>
      </c>
      <c r="R49" s="229" t="str">
        <f t="shared" si="10"/>
        <v/>
      </c>
      <c r="S49" s="230" t="str">
        <f>IF($H49="","",HLOOKUP(S$2,'Unit information'!$B$3:$K$29,$L49+2,FALSE))</f>
        <v/>
      </c>
      <c r="T49" s="231" t="str">
        <f>IF($H49="","",HLOOKUP(T$2,'Unit information'!$B$3:$K$29,$L49+2,FALSE))</f>
        <v/>
      </c>
      <c r="U49" s="231" t="str">
        <f>IF($H49="","",HLOOKUP(U$2,'Unit information'!$B$3:$K$29,$L49+2,FALSE))</f>
        <v/>
      </c>
      <c r="V49" s="231" t="str">
        <f>IF($H49="","",HLOOKUP(V$2,'Unit information'!$B$3:$K$29,$M49+2,FALSE))</f>
        <v/>
      </c>
      <c r="W49" s="231" t="str">
        <f>IF($H49="","",HLOOKUP(W$2,'Unit information'!$B$3:$K$29,$M49+2,FALSE))</f>
        <v/>
      </c>
      <c r="X49" s="231" t="str">
        <f>IF($H49="","",HLOOKUP(X$2,'Unit information'!$B$3:$K$29,$N49+2,FALSE))</f>
        <v/>
      </c>
      <c r="Y49" s="232" t="str">
        <f t="shared" si="16"/>
        <v/>
      </c>
      <c r="Z49" s="232" t="str">
        <f t="shared" si="16"/>
        <v/>
      </c>
      <c r="AA49" s="232" t="str">
        <f t="shared" si="17"/>
        <v/>
      </c>
      <c r="AB49" s="232" t="str">
        <f t="shared" si="17"/>
        <v/>
      </c>
      <c r="AC49" s="232" t="str">
        <f t="shared" si="7"/>
        <v/>
      </c>
      <c r="AD49" s="232" t="str">
        <f t="shared" si="4"/>
        <v/>
      </c>
      <c r="AE49" s="229" t="str">
        <f>IF($H49="","",($F$1/$S49*$Y49*'Unit information'!$AB$3)+($F$1/$T49*$Z49*'Unit information'!$AB$4)+($F$1/$U49*$AA49*'Unit information'!$AB$5)+($F$1/$V49*$AB49*'Unit information'!$AB$8)+($F$1/$W49*$AC49*'Unit information'!$AB$10)+($F$1/$X49*$AD49*'Unit information'!$AB$11))</f>
        <v/>
      </c>
      <c r="AF49" s="229" t="str">
        <f>IF($H49="","",($F$1/$S49*$Y49*'Unit information'!$AC$3)+($F$1/$T49*$Z49*'Unit information'!$AC$4)+($F$1/$U49*$AA49*'Unit information'!$AC$5)+($F$1/$V49*$AB49*'Unit information'!$AC$8)+($F$1/$W49*$AC49*'Unit information'!$AC$10)+($F$1/$X49*$AD49*'Unit information'!$AC$11))</f>
        <v/>
      </c>
      <c r="AG49" s="229" t="str">
        <f>IF($H49="","",($F$1/$S49*$Y49*'Unit information'!$AD$3)+($F$1/$T49*$Z49*'Unit information'!$AD$4)+($F$1/$U49*$AA49*'Unit information'!$AD$5)+($F$1/$V49*$AB49*'Unit information'!$AD$8)+($F$1/$W49*$AC49*'Unit information'!$AD$10)+($F$1/$X49*$AD49*'Unit information'!$AD$11))</f>
        <v/>
      </c>
    </row>
    <row r="50" spans="1:33" x14ac:dyDescent="0.25">
      <c r="A50">
        <v>22</v>
      </c>
      <c r="B50" s="367">
        <f t="shared" si="12"/>
        <v>18044000</v>
      </c>
      <c r="C50" s="367">
        <f t="shared" si="13"/>
        <v>21290000</v>
      </c>
      <c r="D50" s="367">
        <f t="shared" si="14"/>
        <v>20025000</v>
      </c>
      <c r="E50" s="155">
        <f t="shared" si="15"/>
        <v>56419000</v>
      </c>
      <c r="H50" s="228"/>
      <c r="I50" s="11"/>
      <c r="J50" s="11"/>
      <c r="K50" s="11"/>
      <c r="L50" s="11"/>
      <c r="M50" s="11"/>
      <c r="N50" s="11"/>
      <c r="O50" s="40"/>
      <c r="P50" s="229" t="str">
        <f t="shared" si="8"/>
        <v/>
      </c>
      <c r="Q50" s="229" t="str">
        <f t="shared" si="9"/>
        <v/>
      </c>
      <c r="R50" s="229" t="str">
        <f t="shared" si="10"/>
        <v/>
      </c>
      <c r="S50" s="230" t="str">
        <f>IF($H50="","",HLOOKUP(S$2,'Unit information'!$B$3:$K$29,$L50+2,FALSE))</f>
        <v/>
      </c>
      <c r="T50" s="231" t="str">
        <f>IF($H50="","",HLOOKUP(T$2,'Unit information'!$B$3:$K$29,$L50+2,FALSE))</f>
        <v/>
      </c>
      <c r="U50" s="231" t="str">
        <f>IF($H50="","",HLOOKUP(U$2,'Unit information'!$B$3:$K$29,$L50+2,FALSE))</f>
        <v/>
      </c>
      <c r="V50" s="231" t="str">
        <f>IF($H50="","",HLOOKUP(V$2,'Unit information'!$B$3:$K$29,$M50+2,FALSE))</f>
        <v/>
      </c>
      <c r="W50" s="231" t="str">
        <f>IF($H50="","",HLOOKUP(W$2,'Unit information'!$B$3:$K$29,$M50+2,FALSE))</f>
        <v/>
      </c>
      <c r="X50" s="231" t="str">
        <f>IF($H50="","",HLOOKUP(X$2,'Unit information'!$B$3:$K$29,$N50+2,FALSE))</f>
        <v/>
      </c>
      <c r="Y50" s="232" t="str">
        <f t="shared" si="16"/>
        <v/>
      </c>
      <c r="Z50" s="232" t="str">
        <f t="shared" si="16"/>
        <v/>
      </c>
      <c r="AA50" s="232" t="str">
        <f t="shared" si="17"/>
        <v/>
      </c>
      <c r="AB50" s="232" t="str">
        <f t="shared" si="17"/>
        <v/>
      </c>
      <c r="AC50" s="232" t="str">
        <f t="shared" si="7"/>
        <v/>
      </c>
      <c r="AD50" s="232" t="str">
        <f t="shared" si="4"/>
        <v/>
      </c>
      <c r="AE50" s="229" t="str">
        <f>IF($H50="","",($F$1/$S50*$Y50*'Unit information'!$AB$3)+($F$1/$T50*$Z50*'Unit information'!$AB$4)+($F$1/$U50*$AA50*'Unit information'!$AB$5)+($F$1/$V50*$AB50*'Unit information'!$AB$8)+($F$1/$W50*$AC50*'Unit information'!$AB$10)+($F$1/$X50*$AD50*'Unit information'!$AB$11))</f>
        <v/>
      </c>
      <c r="AF50" s="229" t="str">
        <f>IF($H50="","",($F$1/$S50*$Y50*'Unit information'!$AC$3)+($F$1/$T50*$Z50*'Unit information'!$AC$4)+($F$1/$U50*$AA50*'Unit information'!$AC$5)+($F$1/$V50*$AB50*'Unit information'!$AC$8)+($F$1/$W50*$AC50*'Unit information'!$AC$10)+($F$1/$X50*$AD50*'Unit information'!$AC$11))</f>
        <v/>
      </c>
      <c r="AG50" s="229" t="str">
        <f>IF($H50="","",($F$1/$S50*$Y50*'Unit information'!$AD$3)+($F$1/$T50*$Z50*'Unit information'!$AD$4)+($F$1/$U50*$AA50*'Unit information'!$AD$5)+($F$1/$V50*$AB50*'Unit information'!$AD$8)+($F$1/$W50*$AC50*'Unit information'!$AD$10)+($F$1/$X50*$AD50*'Unit information'!$AD$11))</f>
        <v/>
      </c>
    </row>
    <row r="51" spans="1:33" x14ac:dyDescent="0.25">
      <c r="A51">
        <v>23</v>
      </c>
      <c r="B51" s="367">
        <f t="shared" si="12"/>
        <v>19648000</v>
      </c>
      <c r="C51" s="367">
        <f t="shared" si="13"/>
        <v>23180000</v>
      </c>
      <c r="D51" s="367">
        <f t="shared" si="14"/>
        <v>21800000</v>
      </c>
      <c r="E51" s="155">
        <f t="shared" si="15"/>
        <v>61548000</v>
      </c>
      <c r="H51" s="228"/>
      <c r="I51" s="11"/>
      <c r="J51" s="11"/>
      <c r="K51" s="11"/>
      <c r="L51" s="11"/>
      <c r="M51" s="11"/>
      <c r="N51" s="11"/>
      <c r="O51" s="40"/>
      <c r="P51" s="229" t="str">
        <f t="shared" si="8"/>
        <v/>
      </c>
      <c r="Q51" s="229" t="str">
        <f t="shared" si="9"/>
        <v/>
      </c>
      <c r="R51" s="229" t="str">
        <f t="shared" si="10"/>
        <v/>
      </c>
      <c r="S51" s="230" t="str">
        <f>IF($H51="","",HLOOKUP(S$2,'Unit information'!$B$3:$K$29,$L51+2,FALSE))</f>
        <v/>
      </c>
      <c r="T51" s="231" t="str">
        <f>IF($H51="","",HLOOKUP(T$2,'Unit information'!$B$3:$K$29,$L51+2,FALSE))</f>
        <v/>
      </c>
      <c r="U51" s="231" t="str">
        <f>IF($H51="","",HLOOKUP(U$2,'Unit information'!$B$3:$K$29,$L51+2,FALSE))</f>
        <v/>
      </c>
      <c r="V51" s="231" t="str">
        <f>IF($H51="","",HLOOKUP(V$2,'Unit information'!$B$3:$K$29,$M51+2,FALSE))</f>
        <v/>
      </c>
      <c r="W51" s="231" t="str">
        <f>IF($H51="","",HLOOKUP(W$2,'Unit information'!$B$3:$K$29,$M51+2,FALSE))</f>
        <v/>
      </c>
      <c r="X51" s="231" t="str">
        <f>IF($H51="","",HLOOKUP(X$2,'Unit information'!$B$3:$K$29,$N51+2,FALSE))</f>
        <v/>
      </c>
      <c r="Y51" s="232" t="str">
        <f t="shared" si="16"/>
        <v/>
      </c>
      <c r="Z51" s="232" t="str">
        <f t="shared" si="16"/>
        <v/>
      </c>
      <c r="AA51" s="232" t="str">
        <f t="shared" si="17"/>
        <v/>
      </c>
      <c r="AB51" s="232" t="str">
        <f t="shared" si="17"/>
        <v/>
      </c>
      <c r="AC51" s="232" t="str">
        <f t="shared" si="7"/>
        <v/>
      </c>
      <c r="AD51" s="232" t="str">
        <f t="shared" si="4"/>
        <v/>
      </c>
      <c r="AE51" s="229" t="str">
        <f>IF($H51="","",($F$1/$S51*$Y51*'Unit information'!$AB$3)+($F$1/$T51*$Z51*'Unit information'!$AB$4)+($F$1/$U51*$AA51*'Unit information'!$AB$5)+($F$1/$V51*$AB51*'Unit information'!$AB$8)+($F$1/$W51*$AC51*'Unit information'!$AB$10)+($F$1/$X51*$AD51*'Unit information'!$AB$11))</f>
        <v/>
      </c>
      <c r="AF51" s="229" t="str">
        <f>IF($H51="","",($F$1/$S51*$Y51*'Unit information'!$AC$3)+($F$1/$T51*$Z51*'Unit information'!$AC$4)+($F$1/$U51*$AA51*'Unit information'!$AC$5)+($F$1/$V51*$AB51*'Unit information'!$AC$8)+($F$1/$W51*$AC51*'Unit information'!$AC$10)+($F$1/$X51*$AD51*'Unit information'!$AC$11))</f>
        <v/>
      </c>
      <c r="AG51" s="229" t="str">
        <f>IF($H51="","",($F$1/$S51*$Y51*'Unit information'!$AD$3)+($F$1/$T51*$Z51*'Unit information'!$AD$4)+($F$1/$U51*$AA51*'Unit information'!$AD$5)+($F$1/$V51*$AB51*'Unit information'!$AD$8)+($F$1/$W51*$AC51*'Unit information'!$AD$10)+($F$1/$X51*$AD51*'Unit information'!$AD$11))</f>
        <v/>
      </c>
    </row>
    <row r="52" spans="1:33" x14ac:dyDescent="0.25">
      <c r="A52">
        <v>24</v>
      </c>
      <c r="B52" s="367">
        <f t="shared" si="12"/>
        <v>21320000</v>
      </c>
      <c r="C52" s="367">
        <f t="shared" si="13"/>
        <v>25150000</v>
      </c>
      <c r="D52" s="367">
        <f t="shared" si="14"/>
        <v>23650000</v>
      </c>
      <c r="E52" s="155">
        <f t="shared" si="15"/>
        <v>66900000</v>
      </c>
      <c r="H52" s="228"/>
      <c r="I52" s="11"/>
      <c r="J52" s="11"/>
      <c r="K52" s="11"/>
      <c r="L52" s="11"/>
      <c r="M52" s="11"/>
      <c r="N52" s="11"/>
      <c r="O52" s="40"/>
      <c r="P52" s="229" t="str">
        <f t="shared" si="8"/>
        <v/>
      </c>
      <c r="Q52" s="229" t="str">
        <f t="shared" si="9"/>
        <v/>
      </c>
      <c r="R52" s="229" t="str">
        <f t="shared" si="10"/>
        <v/>
      </c>
      <c r="S52" s="230" t="str">
        <f>IF($H52="","",HLOOKUP(S$2,'Unit information'!$B$3:$K$29,$L52+2,FALSE))</f>
        <v/>
      </c>
      <c r="T52" s="231" t="str">
        <f>IF($H52="","",HLOOKUP(T$2,'Unit information'!$B$3:$K$29,$L52+2,FALSE))</f>
        <v/>
      </c>
      <c r="U52" s="231" t="str">
        <f>IF($H52="","",HLOOKUP(U$2,'Unit information'!$B$3:$K$29,$L52+2,FALSE))</f>
        <v/>
      </c>
      <c r="V52" s="231" t="str">
        <f>IF($H52="","",HLOOKUP(V$2,'Unit information'!$B$3:$K$29,$M52+2,FALSE))</f>
        <v/>
      </c>
      <c r="W52" s="231" t="str">
        <f>IF($H52="","",HLOOKUP(W$2,'Unit information'!$B$3:$K$29,$M52+2,FALSE))</f>
        <v/>
      </c>
      <c r="X52" s="231" t="str">
        <f>IF($H52="","",HLOOKUP(X$2,'Unit information'!$B$3:$K$29,$N52+2,FALSE))</f>
        <v/>
      </c>
      <c r="Y52" s="232" t="str">
        <f t="shared" si="16"/>
        <v/>
      </c>
      <c r="Z52" s="232" t="str">
        <f t="shared" si="16"/>
        <v/>
      </c>
      <c r="AA52" s="232" t="str">
        <f t="shared" si="17"/>
        <v/>
      </c>
      <c r="AB52" s="232" t="str">
        <f t="shared" si="17"/>
        <v/>
      </c>
      <c r="AC52" s="232" t="str">
        <f t="shared" si="7"/>
        <v/>
      </c>
      <c r="AD52" s="232" t="str">
        <f t="shared" si="4"/>
        <v/>
      </c>
      <c r="AE52" s="229" t="str">
        <f>IF($H52="","",($F$1/$S52*$Y52*'Unit information'!$AB$3)+($F$1/$T52*$Z52*'Unit information'!$AB$4)+($F$1/$U52*$AA52*'Unit information'!$AB$5)+($F$1/$V52*$AB52*'Unit information'!$AB$8)+($F$1/$W52*$AC52*'Unit information'!$AB$10)+($F$1/$X52*$AD52*'Unit information'!$AB$11))</f>
        <v/>
      </c>
      <c r="AF52" s="229" t="str">
        <f>IF($H52="","",($F$1/$S52*$Y52*'Unit information'!$AC$3)+($F$1/$T52*$Z52*'Unit information'!$AC$4)+($F$1/$U52*$AA52*'Unit information'!$AC$5)+($F$1/$V52*$AB52*'Unit information'!$AC$8)+($F$1/$W52*$AC52*'Unit information'!$AC$10)+($F$1/$X52*$AD52*'Unit information'!$AC$11))</f>
        <v/>
      </c>
      <c r="AG52" s="229" t="str">
        <f>IF($H52="","",($F$1/$S52*$Y52*'Unit information'!$AD$3)+($F$1/$T52*$Z52*'Unit information'!$AD$4)+($F$1/$U52*$AA52*'Unit information'!$AD$5)+($F$1/$V52*$AB52*'Unit information'!$AD$8)+($F$1/$W52*$AC52*'Unit information'!$AD$10)+($F$1/$X52*$AD52*'Unit information'!$AD$11))</f>
        <v/>
      </c>
    </row>
    <row r="53" spans="1:33" x14ac:dyDescent="0.25">
      <c r="A53">
        <v>25</v>
      </c>
      <c r="B53" s="367">
        <f t="shared" si="12"/>
        <v>23060000</v>
      </c>
      <c r="C53" s="367">
        <f t="shared" si="13"/>
        <v>27200000</v>
      </c>
      <c r="D53" s="367">
        <f t="shared" si="14"/>
        <v>25575000</v>
      </c>
      <c r="E53" s="155">
        <f t="shared" si="15"/>
        <v>72475000</v>
      </c>
      <c r="H53" s="228"/>
      <c r="I53" s="11"/>
      <c r="J53" s="11"/>
      <c r="K53" s="11"/>
      <c r="L53" s="11"/>
      <c r="M53" s="11"/>
      <c r="N53" s="11"/>
      <c r="O53" s="40"/>
      <c r="P53" s="229" t="str">
        <f t="shared" si="8"/>
        <v/>
      </c>
      <c r="Q53" s="229" t="str">
        <f t="shared" si="9"/>
        <v/>
      </c>
      <c r="R53" s="229" t="str">
        <f t="shared" si="10"/>
        <v/>
      </c>
      <c r="S53" s="230" t="str">
        <f>IF($H53="","",HLOOKUP(S$2,'Unit information'!$B$3:$K$29,$L53+2,FALSE))</f>
        <v/>
      </c>
      <c r="T53" s="231" t="str">
        <f>IF($H53="","",HLOOKUP(T$2,'Unit information'!$B$3:$K$29,$L53+2,FALSE))</f>
        <v/>
      </c>
      <c r="U53" s="231" t="str">
        <f>IF($H53="","",HLOOKUP(U$2,'Unit information'!$B$3:$K$29,$L53+2,FALSE))</f>
        <v/>
      </c>
      <c r="V53" s="231" t="str">
        <f>IF($H53="","",HLOOKUP(V$2,'Unit information'!$B$3:$K$29,$M53+2,FALSE))</f>
        <v/>
      </c>
      <c r="W53" s="231" t="str">
        <f>IF($H53="","",HLOOKUP(W$2,'Unit information'!$B$3:$K$29,$M53+2,FALSE))</f>
        <v/>
      </c>
      <c r="X53" s="231" t="str">
        <f>IF($H53="","",HLOOKUP(X$2,'Unit information'!$B$3:$K$29,$N53+2,FALSE))</f>
        <v/>
      </c>
      <c r="Y53" s="232" t="str">
        <f t="shared" si="16"/>
        <v/>
      </c>
      <c r="Z53" s="232" t="str">
        <f t="shared" si="16"/>
        <v/>
      </c>
      <c r="AA53" s="232" t="str">
        <f t="shared" si="17"/>
        <v/>
      </c>
      <c r="AB53" s="232" t="str">
        <f t="shared" si="17"/>
        <v/>
      </c>
      <c r="AC53" s="232" t="str">
        <f t="shared" si="7"/>
        <v/>
      </c>
      <c r="AD53" s="232" t="str">
        <f t="shared" si="4"/>
        <v/>
      </c>
      <c r="AE53" s="229" t="str">
        <f>IF($H53="","",($F$1/$S53*$Y53*'Unit information'!$AB$3)+($F$1/$T53*$Z53*'Unit information'!$AB$4)+($F$1/$U53*$AA53*'Unit information'!$AB$5)+($F$1/$V53*$AB53*'Unit information'!$AB$8)+($F$1/$W53*$AC53*'Unit information'!$AB$10)+($F$1/$X53*$AD53*'Unit information'!$AB$11))</f>
        <v/>
      </c>
      <c r="AF53" s="229" t="str">
        <f>IF($H53="","",($F$1/$S53*$Y53*'Unit information'!$AC$3)+($F$1/$T53*$Z53*'Unit information'!$AC$4)+($F$1/$U53*$AA53*'Unit information'!$AC$5)+($F$1/$V53*$AB53*'Unit information'!$AC$8)+($F$1/$W53*$AC53*'Unit information'!$AC$10)+($F$1/$X53*$AD53*'Unit information'!$AC$11))</f>
        <v/>
      </c>
      <c r="AG53" s="229" t="str">
        <f>IF($H53="","",($F$1/$S53*$Y53*'Unit information'!$AD$3)+($F$1/$T53*$Z53*'Unit information'!$AD$4)+($F$1/$U53*$AA53*'Unit information'!$AD$5)+($F$1/$V53*$AB53*'Unit information'!$AD$8)+($F$1/$W53*$AC53*'Unit information'!$AD$10)+($F$1/$X53*$AD53*'Unit information'!$AD$11))</f>
        <v/>
      </c>
    </row>
    <row r="54" spans="1:33" x14ac:dyDescent="0.25">
      <c r="A54">
        <v>26</v>
      </c>
      <c r="B54" s="367">
        <f t="shared" si="12"/>
        <v>24868000</v>
      </c>
      <c r="C54" s="367">
        <f t="shared" si="13"/>
        <v>29330000</v>
      </c>
      <c r="D54" s="367">
        <f t="shared" si="14"/>
        <v>27575000</v>
      </c>
      <c r="E54" s="155">
        <f t="shared" si="15"/>
        <v>78273000</v>
      </c>
      <c r="H54" s="228"/>
      <c r="I54" s="11"/>
      <c r="J54" s="11"/>
      <c r="K54" s="11"/>
      <c r="L54" s="11"/>
      <c r="M54" s="11"/>
      <c r="N54" s="11"/>
      <c r="O54" s="40"/>
      <c r="P54" s="229" t="str">
        <f t="shared" si="8"/>
        <v/>
      </c>
      <c r="Q54" s="229" t="str">
        <f t="shared" si="9"/>
        <v/>
      </c>
      <c r="R54" s="229" t="str">
        <f t="shared" si="10"/>
        <v/>
      </c>
      <c r="S54" s="230" t="str">
        <f>IF($H54="","",HLOOKUP(S$2,'Unit information'!$B$3:$K$29,$L54+2,FALSE))</f>
        <v/>
      </c>
      <c r="T54" s="231" t="str">
        <f>IF($H54="","",HLOOKUP(T$2,'Unit information'!$B$3:$K$29,$L54+2,FALSE))</f>
        <v/>
      </c>
      <c r="U54" s="231" t="str">
        <f>IF($H54="","",HLOOKUP(U$2,'Unit information'!$B$3:$K$29,$L54+2,FALSE))</f>
        <v/>
      </c>
      <c r="V54" s="231" t="str">
        <f>IF($H54="","",HLOOKUP(V$2,'Unit information'!$B$3:$K$29,$M54+2,FALSE))</f>
        <v/>
      </c>
      <c r="W54" s="231" t="str">
        <f>IF($H54="","",HLOOKUP(W$2,'Unit information'!$B$3:$K$29,$M54+2,FALSE))</f>
        <v/>
      </c>
      <c r="X54" s="231" t="str">
        <f>IF($H54="","",HLOOKUP(X$2,'Unit information'!$B$3:$K$29,$N54+2,FALSE))</f>
        <v/>
      </c>
      <c r="Y54" s="232" t="str">
        <f t="shared" si="16"/>
        <v/>
      </c>
      <c r="Z54" s="232" t="str">
        <f t="shared" si="16"/>
        <v/>
      </c>
      <c r="AA54" s="232" t="str">
        <f t="shared" si="17"/>
        <v/>
      </c>
      <c r="AB54" s="232" t="str">
        <f t="shared" si="17"/>
        <v/>
      </c>
      <c r="AC54" s="232" t="str">
        <f t="shared" si="7"/>
        <v/>
      </c>
      <c r="AD54" s="232" t="str">
        <f t="shared" si="4"/>
        <v/>
      </c>
      <c r="AE54" s="229" t="str">
        <f>IF($H54="","",($F$1/$S54*$Y54*'Unit information'!$AB$3)+($F$1/$T54*$Z54*'Unit information'!$AB$4)+($F$1/$U54*$AA54*'Unit information'!$AB$5)+($F$1/$V54*$AB54*'Unit information'!$AB$8)+($F$1/$W54*$AC54*'Unit information'!$AB$10)+($F$1/$X54*$AD54*'Unit information'!$AB$11))</f>
        <v/>
      </c>
      <c r="AF54" s="229" t="str">
        <f>IF($H54="","",($F$1/$S54*$Y54*'Unit information'!$AC$3)+($F$1/$T54*$Z54*'Unit information'!$AC$4)+($F$1/$U54*$AA54*'Unit information'!$AC$5)+($F$1/$V54*$AB54*'Unit information'!$AC$8)+($F$1/$W54*$AC54*'Unit information'!$AC$10)+($F$1/$X54*$AD54*'Unit information'!$AC$11))</f>
        <v/>
      </c>
      <c r="AG54" s="229" t="str">
        <f>IF($H54="","",($F$1/$S54*$Y54*'Unit information'!$AD$3)+($F$1/$T54*$Z54*'Unit information'!$AD$4)+($F$1/$U54*$AA54*'Unit information'!$AD$5)+($F$1/$V54*$AB54*'Unit information'!$AD$8)+($F$1/$W54*$AC54*'Unit information'!$AD$10)+($F$1/$X54*$AD54*'Unit information'!$AD$11))</f>
        <v/>
      </c>
    </row>
    <row r="55" spans="1:33" x14ac:dyDescent="0.25">
      <c r="A55">
        <v>27</v>
      </c>
      <c r="B55" s="367">
        <f t="shared" si="12"/>
        <v>26744000</v>
      </c>
      <c r="C55" s="367">
        <f t="shared" si="13"/>
        <v>31540000</v>
      </c>
      <c r="D55" s="367">
        <f t="shared" si="14"/>
        <v>29650000</v>
      </c>
      <c r="E55" s="155">
        <f t="shared" si="15"/>
        <v>84294000</v>
      </c>
      <c r="H55" s="228"/>
      <c r="I55" s="11"/>
      <c r="J55" s="11"/>
      <c r="K55" s="11"/>
      <c r="L55" s="11"/>
      <c r="M55" s="11"/>
      <c r="N55" s="11"/>
      <c r="O55" s="40"/>
      <c r="P55" s="229" t="str">
        <f t="shared" si="8"/>
        <v/>
      </c>
      <c r="Q55" s="229" t="str">
        <f t="shared" si="9"/>
        <v/>
      </c>
      <c r="R55" s="229" t="str">
        <f t="shared" si="10"/>
        <v/>
      </c>
      <c r="S55" s="230" t="str">
        <f>IF($H55="","",HLOOKUP(S$2,'Unit information'!$B$3:$K$29,$L55+2,FALSE))</f>
        <v/>
      </c>
      <c r="T55" s="231" t="str">
        <f>IF($H55="","",HLOOKUP(T$2,'Unit information'!$B$3:$K$29,$L55+2,FALSE))</f>
        <v/>
      </c>
      <c r="U55" s="231" t="str">
        <f>IF($H55="","",HLOOKUP(U$2,'Unit information'!$B$3:$K$29,$L55+2,FALSE))</f>
        <v/>
      </c>
      <c r="V55" s="231" t="str">
        <f>IF($H55="","",HLOOKUP(V$2,'Unit information'!$B$3:$K$29,$M55+2,FALSE))</f>
        <v/>
      </c>
      <c r="W55" s="231" t="str">
        <f>IF($H55="","",HLOOKUP(W$2,'Unit information'!$B$3:$K$29,$M55+2,FALSE))</f>
        <v/>
      </c>
      <c r="X55" s="231" t="str">
        <f>IF($H55="","",HLOOKUP(X$2,'Unit information'!$B$3:$K$29,$N55+2,FALSE))</f>
        <v/>
      </c>
      <c r="Y55" s="232" t="str">
        <f t="shared" si="16"/>
        <v/>
      </c>
      <c r="Z55" s="232" t="str">
        <f t="shared" si="16"/>
        <v/>
      </c>
      <c r="AA55" s="232" t="str">
        <f t="shared" si="17"/>
        <v/>
      </c>
      <c r="AB55" s="232" t="str">
        <f t="shared" si="17"/>
        <v/>
      </c>
      <c r="AC55" s="232" t="str">
        <f t="shared" si="7"/>
        <v/>
      </c>
      <c r="AD55" s="232" t="str">
        <f t="shared" si="4"/>
        <v/>
      </c>
      <c r="AE55" s="229" t="str">
        <f>IF($H55="","",($F$1/$S55*$Y55*'Unit information'!$AB$3)+($F$1/$T55*$Z55*'Unit information'!$AB$4)+($F$1/$U55*$AA55*'Unit information'!$AB$5)+($F$1/$V55*$AB55*'Unit information'!$AB$8)+($F$1/$W55*$AC55*'Unit information'!$AB$10)+($F$1/$X55*$AD55*'Unit information'!$AB$11))</f>
        <v/>
      </c>
      <c r="AF55" s="229" t="str">
        <f>IF($H55="","",($F$1/$S55*$Y55*'Unit information'!$AC$3)+($F$1/$T55*$Z55*'Unit information'!$AC$4)+($F$1/$U55*$AA55*'Unit information'!$AC$5)+($F$1/$V55*$AB55*'Unit information'!$AC$8)+($F$1/$W55*$AC55*'Unit information'!$AC$10)+($F$1/$X55*$AD55*'Unit information'!$AC$11))</f>
        <v/>
      </c>
      <c r="AG55" s="229" t="str">
        <f>IF($H55="","",($F$1/$S55*$Y55*'Unit information'!$AD$3)+($F$1/$T55*$Z55*'Unit information'!$AD$4)+($F$1/$U55*$AA55*'Unit information'!$AD$5)+($F$1/$V55*$AB55*'Unit information'!$AD$8)+($F$1/$W55*$AC55*'Unit information'!$AD$10)+($F$1/$X55*$AD55*'Unit information'!$AD$11))</f>
        <v/>
      </c>
    </row>
    <row r="56" spans="1:33" x14ac:dyDescent="0.25">
      <c r="A56">
        <v>28</v>
      </c>
      <c r="B56" s="367">
        <f t="shared" si="12"/>
        <v>28688000</v>
      </c>
      <c r="C56" s="367">
        <f t="shared" si="13"/>
        <v>33830000</v>
      </c>
      <c r="D56" s="367">
        <f t="shared" si="14"/>
        <v>31800000</v>
      </c>
      <c r="E56" s="155">
        <f t="shared" si="15"/>
        <v>90538000</v>
      </c>
      <c r="H56" s="228"/>
      <c r="I56" s="11"/>
      <c r="J56" s="11"/>
      <c r="K56" s="11"/>
      <c r="L56" s="11"/>
      <c r="M56" s="11"/>
      <c r="N56" s="11"/>
      <c r="O56" s="40"/>
      <c r="P56" s="229" t="str">
        <f t="shared" si="8"/>
        <v/>
      </c>
      <c r="Q56" s="229" t="str">
        <f t="shared" si="9"/>
        <v/>
      </c>
      <c r="R56" s="229" t="str">
        <f t="shared" si="10"/>
        <v/>
      </c>
      <c r="S56" s="230" t="str">
        <f>IF($H56="","",HLOOKUP(S$2,'Unit information'!$B$3:$K$29,$L56+2,FALSE))</f>
        <v/>
      </c>
      <c r="T56" s="231" t="str">
        <f>IF($H56="","",HLOOKUP(T$2,'Unit information'!$B$3:$K$29,$L56+2,FALSE))</f>
        <v/>
      </c>
      <c r="U56" s="231" t="str">
        <f>IF($H56="","",HLOOKUP(U$2,'Unit information'!$B$3:$K$29,$L56+2,FALSE))</f>
        <v/>
      </c>
      <c r="V56" s="231" t="str">
        <f>IF($H56="","",HLOOKUP(V$2,'Unit information'!$B$3:$K$29,$M56+2,FALSE))</f>
        <v/>
      </c>
      <c r="W56" s="231" t="str">
        <f>IF($H56="","",HLOOKUP(W$2,'Unit information'!$B$3:$K$29,$M56+2,FALSE))</f>
        <v/>
      </c>
      <c r="X56" s="231" t="str">
        <f>IF($H56="","",HLOOKUP(X$2,'Unit information'!$B$3:$K$29,$N56+2,FALSE))</f>
        <v/>
      </c>
      <c r="Y56" s="232" t="str">
        <f t="shared" si="16"/>
        <v/>
      </c>
      <c r="Z56" s="232" t="str">
        <f t="shared" si="16"/>
        <v/>
      </c>
      <c r="AA56" s="232" t="str">
        <f t="shared" si="17"/>
        <v/>
      </c>
      <c r="AB56" s="232" t="str">
        <f t="shared" si="17"/>
        <v/>
      </c>
      <c r="AC56" s="232" t="str">
        <f t="shared" si="7"/>
        <v/>
      </c>
      <c r="AD56" s="232" t="str">
        <f t="shared" si="4"/>
        <v/>
      </c>
      <c r="AE56" s="229" t="str">
        <f>IF($H56="","",($F$1/$S56*$Y56*'Unit information'!$AB$3)+($F$1/$T56*$Z56*'Unit information'!$AB$4)+($F$1/$U56*$AA56*'Unit information'!$AB$5)+($F$1/$V56*$AB56*'Unit information'!$AB$8)+($F$1/$W56*$AC56*'Unit information'!$AB$10)+($F$1/$X56*$AD56*'Unit information'!$AB$11))</f>
        <v/>
      </c>
      <c r="AF56" s="229" t="str">
        <f>IF($H56="","",($F$1/$S56*$Y56*'Unit information'!$AC$3)+($F$1/$T56*$Z56*'Unit information'!$AC$4)+($F$1/$U56*$AA56*'Unit information'!$AC$5)+($F$1/$V56*$AB56*'Unit information'!$AC$8)+($F$1/$W56*$AC56*'Unit information'!$AC$10)+($F$1/$X56*$AD56*'Unit information'!$AC$11))</f>
        <v/>
      </c>
      <c r="AG56" s="229" t="str">
        <f>IF($H56="","",($F$1/$S56*$Y56*'Unit information'!$AD$3)+($F$1/$T56*$Z56*'Unit information'!$AD$4)+($F$1/$U56*$AA56*'Unit information'!$AD$5)+($F$1/$V56*$AB56*'Unit information'!$AD$8)+($F$1/$W56*$AC56*'Unit information'!$AD$10)+($F$1/$X56*$AD56*'Unit information'!$AD$11))</f>
        <v/>
      </c>
    </row>
    <row r="57" spans="1:33" x14ac:dyDescent="0.25">
      <c r="A57">
        <v>29</v>
      </c>
      <c r="B57" s="367">
        <f t="shared" si="12"/>
        <v>30700000</v>
      </c>
      <c r="C57" s="367">
        <f t="shared" si="13"/>
        <v>36200000</v>
      </c>
      <c r="D57" s="367">
        <f t="shared" si="14"/>
        <v>34025000</v>
      </c>
      <c r="E57" s="155">
        <f t="shared" si="15"/>
        <v>97005000</v>
      </c>
      <c r="H57" s="228"/>
      <c r="I57" s="11"/>
      <c r="J57" s="11"/>
      <c r="K57" s="11"/>
      <c r="L57" s="11"/>
      <c r="M57" s="11"/>
      <c r="N57" s="11"/>
      <c r="O57" s="40"/>
      <c r="P57" s="229" t="str">
        <f t="shared" si="8"/>
        <v/>
      </c>
      <c r="Q57" s="229" t="str">
        <f t="shared" si="9"/>
        <v/>
      </c>
      <c r="R57" s="229" t="str">
        <f t="shared" si="10"/>
        <v/>
      </c>
      <c r="S57" s="230" t="str">
        <f>IF($H57="","",HLOOKUP(S$2,'Unit information'!$B$3:$K$29,$L57+2,FALSE))</f>
        <v/>
      </c>
      <c r="T57" s="231" t="str">
        <f>IF($H57="","",HLOOKUP(T$2,'Unit information'!$B$3:$K$29,$L57+2,FALSE))</f>
        <v/>
      </c>
      <c r="U57" s="231" t="str">
        <f>IF($H57="","",HLOOKUP(U$2,'Unit information'!$B$3:$K$29,$L57+2,FALSE))</f>
        <v/>
      </c>
      <c r="V57" s="231" t="str">
        <f>IF($H57="","",HLOOKUP(V$2,'Unit information'!$B$3:$K$29,$M57+2,FALSE))</f>
        <v/>
      </c>
      <c r="W57" s="231" t="str">
        <f>IF($H57="","",HLOOKUP(W$2,'Unit information'!$B$3:$K$29,$M57+2,FALSE))</f>
        <v/>
      </c>
      <c r="X57" s="231" t="str">
        <f>IF($H57="","",HLOOKUP(X$2,'Unit information'!$B$3:$K$29,$N57+2,FALSE))</f>
        <v/>
      </c>
      <c r="Y57" s="232" t="str">
        <f t="shared" si="16"/>
        <v/>
      </c>
      <c r="Z57" s="232" t="str">
        <f t="shared" si="16"/>
        <v/>
      </c>
      <c r="AA57" s="232" t="str">
        <f t="shared" si="17"/>
        <v/>
      </c>
      <c r="AB57" s="232" t="str">
        <f t="shared" si="17"/>
        <v/>
      </c>
      <c r="AC57" s="232" t="str">
        <f t="shared" si="7"/>
        <v/>
      </c>
      <c r="AD57" s="232" t="str">
        <f t="shared" si="4"/>
        <v/>
      </c>
      <c r="AE57" s="229" t="str">
        <f>IF($H57="","",($F$1/$S57*$Y57*'Unit information'!$AB$3)+($F$1/$T57*$Z57*'Unit information'!$AB$4)+($F$1/$U57*$AA57*'Unit information'!$AB$5)+($F$1/$V57*$AB57*'Unit information'!$AB$8)+($F$1/$W57*$AC57*'Unit information'!$AB$10)+($F$1/$X57*$AD57*'Unit information'!$AB$11))</f>
        <v/>
      </c>
      <c r="AF57" s="229" t="str">
        <f>IF($H57="","",($F$1/$S57*$Y57*'Unit information'!$AC$3)+($F$1/$T57*$Z57*'Unit information'!$AC$4)+($F$1/$U57*$AA57*'Unit information'!$AC$5)+($F$1/$V57*$AB57*'Unit information'!$AC$8)+($F$1/$W57*$AC57*'Unit information'!$AC$10)+($F$1/$X57*$AD57*'Unit information'!$AC$11))</f>
        <v/>
      </c>
      <c r="AG57" s="229" t="str">
        <f>IF($H57="","",($F$1/$S57*$Y57*'Unit information'!$AD$3)+($F$1/$T57*$Z57*'Unit information'!$AD$4)+($F$1/$U57*$AA57*'Unit information'!$AD$5)+($F$1/$V57*$AB57*'Unit information'!$AD$8)+($F$1/$W57*$AC57*'Unit information'!$AD$10)+($F$1/$X57*$AD57*'Unit information'!$AD$11))</f>
        <v/>
      </c>
    </row>
    <row r="58" spans="1:33" x14ac:dyDescent="0.25">
      <c r="A58">
        <v>30</v>
      </c>
      <c r="B58" s="367">
        <f t="shared" si="12"/>
        <v>32780000</v>
      </c>
      <c r="C58" s="367">
        <f t="shared" si="13"/>
        <v>38650000</v>
      </c>
      <c r="D58" s="367">
        <f t="shared" si="14"/>
        <v>36325000</v>
      </c>
      <c r="E58" s="155">
        <f t="shared" si="15"/>
        <v>103695000</v>
      </c>
      <c r="H58" s="228"/>
      <c r="I58" s="11"/>
      <c r="J58" s="11"/>
      <c r="K58" s="11"/>
      <c r="L58" s="11"/>
      <c r="M58" s="11"/>
      <c r="N58" s="11"/>
      <c r="O58" s="40"/>
      <c r="P58" s="229" t="str">
        <f t="shared" si="8"/>
        <v/>
      </c>
      <c r="Q58" s="229" t="str">
        <f t="shared" si="9"/>
        <v/>
      </c>
      <c r="R58" s="229" t="str">
        <f t="shared" si="10"/>
        <v/>
      </c>
      <c r="S58" s="230" t="str">
        <f>IF($H58="","",HLOOKUP(S$2,'Unit information'!$B$3:$K$29,$L58+2,FALSE))</f>
        <v/>
      </c>
      <c r="T58" s="231" t="str">
        <f>IF($H58="","",HLOOKUP(T$2,'Unit information'!$B$3:$K$29,$L58+2,FALSE))</f>
        <v/>
      </c>
      <c r="U58" s="231" t="str">
        <f>IF($H58="","",HLOOKUP(U$2,'Unit information'!$B$3:$K$29,$L58+2,FALSE))</f>
        <v/>
      </c>
      <c r="V58" s="231" t="str">
        <f>IF($H58="","",HLOOKUP(V$2,'Unit information'!$B$3:$K$29,$M58+2,FALSE))</f>
        <v/>
      </c>
      <c r="W58" s="231" t="str">
        <f>IF($H58="","",HLOOKUP(W$2,'Unit information'!$B$3:$K$29,$M58+2,FALSE))</f>
        <v/>
      </c>
      <c r="X58" s="231" t="str">
        <f>IF($H58="","",HLOOKUP(X$2,'Unit information'!$B$3:$K$29,$N58+2,FALSE))</f>
        <v/>
      </c>
      <c r="Y58" s="232" t="str">
        <f t="shared" si="16"/>
        <v/>
      </c>
      <c r="Z58" s="232" t="str">
        <f t="shared" si="16"/>
        <v/>
      </c>
      <c r="AA58" s="232" t="str">
        <f t="shared" si="17"/>
        <v/>
      </c>
      <c r="AB58" s="232" t="str">
        <f t="shared" si="17"/>
        <v/>
      </c>
      <c r="AC58" s="232" t="str">
        <f t="shared" si="7"/>
        <v/>
      </c>
      <c r="AD58" s="232" t="str">
        <f t="shared" si="4"/>
        <v/>
      </c>
      <c r="AE58" s="229" t="str">
        <f>IF($H58="","",($F$1/$S58*$Y58*'Unit information'!$AB$3)+($F$1/$T58*$Z58*'Unit information'!$AB$4)+($F$1/$U58*$AA58*'Unit information'!$AB$5)+($F$1/$V58*$AB58*'Unit information'!$AB$8)+($F$1/$W58*$AC58*'Unit information'!$AB$10)+($F$1/$X58*$AD58*'Unit information'!$AB$11))</f>
        <v/>
      </c>
      <c r="AF58" s="229" t="str">
        <f>IF($H58="","",($F$1/$S58*$Y58*'Unit information'!$AC$3)+($F$1/$T58*$Z58*'Unit information'!$AC$4)+($F$1/$U58*$AA58*'Unit information'!$AC$5)+($F$1/$V58*$AB58*'Unit information'!$AC$8)+($F$1/$W58*$AC58*'Unit information'!$AC$10)+($F$1/$X58*$AD58*'Unit information'!$AC$11))</f>
        <v/>
      </c>
      <c r="AG58" s="229" t="str">
        <f>IF($H58="","",($F$1/$S58*$Y58*'Unit information'!$AD$3)+($F$1/$T58*$Z58*'Unit information'!$AD$4)+($F$1/$U58*$AA58*'Unit information'!$AD$5)+($F$1/$V58*$AB58*'Unit information'!$AD$8)+($F$1/$W58*$AC58*'Unit information'!$AD$10)+($F$1/$X58*$AD58*'Unit information'!$AD$11))</f>
        <v/>
      </c>
    </row>
    <row r="59" spans="1:33" x14ac:dyDescent="0.25">
      <c r="A59">
        <v>31</v>
      </c>
      <c r="B59" s="367">
        <f t="shared" si="12"/>
        <v>34928000</v>
      </c>
      <c r="C59" s="367">
        <f t="shared" si="13"/>
        <v>41180000</v>
      </c>
      <c r="D59" s="367">
        <f t="shared" si="14"/>
        <v>38700000</v>
      </c>
      <c r="E59" s="155">
        <f t="shared" si="15"/>
        <v>110608000</v>
      </c>
      <c r="H59" s="228"/>
      <c r="I59" s="11"/>
      <c r="J59" s="11"/>
      <c r="K59" s="11"/>
      <c r="L59" s="11"/>
      <c r="M59" s="11"/>
      <c r="N59" s="11"/>
      <c r="O59" s="40"/>
      <c r="P59" s="229" t="str">
        <f t="shared" si="8"/>
        <v/>
      </c>
      <c r="Q59" s="229" t="str">
        <f t="shared" si="9"/>
        <v/>
      </c>
      <c r="R59" s="229" t="str">
        <f t="shared" si="10"/>
        <v/>
      </c>
      <c r="S59" s="230" t="str">
        <f>IF($H59="","",HLOOKUP(S$2,'Unit information'!$B$3:$K$29,$L59+2,FALSE))</f>
        <v/>
      </c>
      <c r="T59" s="231" t="str">
        <f>IF($H59="","",HLOOKUP(T$2,'Unit information'!$B$3:$K$29,$L59+2,FALSE))</f>
        <v/>
      </c>
      <c r="U59" s="231" t="str">
        <f>IF($H59="","",HLOOKUP(U$2,'Unit information'!$B$3:$K$29,$L59+2,FALSE))</f>
        <v/>
      </c>
      <c r="V59" s="231" t="str">
        <f>IF($H59="","",HLOOKUP(V$2,'Unit information'!$B$3:$K$29,$M59+2,FALSE))</f>
        <v/>
      </c>
      <c r="W59" s="231" t="str">
        <f>IF($H59="","",HLOOKUP(W$2,'Unit information'!$B$3:$K$29,$M59+2,FALSE))</f>
        <v/>
      </c>
      <c r="X59" s="231" t="str">
        <f>IF($H59="","",HLOOKUP(X$2,'Unit information'!$B$3:$K$29,$N59+2,FALSE))</f>
        <v/>
      </c>
      <c r="Y59" s="232" t="str">
        <f t="shared" si="16"/>
        <v/>
      </c>
      <c r="Z59" s="232" t="str">
        <f t="shared" si="16"/>
        <v/>
      </c>
      <c r="AA59" s="232" t="str">
        <f t="shared" si="17"/>
        <v/>
      </c>
      <c r="AB59" s="232" t="str">
        <f t="shared" si="17"/>
        <v/>
      </c>
      <c r="AC59" s="232" t="str">
        <f t="shared" si="7"/>
        <v/>
      </c>
      <c r="AD59" s="232" t="str">
        <f t="shared" si="4"/>
        <v/>
      </c>
      <c r="AE59" s="229" t="str">
        <f>IF($H59="","",($F$1/$S59*$Y59*'Unit information'!$AB$3)+($F$1/$T59*$Z59*'Unit information'!$AB$4)+($F$1/$U59*$AA59*'Unit information'!$AB$5)+($F$1/$V59*$AB59*'Unit information'!$AB$8)+($F$1/$W59*$AC59*'Unit information'!$AB$10)+($F$1/$X59*$AD59*'Unit information'!$AB$11))</f>
        <v/>
      </c>
      <c r="AF59" s="229" t="str">
        <f>IF($H59="","",($F$1/$S59*$Y59*'Unit information'!$AC$3)+($F$1/$T59*$Z59*'Unit information'!$AC$4)+($F$1/$U59*$AA59*'Unit information'!$AC$5)+($F$1/$V59*$AB59*'Unit information'!$AC$8)+($F$1/$W59*$AC59*'Unit information'!$AC$10)+($F$1/$X59*$AD59*'Unit information'!$AC$11))</f>
        <v/>
      </c>
      <c r="AG59" s="229" t="str">
        <f>IF($H59="","",($F$1/$S59*$Y59*'Unit information'!$AD$3)+($F$1/$T59*$Z59*'Unit information'!$AD$4)+($F$1/$U59*$AA59*'Unit information'!$AD$5)+($F$1/$V59*$AB59*'Unit information'!$AD$8)+($F$1/$W59*$AC59*'Unit information'!$AD$10)+($F$1/$X59*$AD59*'Unit information'!$AD$11))</f>
        <v/>
      </c>
    </row>
    <row r="60" spans="1:33" x14ac:dyDescent="0.25">
      <c r="A60">
        <v>32</v>
      </c>
      <c r="B60" s="367">
        <f t="shared" si="12"/>
        <v>37144000</v>
      </c>
      <c r="C60" s="367">
        <f t="shared" si="13"/>
        <v>43790000</v>
      </c>
      <c r="D60" s="367">
        <f t="shared" si="14"/>
        <v>41150000</v>
      </c>
      <c r="E60" s="155">
        <f t="shared" si="15"/>
        <v>117744000</v>
      </c>
      <c r="H60" s="228"/>
      <c r="I60" s="11"/>
      <c r="J60" s="11"/>
      <c r="K60" s="11"/>
      <c r="L60" s="11"/>
      <c r="M60" s="11"/>
      <c r="N60" s="11"/>
      <c r="O60" s="40"/>
      <c r="P60" s="229" t="str">
        <f t="shared" si="8"/>
        <v/>
      </c>
      <c r="Q60" s="229" t="str">
        <f t="shared" si="9"/>
        <v/>
      </c>
      <c r="R60" s="229" t="str">
        <f t="shared" si="10"/>
        <v/>
      </c>
      <c r="S60" s="230" t="str">
        <f>IF($H60="","",HLOOKUP(S$2,'Unit information'!$B$3:$K$29,$L60+2,FALSE))</f>
        <v/>
      </c>
      <c r="T60" s="231" t="str">
        <f>IF($H60="","",HLOOKUP(T$2,'Unit information'!$B$3:$K$29,$L60+2,FALSE))</f>
        <v/>
      </c>
      <c r="U60" s="231" t="str">
        <f>IF($H60="","",HLOOKUP(U$2,'Unit information'!$B$3:$K$29,$L60+2,FALSE))</f>
        <v/>
      </c>
      <c r="V60" s="231" t="str">
        <f>IF($H60="","",HLOOKUP(V$2,'Unit information'!$B$3:$K$29,$M60+2,FALSE))</f>
        <v/>
      </c>
      <c r="W60" s="231" t="str">
        <f>IF($H60="","",HLOOKUP(W$2,'Unit information'!$B$3:$K$29,$M60+2,FALSE))</f>
        <v/>
      </c>
      <c r="X60" s="231" t="str">
        <f>IF($H60="","",HLOOKUP(X$2,'Unit information'!$B$3:$K$29,$N60+2,FALSE))</f>
        <v/>
      </c>
      <c r="Y60" s="232" t="str">
        <f t="shared" si="16"/>
        <v/>
      </c>
      <c r="Z60" s="232" t="str">
        <f t="shared" si="16"/>
        <v/>
      </c>
      <c r="AA60" s="232" t="str">
        <f t="shared" si="17"/>
        <v/>
      </c>
      <c r="AB60" s="232" t="str">
        <f t="shared" si="17"/>
        <v/>
      </c>
      <c r="AC60" s="232" t="str">
        <f t="shared" si="7"/>
        <v/>
      </c>
      <c r="AD60" s="232" t="str">
        <f t="shared" si="4"/>
        <v/>
      </c>
      <c r="AE60" s="229" t="str">
        <f>IF($H60="","",($F$1/$S60*$Y60*'Unit information'!$AB$3)+($F$1/$T60*$Z60*'Unit information'!$AB$4)+($F$1/$U60*$AA60*'Unit information'!$AB$5)+($F$1/$V60*$AB60*'Unit information'!$AB$8)+($F$1/$W60*$AC60*'Unit information'!$AB$10)+($F$1/$X60*$AD60*'Unit information'!$AB$11))</f>
        <v/>
      </c>
      <c r="AF60" s="229" t="str">
        <f>IF($H60="","",($F$1/$S60*$Y60*'Unit information'!$AC$3)+($F$1/$T60*$Z60*'Unit information'!$AC$4)+($F$1/$U60*$AA60*'Unit information'!$AC$5)+($F$1/$V60*$AB60*'Unit information'!$AC$8)+($F$1/$W60*$AC60*'Unit information'!$AC$10)+($F$1/$X60*$AD60*'Unit information'!$AC$11))</f>
        <v/>
      </c>
      <c r="AG60" s="229" t="str">
        <f>IF($H60="","",($F$1/$S60*$Y60*'Unit information'!$AD$3)+($F$1/$T60*$Z60*'Unit information'!$AD$4)+($F$1/$U60*$AA60*'Unit information'!$AD$5)+($F$1/$V60*$AB60*'Unit information'!$AD$8)+($F$1/$W60*$AC60*'Unit information'!$AD$10)+($F$1/$X60*$AD60*'Unit information'!$AD$11))</f>
        <v/>
      </c>
    </row>
    <row r="61" spans="1:33" x14ac:dyDescent="0.25">
      <c r="A61">
        <v>33</v>
      </c>
      <c r="B61" s="367">
        <f t="shared" si="12"/>
        <v>39428000</v>
      </c>
      <c r="C61" s="367">
        <f t="shared" si="13"/>
        <v>46480000</v>
      </c>
      <c r="D61" s="367">
        <f t="shared" si="14"/>
        <v>43675000</v>
      </c>
      <c r="E61" s="155">
        <f t="shared" si="15"/>
        <v>125103000</v>
      </c>
      <c r="H61" s="228"/>
      <c r="I61" s="11"/>
      <c r="J61" s="11"/>
      <c r="K61" s="11"/>
      <c r="L61" s="11"/>
      <c r="M61" s="11"/>
      <c r="N61" s="11"/>
      <c r="O61" s="40"/>
      <c r="P61" s="229" t="str">
        <f t="shared" si="8"/>
        <v/>
      </c>
      <c r="Q61" s="229" t="str">
        <f t="shared" si="9"/>
        <v/>
      </c>
      <c r="R61" s="229" t="str">
        <f t="shared" si="10"/>
        <v/>
      </c>
      <c r="S61" s="230" t="str">
        <f>IF($H61="","",HLOOKUP(S$2,'Unit information'!$B$3:$K$29,$L61+2,FALSE))</f>
        <v/>
      </c>
      <c r="T61" s="231" t="str">
        <f>IF($H61="","",HLOOKUP(T$2,'Unit information'!$B$3:$K$29,$L61+2,FALSE))</f>
        <v/>
      </c>
      <c r="U61" s="231" t="str">
        <f>IF($H61="","",HLOOKUP(U$2,'Unit information'!$B$3:$K$29,$L61+2,FALSE))</f>
        <v/>
      </c>
      <c r="V61" s="231" t="str">
        <f>IF($H61="","",HLOOKUP(V$2,'Unit information'!$B$3:$K$29,$M61+2,FALSE))</f>
        <v/>
      </c>
      <c r="W61" s="231" t="str">
        <f>IF($H61="","",HLOOKUP(W$2,'Unit information'!$B$3:$K$29,$M61+2,FALSE))</f>
        <v/>
      </c>
      <c r="X61" s="231" t="str">
        <f>IF($H61="","",HLOOKUP(X$2,'Unit information'!$B$3:$K$29,$N61+2,FALSE))</f>
        <v/>
      </c>
      <c r="Y61" s="232" t="str">
        <f t="shared" si="16"/>
        <v/>
      </c>
      <c r="Z61" s="232" t="str">
        <f t="shared" si="16"/>
        <v/>
      </c>
      <c r="AA61" s="232" t="str">
        <f t="shared" si="17"/>
        <v/>
      </c>
      <c r="AB61" s="232" t="str">
        <f t="shared" si="17"/>
        <v/>
      </c>
      <c r="AC61" s="232" t="str">
        <f t="shared" si="7"/>
        <v/>
      </c>
      <c r="AD61" s="232" t="str">
        <f t="shared" si="4"/>
        <v/>
      </c>
      <c r="AE61" s="229" t="str">
        <f>IF($H61="","",($F$1/$S61*$Y61*'Unit information'!$AB$3)+($F$1/$T61*$Z61*'Unit information'!$AB$4)+($F$1/$U61*$AA61*'Unit information'!$AB$5)+($F$1/$V61*$AB61*'Unit information'!$AB$8)+($F$1/$W61*$AC61*'Unit information'!$AB$10)+($F$1/$X61*$AD61*'Unit information'!$AB$11))</f>
        <v/>
      </c>
      <c r="AF61" s="229" t="str">
        <f>IF($H61="","",($F$1/$S61*$Y61*'Unit information'!$AC$3)+($F$1/$T61*$Z61*'Unit information'!$AC$4)+($F$1/$U61*$AA61*'Unit information'!$AC$5)+($F$1/$V61*$AB61*'Unit information'!$AC$8)+($F$1/$W61*$AC61*'Unit information'!$AC$10)+($F$1/$X61*$AD61*'Unit information'!$AC$11))</f>
        <v/>
      </c>
      <c r="AG61" s="229" t="str">
        <f>IF($H61="","",($F$1/$S61*$Y61*'Unit information'!$AD$3)+($F$1/$T61*$Z61*'Unit information'!$AD$4)+($F$1/$U61*$AA61*'Unit information'!$AD$5)+($F$1/$V61*$AB61*'Unit information'!$AD$8)+($F$1/$W61*$AC61*'Unit information'!$AD$10)+($F$1/$X61*$AD61*'Unit information'!$AD$11))</f>
        <v/>
      </c>
    </row>
    <row r="62" spans="1:33" x14ac:dyDescent="0.25">
      <c r="A62">
        <v>34</v>
      </c>
      <c r="B62" s="367">
        <f t="shared" si="12"/>
        <v>41780000</v>
      </c>
      <c r="C62" s="367">
        <f t="shared" si="13"/>
        <v>49250000</v>
      </c>
      <c r="D62" s="367">
        <f t="shared" si="14"/>
        <v>46275000</v>
      </c>
      <c r="E62" s="155">
        <f t="shared" si="15"/>
        <v>132685000</v>
      </c>
      <c r="H62" s="228"/>
      <c r="I62" s="11"/>
      <c r="J62" s="11"/>
      <c r="K62" s="11"/>
      <c r="L62" s="11"/>
      <c r="M62" s="11"/>
      <c r="N62" s="11"/>
      <c r="O62" s="40"/>
      <c r="P62" s="229" t="str">
        <f t="shared" si="8"/>
        <v/>
      </c>
      <c r="Q62" s="229" t="str">
        <f t="shared" si="9"/>
        <v/>
      </c>
      <c r="R62" s="229" t="str">
        <f t="shared" si="10"/>
        <v/>
      </c>
      <c r="S62" s="230" t="str">
        <f>IF($H62="","",HLOOKUP(S$2,'Unit information'!$B$3:$K$29,$L62+2,FALSE))</f>
        <v/>
      </c>
      <c r="T62" s="231" t="str">
        <f>IF($H62="","",HLOOKUP(T$2,'Unit information'!$B$3:$K$29,$L62+2,FALSE))</f>
        <v/>
      </c>
      <c r="U62" s="231" t="str">
        <f>IF($H62="","",HLOOKUP(U$2,'Unit information'!$B$3:$K$29,$L62+2,FALSE))</f>
        <v/>
      </c>
      <c r="V62" s="231" t="str">
        <f>IF($H62="","",HLOOKUP(V$2,'Unit information'!$B$3:$K$29,$M62+2,FALSE))</f>
        <v/>
      </c>
      <c r="W62" s="231" t="str">
        <f>IF($H62="","",HLOOKUP(W$2,'Unit information'!$B$3:$K$29,$M62+2,FALSE))</f>
        <v/>
      </c>
      <c r="X62" s="231" t="str">
        <f>IF($H62="","",HLOOKUP(X$2,'Unit information'!$B$3:$K$29,$N62+2,FALSE))</f>
        <v/>
      </c>
      <c r="Y62" s="232" t="str">
        <f t="shared" si="16"/>
        <v/>
      </c>
      <c r="Z62" s="232" t="str">
        <f t="shared" si="16"/>
        <v/>
      </c>
      <c r="AA62" s="232" t="str">
        <f t="shared" si="17"/>
        <v/>
      </c>
      <c r="AB62" s="232" t="str">
        <f t="shared" si="17"/>
        <v/>
      </c>
      <c r="AC62" s="232" t="str">
        <f t="shared" si="7"/>
        <v/>
      </c>
      <c r="AD62" s="232" t="str">
        <f t="shared" si="4"/>
        <v/>
      </c>
      <c r="AE62" s="229" t="str">
        <f>IF($H62="","",($F$1/$S62*$Y62*'Unit information'!$AB$3)+($F$1/$T62*$Z62*'Unit information'!$AB$4)+($F$1/$U62*$AA62*'Unit information'!$AB$5)+($F$1/$V62*$AB62*'Unit information'!$AB$8)+($F$1/$W62*$AC62*'Unit information'!$AB$10)+($F$1/$X62*$AD62*'Unit information'!$AB$11))</f>
        <v/>
      </c>
      <c r="AF62" s="229" t="str">
        <f>IF($H62="","",($F$1/$S62*$Y62*'Unit information'!$AC$3)+($F$1/$T62*$Z62*'Unit information'!$AC$4)+($F$1/$U62*$AA62*'Unit information'!$AC$5)+($F$1/$V62*$AB62*'Unit information'!$AC$8)+($F$1/$W62*$AC62*'Unit information'!$AC$10)+($F$1/$X62*$AD62*'Unit information'!$AC$11))</f>
        <v/>
      </c>
      <c r="AG62" s="229" t="str">
        <f>IF($H62="","",($F$1/$S62*$Y62*'Unit information'!$AD$3)+($F$1/$T62*$Z62*'Unit information'!$AD$4)+($F$1/$U62*$AA62*'Unit information'!$AD$5)+($F$1/$V62*$AB62*'Unit information'!$AD$8)+($F$1/$W62*$AC62*'Unit information'!$AD$10)+($F$1/$X62*$AD62*'Unit information'!$AD$11))</f>
        <v/>
      </c>
    </row>
    <row r="63" spans="1:33" x14ac:dyDescent="0.25">
      <c r="A63">
        <v>35</v>
      </c>
      <c r="B63" s="367">
        <f t="shared" si="12"/>
        <v>44200000</v>
      </c>
      <c r="C63" s="367">
        <f t="shared" si="13"/>
        <v>52100000</v>
      </c>
      <c r="D63" s="367">
        <f t="shared" si="14"/>
        <v>48950000</v>
      </c>
      <c r="E63" s="155">
        <f t="shared" si="15"/>
        <v>140490000</v>
      </c>
      <c r="H63" s="228"/>
      <c r="I63" s="11"/>
      <c r="J63" s="11"/>
      <c r="K63" s="11"/>
      <c r="L63" s="11"/>
      <c r="M63" s="11"/>
      <c r="N63" s="11"/>
      <c r="O63" s="40"/>
      <c r="P63" s="229" t="str">
        <f t="shared" si="8"/>
        <v/>
      </c>
      <c r="Q63" s="229" t="str">
        <f t="shared" si="9"/>
        <v/>
      </c>
      <c r="R63" s="229" t="str">
        <f t="shared" si="10"/>
        <v/>
      </c>
      <c r="S63" s="230" t="str">
        <f>IF($H63="","",HLOOKUP(S$2,'Unit information'!$B$3:$K$29,$L63+2,FALSE))</f>
        <v/>
      </c>
      <c r="T63" s="231" t="str">
        <f>IF($H63="","",HLOOKUP(T$2,'Unit information'!$B$3:$K$29,$L63+2,FALSE))</f>
        <v/>
      </c>
      <c r="U63" s="231" t="str">
        <f>IF($H63="","",HLOOKUP(U$2,'Unit information'!$B$3:$K$29,$L63+2,FALSE))</f>
        <v/>
      </c>
      <c r="V63" s="231" t="str">
        <f>IF($H63="","",HLOOKUP(V$2,'Unit information'!$B$3:$K$29,$M63+2,FALSE))</f>
        <v/>
      </c>
      <c r="W63" s="231" t="str">
        <f>IF($H63="","",HLOOKUP(W$2,'Unit information'!$B$3:$K$29,$M63+2,FALSE))</f>
        <v/>
      </c>
      <c r="X63" s="231" t="str">
        <f>IF($H63="","",HLOOKUP(X$2,'Unit information'!$B$3:$K$29,$N63+2,FALSE))</f>
        <v/>
      </c>
      <c r="Y63" s="232" t="str">
        <f t="shared" si="16"/>
        <v/>
      </c>
      <c r="Z63" s="232" t="str">
        <f t="shared" si="16"/>
        <v/>
      </c>
      <c r="AA63" s="232" t="str">
        <f t="shared" si="17"/>
        <v/>
      </c>
      <c r="AB63" s="232" t="str">
        <f t="shared" si="17"/>
        <v/>
      </c>
      <c r="AC63" s="232" t="str">
        <f t="shared" si="7"/>
        <v/>
      </c>
      <c r="AD63" s="232" t="str">
        <f t="shared" si="4"/>
        <v/>
      </c>
      <c r="AE63" s="229" t="str">
        <f>IF($H63="","",($F$1/$S63*$Y63*'Unit information'!$AB$3)+($F$1/$T63*$Z63*'Unit information'!$AB$4)+($F$1/$U63*$AA63*'Unit information'!$AB$5)+($F$1/$V63*$AB63*'Unit information'!$AB$8)+($F$1/$W63*$AC63*'Unit information'!$AB$10)+($F$1/$X63*$AD63*'Unit information'!$AB$11))</f>
        <v/>
      </c>
      <c r="AF63" s="229" t="str">
        <f>IF($H63="","",($F$1/$S63*$Y63*'Unit information'!$AC$3)+($F$1/$T63*$Z63*'Unit information'!$AC$4)+($F$1/$U63*$AA63*'Unit information'!$AC$5)+($F$1/$V63*$AB63*'Unit information'!$AC$8)+($F$1/$W63*$AC63*'Unit information'!$AC$10)+($F$1/$X63*$AD63*'Unit information'!$AC$11))</f>
        <v/>
      </c>
      <c r="AG63" s="229" t="str">
        <f>IF($H63="","",($F$1/$S63*$Y63*'Unit information'!$AD$3)+($F$1/$T63*$Z63*'Unit information'!$AD$4)+($F$1/$U63*$AA63*'Unit information'!$AD$5)+($F$1/$V63*$AB63*'Unit information'!$AD$8)+($F$1/$W63*$AC63*'Unit information'!$AD$10)+($F$1/$X63*$AD63*'Unit information'!$AD$11))</f>
        <v/>
      </c>
    </row>
    <row r="64" spans="1:33" x14ac:dyDescent="0.25">
      <c r="A64">
        <v>36</v>
      </c>
      <c r="B64" s="367">
        <f t="shared" si="12"/>
        <v>46688000</v>
      </c>
      <c r="C64" s="367">
        <f t="shared" si="13"/>
        <v>55030000</v>
      </c>
      <c r="D64" s="367">
        <f t="shared" si="14"/>
        <v>51700000</v>
      </c>
      <c r="E64" s="155">
        <f t="shared" si="15"/>
        <v>148518000</v>
      </c>
      <c r="H64" s="228"/>
      <c r="I64" s="11"/>
      <c r="J64" s="11"/>
      <c r="K64" s="11"/>
      <c r="L64" s="11"/>
      <c r="M64" s="11"/>
      <c r="N64" s="11"/>
      <c r="O64" s="40"/>
      <c r="P64" s="229" t="str">
        <f t="shared" si="8"/>
        <v/>
      </c>
      <c r="Q64" s="229" t="str">
        <f t="shared" si="9"/>
        <v/>
      </c>
      <c r="R64" s="229" t="str">
        <f t="shared" si="10"/>
        <v/>
      </c>
      <c r="S64" s="230" t="str">
        <f>IF($H64="","",HLOOKUP(S$2,'Unit information'!$B$3:$K$29,$L64+2,FALSE))</f>
        <v/>
      </c>
      <c r="T64" s="231" t="str">
        <f>IF($H64="","",HLOOKUP(T$2,'Unit information'!$B$3:$K$29,$L64+2,FALSE))</f>
        <v/>
      </c>
      <c r="U64" s="231" t="str">
        <f>IF($H64="","",HLOOKUP(U$2,'Unit information'!$B$3:$K$29,$L64+2,FALSE))</f>
        <v/>
      </c>
      <c r="V64" s="231" t="str">
        <f>IF($H64="","",HLOOKUP(V$2,'Unit information'!$B$3:$K$29,$M64+2,FALSE))</f>
        <v/>
      </c>
      <c r="W64" s="231" t="str">
        <f>IF($H64="","",HLOOKUP(W$2,'Unit information'!$B$3:$K$29,$M64+2,FALSE))</f>
        <v/>
      </c>
      <c r="X64" s="231" t="str">
        <f>IF($H64="","",HLOOKUP(X$2,'Unit information'!$B$3:$K$29,$N64+2,FALSE))</f>
        <v/>
      </c>
      <c r="Y64" s="232" t="str">
        <f t="shared" si="16"/>
        <v/>
      </c>
      <c r="Z64" s="232" t="str">
        <f t="shared" si="16"/>
        <v/>
      </c>
      <c r="AA64" s="232" t="str">
        <f t="shared" si="17"/>
        <v/>
      </c>
      <c r="AB64" s="232" t="str">
        <f t="shared" si="17"/>
        <v/>
      </c>
      <c r="AC64" s="232" t="str">
        <f t="shared" si="7"/>
        <v/>
      </c>
      <c r="AD64" s="232" t="str">
        <f t="shared" si="4"/>
        <v/>
      </c>
      <c r="AE64" s="229" t="str">
        <f>IF($H64="","",($F$1/$S64*$Y64*'Unit information'!$AB$3)+($F$1/$T64*$Z64*'Unit information'!$AB$4)+($F$1/$U64*$AA64*'Unit information'!$AB$5)+($F$1/$V64*$AB64*'Unit information'!$AB$8)+($F$1/$W64*$AC64*'Unit information'!$AB$10)+($F$1/$X64*$AD64*'Unit information'!$AB$11))</f>
        <v/>
      </c>
      <c r="AF64" s="229" t="str">
        <f>IF($H64="","",($F$1/$S64*$Y64*'Unit information'!$AC$3)+($F$1/$T64*$Z64*'Unit information'!$AC$4)+($F$1/$U64*$AA64*'Unit information'!$AC$5)+($F$1/$V64*$AB64*'Unit information'!$AC$8)+($F$1/$W64*$AC64*'Unit information'!$AC$10)+($F$1/$X64*$AD64*'Unit information'!$AC$11))</f>
        <v/>
      </c>
      <c r="AG64" s="229" t="str">
        <f>IF($H64="","",($F$1/$S64*$Y64*'Unit information'!$AD$3)+($F$1/$T64*$Z64*'Unit information'!$AD$4)+($F$1/$U64*$AA64*'Unit information'!$AD$5)+($F$1/$V64*$AB64*'Unit information'!$AD$8)+($F$1/$W64*$AC64*'Unit information'!$AD$10)+($F$1/$X64*$AD64*'Unit information'!$AD$11))</f>
        <v/>
      </c>
    </row>
    <row r="65" spans="1:33" x14ac:dyDescent="0.25">
      <c r="A65">
        <v>37</v>
      </c>
      <c r="B65" s="367">
        <f t="shared" si="12"/>
        <v>49244000</v>
      </c>
      <c r="C65" s="367">
        <f t="shared" si="13"/>
        <v>58040000</v>
      </c>
      <c r="D65" s="367">
        <f t="shared" si="14"/>
        <v>54525000</v>
      </c>
      <c r="E65" s="155">
        <f t="shared" si="15"/>
        <v>156769000</v>
      </c>
      <c r="H65" s="228"/>
      <c r="I65" s="11"/>
      <c r="J65" s="11"/>
      <c r="K65" s="11"/>
      <c r="L65" s="11"/>
      <c r="M65" s="11"/>
      <c r="N65" s="11"/>
      <c r="O65" s="40"/>
      <c r="P65" s="229" t="str">
        <f t="shared" si="8"/>
        <v/>
      </c>
      <c r="Q65" s="229" t="str">
        <f t="shared" si="9"/>
        <v/>
      </c>
      <c r="R65" s="229" t="str">
        <f t="shared" si="10"/>
        <v/>
      </c>
      <c r="S65" s="230" t="str">
        <f>IF($H65="","",HLOOKUP(S$2,'Unit information'!$B$3:$K$29,$L65+2,FALSE))</f>
        <v/>
      </c>
      <c r="T65" s="231" t="str">
        <f>IF($H65="","",HLOOKUP(T$2,'Unit information'!$B$3:$K$29,$L65+2,FALSE))</f>
        <v/>
      </c>
      <c r="U65" s="231" t="str">
        <f>IF($H65="","",HLOOKUP(U$2,'Unit information'!$B$3:$K$29,$L65+2,FALSE))</f>
        <v/>
      </c>
      <c r="V65" s="231" t="str">
        <f>IF($H65="","",HLOOKUP(V$2,'Unit information'!$B$3:$K$29,$M65+2,FALSE))</f>
        <v/>
      </c>
      <c r="W65" s="231" t="str">
        <f>IF($H65="","",HLOOKUP(W$2,'Unit information'!$B$3:$K$29,$M65+2,FALSE))</f>
        <v/>
      </c>
      <c r="X65" s="231" t="str">
        <f>IF($H65="","",HLOOKUP(X$2,'Unit information'!$B$3:$K$29,$N65+2,FALSE))</f>
        <v/>
      </c>
      <c r="Y65" s="232" t="str">
        <f t="shared" si="16"/>
        <v/>
      </c>
      <c r="Z65" s="232" t="str">
        <f t="shared" si="16"/>
        <v/>
      </c>
      <c r="AA65" s="232" t="str">
        <f t="shared" si="17"/>
        <v/>
      </c>
      <c r="AB65" s="232" t="str">
        <f t="shared" si="17"/>
        <v/>
      </c>
      <c r="AC65" s="232" t="str">
        <f t="shared" si="7"/>
        <v/>
      </c>
      <c r="AD65" s="232" t="str">
        <f t="shared" si="4"/>
        <v/>
      </c>
      <c r="AE65" s="229" t="str">
        <f>IF($H65="","",($F$1/$S65*$Y65*'Unit information'!$AB$3)+($F$1/$T65*$Z65*'Unit information'!$AB$4)+($F$1/$U65*$AA65*'Unit information'!$AB$5)+($F$1/$V65*$AB65*'Unit information'!$AB$8)+($F$1/$W65*$AC65*'Unit information'!$AB$10)+($F$1/$X65*$AD65*'Unit information'!$AB$11))</f>
        <v/>
      </c>
      <c r="AF65" s="229" t="str">
        <f>IF($H65="","",($F$1/$S65*$Y65*'Unit information'!$AC$3)+($F$1/$T65*$Z65*'Unit information'!$AC$4)+($F$1/$U65*$AA65*'Unit information'!$AC$5)+($F$1/$V65*$AB65*'Unit information'!$AC$8)+($F$1/$W65*$AC65*'Unit information'!$AC$10)+($F$1/$X65*$AD65*'Unit information'!$AC$11))</f>
        <v/>
      </c>
      <c r="AG65" s="229" t="str">
        <f>IF($H65="","",($F$1/$S65*$Y65*'Unit information'!$AD$3)+($F$1/$T65*$Z65*'Unit information'!$AD$4)+($F$1/$U65*$AA65*'Unit information'!$AD$5)+($F$1/$V65*$AB65*'Unit information'!$AD$8)+($F$1/$W65*$AC65*'Unit information'!$AD$10)+($F$1/$X65*$AD65*'Unit information'!$AD$11))</f>
        <v/>
      </c>
    </row>
    <row r="66" spans="1:33" x14ac:dyDescent="0.25">
      <c r="A66">
        <v>38</v>
      </c>
      <c r="B66" s="367">
        <f t="shared" si="12"/>
        <v>51868000</v>
      </c>
      <c r="C66" s="367">
        <f t="shared" si="13"/>
        <v>61130000</v>
      </c>
      <c r="D66" s="367">
        <f t="shared" si="14"/>
        <v>57425000</v>
      </c>
      <c r="E66" s="155">
        <f t="shared" si="15"/>
        <v>165243000</v>
      </c>
      <c r="H66" s="228"/>
      <c r="I66" s="11"/>
      <c r="J66" s="11"/>
      <c r="K66" s="11"/>
      <c r="L66" s="11"/>
      <c r="M66" s="11"/>
      <c r="N66" s="11"/>
      <c r="O66" s="40"/>
      <c r="P66" s="229" t="str">
        <f t="shared" si="8"/>
        <v/>
      </c>
      <c r="Q66" s="229" t="str">
        <f t="shared" si="9"/>
        <v/>
      </c>
      <c r="R66" s="229" t="str">
        <f t="shared" si="10"/>
        <v/>
      </c>
      <c r="S66" s="230" t="str">
        <f>IF($H66="","",HLOOKUP(S$2,'Unit information'!$B$3:$K$29,$L66+2,FALSE))</f>
        <v/>
      </c>
      <c r="T66" s="231" t="str">
        <f>IF($H66="","",HLOOKUP(T$2,'Unit information'!$B$3:$K$29,$L66+2,FALSE))</f>
        <v/>
      </c>
      <c r="U66" s="231" t="str">
        <f>IF($H66="","",HLOOKUP(U$2,'Unit information'!$B$3:$K$29,$L66+2,FALSE))</f>
        <v/>
      </c>
      <c r="V66" s="231" t="str">
        <f>IF($H66="","",HLOOKUP(V$2,'Unit information'!$B$3:$K$29,$M66+2,FALSE))</f>
        <v/>
      </c>
      <c r="W66" s="231" t="str">
        <f>IF($H66="","",HLOOKUP(W$2,'Unit information'!$B$3:$K$29,$M66+2,FALSE))</f>
        <v/>
      </c>
      <c r="X66" s="231" t="str">
        <f>IF($H66="","",HLOOKUP(X$2,'Unit information'!$B$3:$K$29,$N66+2,FALSE))</f>
        <v/>
      </c>
      <c r="Y66" s="232" t="str">
        <f t="shared" si="16"/>
        <v/>
      </c>
      <c r="Z66" s="232" t="str">
        <f t="shared" si="16"/>
        <v/>
      </c>
      <c r="AA66" s="232" t="str">
        <f t="shared" si="17"/>
        <v/>
      </c>
      <c r="AB66" s="232" t="str">
        <f t="shared" si="17"/>
        <v/>
      </c>
      <c r="AC66" s="232" t="str">
        <f t="shared" si="7"/>
        <v/>
      </c>
      <c r="AD66" s="232" t="str">
        <f t="shared" si="4"/>
        <v/>
      </c>
      <c r="AE66" s="229" t="str">
        <f>IF($H66="","",($F$1/$S66*$Y66*'Unit information'!$AB$3)+($F$1/$T66*$Z66*'Unit information'!$AB$4)+($F$1/$U66*$AA66*'Unit information'!$AB$5)+($F$1/$V66*$AB66*'Unit information'!$AB$8)+($F$1/$W66*$AC66*'Unit information'!$AB$10)+($F$1/$X66*$AD66*'Unit information'!$AB$11))</f>
        <v/>
      </c>
      <c r="AF66" s="229" t="str">
        <f>IF($H66="","",($F$1/$S66*$Y66*'Unit information'!$AC$3)+($F$1/$T66*$Z66*'Unit information'!$AC$4)+($F$1/$U66*$AA66*'Unit information'!$AC$5)+($F$1/$V66*$AB66*'Unit information'!$AC$8)+($F$1/$W66*$AC66*'Unit information'!$AC$10)+($F$1/$X66*$AD66*'Unit information'!$AC$11))</f>
        <v/>
      </c>
      <c r="AG66" s="229" t="str">
        <f>IF($H66="","",($F$1/$S66*$Y66*'Unit information'!$AD$3)+($F$1/$T66*$Z66*'Unit information'!$AD$4)+($F$1/$U66*$AA66*'Unit information'!$AD$5)+($F$1/$V66*$AB66*'Unit information'!$AD$8)+($F$1/$W66*$AC66*'Unit information'!$AD$10)+($F$1/$X66*$AD66*'Unit information'!$AD$11))</f>
        <v/>
      </c>
    </row>
    <row r="67" spans="1:33" x14ac:dyDescent="0.25">
      <c r="A67">
        <v>39</v>
      </c>
      <c r="B67" s="367">
        <f t="shared" si="12"/>
        <v>54560000</v>
      </c>
      <c r="C67" s="367">
        <f t="shared" si="13"/>
        <v>64300000</v>
      </c>
      <c r="D67" s="367">
        <f t="shared" si="14"/>
        <v>60400000</v>
      </c>
      <c r="E67" s="155">
        <f t="shared" si="15"/>
        <v>173940000</v>
      </c>
      <c r="H67" s="228"/>
      <c r="I67" s="11"/>
      <c r="J67" s="11"/>
      <c r="K67" s="11"/>
      <c r="L67" s="11"/>
      <c r="M67" s="11"/>
      <c r="N67" s="11"/>
      <c r="O67" s="40"/>
      <c r="P67" s="229" t="str">
        <f t="shared" si="8"/>
        <v/>
      </c>
      <c r="Q67" s="229" t="str">
        <f t="shared" si="9"/>
        <v/>
      </c>
      <c r="R67" s="229" t="str">
        <f t="shared" si="10"/>
        <v/>
      </c>
      <c r="S67" s="230" t="str">
        <f>IF($H67="","",HLOOKUP(S$2,'Unit information'!$B$3:$K$29,$L67+2,FALSE))</f>
        <v/>
      </c>
      <c r="T67" s="231" t="str">
        <f>IF($H67="","",HLOOKUP(T$2,'Unit information'!$B$3:$K$29,$L67+2,FALSE))</f>
        <v/>
      </c>
      <c r="U67" s="231" t="str">
        <f>IF($H67="","",HLOOKUP(U$2,'Unit information'!$B$3:$K$29,$L67+2,FALSE))</f>
        <v/>
      </c>
      <c r="V67" s="231" t="str">
        <f>IF($H67="","",HLOOKUP(V$2,'Unit information'!$B$3:$K$29,$M67+2,FALSE))</f>
        <v/>
      </c>
      <c r="W67" s="231" t="str">
        <f>IF($H67="","",HLOOKUP(W$2,'Unit information'!$B$3:$K$29,$M67+2,FALSE))</f>
        <v/>
      </c>
      <c r="X67" s="231" t="str">
        <f>IF($H67="","",HLOOKUP(X$2,'Unit information'!$B$3:$K$29,$N67+2,FALSE))</f>
        <v/>
      </c>
      <c r="Y67" s="232" t="str">
        <f t="shared" si="16"/>
        <v/>
      </c>
      <c r="Z67" s="232" t="str">
        <f t="shared" si="16"/>
        <v/>
      </c>
      <c r="AA67" s="232" t="str">
        <f t="shared" si="17"/>
        <v/>
      </c>
      <c r="AB67" s="232" t="str">
        <f t="shared" si="17"/>
        <v/>
      </c>
      <c r="AC67" s="232" t="str">
        <f t="shared" si="7"/>
        <v/>
      </c>
      <c r="AD67" s="232" t="str">
        <f t="shared" si="4"/>
        <v/>
      </c>
      <c r="AE67" s="229" t="str">
        <f>IF($H67="","",($F$1/$S67*$Y67*'Unit information'!$AB$3)+($F$1/$T67*$Z67*'Unit information'!$AB$4)+($F$1/$U67*$AA67*'Unit information'!$AB$5)+($F$1/$V67*$AB67*'Unit information'!$AB$8)+($F$1/$W67*$AC67*'Unit information'!$AB$10)+($F$1/$X67*$AD67*'Unit information'!$AB$11))</f>
        <v/>
      </c>
      <c r="AF67" s="229" t="str">
        <f>IF($H67="","",($F$1/$S67*$Y67*'Unit information'!$AC$3)+($F$1/$T67*$Z67*'Unit information'!$AC$4)+($F$1/$U67*$AA67*'Unit information'!$AC$5)+($F$1/$V67*$AB67*'Unit information'!$AC$8)+($F$1/$W67*$AC67*'Unit information'!$AC$10)+($F$1/$X67*$AD67*'Unit information'!$AC$11))</f>
        <v/>
      </c>
      <c r="AG67" s="229" t="str">
        <f>IF($H67="","",($F$1/$S67*$Y67*'Unit information'!$AD$3)+($F$1/$T67*$Z67*'Unit information'!$AD$4)+($F$1/$U67*$AA67*'Unit information'!$AD$5)+($F$1/$V67*$AB67*'Unit information'!$AD$8)+($F$1/$W67*$AC67*'Unit information'!$AD$10)+($F$1/$X67*$AD67*'Unit information'!$AD$11))</f>
        <v/>
      </c>
    </row>
    <row r="68" spans="1:33" x14ac:dyDescent="0.25">
      <c r="A68">
        <v>40</v>
      </c>
      <c r="B68" s="367">
        <f t="shared" si="12"/>
        <v>57320000</v>
      </c>
      <c r="C68" s="367">
        <f t="shared" si="13"/>
        <v>67550000</v>
      </c>
      <c r="D68" s="367">
        <f t="shared" si="14"/>
        <v>63450000</v>
      </c>
      <c r="E68" s="155">
        <f t="shared" si="15"/>
        <v>182860000</v>
      </c>
      <c r="H68" s="228"/>
      <c r="I68" s="11"/>
      <c r="J68" s="11"/>
      <c r="K68" s="11"/>
      <c r="L68" s="11"/>
      <c r="M68" s="11"/>
      <c r="N68" s="11"/>
      <c r="O68" s="40"/>
      <c r="P68" s="229" t="str">
        <f t="shared" si="8"/>
        <v/>
      </c>
      <c r="Q68" s="229" t="str">
        <f t="shared" si="9"/>
        <v/>
      </c>
      <c r="R68" s="229" t="str">
        <f t="shared" si="10"/>
        <v/>
      </c>
      <c r="S68" s="230" t="str">
        <f>IF($H68="","",HLOOKUP(S$2,'Unit information'!$B$3:$K$29,$L68+2,FALSE))</f>
        <v/>
      </c>
      <c r="T68" s="231" t="str">
        <f>IF($H68="","",HLOOKUP(T$2,'Unit information'!$B$3:$K$29,$L68+2,FALSE))</f>
        <v/>
      </c>
      <c r="U68" s="231" t="str">
        <f>IF($H68="","",HLOOKUP(U$2,'Unit information'!$B$3:$K$29,$L68+2,FALSE))</f>
        <v/>
      </c>
      <c r="V68" s="231" t="str">
        <f>IF($H68="","",HLOOKUP(V$2,'Unit information'!$B$3:$K$29,$M68+2,FALSE))</f>
        <v/>
      </c>
      <c r="W68" s="231" t="str">
        <f>IF($H68="","",HLOOKUP(W$2,'Unit information'!$B$3:$K$29,$M68+2,FALSE))</f>
        <v/>
      </c>
      <c r="X68" s="231" t="str">
        <f>IF($H68="","",HLOOKUP(X$2,'Unit information'!$B$3:$K$29,$N68+2,FALSE))</f>
        <v/>
      </c>
      <c r="Y68" s="232" t="str">
        <f t="shared" si="16"/>
        <v/>
      </c>
      <c r="Z68" s="232" t="str">
        <f t="shared" si="16"/>
        <v/>
      </c>
      <c r="AA68" s="232" t="str">
        <f t="shared" si="17"/>
        <v/>
      </c>
      <c r="AB68" s="232" t="str">
        <f t="shared" si="17"/>
        <v/>
      </c>
      <c r="AC68" s="232" t="str">
        <f t="shared" si="7"/>
        <v/>
      </c>
      <c r="AD68" s="232" t="str">
        <f t="shared" si="4"/>
        <v/>
      </c>
      <c r="AE68" s="229" t="str">
        <f>IF($H68="","",($F$1/$S68*$Y68*'Unit information'!$AB$3)+($F$1/$T68*$Z68*'Unit information'!$AB$4)+($F$1/$U68*$AA68*'Unit information'!$AB$5)+($F$1/$V68*$AB68*'Unit information'!$AB$8)+($F$1/$W68*$AC68*'Unit information'!$AB$10)+($F$1/$X68*$AD68*'Unit information'!$AB$11))</f>
        <v/>
      </c>
      <c r="AF68" s="229" t="str">
        <f>IF($H68="","",($F$1/$S68*$Y68*'Unit information'!$AC$3)+($F$1/$T68*$Z68*'Unit information'!$AC$4)+($F$1/$U68*$AA68*'Unit information'!$AC$5)+($F$1/$V68*$AB68*'Unit information'!$AC$8)+($F$1/$W68*$AC68*'Unit information'!$AC$10)+($F$1/$X68*$AD68*'Unit information'!$AC$11))</f>
        <v/>
      </c>
      <c r="AG68" s="229" t="str">
        <f>IF($H68="","",($F$1/$S68*$Y68*'Unit information'!$AD$3)+($F$1/$T68*$Z68*'Unit information'!$AD$4)+($F$1/$U68*$AA68*'Unit information'!$AD$5)+($F$1/$V68*$AB68*'Unit information'!$AD$8)+($F$1/$W68*$AC68*'Unit information'!$AD$10)+($F$1/$X68*$AD68*'Unit information'!$AD$11))</f>
        <v/>
      </c>
    </row>
    <row r="69" spans="1:33" x14ac:dyDescent="0.25">
      <c r="A69">
        <v>41</v>
      </c>
      <c r="B69" s="367">
        <f t="shared" si="12"/>
        <v>60148000</v>
      </c>
      <c r="C69" s="367">
        <f t="shared" si="13"/>
        <v>70880000</v>
      </c>
      <c r="D69" s="367">
        <f t="shared" si="14"/>
        <v>66575000</v>
      </c>
      <c r="E69" s="155">
        <f t="shared" si="15"/>
        <v>192003000</v>
      </c>
      <c r="H69" s="228"/>
      <c r="I69" s="11"/>
      <c r="J69" s="11"/>
      <c r="K69" s="11"/>
      <c r="L69" s="11"/>
      <c r="M69" s="11"/>
      <c r="N69" s="11"/>
      <c r="O69" s="40"/>
      <c r="P69" s="229" t="str">
        <f t="shared" si="8"/>
        <v/>
      </c>
      <c r="Q69" s="229" t="str">
        <f t="shared" si="9"/>
        <v/>
      </c>
      <c r="R69" s="229" t="str">
        <f t="shared" si="10"/>
        <v/>
      </c>
      <c r="S69" s="230" t="str">
        <f>IF($H69="","",HLOOKUP(S$2,'Unit information'!$B$3:$K$29,$L69+2,FALSE))</f>
        <v/>
      </c>
      <c r="T69" s="231" t="str">
        <f>IF($H69="","",HLOOKUP(T$2,'Unit information'!$B$3:$K$29,$L69+2,FALSE))</f>
        <v/>
      </c>
      <c r="U69" s="231" t="str">
        <f>IF($H69="","",HLOOKUP(U$2,'Unit information'!$B$3:$K$29,$L69+2,FALSE))</f>
        <v/>
      </c>
      <c r="V69" s="231" t="str">
        <f>IF($H69="","",HLOOKUP(V$2,'Unit information'!$B$3:$K$29,$M69+2,FALSE))</f>
        <v/>
      </c>
      <c r="W69" s="231" t="str">
        <f>IF($H69="","",HLOOKUP(W$2,'Unit information'!$B$3:$K$29,$M69+2,FALSE))</f>
        <v/>
      </c>
      <c r="X69" s="231" t="str">
        <f>IF($H69="","",HLOOKUP(X$2,'Unit information'!$B$3:$K$29,$N69+2,FALSE))</f>
        <v/>
      </c>
      <c r="Y69" s="232" t="str">
        <f t="shared" si="16"/>
        <v/>
      </c>
      <c r="Z69" s="232" t="str">
        <f t="shared" si="16"/>
        <v/>
      </c>
      <c r="AA69" s="232" t="str">
        <f t="shared" si="17"/>
        <v/>
      </c>
      <c r="AB69" s="232" t="str">
        <f t="shared" si="17"/>
        <v/>
      </c>
      <c r="AC69" s="232" t="str">
        <f t="shared" si="7"/>
        <v/>
      </c>
      <c r="AD69" s="232" t="str">
        <f t="shared" si="4"/>
        <v/>
      </c>
      <c r="AE69" s="229" t="str">
        <f>IF($H69="","",($F$1/$S69*$Y69*'Unit information'!$AB$3)+($F$1/$T69*$Z69*'Unit information'!$AB$4)+($F$1/$U69*$AA69*'Unit information'!$AB$5)+($F$1/$V69*$AB69*'Unit information'!$AB$8)+($F$1/$W69*$AC69*'Unit information'!$AB$10)+($F$1/$X69*$AD69*'Unit information'!$AB$11))</f>
        <v/>
      </c>
      <c r="AF69" s="229" t="str">
        <f>IF($H69="","",($F$1/$S69*$Y69*'Unit information'!$AC$3)+($F$1/$T69*$Z69*'Unit information'!$AC$4)+($F$1/$U69*$AA69*'Unit information'!$AC$5)+($F$1/$V69*$AB69*'Unit information'!$AC$8)+($F$1/$W69*$AC69*'Unit information'!$AC$10)+($F$1/$X69*$AD69*'Unit information'!$AC$11))</f>
        <v/>
      </c>
      <c r="AG69" s="229" t="str">
        <f>IF($H69="","",($F$1/$S69*$Y69*'Unit information'!$AD$3)+($F$1/$T69*$Z69*'Unit information'!$AD$4)+($F$1/$U69*$AA69*'Unit information'!$AD$5)+($F$1/$V69*$AB69*'Unit information'!$AD$8)+($F$1/$W69*$AC69*'Unit information'!$AD$10)+($F$1/$X69*$AD69*'Unit information'!$AD$11))</f>
        <v/>
      </c>
    </row>
    <row r="70" spans="1:33" x14ac:dyDescent="0.25">
      <c r="A70">
        <v>42</v>
      </c>
      <c r="B70" s="367">
        <f t="shared" si="12"/>
        <v>63044000</v>
      </c>
      <c r="C70" s="367">
        <f t="shared" si="13"/>
        <v>74290000</v>
      </c>
      <c r="D70" s="367">
        <f t="shared" si="14"/>
        <v>69775000</v>
      </c>
      <c r="E70" s="155">
        <f t="shared" si="15"/>
        <v>201369000</v>
      </c>
      <c r="H70" s="228"/>
      <c r="I70" s="11"/>
      <c r="J70" s="11"/>
      <c r="K70" s="11"/>
      <c r="L70" s="11"/>
      <c r="M70" s="11"/>
      <c r="N70" s="11"/>
      <c r="O70" s="40"/>
      <c r="P70" s="229" t="str">
        <f t="shared" si="8"/>
        <v/>
      </c>
      <c r="Q70" s="229" t="str">
        <f t="shared" si="9"/>
        <v/>
      </c>
      <c r="R70" s="229" t="str">
        <f t="shared" si="10"/>
        <v/>
      </c>
      <c r="S70" s="230" t="str">
        <f>IF($H70="","",HLOOKUP(S$2,'Unit information'!$B$3:$K$29,$L70+2,FALSE))</f>
        <v/>
      </c>
      <c r="T70" s="231" t="str">
        <f>IF($H70="","",HLOOKUP(T$2,'Unit information'!$B$3:$K$29,$L70+2,FALSE))</f>
        <v/>
      </c>
      <c r="U70" s="231" t="str">
        <f>IF($H70="","",HLOOKUP(U$2,'Unit information'!$B$3:$K$29,$L70+2,FALSE))</f>
        <v/>
      </c>
      <c r="V70" s="231" t="str">
        <f>IF($H70="","",HLOOKUP(V$2,'Unit information'!$B$3:$K$29,$M70+2,FALSE))</f>
        <v/>
      </c>
      <c r="W70" s="231" t="str">
        <f>IF($H70="","",HLOOKUP(W$2,'Unit information'!$B$3:$K$29,$M70+2,FALSE))</f>
        <v/>
      </c>
      <c r="X70" s="231" t="str">
        <f>IF($H70="","",HLOOKUP(X$2,'Unit information'!$B$3:$K$29,$N70+2,FALSE))</f>
        <v/>
      </c>
      <c r="Y70" s="232" t="str">
        <f t="shared" si="16"/>
        <v/>
      </c>
      <c r="Z70" s="232" t="str">
        <f t="shared" si="16"/>
        <v/>
      </c>
      <c r="AA70" s="232" t="str">
        <f t="shared" si="17"/>
        <v/>
      </c>
      <c r="AB70" s="232" t="str">
        <f t="shared" si="17"/>
        <v/>
      </c>
      <c r="AC70" s="232" t="str">
        <f t="shared" si="7"/>
        <v/>
      </c>
      <c r="AD70" s="232" t="str">
        <f t="shared" ref="AD70:AD111" si="18">IF($H70="","",IF($O70=$AI$1,"75%","50"%))</f>
        <v/>
      </c>
      <c r="AE70" s="229" t="str">
        <f>IF($H70="","",($F$1/$S70*$Y70*'Unit information'!$AB$3)+($F$1/$T70*$Z70*'Unit information'!$AB$4)+($F$1/$U70*$AA70*'Unit information'!$AB$5)+($F$1/$V70*$AB70*'Unit information'!$AB$8)+($F$1/$W70*$AC70*'Unit information'!$AB$10)+($F$1/$X70*$AD70*'Unit information'!$AB$11))</f>
        <v/>
      </c>
      <c r="AF70" s="229" t="str">
        <f>IF($H70="","",($F$1/$S70*$Y70*'Unit information'!$AC$3)+($F$1/$T70*$Z70*'Unit information'!$AC$4)+($F$1/$U70*$AA70*'Unit information'!$AC$5)+($F$1/$V70*$AB70*'Unit information'!$AC$8)+($F$1/$W70*$AC70*'Unit information'!$AC$10)+($F$1/$X70*$AD70*'Unit information'!$AC$11))</f>
        <v/>
      </c>
      <c r="AG70" s="229" t="str">
        <f>IF($H70="","",($F$1/$S70*$Y70*'Unit information'!$AD$3)+($F$1/$T70*$Z70*'Unit information'!$AD$4)+($F$1/$U70*$AA70*'Unit information'!$AD$5)+($F$1/$V70*$AB70*'Unit information'!$AD$8)+($F$1/$W70*$AC70*'Unit information'!$AD$10)+($F$1/$X70*$AD70*'Unit information'!$AD$11))</f>
        <v/>
      </c>
    </row>
    <row r="71" spans="1:33" x14ac:dyDescent="0.25">
      <c r="A71">
        <v>43</v>
      </c>
      <c r="B71" s="367">
        <f t="shared" si="12"/>
        <v>66008000</v>
      </c>
      <c r="C71" s="367">
        <f t="shared" si="13"/>
        <v>77780000</v>
      </c>
      <c r="D71" s="367">
        <f t="shared" si="14"/>
        <v>73050000</v>
      </c>
      <c r="E71" s="155">
        <f t="shared" si="15"/>
        <v>210958000</v>
      </c>
      <c r="H71" s="228"/>
      <c r="I71" s="11"/>
      <c r="J71" s="11"/>
      <c r="K71" s="11"/>
      <c r="L71" s="11"/>
      <c r="M71" s="11"/>
      <c r="N71" s="11"/>
      <c r="O71" s="40"/>
      <c r="P71" s="229" t="str">
        <f t="shared" si="8"/>
        <v/>
      </c>
      <c r="Q71" s="229" t="str">
        <f t="shared" si="9"/>
        <v/>
      </c>
      <c r="R71" s="229" t="str">
        <f t="shared" si="10"/>
        <v/>
      </c>
      <c r="S71" s="230" t="str">
        <f>IF($H71="","",HLOOKUP(S$2,'Unit information'!$B$3:$K$29,$L71+2,FALSE))</f>
        <v/>
      </c>
      <c r="T71" s="231" t="str">
        <f>IF($H71="","",HLOOKUP(T$2,'Unit information'!$B$3:$K$29,$L71+2,FALSE))</f>
        <v/>
      </c>
      <c r="U71" s="231" t="str">
        <f>IF($H71="","",HLOOKUP(U$2,'Unit information'!$B$3:$K$29,$L71+2,FALSE))</f>
        <v/>
      </c>
      <c r="V71" s="231" t="str">
        <f>IF($H71="","",HLOOKUP(V$2,'Unit information'!$B$3:$K$29,$M71+2,FALSE))</f>
        <v/>
      </c>
      <c r="W71" s="231" t="str">
        <f>IF($H71="","",HLOOKUP(W$2,'Unit information'!$B$3:$K$29,$M71+2,FALSE))</f>
        <v/>
      </c>
      <c r="X71" s="231" t="str">
        <f>IF($H71="","",HLOOKUP(X$2,'Unit information'!$B$3:$K$29,$N71+2,FALSE))</f>
        <v/>
      </c>
      <c r="Y71" s="232" t="str">
        <f t="shared" si="16"/>
        <v/>
      </c>
      <c r="Z71" s="232" t="str">
        <f t="shared" si="16"/>
        <v/>
      </c>
      <c r="AA71" s="232" t="str">
        <f t="shared" si="17"/>
        <v/>
      </c>
      <c r="AB71" s="232" t="str">
        <f t="shared" si="17"/>
        <v/>
      </c>
      <c r="AC71" s="232" t="str">
        <f t="shared" si="7"/>
        <v/>
      </c>
      <c r="AD71" s="232" t="str">
        <f t="shared" si="18"/>
        <v/>
      </c>
      <c r="AE71" s="229" t="str">
        <f>IF($H71="","",($F$1/$S71*$Y71*'Unit information'!$AB$3)+($F$1/$T71*$Z71*'Unit information'!$AB$4)+($F$1/$U71*$AA71*'Unit information'!$AB$5)+($F$1/$V71*$AB71*'Unit information'!$AB$8)+($F$1/$W71*$AC71*'Unit information'!$AB$10)+($F$1/$X71*$AD71*'Unit information'!$AB$11))</f>
        <v/>
      </c>
      <c r="AF71" s="229" t="str">
        <f>IF($H71="","",($F$1/$S71*$Y71*'Unit information'!$AC$3)+($F$1/$T71*$Z71*'Unit information'!$AC$4)+($F$1/$U71*$AA71*'Unit information'!$AC$5)+($F$1/$V71*$AB71*'Unit information'!$AC$8)+($F$1/$W71*$AC71*'Unit information'!$AC$10)+($F$1/$X71*$AD71*'Unit information'!$AC$11))</f>
        <v/>
      </c>
      <c r="AG71" s="229" t="str">
        <f>IF($H71="","",($F$1/$S71*$Y71*'Unit information'!$AD$3)+($F$1/$T71*$Z71*'Unit information'!$AD$4)+($F$1/$U71*$AA71*'Unit information'!$AD$5)+($F$1/$V71*$AB71*'Unit information'!$AD$8)+($F$1/$W71*$AC71*'Unit information'!$AD$10)+($F$1/$X71*$AD71*'Unit information'!$AD$11))</f>
        <v/>
      </c>
    </row>
    <row r="72" spans="1:33" x14ac:dyDescent="0.25">
      <c r="A72">
        <v>44</v>
      </c>
      <c r="B72" s="367">
        <f t="shared" si="12"/>
        <v>69040000</v>
      </c>
      <c r="C72" s="367">
        <f t="shared" si="13"/>
        <v>81350000</v>
      </c>
      <c r="D72" s="367">
        <f t="shared" si="14"/>
        <v>76400000</v>
      </c>
      <c r="E72" s="155">
        <f t="shared" si="15"/>
        <v>220770000</v>
      </c>
      <c r="H72" s="228"/>
      <c r="I72" s="11"/>
      <c r="J72" s="11"/>
      <c r="K72" s="11"/>
      <c r="L72" s="11"/>
      <c r="M72" s="11"/>
      <c r="N72" s="11"/>
      <c r="O72" s="40"/>
      <c r="P72" s="229" t="str">
        <f t="shared" si="8"/>
        <v/>
      </c>
      <c r="Q72" s="229" t="str">
        <f t="shared" si="9"/>
        <v/>
      </c>
      <c r="R72" s="229" t="str">
        <f t="shared" si="10"/>
        <v/>
      </c>
      <c r="S72" s="230" t="str">
        <f>IF($H72="","",HLOOKUP(S$2,'Unit information'!$B$3:$K$29,$L72+2,FALSE))</f>
        <v/>
      </c>
      <c r="T72" s="231" t="str">
        <f>IF($H72="","",HLOOKUP(T$2,'Unit information'!$B$3:$K$29,$L72+2,FALSE))</f>
        <v/>
      </c>
      <c r="U72" s="231" t="str">
        <f>IF($H72="","",HLOOKUP(U$2,'Unit information'!$B$3:$K$29,$L72+2,FALSE))</f>
        <v/>
      </c>
      <c r="V72" s="231" t="str">
        <f>IF($H72="","",HLOOKUP(V$2,'Unit information'!$B$3:$K$29,$M72+2,FALSE))</f>
        <v/>
      </c>
      <c r="W72" s="231" t="str">
        <f>IF($H72="","",HLOOKUP(W$2,'Unit information'!$B$3:$K$29,$M72+2,FALSE))</f>
        <v/>
      </c>
      <c r="X72" s="231" t="str">
        <f>IF($H72="","",HLOOKUP(X$2,'Unit information'!$B$3:$K$29,$N72+2,FALSE))</f>
        <v/>
      </c>
      <c r="Y72" s="232" t="str">
        <f t="shared" si="16"/>
        <v/>
      </c>
      <c r="Z72" s="232" t="str">
        <f t="shared" si="16"/>
        <v/>
      </c>
      <c r="AA72" s="232" t="str">
        <f t="shared" si="17"/>
        <v/>
      </c>
      <c r="AB72" s="232" t="str">
        <f t="shared" si="17"/>
        <v/>
      </c>
      <c r="AC72" s="232" t="str">
        <f t="shared" si="7"/>
        <v/>
      </c>
      <c r="AD72" s="232" t="str">
        <f t="shared" si="18"/>
        <v/>
      </c>
      <c r="AE72" s="229" t="str">
        <f>IF($H72="","",($F$1/$S72*$Y72*'Unit information'!$AB$3)+($F$1/$T72*$Z72*'Unit information'!$AB$4)+($F$1/$U72*$AA72*'Unit information'!$AB$5)+($F$1/$V72*$AB72*'Unit information'!$AB$8)+($F$1/$W72*$AC72*'Unit information'!$AB$10)+($F$1/$X72*$AD72*'Unit information'!$AB$11))</f>
        <v/>
      </c>
      <c r="AF72" s="229" t="str">
        <f>IF($H72="","",($F$1/$S72*$Y72*'Unit information'!$AC$3)+($F$1/$T72*$Z72*'Unit information'!$AC$4)+($F$1/$U72*$AA72*'Unit information'!$AC$5)+($F$1/$V72*$AB72*'Unit information'!$AC$8)+($F$1/$W72*$AC72*'Unit information'!$AC$10)+($F$1/$X72*$AD72*'Unit information'!$AC$11))</f>
        <v/>
      </c>
      <c r="AG72" s="229" t="str">
        <f>IF($H72="","",($F$1/$S72*$Y72*'Unit information'!$AD$3)+($F$1/$T72*$Z72*'Unit information'!$AD$4)+($F$1/$U72*$AA72*'Unit information'!$AD$5)+($F$1/$V72*$AB72*'Unit information'!$AD$8)+($F$1/$W72*$AC72*'Unit information'!$AD$10)+($F$1/$X72*$AD72*'Unit information'!$AD$11))</f>
        <v/>
      </c>
    </row>
    <row r="73" spans="1:33" x14ac:dyDescent="0.25">
      <c r="A73">
        <v>45</v>
      </c>
      <c r="B73" s="367">
        <f t="shared" si="12"/>
        <v>72140000</v>
      </c>
      <c r="C73" s="367">
        <f t="shared" si="13"/>
        <v>85000000</v>
      </c>
      <c r="D73" s="367">
        <f t="shared" si="14"/>
        <v>79825000</v>
      </c>
      <c r="E73" s="155">
        <f t="shared" si="15"/>
        <v>230805000</v>
      </c>
      <c r="H73" s="228"/>
      <c r="I73" s="11"/>
      <c r="J73" s="11"/>
      <c r="K73" s="11"/>
      <c r="L73" s="11"/>
      <c r="M73" s="11"/>
      <c r="N73" s="11"/>
      <c r="O73" s="40"/>
      <c r="P73" s="229" t="str">
        <f t="shared" si="8"/>
        <v/>
      </c>
      <c r="Q73" s="229" t="str">
        <f t="shared" si="9"/>
        <v/>
      </c>
      <c r="R73" s="229" t="str">
        <f t="shared" si="10"/>
        <v/>
      </c>
      <c r="S73" s="230" t="str">
        <f>IF($H73="","",HLOOKUP(S$2,'Unit information'!$B$3:$K$29,$L73+2,FALSE))</f>
        <v/>
      </c>
      <c r="T73" s="231" t="str">
        <f>IF($H73="","",HLOOKUP(T$2,'Unit information'!$B$3:$K$29,$L73+2,FALSE))</f>
        <v/>
      </c>
      <c r="U73" s="231" t="str">
        <f>IF($H73="","",HLOOKUP(U$2,'Unit information'!$B$3:$K$29,$L73+2,FALSE))</f>
        <v/>
      </c>
      <c r="V73" s="231" t="str">
        <f>IF($H73="","",HLOOKUP(V$2,'Unit information'!$B$3:$K$29,$M73+2,FALSE))</f>
        <v/>
      </c>
      <c r="W73" s="231" t="str">
        <f>IF($H73="","",HLOOKUP(W$2,'Unit information'!$B$3:$K$29,$M73+2,FALSE))</f>
        <v/>
      </c>
      <c r="X73" s="231" t="str">
        <f>IF($H73="","",HLOOKUP(X$2,'Unit information'!$B$3:$K$29,$N73+2,FALSE))</f>
        <v/>
      </c>
      <c r="Y73" s="232" t="str">
        <f t="shared" si="16"/>
        <v/>
      </c>
      <c r="Z73" s="232" t="str">
        <f t="shared" si="16"/>
        <v/>
      </c>
      <c r="AA73" s="232" t="str">
        <f t="shared" si="17"/>
        <v/>
      </c>
      <c r="AB73" s="232" t="str">
        <f t="shared" si="17"/>
        <v/>
      </c>
      <c r="AC73" s="232" t="str">
        <f t="shared" ref="AC73:AC111" si="19">IF($H73="","",IF($O73=$AI$3,"100%","0"%))</f>
        <v/>
      </c>
      <c r="AD73" s="232" t="str">
        <f t="shared" si="18"/>
        <v/>
      </c>
      <c r="AE73" s="229" t="str">
        <f>IF($H73="","",($F$1/$S73*$Y73*'Unit information'!$AB$3)+($F$1/$T73*$Z73*'Unit information'!$AB$4)+($F$1/$U73*$AA73*'Unit information'!$AB$5)+($F$1/$V73*$AB73*'Unit information'!$AB$8)+($F$1/$W73*$AC73*'Unit information'!$AB$10)+($F$1/$X73*$AD73*'Unit information'!$AB$11))</f>
        <v/>
      </c>
      <c r="AF73" s="229" t="str">
        <f>IF($H73="","",($F$1/$S73*$Y73*'Unit information'!$AC$3)+($F$1/$T73*$Z73*'Unit information'!$AC$4)+($F$1/$U73*$AA73*'Unit information'!$AC$5)+($F$1/$V73*$AB73*'Unit information'!$AC$8)+($F$1/$W73*$AC73*'Unit information'!$AC$10)+($F$1/$X73*$AD73*'Unit information'!$AC$11))</f>
        <v/>
      </c>
      <c r="AG73" s="229" t="str">
        <f>IF($H73="","",($F$1/$S73*$Y73*'Unit information'!$AD$3)+($F$1/$T73*$Z73*'Unit information'!$AD$4)+($F$1/$U73*$AA73*'Unit information'!$AD$5)+($F$1/$V73*$AB73*'Unit information'!$AD$8)+($F$1/$W73*$AC73*'Unit information'!$AD$10)+($F$1/$X73*$AD73*'Unit information'!$AD$11))</f>
        <v/>
      </c>
    </row>
    <row r="74" spans="1:33" x14ac:dyDescent="0.25">
      <c r="A74">
        <v>46</v>
      </c>
      <c r="B74" s="367">
        <f t="shared" si="12"/>
        <v>75308000</v>
      </c>
      <c r="C74" s="367">
        <f t="shared" si="13"/>
        <v>88730000</v>
      </c>
      <c r="D74" s="367">
        <f t="shared" si="14"/>
        <v>83325000</v>
      </c>
      <c r="E74" s="155">
        <f t="shared" si="15"/>
        <v>241063000</v>
      </c>
      <c r="H74" s="228"/>
      <c r="I74" s="11"/>
      <c r="J74" s="11"/>
      <c r="K74" s="11"/>
      <c r="L74" s="11"/>
      <c r="M74" s="11"/>
      <c r="N74" s="11"/>
      <c r="O74" s="40"/>
      <c r="P74" s="229" t="str">
        <f t="shared" si="8"/>
        <v/>
      </c>
      <c r="Q74" s="229" t="str">
        <f t="shared" si="9"/>
        <v/>
      </c>
      <c r="R74" s="229" t="str">
        <f t="shared" si="10"/>
        <v/>
      </c>
      <c r="S74" s="230" t="str">
        <f>IF($H74="","",HLOOKUP(S$2,'Unit information'!$B$3:$K$29,$L74+2,FALSE))</f>
        <v/>
      </c>
      <c r="T74" s="231" t="str">
        <f>IF($H74="","",HLOOKUP(T$2,'Unit information'!$B$3:$K$29,$L74+2,FALSE))</f>
        <v/>
      </c>
      <c r="U74" s="231" t="str">
        <f>IF($H74="","",HLOOKUP(U$2,'Unit information'!$B$3:$K$29,$L74+2,FALSE))</f>
        <v/>
      </c>
      <c r="V74" s="231" t="str">
        <f>IF($H74="","",HLOOKUP(V$2,'Unit information'!$B$3:$K$29,$M74+2,FALSE))</f>
        <v/>
      </c>
      <c r="W74" s="231" t="str">
        <f>IF($H74="","",HLOOKUP(W$2,'Unit information'!$B$3:$K$29,$M74+2,FALSE))</f>
        <v/>
      </c>
      <c r="X74" s="231" t="str">
        <f>IF($H74="","",HLOOKUP(X$2,'Unit information'!$B$3:$K$29,$N74+2,FALSE))</f>
        <v/>
      </c>
      <c r="Y74" s="232" t="str">
        <f t="shared" si="16"/>
        <v/>
      </c>
      <c r="Z74" s="232" t="str">
        <f t="shared" si="16"/>
        <v/>
      </c>
      <c r="AA74" s="232" t="str">
        <f t="shared" si="17"/>
        <v/>
      </c>
      <c r="AB74" s="232" t="str">
        <f t="shared" si="17"/>
        <v/>
      </c>
      <c r="AC74" s="232" t="str">
        <f t="shared" si="19"/>
        <v/>
      </c>
      <c r="AD74" s="232" t="str">
        <f t="shared" si="18"/>
        <v/>
      </c>
      <c r="AE74" s="229" t="str">
        <f>IF($H74="","",($F$1/$S74*$Y74*'Unit information'!$AB$3)+($F$1/$T74*$Z74*'Unit information'!$AB$4)+($F$1/$U74*$AA74*'Unit information'!$AB$5)+($F$1/$V74*$AB74*'Unit information'!$AB$8)+($F$1/$W74*$AC74*'Unit information'!$AB$10)+($F$1/$X74*$AD74*'Unit information'!$AB$11))</f>
        <v/>
      </c>
      <c r="AF74" s="229" t="str">
        <f>IF($H74="","",($F$1/$S74*$Y74*'Unit information'!$AC$3)+($F$1/$T74*$Z74*'Unit information'!$AC$4)+($F$1/$U74*$AA74*'Unit information'!$AC$5)+($F$1/$V74*$AB74*'Unit information'!$AC$8)+($F$1/$W74*$AC74*'Unit information'!$AC$10)+($F$1/$X74*$AD74*'Unit information'!$AC$11))</f>
        <v/>
      </c>
      <c r="AG74" s="229" t="str">
        <f>IF($H74="","",($F$1/$S74*$Y74*'Unit information'!$AD$3)+($F$1/$T74*$Z74*'Unit information'!$AD$4)+($F$1/$U74*$AA74*'Unit information'!$AD$5)+($F$1/$V74*$AB74*'Unit information'!$AD$8)+($F$1/$W74*$AC74*'Unit information'!$AD$10)+($F$1/$X74*$AD74*'Unit information'!$AD$11))</f>
        <v/>
      </c>
    </row>
    <row r="75" spans="1:33" x14ac:dyDescent="0.25">
      <c r="A75">
        <v>47</v>
      </c>
      <c r="B75" s="367">
        <f t="shared" si="12"/>
        <v>78544000</v>
      </c>
      <c r="C75" s="367">
        <f t="shared" si="13"/>
        <v>92540000</v>
      </c>
      <c r="D75" s="367">
        <f t="shared" si="14"/>
        <v>86900000</v>
      </c>
      <c r="E75" s="155">
        <f t="shared" si="15"/>
        <v>251544000</v>
      </c>
      <c r="H75" s="228"/>
      <c r="I75" s="11"/>
      <c r="J75" s="11"/>
      <c r="K75" s="11"/>
      <c r="L75" s="11"/>
      <c r="M75" s="11"/>
      <c r="N75" s="11"/>
      <c r="O75" s="40"/>
      <c r="P75" s="229" t="str">
        <f t="shared" si="8"/>
        <v/>
      </c>
      <c r="Q75" s="229" t="str">
        <f t="shared" si="9"/>
        <v/>
      </c>
      <c r="R75" s="229" t="str">
        <f t="shared" si="10"/>
        <v/>
      </c>
      <c r="S75" s="230" t="str">
        <f>IF($H75="","",HLOOKUP(S$2,'Unit information'!$B$3:$K$29,$L75+2,FALSE))</f>
        <v/>
      </c>
      <c r="T75" s="231" t="str">
        <f>IF($H75="","",HLOOKUP(T$2,'Unit information'!$B$3:$K$29,$L75+2,FALSE))</f>
        <v/>
      </c>
      <c r="U75" s="231" t="str">
        <f>IF($H75="","",HLOOKUP(U$2,'Unit information'!$B$3:$K$29,$L75+2,FALSE))</f>
        <v/>
      </c>
      <c r="V75" s="231" t="str">
        <f>IF($H75="","",HLOOKUP(V$2,'Unit information'!$B$3:$K$29,$M75+2,FALSE))</f>
        <v/>
      </c>
      <c r="W75" s="231" t="str">
        <f>IF($H75="","",HLOOKUP(W$2,'Unit information'!$B$3:$K$29,$M75+2,FALSE))</f>
        <v/>
      </c>
      <c r="X75" s="231" t="str">
        <f>IF($H75="","",HLOOKUP(X$2,'Unit information'!$B$3:$K$29,$N75+2,FALSE))</f>
        <v/>
      </c>
      <c r="Y75" s="232" t="str">
        <f t="shared" si="16"/>
        <v/>
      </c>
      <c r="Z75" s="232" t="str">
        <f t="shared" si="16"/>
        <v/>
      </c>
      <c r="AA75" s="232" t="str">
        <f t="shared" si="17"/>
        <v/>
      </c>
      <c r="AB75" s="232" t="str">
        <f t="shared" si="17"/>
        <v/>
      </c>
      <c r="AC75" s="232" t="str">
        <f t="shared" si="19"/>
        <v/>
      </c>
      <c r="AD75" s="232" t="str">
        <f t="shared" si="18"/>
        <v/>
      </c>
      <c r="AE75" s="229" t="str">
        <f>IF($H75="","",($F$1/$S75*$Y75*'Unit information'!$AB$3)+($F$1/$T75*$Z75*'Unit information'!$AB$4)+($F$1/$U75*$AA75*'Unit information'!$AB$5)+($F$1/$V75*$AB75*'Unit information'!$AB$8)+($F$1/$W75*$AC75*'Unit information'!$AB$10)+($F$1/$X75*$AD75*'Unit information'!$AB$11))</f>
        <v/>
      </c>
      <c r="AF75" s="229" t="str">
        <f>IF($H75="","",($F$1/$S75*$Y75*'Unit information'!$AC$3)+($F$1/$T75*$Z75*'Unit information'!$AC$4)+($F$1/$U75*$AA75*'Unit information'!$AC$5)+($F$1/$V75*$AB75*'Unit information'!$AC$8)+($F$1/$W75*$AC75*'Unit information'!$AC$10)+($F$1/$X75*$AD75*'Unit information'!$AC$11))</f>
        <v/>
      </c>
      <c r="AG75" s="229" t="str">
        <f>IF($H75="","",($F$1/$S75*$Y75*'Unit information'!$AD$3)+($F$1/$T75*$Z75*'Unit information'!$AD$4)+($F$1/$U75*$AA75*'Unit information'!$AD$5)+($F$1/$V75*$AB75*'Unit information'!$AD$8)+($F$1/$W75*$AC75*'Unit information'!$AD$10)+($F$1/$X75*$AD75*'Unit information'!$AD$11))</f>
        <v/>
      </c>
    </row>
    <row r="76" spans="1:33" x14ac:dyDescent="0.25">
      <c r="A76">
        <v>48</v>
      </c>
      <c r="B76" s="367">
        <f t="shared" si="12"/>
        <v>81848000</v>
      </c>
      <c r="C76" s="367">
        <f t="shared" si="13"/>
        <v>96430000</v>
      </c>
      <c r="D76" s="367">
        <f t="shared" si="14"/>
        <v>90550000</v>
      </c>
      <c r="E76" s="155">
        <f t="shared" si="15"/>
        <v>262248000</v>
      </c>
      <c r="H76" s="228"/>
      <c r="I76" s="11"/>
      <c r="J76" s="11"/>
      <c r="K76" s="11"/>
      <c r="L76" s="11"/>
      <c r="M76" s="11"/>
      <c r="N76" s="11"/>
      <c r="O76" s="40"/>
      <c r="P76" s="229" t="str">
        <f t="shared" ref="P76:P111" si="20">IF(H76="","",IF(I76 = 0,$B$3*5,$B$3*30*1.163118^(I76-1)))</f>
        <v/>
      </c>
      <c r="Q76" s="229" t="str">
        <f t="shared" ref="Q76:Q111" si="21">IF(I76="","",IF(J76 = 0,$B$3*5,$B$3*30*1.163118^(J76-1)))</f>
        <v/>
      </c>
      <c r="R76" s="229" t="str">
        <f t="shared" ref="R76:R111" si="22">IF(J76="","",IF(K76 = 0,$B$3*5,$B$3*30*1.163118^(K76-1)))</f>
        <v/>
      </c>
      <c r="S76" s="230" t="str">
        <f>IF($H76="","",HLOOKUP(S$2,'Unit information'!$B$3:$K$29,$L76+2,FALSE))</f>
        <v/>
      </c>
      <c r="T76" s="231" t="str">
        <f>IF($H76="","",HLOOKUP(T$2,'Unit information'!$B$3:$K$29,$L76+2,FALSE))</f>
        <v/>
      </c>
      <c r="U76" s="231" t="str">
        <f>IF($H76="","",HLOOKUP(U$2,'Unit information'!$B$3:$K$29,$L76+2,FALSE))</f>
        <v/>
      </c>
      <c r="V76" s="231" t="str">
        <f>IF($H76="","",HLOOKUP(V$2,'Unit information'!$B$3:$K$29,$M76+2,FALSE))</f>
        <v/>
      </c>
      <c r="W76" s="231" t="str">
        <f>IF($H76="","",HLOOKUP(W$2,'Unit information'!$B$3:$K$29,$M76+2,FALSE))</f>
        <v/>
      </c>
      <c r="X76" s="231" t="str">
        <f>IF($H76="","",HLOOKUP(X$2,'Unit information'!$B$3:$K$29,$N76+2,FALSE))</f>
        <v/>
      </c>
      <c r="Y76" s="232" t="str">
        <f t="shared" si="16"/>
        <v/>
      </c>
      <c r="Z76" s="232" t="str">
        <f t="shared" si="16"/>
        <v/>
      </c>
      <c r="AA76" s="232" t="str">
        <f t="shared" si="17"/>
        <v/>
      </c>
      <c r="AB76" s="232" t="str">
        <f t="shared" si="17"/>
        <v/>
      </c>
      <c r="AC76" s="232" t="str">
        <f t="shared" si="19"/>
        <v/>
      </c>
      <c r="AD76" s="232" t="str">
        <f t="shared" si="18"/>
        <v/>
      </c>
      <c r="AE76" s="229" t="str">
        <f>IF($H76="","",($F$1/$S76*$Y76*'Unit information'!$AB$3)+($F$1/$T76*$Z76*'Unit information'!$AB$4)+($F$1/$U76*$AA76*'Unit information'!$AB$5)+($F$1/$V76*$AB76*'Unit information'!$AB$8)+($F$1/$W76*$AC76*'Unit information'!$AB$10)+($F$1/$X76*$AD76*'Unit information'!$AB$11))</f>
        <v/>
      </c>
      <c r="AF76" s="229" t="str">
        <f>IF($H76="","",($F$1/$S76*$Y76*'Unit information'!$AC$3)+($F$1/$T76*$Z76*'Unit information'!$AC$4)+($F$1/$U76*$AA76*'Unit information'!$AC$5)+($F$1/$V76*$AB76*'Unit information'!$AC$8)+($F$1/$W76*$AC76*'Unit information'!$AC$10)+($F$1/$X76*$AD76*'Unit information'!$AC$11))</f>
        <v/>
      </c>
      <c r="AG76" s="229" t="str">
        <f>IF($H76="","",($F$1/$S76*$Y76*'Unit information'!$AD$3)+($F$1/$T76*$Z76*'Unit information'!$AD$4)+($F$1/$U76*$AA76*'Unit information'!$AD$5)+($F$1/$V76*$AB76*'Unit information'!$AD$8)+($F$1/$W76*$AC76*'Unit information'!$AD$10)+($F$1/$X76*$AD76*'Unit information'!$AD$11))</f>
        <v/>
      </c>
    </row>
    <row r="77" spans="1:33" x14ac:dyDescent="0.25">
      <c r="A77">
        <v>49</v>
      </c>
      <c r="B77" s="367">
        <f t="shared" si="12"/>
        <v>85220000</v>
      </c>
      <c r="C77" s="367">
        <f t="shared" si="13"/>
        <v>100400000</v>
      </c>
      <c r="D77" s="367">
        <f t="shared" si="14"/>
        <v>94275000</v>
      </c>
      <c r="E77" s="155">
        <f t="shared" si="15"/>
        <v>273175000</v>
      </c>
      <c r="H77" s="228"/>
      <c r="I77" s="11"/>
      <c r="J77" s="11"/>
      <c r="K77" s="11"/>
      <c r="L77" s="11"/>
      <c r="M77" s="11"/>
      <c r="N77" s="11"/>
      <c r="O77" s="40"/>
      <c r="P77" s="229" t="str">
        <f t="shared" si="20"/>
        <v/>
      </c>
      <c r="Q77" s="229" t="str">
        <f t="shared" si="21"/>
        <v/>
      </c>
      <c r="R77" s="229" t="str">
        <f t="shared" si="22"/>
        <v/>
      </c>
      <c r="S77" s="230" t="str">
        <f>IF($H77="","",HLOOKUP(S$2,'Unit information'!$B$3:$K$29,$L77+2,FALSE))</f>
        <v/>
      </c>
      <c r="T77" s="231" t="str">
        <f>IF($H77="","",HLOOKUP(T$2,'Unit information'!$B$3:$K$29,$L77+2,FALSE))</f>
        <v/>
      </c>
      <c r="U77" s="231" t="str">
        <f>IF($H77="","",HLOOKUP(U$2,'Unit information'!$B$3:$K$29,$L77+2,FALSE))</f>
        <v/>
      </c>
      <c r="V77" s="231" t="str">
        <f>IF($H77="","",HLOOKUP(V$2,'Unit information'!$B$3:$K$29,$M77+2,FALSE))</f>
        <v/>
      </c>
      <c r="W77" s="231" t="str">
        <f>IF($H77="","",HLOOKUP(W$2,'Unit information'!$B$3:$K$29,$M77+2,FALSE))</f>
        <v/>
      </c>
      <c r="X77" s="231" t="str">
        <f>IF($H77="","",HLOOKUP(X$2,'Unit information'!$B$3:$K$29,$N77+2,FALSE))</f>
        <v/>
      </c>
      <c r="Y77" s="232" t="str">
        <f t="shared" si="16"/>
        <v/>
      </c>
      <c r="Z77" s="232" t="str">
        <f t="shared" si="16"/>
        <v/>
      </c>
      <c r="AA77" s="232" t="str">
        <f t="shared" si="17"/>
        <v/>
      </c>
      <c r="AB77" s="232" t="str">
        <f t="shared" si="17"/>
        <v/>
      </c>
      <c r="AC77" s="232" t="str">
        <f t="shared" si="19"/>
        <v/>
      </c>
      <c r="AD77" s="232" t="str">
        <f t="shared" si="18"/>
        <v/>
      </c>
      <c r="AE77" s="229" t="str">
        <f>IF($H77="","",($F$1/$S77*$Y77*'Unit information'!$AB$3)+($F$1/$T77*$Z77*'Unit information'!$AB$4)+($F$1/$U77*$AA77*'Unit information'!$AB$5)+($F$1/$V77*$AB77*'Unit information'!$AB$8)+($F$1/$W77*$AC77*'Unit information'!$AB$10)+($F$1/$X77*$AD77*'Unit information'!$AB$11))</f>
        <v/>
      </c>
      <c r="AF77" s="229" t="str">
        <f>IF($H77="","",($F$1/$S77*$Y77*'Unit information'!$AC$3)+($F$1/$T77*$Z77*'Unit information'!$AC$4)+($F$1/$U77*$AA77*'Unit information'!$AC$5)+($F$1/$V77*$AB77*'Unit information'!$AC$8)+($F$1/$W77*$AC77*'Unit information'!$AC$10)+($F$1/$X77*$AD77*'Unit information'!$AC$11))</f>
        <v/>
      </c>
      <c r="AG77" s="229" t="str">
        <f>IF($H77="","",($F$1/$S77*$Y77*'Unit information'!$AD$3)+($F$1/$T77*$Z77*'Unit information'!$AD$4)+($F$1/$U77*$AA77*'Unit information'!$AD$5)+($F$1/$V77*$AB77*'Unit information'!$AD$8)+($F$1/$W77*$AC77*'Unit information'!$AD$10)+($F$1/$X77*$AD77*'Unit information'!$AD$11))</f>
        <v/>
      </c>
    </row>
    <row r="78" spans="1:33" x14ac:dyDescent="0.25">
      <c r="A78">
        <v>50</v>
      </c>
      <c r="B78" s="367">
        <f t="shared" si="12"/>
        <v>88660000</v>
      </c>
      <c r="C78" s="367">
        <f t="shared" si="13"/>
        <v>104450000</v>
      </c>
      <c r="D78" s="367">
        <f t="shared" si="14"/>
        <v>98075000</v>
      </c>
      <c r="E78" s="155">
        <f t="shared" si="15"/>
        <v>284325000</v>
      </c>
      <c r="H78" s="228"/>
      <c r="I78" s="11"/>
      <c r="J78" s="11"/>
      <c r="K78" s="11"/>
      <c r="L78" s="11"/>
      <c r="M78" s="11"/>
      <c r="N78" s="11"/>
      <c r="O78" s="40"/>
      <c r="P78" s="229" t="str">
        <f t="shared" si="20"/>
        <v/>
      </c>
      <c r="Q78" s="229" t="str">
        <f t="shared" si="21"/>
        <v/>
      </c>
      <c r="R78" s="229" t="str">
        <f t="shared" si="22"/>
        <v/>
      </c>
      <c r="S78" s="230" t="str">
        <f>IF($H78="","",HLOOKUP(S$2,'Unit information'!$B$3:$K$29,$L78+2,FALSE))</f>
        <v/>
      </c>
      <c r="T78" s="231" t="str">
        <f>IF($H78="","",HLOOKUP(T$2,'Unit information'!$B$3:$K$29,$L78+2,FALSE))</f>
        <v/>
      </c>
      <c r="U78" s="231" t="str">
        <f>IF($H78="","",HLOOKUP(U$2,'Unit information'!$B$3:$K$29,$L78+2,FALSE))</f>
        <v/>
      </c>
      <c r="V78" s="231" t="str">
        <f>IF($H78="","",HLOOKUP(V$2,'Unit information'!$B$3:$K$29,$M78+2,FALSE))</f>
        <v/>
      </c>
      <c r="W78" s="231" t="str">
        <f>IF($H78="","",HLOOKUP(W$2,'Unit information'!$B$3:$K$29,$M78+2,FALSE))</f>
        <v/>
      </c>
      <c r="X78" s="231" t="str">
        <f>IF($H78="","",HLOOKUP(X$2,'Unit information'!$B$3:$K$29,$N78+2,FALSE))</f>
        <v/>
      </c>
      <c r="Y78" s="232" t="str">
        <f t="shared" si="16"/>
        <v/>
      </c>
      <c r="Z78" s="232" t="str">
        <f t="shared" si="16"/>
        <v/>
      </c>
      <c r="AA78" s="232" t="str">
        <f t="shared" si="17"/>
        <v/>
      </c>
      <c r="AB78" s="232" t="str">
        <f t="shared" si="17"/>
        <v/>
      </c>
      <c r="AC78" s="232" t="str">
        <f t="shared" si="19"/>
        <v/>
      </c>
      <c r="AD78" s="232" t="str">
        <f t="shared" si="18"/>
        <v/>
      </c>
      <c r="AE78" s="229" t="str">
        <f>IF($H78="","",($F$1/$S78*$Y78*'Unit information'!$AB$3)+($F$1/$T78*$Z78*'Unit information'!$AB$4)+($F$1/$U78*$AA78*'Unit information'!$AB$5)+($F$1/$V78*$AB78*'Unit information'!$AB$8)+($F$1/$W78*$AC78*'Unit information'!$AB$10)+($F$1/$X78*$AD78*'Unit information'!$AB$11))</f>
        <v/>
      </c>
      <c r="AF78" s="229" t="str">
        <f>IF($H78="","",($F$1/$S78*$Y78*'Unit information'!$AC$3)+($F$1/$T78*$Z78*'Unit information'!$AC$4)+($F$1/$U78*$AA78*'Unit information'!$AC$5)+($F$1/$V78*$AB78*'Unit information'!$AC$8)+($F$1/$W78*$AC78*'Unit information'!$AC$10)+($F$1/$X78*$AD78*'Unit information'!$AC$11))</f>
        <v/>
      </c>
      <c r="AG78" s="229" t="str">
        <f>IF($H78="","",($F$1/$S78*$Y78*'Unit information'!$AD$3)+($F$1/$T78*$Z78*'Unit information'!$AD$4)+($F$1/$U78*$AA78*'Unit information'!$AD$5)+($F$1/$V78*$AB78*'Unit information'!$AD$8)+($F$1/$W78*$AC78*'Unit information'!$AD$10)+($F$1/$X78*$AD78*'Unit information'!$AD$11))</f>
        <v/>
      </c>
    </row>
    <row r="79" spans="1:33" x14ac:dyDescent="0.25">
      <c r="A79">
        <v>51</v>
      </c>
      <c r="B79" s="367">
        <f t="shared" si="12"/>
        <v>92168000</v>
      </c>
      <c r="C79" s="367">
        <f t="shared" si="13"/>
        <v>108580000</v>
      </c>
      <c r="D79" s="367">
        <f t="shared" si="14"/>
        <v>101950000</v>
      </c>
      <c r="E79" s="155">
        <f t="shared" si="15"/>
        <v>295698000</v>
      </c>
      <c r="H79" s="228"/>
      <c r="I79" s="11"/>
      <c r="J79" s="11"/>
      <c r="K79" s="11"/>
      <c r="L79" s="11"/>
      <c r="M79" s="11"/>
      <c r="N79" s="11"/>
      <c r="O79" s="40"/>
      <c r="P79" s="229" t="str">
        <f t="shared" si="20"/>
        <v/>
      </c>
      <c r="Q79" s="229" t="str">
        <f t="shared" si="21"/>
        <v/>
      </c>
      <c r="R79" s="229" t="str">
        <f t="shared" si="22"/>
        <v/>
      </c>
      <c r="S79" s="230" t="str">
        <f>IF($H79="","",HLOOKUP(S$2,'Unit information'!$B$3:$K$29,$L79+2,FALSE))</f>
        <v/>
      </c>
      <c r="T79" s="231" t="str">
        <f>IF($H79="","",HLOOKUP(T$2,'Unit information'!$B$3:$K$29,$L79+2,FALSE))</f>
        <v/>
      </c>
      <c r="U79" s="231" t="str">
        <f>IF($H79="","",HLOOKUP(U$2,'Unit information'!$B$3:$K$29,$L79+2,FALSE))</f>
        <v/>
      </c>
      <c r="V79" s="231" t="str">
        <f>IF($H79="","",HLOOKUP(V$2,'Unit information'!$B$3:$K$29,$M79+2,FALSE))</f>
        <v/>
      </c>
      <c r="W79" s="231" t="str">
        <f>IF($H79="","",HLOOKUP(W$2,'Unit information'!$B$3:$K$29,$M79+2,FALSE))</f>
        <v/>
      </c>
      <c r="X79" s="231" t="str">
        <f>IF($H79="","",HLOOKUP(X$2,'Unit information'!$B$3:$K$29,$N79+2,FALSE))</f>
        <v/>
      </c>
      <c r="Y79" s="232" t="str">
        <f t="shared" si="16"/>
        <v/>
      </c>
      <c r="Z79" s="232" t="str">
        <f t="shared" si="16"/>
        <v/>
      </c>
      <c r="AA79" s="232" t="str">
        <f t="shared" si="17"/>
        <v/>
      </c>
      <c r="AB79" s="232" t="str">
        <f t="shared" si="17"/>
        <v/>
      </c>
      <c r="AC79" s="232" t="str">
        <f t="shared" si="19"/>
        <v/>
      </c>
      <c r="AD79" s="232" t="str">
        <f t="shared" si="18"/>
        <v/>
      </c>
      <c r="AE79" s="229" t="str">
        <f>IF($H79="","",($F$1/$S79*$Y79*'Unit information'!$AB$3)+($F$1/$T79*$Z79*'Unit information'!$AB$4)+($F$1/$U79*$AA79*'Unit information'!$AB$5)+($F$1/$V79*$AB79*'Unit information'!$AB$8)+($F$1/$W79*$AC79*'Unit information'!$AB$10)+($F$1/$X79*$AD79*'Unit information'!$AB$11))</f>
        <v/>
      </c>
      <c r="AF79" s="229" t="str">
        <f>IF($H79="","",($F$1/$S79*$Y79*'Unit information'!$AC$3)+($F$1/$T79*$Z79*'Unit information'!$AC$4)+($F$1/$U79*$AA79*'Unit information'!$AC$5)+($F$1/$V79*$AB79*'Unit information'!$AC$8)+($F$1/$W79*$AC79*'Unit information'!$AC$10)+($F$1/$X79*$AD79*'Unit information'!$AC$11))</f>
        <v/>
      </c>
      <c r="AG79" s="229" t="str">
        <f>IF($H79="","",($F$1/$S79*$Y79*'Unit information'!$AD$3)+($F$1/$T79*$Z79*'Unit information'!$AD$4)+($F$1/$U79*$AA79*'Unit information'!$AD$5)+($F$1/$V79*$AB79*'Unit information'!$AD$8)+($F$1/$W79*$AC79*'Unit information'!$AD$10)+($F$1/$X79*$AD79*'Unit information'!$AD$11))</f>
        <v/>
      </c>
    </row>
    <row r="80" spans="1:33" x14ac:dyDescent="0.25">
      <c r="A80">
        <v>52</v>
      </c>
      <c r="B80" s="367">
        <f t="shared" si="12"/>
        <v>95744000</v>
      </c>
      <c r="C80" s="367">
        <f t="shared" si="13"/>
        <v>112790000</v>
      </c>
      <c r="D80" s="367">
        <f t="shared" si="14"/>
        <v>105900000</v>
      </c>
      <c r="E80" s="155">
        <f t="shared" si="15"/>
        <v>307294000</v>
      </c>
      <c r="H80" s="228"/>
      <c r="I80" s="11"/>
      <c r="J80" s="11"/>
      <c r="K80" s="11"/>
      <c r="L80" s="11"/>
      <c r="M80" s="11"/>
      <c r="N80" s="11"/>
      <c r="O80" s="40"/>
      <c r="P80" s="229" t="str">
        <f t="shared" si="20"/>
        <v/>
      </c>
      <c r="Q80" s="229" t="str">
        <f t="shared" si="21"/>
        <v/>
      </c>
      <c r="R80" s="229" t="str">
        <f t="shared" si="22"/>
        <v/>
      </c>
      <c r="S80" s="230" t="str">
        <f>IF($H80="","",HLOOKUP(S$2,'Unit information'!$B$3:$K$29,$L80+2,FALSE))</f>
        <v/>
      </c>
      <c r="T80" s="231" t="str">
        <f>IF($H80="","",HLOOKUP(T$2,'Unit information'!$B$3:$K$29,$L80+2,FALSE))</f>
        <v/>
      </c>
      <c r="U80" s="231" t="str">
        <f>IF($H80="","",HLOOKUP(U$2,'Unit information'!$B$3:$K$29,$L80+2,FALSE))</f>
        <v/>
      </c>
      <c r="V80" s="231" t="str">
        <f>IF($H80="","",HLOOKUP(V$2,'Unit information'!$B$3:$K$29,$M80+2,FALSE))</f>
        <v/>
      </c>
      <c r="W80" s="231" t="str">
        <f>IF($H80="","",HLOOKUP(W$2,'Unit information'!$B$3:$K$29,$M80+2,FALSE))</f>
        <v/>
      </c>
      <c r="X80" s="231" t="str">
        <f>IF($H80="","",HLOOKUP(X$2,'Unit information'!$B$3:$K$29,$N80+2,FALSE))</f>
        <v/>
      </c>
      <c r="Y80" s="232" t="str">
        <f t="shared" si="16"/>
        <v/>
      </c>
      <c r="Z80" s="232" t="str">
        <f t="shared" si="16"/>
        <v/>
      </c>
      <c r="AA80" s="232" t="str">
        <f t="shared" si="17"/>
        <v/>
      </c>
      <c r="AB80" s="232" t="str">
        <f t="shared" si="17"/>
        <v/>
      </c>
      <c r="AC80" s="232" t="str">
        <f t="shared" si="19"/>
        <v/>
      </c>
      <c r="AD80" s="232" t="str">
        <f t="shared" si="18"/>
        <v/>
      </c>
      <c r="AE80" s="229" t="str">
        <f>IF($H80="","",($F$1/$S80*$Y80*'Unit information'!$AB$3)+($F$1/$T80*$Z80*'Unit information'!$AB$4)+($F$1/$U80*$AA80*'Unit information'!$AB$5)+($F$1/$V80*$AB80*'Unit information'!$AB$8)+($F$1/$W80*$AC80*'Unit information'!$AB$10)+($F$1/$X80*$AD80*'Unit information'!$AB$11))</f>
        <v/>
      </c>
      <c r="AF80" s="229" t="str">
        <f>IF($H80="","",($F$1/$S80*$Y80*'Unit information'!$AC$3)+($F$1/$T80*$Z80*'Unit information'!$AC$4)+($F$1/$U80*$AA80*'Unit information'!$AC$5)+($F$1/$V80*$AB80*'Unit information'!$AC$8)+($F$1/$W80*$AC80*'Unit information'!$AC$10)+($F$1/$X80*$AD80*'Unit information'!$AC$11))</f>
        <v/>
      </c>
      <c r="AG80" s="229" t="str">
        <f>IF($H80="","",($F$1/$S80*$Y80*'Unit information'!$AD$3)+($F$1/$T80*$Z80*'Unit information'!$AD$4)+($F$1/$U80*$AA80*'Unit information'!$AD$5)+($F$1/$V80*$AB80*'Unit information'!$AD$8)+($F$1/$W80*$AC80*'Unit information'!$AD$10)+($F$1/$X80*$AD80*'Unit information'!$AD$11))</f>
        <v/>
      </c>
    </row>
    <row r="81" spans="1:33" x14ac:dyDescent="0.25">
      <c r="A81">
        <v>53</v>
      </c>
      <c r="B81" s="367">
        <f t="shared" si="12"/>
        <v>99388000</v>
      </c>
      <c r="C81" s="367">
        <f t="shared" si="13"/>
        <v>117080000</v>
      </c>
      <c r="D81" s="367">
        <f t="shared" si="14"/>
        <v>109925000</v>
      </c>
      <c r="E81" s="155">
        <f t="shared" si="15"/>
        <v>319113000</v>
      </c>
      <c r="H81" s="228"/>
      <c r="I81" s="11"/>
      <c r="J81" s="11"/>
      <c r="K81" s="11"/>
      <c r="L81" s="11"/>
      <c r="M81" s="11"/>
      <c r="N81" s="11"/>
      <c r="O81" s="40"/>
      <c r="P81" s="229" t="str">
        <f t="shared" si="20"/>
        <v/>
      </c>
      <c r="Q81" s="229" t="str">
        <f t="shared" si="21"/>
        <v/>
      </c>
      <c r="R81" s="229" t="str">
        <f t="shared" si="22"/>
        <v/>
      </c>
      <c r="S81" s="230" t="str">
        <f>IF($H81="","",HLOOKUP(S$2,'Unit information'!$B$3:$K$29,$L81+2,FALSE))</f>
        <v/>
      </c>
      <c r="T81" s="231" t="str">
        <f>IF($H81="","",HLOOKUP(T$2,'Unit information'!$B$3:$K$29,$L81+2,FALSE))</f>
        <v/>
      </c>
      <c r="U81" s="231" t="str">
        <f>IF($H81="","",HLOOKUP(U$2,'Unit information'!$B$3:$K$29,$L81+2,FALSE))</f>
        <v/>
      </c>
      <c r="V81" s="231" t="str">
        <f>IF($H81="","",HLOOKUP(V$2,'Unit information'!$B$3:$K$29,$M81+2,FALSE))</f>
        <v/>
      </c>
      <c r="W81" s="231" t="str">
        <f>IF($H81="","",HLOOKUP(W$2,'Unit information'!$B$3:$K$29,$M81+2,FALSE))</f>
        <v/>
      </c>
      <c r="X81" s="231" t="str">
        <f>IF($H81="","",HLOOKUP(X$2,'Unit information'!$B$3:$K$29,$N81+2,FALSE))</f>
        <v/>
      </c>
      <c r="Y81" s="232" t="str">
        <f t="shared" si="16"/>
        <v/>
      </c>
      <c r="Z81" s="232" t="str">
        <f t="shared" si="16"/>
        <v/>
      </c>
      <c r="AA81" s="232" t="str">
        <f t="shared" si="17"/>
        <v/>
      </c>
      <c r="AB81" s="232" t="str">
        <f t="shared" si="17"/>
        <v/>
      </c>
      <c r="AC81" s="232" t="str">
        <f t="shared" si="19"/>
        <v/>
      </c>
      <c r="AD81" s="232" t="str">
        <f t="shared" si="18"/>
        <v/>
      </c>
      <c r="AE81" s="229" t="str">
        <f>IF($H81="","",($F$1/$S81*$Y81*'Unit information'!$AB$3)+($F$1/$T81*$Z81*'Unit information'!$AB$4)+($F$1/$U81*$AA81*'Unit information'!$AB$5)+($F$1/$V81*$AB81*'Unit information'!$AB$8)+($F$1/$W81*$AC81*'Unit information'!$AB$10)+($F$1/$X81*$AD81*'Unit information'!$AB$11))</f>
        <v/>
      </c>
      <c r="AF81" s="229" t="str">
        <f>IF($H81="","",($F$1/$S81*$Y81*'Unit information'!$AC$3)+($F$1/$T81*$Z81*'Unit information'!$AC$4)+($F$1/$U81*$AA81*'Unit information'!$AC$5)+($F$1/$V81*$AB81*'Unit information'!$AC$8)+($F$1/$W81*$AC81*'Unit information'!$AC$10)+($F$1/$X81*$AD81*'Unit information'!$AC$11))</f>
        <v/>
      </c>
      <c r="AG81" s="229" t="str">
        <f>IF($H81="","",($F$1/$S81*$Y81*'Unit information'!$AD$3)+($F$1/$T81*$Z81*'Unit information'!$AD$4)+($F$1/$U81*$AA81*'Unit information'!$AD$5)+($F$1/$V81*$AB81*'Unit information'!$AD$8)+($F$1/$W81*$AC81*'Unit information'!$AD$10)+($F$1/$X81*$AD81*'Unit information'!$AD$11))</f>
        <v/>
      </c>
    </row>
    <row r="82" spans="1:33" x14ac:dyDescent="0.25">
      <c r="A82">
        <v>54</v>
      </c>
      <c r="B82" s="367">
        <f t="shared" si="12"/>
        <v>103100000</v>
      </c>
      <c r="C82" s="367">
        <f t="shared" si="13"/>
        <v>121450000</v>
      </c>
      <c r="D82" s="367">
        <f t="shared" si="14"/>
        <v>114025000</v>
      </c>
      <c r="E82" s="155">
        <f t="shared" si="15"/>
        <v>331155000</v>
      </c>
      <c r="H82" s="228"/>
      <c r="I82" s="11"/>
      <c r="J82" s="11"/>
      <c r="K82" s="11"/>
      <c r="L82" s="11"/>
      <c r="M82" s="11"/>
      <c r="N82" s="11"/>
      <c r="O82" s="40"/>
      <c r="P82" s="229" t="str">
        <f t="shared" si="20"/>
        <v/>
      </c>
      <c r="Q82" s="229" t="str">
        <f t="shared" si="21"/>
        <v/>
      </c>
      <c r="R82" s="229" t="str">
        <f t="shared" si="22"/>
        <v/>
      </c>
      <c r="S82" s="230" t="str">
        <f>IF($H82="","",HLOOKUP(S$2,'Unit information'!$B$3:$K$29,$L82+2,FALSE))</f>
        <v/>
      </c>
      <c r="T82" s="231" t="str">
        <f>IF($H82="","",HLOOKUP(T$2,'Unit information'!$B$3:$K$29,$L82+2,FALSE))</f>
        <v/>
      </c>
      <c r="U82" s="231" t="str">
        <f>IF($H82="","",HLOOKUP(U$2,'Unit information'!$B$3:$K$29,$L82+2,FALSE))</f>
        <v/>
      </c>
      <c r="V82" s="231" t="str">
        <f>IF($H82="","",HLOOKUP(V$2,'Unit information'!$B$3:$K$29,$M82+2,FALSE))</f>
        <v/>
      </c>
      <c r="W82" s="231" t="str">
        <f>IF($H82="","",HLOOKUP(W$2,'Unit information'!$B$3:$K$29,$M82+2,FALSE))</f>
        <v/>
      </c>
      <c r="X82" s="231" t="str">
        <f>IF($H82="","",HLOOKUP(X$2,'Unit information'!$B$3:$K$29,$N82+2,FALSE))</f>
        <v/>
      </c>
      <c r="Y82" s="232" t="str">
        <f t="shared" si="16"/>
        <v/>
      </c>
      <c r="Z82" s="232" t="str">
        <f t="shared" si="16"/>
        <v/>
      </c>
      <c r="AA82" s="232" t="str">
        <f t="shared" si="17"/>
        <v/>
      </c>
      <c r="AB82" s="232" t="str">
        <f t="shared" si="17"/>
        <v/>
      </c>
      <c r="AC82" s="232" t="str">
        <f t="shared" si="19"/>
        <v/>
      </c>
      <c r="AD82" s="232" t="str">
        <f t="shared" si="18"/>
        <v/>
      </c>
      <c r="AE82" s="229" t="str">
        <f>IF($H82="","",($F$1/$S82*$Y82*'Unit information'!$AB$3)+($F$1/$T82*$Z82*'Unit information'!$AB$4)+($F$1/$U82*$AA82*'Unit information'!$AB$5)+($F$1/$V82*$AB82*'Unit information'!$AB$8)+($F$1/$W82*$AC82*'Unit information'!$AB$10)+($F$1/$X82*$AD82*'Unit information'!$AB$11))</f>
        <v/>
      </c>
      <c r="AF82" s="229" t="str">
        <f>IF($H82="","",($F$1/$S82*$Y82*'Unit information'!$AC$3)+($F$1/$T82*$Z82*'Unit information'!$AC$4)+($F$1/$U82*$AA82*'Unit information'!$AC$5)+($F$1/$V82*$AB82*'Unit information'!$AC$8)+($F$1/$W82*$AC82*'Unit information'!$AC$10)+($F$1/$X82*$AD82*'Unit information'!$AC$11))</f>
        <v/>
      </c>
      <c r="AG82" s="229" t="str">
        <f>IF($H82="","",($F$1/$S82*$Y82*'Unit information'!$AD$3)+($F$1/$T82*$Z82*'Unit information'!$AD$4)+($F$1/$U82*$AA82*'Unit information'!$AD$5)+($F$1/$V82*$AB82*'Unit information'!$AD$8)+($F$1/$W82*$AC82*'Unit information'!$AD$10)+($F$1/$X82*$AD82*'Unit information'!$AD$11))</f>
        <v/>
      </c>
    </row>
    <row r="83" spans="1:33" x14ac:dyDescent="0.25">
      <c r="A83">
        <v>55</v>
      </c>
      <c r="B83" s="367">
        <f t="shared" si="12"/>
        <v>106880000</v>
      </c>
      <c r="C83" s="367">
        <f t="shared" si="13"/>
        <v>125900000</v>
      </c>
      <c r="D83" s="367">
        <f t="shared" si="14"/>
        <v>118200000</v>
      </c>
      <c r="E83" s="155">
        <f t="shared" si="15"/>
        <v>343420000</v>
      </c>
      <c r="H83" s="228"/>
      <c r="I83" s="11"/>
      <c r="J83" s="11"/>
      <c r="K83" s="11"/>
      <c r="L83" s="11"/>
      <c r="M83" s="11"/>
      <c r="N83" s="11"/>
      <c r="O83" s="40"/>
      <c r="P83" s="229" t="str">
        <f t="shared" si="20"/>
        <v/>
      </c>
      <c r="Q83" s="229" t="str">
        <f t="shared" si="21"/>
        <v/>
      </c>
      <c r="R83" s="229" t="str">
        <f t="shared" si="22"/>
        <v/>
      </c>
      <c r="S83" s="230" t="str">
        <f>IF($H83="","",HLOOKUP(S$2,'Unit information'!$B$3:$K$29,$L83+2,FALSE))</f>
        <v/>
      </c>
      <c r="T83" s="231" t="str">
        <f>IF($H83="","",HLOOKUP(T$2,'Unit information'!$B$3:$K$29,$L83+2,FALSE))</f>
        <v/>
      </c>
      <c r="U83" s="231" t="str">
        <f>IF($H83="","",HLOOKUP(U$2,'Unit information'!$B$3:$K$29,$L83+2,FALSE))</f>
        <v/>
      </c>
      <c r="V83" s="231" t="str">
        <f>IF($H83="","",HLOOKUP(V$2,'Unit information'!$B$3:$K$29,$M83+2,FALSE))</f>
        <v/>
      </c>
      <c r="W83" s="231" t="str">
        <f>IF($H83="","",HLOOKUP(W$2,'Unit information'!$B$3:$K$29,$M83+2,FALSE))</f>
        <v/>
      </c>
      <c r="X83" s="231" t="str">
        <f>IF($H83="","",HLOOKUP(X$2,'Unit information'!$B$3:$K$29,$N83+2,FALSE))</f>
        <v/>
      </c>
      <c r="Y83" s="232" t="str">
        <f t="shared" si="16"/>
        <v/>
      </c>
      <c r="Z83" s="232" t="str">
        <f t="shared" si="16"/>
        <v/>
      </c>
      <c r="AA83" s="232" t="str">
        <f t="shared" si="17"/>
        <v/>
      </c>
      <c r="AB83" s="232" t="str">
        <f t="shared" si="17"/>
        <v/>
      </c>
      <c r="AC83" s="232" t="str">
        <f t="shared" si="19"/>
        <v/>
      </c>
      <c r="AD83" s="232" t="str">
        <f t="shared" si="18"/>
        <v/>
      </c>
      <c r="AE83" s="229" t="str">
        <f>IF($H83="","",($F$1/$S83*$Y83*'Unit information'!$AB$3)+($F$1/$T83*$Z83*'Unit information'!$AB$4)+($F$1/$U83*$AA83*'Unit information'!$AB$5)+($F$1/$V83*$AB83*'Unit information'!$AB$8)+($F$1/$W83*$AC83*'Unit information'!$AB$10)+($F$1/$X83*$AD83*'Unit information'!$AB$11))</f>
        <v/>
      </c>
      <c r="AF83" s="229" t="str">
        <f>IF($H83="","",($F$1/$S83*$Y83*'Unit information'!$AC$3)+($F$1/$T83*$Z83*'Unit information'!$AC$4)+($F$1/$U83*$AA83*'Unit information'!$AC$5)+($F$1/$V83*$AB83*'Unit information'!$AC$8)+($F$1/$W83*$AC83*'Unit information'!$AC$10)+($F$1/$X83*$AD83*'Unit information'!$AC$11))</f>
        <v/>
      </c>
      <c r="AG83" s="229" t="str">
        <f>IF($H83="","",($F$1/$S83*$Y83*'Unit information'!$AD$3)+($F$1/$T83*$Z83*'Unit information'!$AD$4)+($F$1/$U83*$AA83*'Unit information'!$AD$5)+($F$1/$V83*$AB83*'Unit information'!$AD$8)+($F$1/$W83*$AC83*'Unit information'!$AD$10)+($F$1/$X83*$AD83*'Unit information'!$AD$11))</f>
        <v/>
      </c>
    </row>
    <row r="84" spans="1:33" x14ac:dyDescent="0.25">
      <c r="A84">
        <v>56</v>
      </c>
      <c r="B84" s="367">
        <f t="shared" si="12"/>
        <v>110728000</v>
      </c>
      <c r="C84" s="367">
        <f t="shared" si="13"/>
        <v>130430000</v>
      </c>
      <c r="D84" s="367">
        <f t="shared" si="14"/>
        <v>122450000</v>
      </c>
      <c r="E84" s="155">
        <f t="shared" si="15"/>
        <v>355908000</v>
      </c>
      <c r="H84" s="228"/>
      <c r="I84" s="11"/>
      <c r="J84" s="11"/>
      <c r="K84" s="11"/>
      <c r="L84" s="11"/>
      <c r="M84" s="11"/>
      <c r="N84" s="11"/>
      <c r="O84" s="40"/>
      <c r="P84" s="229" t="str">
        <f t="shared" si="20"/>
        <v/>
      </c>
      <c r="Q84" s="229" t="str">
        <f t="shared" si="21"/>
        <v/>
      </c>
      <c r="R84" s="229" t="str">
        <f t="shared" si="22"/>
        <v/>
      </c>
      <c r="S84" s="230" t="str">
        <f>IF($H84="","",HLOOKUP(S$2,'Unit information'!$B$3:$K$29,$L84+2,FALSE))</f>
        <v/>
      </c>
      <c r="T84" s="231" t="str">
        <f>IF($H84="","",HLOOKUP(T$2,'Unit information'!$B$3:$K$29,$L84+2,FALSE))</f>
        <v/>
      </c>
      <c r="U84" s="231" t="str">
        <f>IF($H84="","",HLOOKUP(U$2,'Unit information'!$B$3:$K$29,$L84+2,FALSE))</f>
        <v/>
      </c>
      <c r="V84" s="231" t="str">
        <f>IF($H84="","",HLOOKUP(V$2,'Unit information'!$B$3:$K$29,$M84+2,FALSE))</f>
        <v/>
      </c>
      <c r="W84" s="231" t="str">
        <f>IF($H84="","",HLOOKUP(W$2,'Unit information'!$B$3:$K$29,$M84+2,FALSE))</f>
        <v/>
      </c>
      <c r="X84" s="231" t="str">
        <f>IF($H84="","",HLOOKUP(X$2,'Unit information'!$B$3:$K$29,$N84+2,FALSE))</f>
        <v/>
      </c>
      <c r="Y84" s="232" t="str">
        <f t="shared" si="16"/>
        <v/>
      </c>
      <c r="Z84" s="232" t="str">
        <f t="shared" si="16"/>
        <v/>
      </c>
      <c r="AA84" s="232" t="str">
        <f t="shared" si="17"/>
        <v/>
      </c>
      <c r="AB84" s="232" t="str">
        <f t="shared" si="17"/>
        <v/>
      </c>
      <c r="AC84" s="232" t="str">
        <f t="shared" si="19"/>
        <v/>
      </c>
      <c r="AD84" s="232" t="str">
        <f t="shared" si="18"/>
        <v/>
      </c>
      <c r="AE84" s="229" t="str">
        <f>IF($H84="","",($F$1/$S84*$Y84*'Unit information'!$AB$3)+($F$1/$T84*$Z84*'Unit information'!$AB$4)+($F$1/$U84*$AA84*'Unit information'!$AB$5)+($F$1/$V84*$AB84*'Unit information'!$AB$8)+($F$1/$W84*$AC84*'Unit information'!$AB$10)+($F$1/$X84*$AD84*'Unit information'!$AB$11))</f>
        <v/>
      </c>
      <c r="AF84" s="229" t="str">
        <f>IF($H84="","",($F$1/$S84*$Y84*'Unit information'!$AC$3)+($F$1/$T84*$Z84*'Unit information'!$AC$4)+($F$1/$U84*$AA84*'Unit information'!$AC$5)+($F$1/$V84*$AB84*'Unit information'!$AC$8)+($F$1/$W84*$AC84*'Unit information'!$AC$10)+($F$1/$X84*$AD84*'Unit information'!$AC$11))</f>
        <v/>
      </c>
      <c r="AG84" s="229" t="str">
        <f>IF($H84="","",($F$1/$S84*$Y84*'Unit information'!$AD$3)+($F$1/$T84*$Z84*'Unit information'!$AD$4)+($F$1/$U84*$AA84*'Unit information'!$AD$5)+($F$1/$V84*$AB84*'Unit information'!$AD$8)+($F$1/$W84*$AC84*'Unit information'!$AD$10)+($F$1/$X84*$AD84*'Unit information'!$AD$11))</f>
        <v/>
      </c>
    </row>
    <row r="85" spans="1:33" x14ac:dyDescent="0.25">
      <c r="A85">
        <v>57</v>
      </c>
      <c r="B85" s="367">
        <f t="shared" si="12"/>
        <v>114644000</v>
      </c>
      <c r="C85" s="367">
        <f t="shared" si="13"/>
        <v>135040000</v>
      </c>
      <c r="D85" s="367">
        <f t="shared" si="14"/>
        <v>126775000</v>
      </c>
      <c r="E85" s="155">
        <f t="shared" si="15"/>
        <v>368619000</v>
      </c>
      <c r="H85" s="228"/>
      <c r="I85" s="11"/>
      <c r="J85" s="11"/>
      <c r="K85" s="11"/>
      <c r="L85" s="11"/>
      <c r="M85" s="11"/>
      <c r="N85" s="11"/>
      <c r="O85" s="40"/>
      <c r="P85" s="229" t="str">
        <f t="shared" si="20"/>
        <v/>
      </c>
      <c r="Q85" s="229" t="str">
        <f t="shared" si="21"/>
        <v/>
      </c>
      <c r="R85" s="229" t="str">
        <f t="shared" si="22"/>
        <v/>
      </c>
      <c r="S85" s="230" t="str">
        <f>IF($H85="","",HLOOKUP(S$2,'Unit information'!$B$3:$K$29,$L85+2,FALSE))</f>
        <v/>
      </c>
      <c r="T85" s="231" t="str">
        <f>IF($H85="","",HLOOKUP(T$2,'Unit information'!$B$3:$K$29,$L85+2,FALSE))</f>
        <v/>
      </c>
      <c r="U85" s="231" t="str">
        <f>IF($H85="","",HLOOKUP(U$2,'Unit information'!$B$3:$K$29,$L85+2,FALSE))</f>
        <v/>
      </c>
      <c r="V85" s="231" t="str">
        <f>IF($H85="","",HLOOKUP(V$2,'Unit information'!$B$3:$K$29,$M85+2,FALSE))</f>
        <v/>
      </c>
      <c r="W85" s="231" t="str">
        <f>IF($H85="","",HLOOKUP(W$2,'Unit information'!$B$3:$K$29,$M85+2,FALSE))</f>
        <v/>
      </c>
      <c r="X85" s="231" t="str">
        <f>IF($H85="","",HLOOKUP(X$2,'Unit information'!$B$3:$K$29,$N85+2,FALSE))</f>
        <v/>
      </c>
      <c r="Y85" s="232" t="str">
        <f t="shared" si="16"/>
        <v/>
      </c>
      <c r="Z85" s="232" t="str">
        <f t="shared" si="16"/>
        <v/>
      </c>
      <c r="AA85" s="232" t="str">
        <f t="shared" si="17"/>
        <v/>
      </c>
      <c r="AB85" s="232" t="str">
        <f t="shared" si="17"/>
        <v/>
      </c>
      <c r="AC85" s="232" t="str">
        <f t="shared" si="19"/>
        <v/>
      </c>
      <c r="AD85" s="232" t="str">
        <f t="shared" si="18"/>
        <v/>
      </c>
      <c r="AE85" s="229" t="str">
        <f>IF($H85="","",($F$1/$S85*$Y85*'Unit information'!$AB$3)+($F$1/$T85*$Z85*'Unit information'!$AB$4)+($F$1/$U85*$AA85*'Unit information'!$AB$5)+($F$1/$V85*$AB85*'Unit information'!$AB$8)+($F$1/$W85*$AC85*'Unit information'!$AB$10)+($F$1/$X85*$AD85*'Unit information'!$AB$11))</f>
        <v/>
      </c>
      <c r="AF85" s="229" t="str">
        <f>IF($H85="","",($F$1/$S85*$Y85*'Unit information'!$AC$3)+($F$1/$T85*$Z85*'Unit information'!$AC$4)+($F$1/$U85*$AA85*'Unit information'!$AC$5)+($F$1/$V85*$AB85*'Unit information'!$AC$8)+($F$1/$W85*$AC85*'Unit information'!$AC$10)+($F$1/$X85*$AD85*'Unit information'!$AC$11))</f>
        <v/>
      </c>
      <c r="AG85" s="229" t="str">
        <f>IF($H85="","",($F$1/$S85*$Y85*'Unit information'!$AD$3)+($F$1/$T85*$Z85*'Unit information'!$AD$4)+($F$1/$U85*$AA85*'Unit information'!$AD$5)+($F$1/$V85*$AB85*'Unit information'!$AD$8)+($F$1/$W85*$AC85*'Unit information'!$AD$10)+($F$1/$X85*$AD85*'Unit information'!$AD$11))</f>
        <v/>
      </c>
    </row>
    <row r="86" spans="1:33" x14ac:dyDescent="0.25">
      <c r="A86">
        <v>58</v>
      </c>
      <c r="B86" s="367">
        <f t="shared" si="12"/>
        <v>118628000</v>
      </c>
      <c r="C86" s="367">
        <f t="shared" si="13"/>
        <v>139730000</v>
      </c>
      <c r="D86" s="367">
        <f t="shared" si="14"/>
        <v>131175000</v>
      </c>
      <c r="E86" s="155">
        <f t="shared" si="15"/>
        <v>381553000</v>
      </c>
      <c r="H86" s="228"/>
      <c r="I86" s="11"/>
      <c r="J86" s="11"/>
      <c r="K86" s="11"/>
      <c r="L86" s="11"/>
      <c r="M86" s="11"/>
      <c r="N86" s="11"/>
      <c r="O86" s="40"/>
      <c r="P86" s="229" t="str">
        <f t="shared" si="20"/>
        <v/>
      </c>
      <c r="Q86" s="229" t="str">
        <f t="shared" si="21"/>
        <v/>
      </c>
      <c r="R86" s="229" t="str">
        <f t="shared" si="22"/>
        <v/>
      </c>
      <c r="S86" s="230" t="str">
        <f>IF($H86="","",HLOOKUP(S$2,'Unit information'!$B$3:$K$29,$L86+2,FALSE))</f>
        <v/>
      </c>
      <c r="T86" s="231" t="str">
        <f>IF($H86="","",HLOOKUP(T$2,'Unit information'!$B$3:$K$29,$L86+2,FALSE))</f>
        <v/>
      </c>
      <c r="U86" s="231" t="str">
        <f>IF($H86="","",HLOOKUP(U$2,'Unit information'!$B$3:$K$29,$L86+2,FALSE))</f>
        <v/>
      </c>
      <c r="V86" s="231" t="str">
        <f>IF($H86="","",HLOOKUP(V$2,'Unit information'!$B$3:$K$29,$M86+2,FALSE))</f>
        <v/>
      </c>
      <c r="W86" s="231" t="str">
        <f>IF($H86="","",HLOOKUP(W$2,'Unit information'!$B$3:$K$29,$M86+2,FALSE))</f>
        <v/>
      </c>
      <c r="X86" s="231" t="str">
        <f>IF($H86="","",HLOOKUP(X$2,'Unit information'!$B$3:$K$29,$N86+2,FALSE))</f>
        <v/>
      </c>
      <c r="Y86" s="232" t="str">
        <f t="shared" si="16"/>
        <v/>
      </c>
      <c r="Z86" s="232" t="str">
        <f t="shared" si="16"/>
        <v/>
      </c>
      <c r="AA86" s="232" t="str">
        <f t="shared" si="17"/>
        <v/>
      </c>
      <c r="AB86" s="232" t="str">
        <f t="shared" si="17"/>
        <v/>
      </c>
      <c r="AC86" s="232" t="str">
        <f t="shared" si="19"/>
        <v/>
      </c>
      <c r="AD86" s="232" t="str">
        <f t="shared" si="18"/>
        <v/>
      </c>
      <c r="AE86" s="229" t="str">
        <f>IF($H86="","",($F$1/$S86*$Y86*'Unit information'!$AB$3)+($F$1/$T86*$Z86*'Unit information'!$AB$4)+($F$1/$U86*$AA86*'Unit information'!$AB$5)+($F$1/$V86*$AB86*'Unit information'!$AB$8)+($F$1/$W86*$AC86*'Unit information'!$AB$10)+($F$1/$X86*$AD86*'Unit information'!$AB$11))</f>
        <v/>
      </c>
      <c r="AF86" s="229" t="str">
        <f>IF($H86="","",($F$1/$S86*$Y86*'Unit information'!$AC$3)+($F$1/$T86*$Z86*'Unit information'!$AC$4)+($F$1/$U86*$AA86*'Unit information'!$AC$5)+($F$1/$V86*$AB86*'Unit information'!$AC$8)+($F$1/$W86*$AC86*'Unit information'!$AC$10)+($F$1/$X86*$AD86*'Unit information'!$AC$11))</f>
        <v/>
      </c>
      <c r="AG86" s="229" t="str">
        <f>IF($H86="","",($F$1/$S86*$Y86*'Unit information'!$AD$3)+($F$1/$T86*$Z86*'Unit information'!$AD$4)+($F$1/$U86*$AA86*'Unit information'!$AD$5)+($F$1/$V86*$AB86*'Unit information'!$AD$8)+($F$1/$W86*$AC86*'Unit information'!$AD$10)+($F$1/$X86*$AD86*'Unit information'!$AD$11))</f>
        <v/>
      </c>
    </row>
    <row r="87" spans="1:33" x14ac:dyDescent="0.25">
      <c r="A87">
        <v>59</v>
      </c>
      <c r="B87" s="367">
        <f t="shared" si="12"/>
        <v>122680000</v>
      </c>
      <c r="C87" s="367">
        <f t="shared" si="13"/>
        <v>144500000</v>
      </c>
      <c r="D87" s="367">
        <f t="shared" si="14"/>
        <v>135650000</v>
      </c>
      <c r="E87" s="155">
        <f t="shared" si="15"/>
        <v>394710000</v>
      </c>
      <c r="H87" s="228"/>
      <c r="I87" s="11"/>
      <c r="J87" s="11"/>
      <c r="K87" s="11"/>
      <c r="L87" s="11"/>
      <c r="M87" s="11"/>
      <c r="N87" s="11"/>
      <c r="O87" s="40"/>
      <c r="P87" s="229" t="str">
        <f t="shared" si="20"/>
        <v/>
      </c>
      <c r="Q87" s="229" t="str">
        <f t="shared" si="21"/>
        <v/>
      </c>
      <c r="R87" s="229" t="str">
        <f t="shared" si="22"/>
        <v/>
      </c>
      <c r="S87" s="230" t="str">
        <f>IF($H87="","",HLOOKUP(S$2,'Unit information'!$B$3:$K$29,$L87+2,FALSE))</f>
        <v/>
      </c>
      <c r="T87" s="231" t="str">
        <f>IF($H87="","",HLOOKUP(T$2,'Unit information'!$B$3:$K$29,$L87+2,FALSE))</f>
        <v/>
      </c>
      <c r="U87" s="231" t="str">
        <f>IF($H87="","",HLOOKUP(U$2,'Unit information'!$B$3:$K$29,$L87+2,FALSE))</f>
        <v/>
      </c>
      <c r="V87" s="231" t="str">
        <f>IF($H87="","",HLOOKUP(V$2,'Unit information'!$B$3:$K$29,$M87+2,FALSE))</f>
        <v/>
      </c>
      <c r="W87" s="231" t="str">
        <f>IF($H87="","",HLOOKUP(W$2,'Unit information'!$B$3:$K$29,$M87+2,FALSE))</f>
        <v/>
      </c>
      <c r="X87" s="231" t="str">
        <f>IF($H87="","",HLOOKUP(X$2,'Unit information'!$B$3:$K$29,$N87+2,FALSE))</f>
        <v/>
      </c>
      <c r="Y87" s="232" t="str">
        <f t="shared" si="16"/>
        <v/>
      </c>
      <c r="Z87" s="232" t="str">
        <f t="shared" si="16"/>
        <v/>
      </c>
      <c r="AA87" s="232" t="str">
        <f t="shared" si="17"/>
        <v/>
      </c>
      <c r="AB87" s="232" t="str">
        <f t="shared" si="17"/>
        <v/>
      </c>
      <c r="AC87" s="232" t="str">
        <f t="shared" si="19"/>
        <v/>
      </c>
      <c r="AD87" s="232" t="str">
        <f t="shared" si="18"/>
        <v/>
      </c>
      <c r="AE87" s="229" t="str">
        <f>IF($H87="","",($F$1/$S87*$Y87*'Unit information'!$AB$3)+($F$1/$T87*$Z87*'Unit information'!$AB$4)+($F$1/$U87*$AA87*'Unit information'!$AB$5)+($F$1/$V87*$AB87*'Unit information'!$AB$8)+($F$1/$W87*$AC87*'Unit information'!$AB$10)+($F$1/$X87*$AD87*'Unit information'!$AB$11))</f>
        <v/>
      </c>
      <c r="AF87" s="229" t="str">
        <f>IF($H87="","",($F$1/$S87*$Y87*'Unit information'!$AC$3)+($F$1/$T87*$Z87*'Unit information'!$AC$4)+($F$1/$U87*$AA87*'Unit information'!$AC$5)+($F$1/$V87*$AB87*'Unit information'!$AC$8)+($F$1/$W87*$AC87*'Unit information'!$AC$10)+($F$1/$X87*$AD87*'Unit information'!$AC$11))</f>
        <v/>
      </c>
      <c r="AG87" s="229" t="str">
        <f>IF($H87="","",($F$1/$S87*$Y87*'Unit information'!$AD$3)+($F$1/$T87*$Z87*'Unit information'!$AD$4)+($F$1/$U87*$AA87*'Unit information'!$AD$5)+($F$1/$V87*$AB87*'Unit information'!$AD$8)+($F$1/$W87*$AC87*'Unit information'!$AD$10)+($F$1/$X87*$AD87*'Unit information'!$AD$11))</f>
        <v/>
      </c>
    </row>
    <row r="88" spans="1:33" x14ac:dyDescent="0.25">
      <c r="A88">
        <v>60</v>
      </c>
      <c r="B88" s="367">
        <f t="shared" si="12"/>
        <v>126800000</v>
      </c>
      <c r="C88" s="367">
        <f t="shared" si="13"/>
        <v>149350000</v>
      </c>
      <c r="D88" s="367">
        <f t="shared" si="14"/>
        <v>140200000</v>
      </c>
      <c r="E88" s="155">
        <f t="shared" si="15"/>
        <v>408090000</v>
      </c>
      <c r="H88" s="228"/>
      <c r="I88" s="11"/>
      <c r="J88" s="11"/>
      <c r="K88" s="11"/>
      <c r="L88" s="11"/>
      <c r="M88" s="11"/>
      <c r="N88" s="11"/>
      <c r="O88" s="40"/>
      <c r="P88" s="229" t="str">
        <f t="shared" si="20"/>
        <v/>
      </c>
      <c r="Q88" s="229" t="str">
        <f t="shared" si="21"/>
        <v/>
      </c>
      <c r="R88" s="229" t="str">
        <f t="shared" si="22"/>
        <v/>
      </c>
      <c r="S88" s="230" t="str">
        <f>IF($H88="","",HLOOKUP(S$2,'Unit information'!$B$3:$K$29,$L88+2,FALSE))</f>
        <v/>
      </c>
      <c r="T88" s="231" t="str">
        <f>IF($H88="","",HLOOKUP(T$2,'Unit information'!$B$3:$K$29,$L88+2,FALSE))</f>
        <v/>
      </c>
      <c r="U88" s="231" t="str">
        <f>IF($H88="","",HLOOKUP(U$2,'Unit information'!$B$3:$K$29,$L88+2,FALSE))</f>
        <v/>
      </c>
      <c r="V88" s="231" t="str">
        <f>IF($H88="","",HLOOKUP(V$2,'Unit information'!$B$3:$K$29,$M88+2,FALSE))</f>
        <v/>
      </c>
      <c r="W88" s="231" t="str">
        <f>IF($H88="","",HLOOKUP(W$2,'Unit information'!$B$3:$K$29,$M88+2,FALSE))</f>
        <v/>
      </c>
      <c r="X88" s="231" t="str">
        <f>IF($H88="","",HLOOKUP(X$2,'Unit information'!$B$3:$K$29,$N88+2,FALSE))</f>
        <v/>
      </c>
      <c r="Y88" s="232" t="str">
        <f t="shared" si="16"/>
        <v/>
      </c>
      <c r="Z88" s="232" t="str">
        <f t="shared" si="16"/>
        <v/>
      </c>
      <c r="AA88" s="232" t="str">
        <f t="shared" si="17"/>
        <v/>
      </c>
      <c r="AB88" s="232" t="str">
        <f t="shared" si="17"/>
        <v/>
      </c>
      <c r="AC88" s="232" t="str">
        <f t="shared" si="19"/>
        <v/>
      </c>
      <c r="AD88" s="232" t="str">
        <f t="shared" si="18"/>
        <v/>
      </c>
      <c r="AE88" s="229" t="str">
        <f>IF($H88="","",($F$1/$S88*$Y88*'Unit information'!$AB$3)+($F$1/$T88*$Z88*'Unit information'!$AB$4)+($F$1/$U88*$AA88*'Unit information'!$AB$5)+($F$1/$V88*$AB88*'Unit information'!$AB$8)+($F$1/$W88*$AC88*'Unit information'!$AB$10)+($F$1/$X88*$AD88*'Unit information'!$AB$11))</f>
        <v/>
      </c>
      <c r="AF88" s="229" t="str">
        <f>IF($H88="","",($F$1/$S88*$Y88*'Unit information'!$AC$3)+($F$1/$T88*$Z88*'Unit information'!$AC$4)+($F$1/$U88*$AA88*'Unit information'!$AC$5)+($F$1/$V88*$AB88*'Unit information'!$AC$8)+($F$1/$W88*$AC88*'Unit information'!$AC$10)+($F$1/$X88*$AD88*'Unit information'!$AC$11))</f>
        <v/>
      </c>
      <c r="AG88" s="229" t="str">
        <f>IF($H88="","",($F$1/$S88*$Y88*'Unit information'!$AD$3)+($F$1/$T88*$Z88*'Unit information'!$AD$4)+($F$1/$U88*$AA88*'Unit information'!$AD$5)+($F$1/$V88*$AB88*'Unit information'!$AD$8)+($F$1/$W88*$AC88*'Unit information'!$AD$10)+($F$1/$X88*$AD88*'Unit information'!$AD$11))</f>
        <v/>
      </c>
    </row>
    <row r="89" spans="1:33" x14ac:dyDescent="0.25">
      <c r="A89">
        <v>61</v>
      </c>
      <c r="B89" s="367">
        <f t="shared" si="12"/>
        <v>130988000</v>
      </c>
      <c r="C89" s="367">
        <f t="shared" si="13"/>
        <v>154280000</v>
      </c>
      <c r="D89" s="367">
        <f t="shared" si="14"/>
        <v>144825000</v>
      </c>
      <c r="E89" s="155">
        <f t="shared" si="15"/>
        <v>421693000</v>
      </c>
      <c r="H89" s="228"/>
      <c r="I89" s="11"/>
      <c r="J89" s="11"/>
      <c r="K89" s="11"/>
      <c r="L89" s="11"/>
      <c r="M89" s="11"/>
      <c r="N89" s="11"/>
      <c r="O89" s="40"/>
      <c r="P89" s="229" t="str">
        <f t="shared" si="20"/>
        <v/>
      </c>
      <c r="Q89" s="229" t="str">
        <f t="shared" si="21"/>
        <v/>
      </c>
      <c r="R89" s="229" t="str">
        <f t="shared" si="22"/>
        <v/>
      </c>
      <c r="S89" s="230" t="str">
        <f>IF($H89="","",HLOOKUP(S$2,'Unit information'!$B$3:$K$29,$L89+2,FALSE))</f>
        <v/>
      </c>
      <c r="T89" s="231" t="str">
        <f>IF($H89="","",HLOOKUP(T$2,'Unit information'!$B$3:$K$29,$L89+2,FALSE))</f>
        <v/>
      </c>
      <c r="U89" s="231" t="str">
        <f>IF($H89="","",HLOOKUP(U$2,'Unit information'!$B$3:$K$29,$L89+2,FALSE))</f>
        <v/>
      </c>
      <c r="V89" s="231" t="str">
        <f>IF($H89="","",HLOOKUP(V$2,'Unit information'!$B$3:$K$29,$M89+2,FALSE))</f>
        <v/>
      </c>
      <c r="W89" s="231" t="str">
        <f>IF($H89="","",HLOOKUP(W$2,'Unit information'!$B$3:$K$29,$M89+2,FALSE))</f>
        <v/>
      </c>
      <c r="X89" s="231" t="str">
        <f>IF($H89="","",HLOOKUP(X$2,'Unit information'!$B$3:$K$29,$N89+2,FALSE))</f>
        <v/>
      </c>
      <c r="Y89" s="232" t="str">
        <f t="shared" si="16"/>
        <v/>
      </c>
      <c r="Z89" s="232" t="str">
        <f t="shared" si="16"/>
        <v/>
      </c>
      <c r="AA89" s="232" t="str">
        <f t="shared" si="17"/>
        <v/>
      </c>
      <c r="AB89" s="232" t="str">
        <f t="shared" si="17"/>
        <v/>
      </c>
      <c r="AC89" s="232" t="str">
        <f t="shared" si="19"/>
        <v/>
      </c>
      <c r="AD89" s="232" t="str">
        <f t="shared" si="18"/>
        <v/>
      </c>
      <c r="AE89" s="229" t="str">
        <f>IF($H89="","",($F$1/$S89*$Y89*'Unit information'!$AB$3)+($F$1/$T89*$Z89*'Unit information'!$AB$4)+($F$1/$U89*$AA89*'Unit information'!$AB$5)+($F$1/$V89*$AB89*'Unit information'!$AB$8)+($F$1/$W89*$AC89*'Unit information'!$AB$10)+($F$1/$X89*$AD89*'Unit information'!$AB$11))</f>
        <v/>
      </c>
      <c r="AF89" s="229" t="str">
        <f>IF($H89="","",($F$1/$S89*$Y89*'Unit information'!$AC$3)+($F$1/$T89*$Z89*'Unit information'!$AC$4)+($F$1/$U89*$AA89*'Unit information'!$AC$5)+($F$1/$V89*$AB89*'Unit information'!$AC$8)+($F$1/$W89*$AC89*'Unit information'!$AC$10)+($F$1/$X89*$AD89*'Unit information'!$AC$11))</f>
        <v/>
      </c>
      <c r="AG89" s="229" t="str">
        <f>IF($H89="","",($F$1/$S89*$Y89*'Unit information'!$AD$3)+($F$1/$T89*$Z89*'Unit information'!$AD$4)+($F$1/$U89*$AA89*'Unit information'!$AD$5)+($F$1/$V89*$AB89*'Unit information'!$AD$8)+($F$1/$W89*$AC89*'Unit information'!$AD$10)+($F$1/$X89*$AD89*'Unit information'!$AD$11))</f>
        <v/>
      </c>
    </row>
    <row r="90" spans="1:33" x14ac:dyDescent="0.25">
      <c r="A90">
        <v>62</v>
      </c>
      <c r="B90" s="367">
        <f t="shared" si="12"/>
        <v>135244000</v>
      </c>
      <c r="C90" s="367">
        <f t="shared" si="13"/>
        <v>159290000</v>
      </c>
      <c r="D90" s="367">
        <f t="shared" si="14"/>
        <v>149525000</v>
      </c>
      <c r="E90" s="155">
        <f t="shared" si="15"/>
        <v>435519000</v>
      </c>
      <c r="H90" s="228"/>
      <c r="I90" s="11"/>
      <c r="J90" s="11"/>
      <c r="K90" s="11"/>
      <c r="L90" s="11"/>
      <c r="M90" s="11"/>
      <c r="N90" s="11"/>
      <c r="O90" s="40"/>
      <c r="P90" s="229" t="str">
        <f t="shared" si="20"/>
        <v/>
      </c>
      <c r="Q90" s="229" t="str">
        <f t="shared" si="21"/>
        <v/>
      </c>
      <c r="R90" s="229" t="str">
        <f t="shared" si="22"/>
        <v/>
      </c>
      <c r="S90" s="230" t="str">
        <f>IF($H90="","",HLOOKUP(S$2,'Unit information'!$B$3:$K$29,$L90+2,FALSE))</f>
        <v/>
      </c>
      <c r="T90" s="231" t="str">
        <f>IF($H90="","",HLOOKUP(T$2,'Unit information'!$B$3:$K$29,$L90+2,FALSE))</f>
        <v/>
      </c>
      <c r="U90" s="231" t="str">
        <f>IF($H90="","",HLOOKUP(U$2,'Unit information'!$B$3:$K$29,$L90+2,FALSE))</f>
        <v/>
      </c>
      <c r="V90" s="231" t="str">
        <f>IF($H90="","",HLOOKUP(V$2,'Unit information'!$B$3:$K$29,$M90+2,FALSE))</f>
        <v/>
      </c>
      <c r="W90" s="231" t="str">
        <f>IF($H90="","",HLOOKUP(W$2,'Unit information'!$B$3:$K$29,$M90+2,FALSE))</f>
        <v/>
      </c>
      <c r="X90" s="231" t="str">
        <f>IF($H90="","",HLOOKUP(X$2,'Unit information'!$B$3:$K$29,$N90+2,FALSE))</f>
        <v/>
      </c>
      <c r="Y90" s="232" t="str">
        <f t="shared" si="16"/>
        <v/>
      </c>
      <c r="Z90" s="232" t="str">
        <f t="shared" si="16"/>
        <v/>
      </c>
      <c r="AA90" s="232" t="str">
        <f t="shared" si="17"/>
        <v/>
      </c>
      <c r="AB90" s="232" t="str">
        <f t="shared" si="17"/>
        <v/>
      </c>
      <c r="AC90" s="232" t="str">
        <f t="shared" si="19"/>
        <v/>
      </c>
      <c r="AD90" s="232" t="str">
        <f t="shared" si="18"/>
        <v/>
      </c>
      <c r="AE90" s="229" t="str">
        <f>IF($H90="","",($F$1/$S90*$Y90*'Unit information'!$AB$3)+($F$1/$T90*$Z90*'Unit information'!$AB$4)+($F$1/$U90*$AA90*'Unit information'!$AB$5)+($F$1/$V90*$AB90*'Unit information'!$AB$8)+($F$1/$W90*$AC90*'Unit information'!$AB$10)+($F$1/$X90*$AD90*'Unit information'!$AB$11))</f>
        <v/>
      </c>
      <c r="AF90" s="229" t="str">
        <f>IF($H90="","",($F$1/$S90*$Y90*'Unit information'!$AC$3)+($F$1/$T90*$Z90*'Unit information'!$AC$4)+($F$1/$U90*$AA90*'Unit information'!$AC$5)+($F$1/$V90*$AB90*'Unit information'!$AC$8)+($F$1/$W90*$AC90*'Unit information'!$AC$10)+($F$1/$X90*$AD90*'Unit information'!$AC$11))</f>
        <v/>
      </c>
      <c r="AG90" s="229" t="str">
        <f>IF($H90="","",($F$1/$S90*$Y90*'Unit information'!$AD$3)+($F$1/$T90*$Z90*'Unit information'!$AD$4)+($F$1/$U90*$AA90*'Unit information'!$AD$5)+($F$1/$V90*$AB90*'Unit information'!$AD$8)+($F$1/$W90*$AC90*'Unit information'!$AD$10)+($F$1/$X90*$AD90*'Unit information'!$AD$11))</f>
        <v/>
      </c>
    </row>
    <row r="91" spans="1:33" x14ac:dyDescent="0.25">
      <c r="A91">
        <v>63</v>
      </c>
      <c r="B91" s="367">
        <f t="shared" si="12"/>
        <v>139568000</v>
      </c>
      <c r="C91" s="367">
        <f t="shared" si="13"/>
        <v>164380000</v>
      </c>
      <c r="D91" s="367">
        <f t="shared" si="14"/>
        <v>154300000</v>
      </c>
      <c r="E91" s="155">
        <f t="shared" si="15"/>
        <v>449568000</v>
      </c>
      <c r="H91" s="228"/>
      <c r="I91" s="11"/>
      <c r="J91" s="11"/>
      <c r="K91" s="11"/>
      <c r="L91" s="11"/>
      <c r="M91" s="11"/>
      <c r="N91" s="11"/>
      <c r="O91" s="40"/>
      <c r="P91" s="229" t="str">
        <f t="shared" si="20"/>
        <v/>
      </c>
      <c r="Q91" s="229" t="str">
        <f t="shared" si="21"/>
        <v/>
      </c>
      <c r="R91" s="229" t="str">
        <f t="shared" si="22"/>
        <v/>
      </c>
      <c r="S91" s="230" t="str">
        <f>IF($H91="","",HLOOKUP(S$2,'Unit information'!$B$3:$K$29,$L91+2,FALSE))</f>
        <v/>
      </c>
      <c r="T91" s="231" t="str">
        <f>IF($H91="","",HLOOKUP(T$2,'Unit information'!$B$3:$K$29,$L91+2,FALSE))</f>
        <v/>
      </c>
      <c r="U91" s="231" t="str">
        <f>IF($H91="","",HLOOKUP(U$2,'Unit information'!$B$3:$K$29,$L91+2,FALSE))</f>
        <v/>
      </c>
      <c r="V91" s="231" t="str">
        <f>IF($H91="","",HLOOKUP(V$2,'Unit information'!$B$3:$K$29,$M91+2,FALSE))</f>
        <v/>
      </c>
      <c r="W91" s="231" t="str">
        <f>IF($H91="","",HLOOKUP(W$2,'Unit information'!$B$3:$K$29,$M91+2,FALSE))</f>
        <v/>
      </c>
      <c r="X91" s="231" t="str">
        <f>IF($H91="","",HLOOKUP(X$2,'Unit information'!$B$3:$K$29,$N91+2,FALSE))</f>
        <v/>
      </c>
      <c r="Y91" s="232" t="str">
        <f t="shared" si="16"/>
        <v/>
      </c>
      <c r="Z91" s="232" t="str">
        <f t="shared" si="16"/>
        <v/>
      </c>
      <c r="AA91" s="232" t="str">
        <f t="shared" si="17"/>
        <v/>
      </c>
      <c r="AB91" s="232" t="str">
        <f t="shared" si="17"/>
        <v/>
      </c>
      <c r="AC91" s="232" t="str">
        <f t="shared" si="19"/>
        <v/>
      </c>
      <c r="AD91" s="232" t="str">
        <f t="shared" si="18"/>
        <v/>
      </c>
      <c r="AE91" s="229" t="str">
        <f>IF($H91="","",($F$1/$S91*$Y91*'Unit information'!$AB$3)+($F$1/$T91*$Z91*'Unit information'!$AB$4)+($F$1/$U91*$AA91*'Unit information'!$AB$5)+($F$1/$V91*$AB91*'Unit information'!$AB$8)+($F$1/$W91*$AC91*'Unit information'!$AB$10)+($F$1/$X91*$AD91*'Unit information'!$AB$11))</f>
        <v/>
      </c>
      <c r="AF91" s="229" t="str">
        <f>IF($H91="","",($F$1/$S91*$Y91*'Unit information'!$AC$3)+($F$1/$T91*$Z91*'Unit information'!$AC$4)+($F$1/$U91*$AA91*'Unit information'!$AC$5)+($F$1/$V91*$AB91*'Unit information'!$AC$8)+($F$1/$W91*$AC91*'Unit information'!$AC$10)+($F$1/$X91*$AD91*'Unit information'!$AC$11))</f>
        <v/>
      </c>
      <c r="AG91" s="229" t="str">
        <f>IF($H91="","",($F$1/$S91*$Y91*'Unit information'!$AD$3)+($F$1/$T91*$Z91*'Unit information'!$AD$4)+($F$1/$U91*$AA91*'Unit information'!$AD$5)+($F$1/$V91*$AB91*'Unit information'!$AD$8)+($F$1/$W91*$AC91*'Unit information'!$AD$10)+($F$1/$X91*$AD91*'Unit information'!$AD$11))</f>
        <v/>
      </c>
    </row>
    <row r="92" spans="1:33" x14ac:dyDescent="0.25">
      <c r="A92">
        <v>64</v>
      </c>
      <c r="B92" s="367">
        <f t="shared" si="12"/>
        <v>143960000</v>
      </c>
      <c r="C92" s="367">
        <f t="shared" si="13"/>
        <v>169550000</v>
      </c>
      <c r="D92" s="367">
        <f t="shared" si="14"/>
        <v>159150000</v>
      </c>
      <c r="E92" s="155">
        <f t="shared" si="15"/>
        <v>463840000</v>
      </c>
      <c r="H92" s="228"/>
      <c r="I92" s="11"/>
      <c r="J92" s="11"/>
      <c r="K92" s="11"/>
      <c r="L92" s="11"/>
      <c r="M92" s="11"/>
      <c r="N92" s="11"/>
      <c r="O92" s="40"/>
      <c r="P92" s="229" t="str">
        <f t="shared" si="20"/>
        <v/>
      </c>
      <c r="Q92" s="229" t="str">
        <f t="shared" si="21"/>
        <v/>
      </c>
      <c r="R92" s="229" t="str">
        <f t="shared" si="22"/>
        <v/>
      </c>
      <c r="S92" s="230" t="str">
        <f>IF($H92="","",HLOOKUP(S$2,'Unit information'!$B$3:$K$29,$L92+2,FALSE))</f>
        <v/>
      </c>
      <c r="T92" s="231" t="str">
        <f>IF($H92="","",HLOOKUP(T$2,'Unit information'!$B$3:$K$29,$L92+2,FALSE))</f>
        <v/>
      </c>
      <c r="U92" s="231" t="str">
        <f>IF($H92="","",HLOOKUP(U$2,'Unit information'!$B$3:$K$29,$L92+2,FALSE))</f>
        <v/>
      </c>
      <c r="V92" s="231" t="str">
        <f>IF($H92="","",HLOOKUP(V$2,'Unit information'!$B$3:$K$29,$M92+2,FALSE))</f>
        <v/>
      </c>
      <c r="W92" s="231" t="str">
        <f>IF($H92="","",HLOOKUP(W$2,'Unit information'!$B$3:$K$29,$M92+2,FALSE))</f>
        <v/>
      </c>
      <c r="X92" s="231" t="str">
        <f>IF($H92="","",HLOOKUP(X$2,'Unit information'!$B$3:$K$29,$N92+2,FALSE))</f>
        <v/>
      </c>
      <c r="Y92" s="232" t="str">
        <f t="shared" si="16"/>
        <v/>
      </c>
      <c r="Z92" s="232" t="str">
        <f t="shared" si="16"/>
        <v/>
      </c>
      <c r="AA92" s="232" t="str">
        <f t="shared" si="17"/>
        <v/>
      </c>
      <c r="AB92" s="232" t="str">
        <f t="shared" si="17"/>
        <v/>
      </c>
      <c r="AC92" s="232" t="str">
        <f t="shared" si="19"/>
        <v/>
      </c>
      <c r="AD92" s="232" t="str">
        <f t="shared" si="18"/>
        <v/>
      </c>
      <c r="AE92" s="229" t="str">
        <f>IF($H92="","",($F$1/$S92*$Y92*'Unit information'!$AB$3)+($F$1/$T92*$Z92*'Unit information'!$AB$4)+($F$1/$U92*$AA92*'Unit information'!$AB$5)+($F$1/$V92*$AB92*'Unit information'!$AB$8)+($F$1/$W92*$AC92*'Unit information'!$AB$10)+($F$1/$X92*$AD92*'Unit information'!$AB$11))</f>
        <v/>
      </c>
      <c r="AF92" s="229" t="str">
        <f>IF($H92="","",($F$1/$S92*$Y92*'Unit information'!$AC$3)+($F$1/$T92*$Z92*'Unit information'!$AC$4)+($F$1/$U92*$AA92*'Unit information'!$AC$5)+($F$1/$V92*$AB92*'Unit information'!$AC$8)+($F$1/$W92*$AC92*'Unit information'!$AC$10)+($F$1/$X92*$AD92*'Unit information'!$AC$11))</f>
        <v/>
      </c>
      <c r="AG92" s="229" t="str">
        <f>IF($H92="","",($F$1/$S92*$Y92*'Unit information'!$AD$3)+($F$1/$T92*$Z92*'Unit information'!$AD$4)+($F$1/$U92*$AA92*'Unit information'!$AD$5)+($F$1/$V92*$AB92*'Unit information'!$AD$8)+($F$1/$W92*$AC92*'Unit information'!$AD$10)+($F$1/$X92*$AD92*'Unit information'!$AD$11))</f>
        <v/>
      </c>
    </row>
    <row r="93" spans="1:33" x14ac:dyDescent="0.25">
      <c r="A93">
        <v>65</v>
      </c>
      <c r="B93" s="367">
        <f t="shared" si="12"/>
        <v>148420000</v>
      </c>
      <c r="C93" s="367">
        <f t="shared" si="13"/>
        <v>174800000</v>
      </c>
      <c r="D93" s="367">
        <f t="shared" si="14"/>
        <v>164075000</v>
      </c>
      <c r="E93" s="155">
        <f t="shared" si="15"/>
        <v>478335000</v>
      </c>
      <c r="H93" s="228"/>
      <c r="I93" s="11"/>
      <c r="J93" s="11"/>
      <c r="K93" s="11"/>
      <c r="L93" s="11"/>
      <c r="M93" s="11"/>
      <c r="N93" s="11"/>
      <c r="O93" s="40"/>
      <c r="P93" s="229" t="str">
        <f t="shared" si="20"/>
        <v/>
      </c>
      <c r="Q93" s="229" t="str">
        <f t="shared" si="21"/>
        <v/>
      </c>
      <c r="R93" s="229" t="str">
        <f t="shared" si="22"/>
        <v/>
      </c>
      <c r="S93" s="230" t="str">
        <f>IF($H93="","",HLOOKUP(S$2,'Unit information'!$B$3:$K$29,$L93+2,FALSE))</f>
        <v/>
      </c>
      <c r="T93" s="231" t="str">
        <f>IF($H93="","",HLOOKUP(T$2,'Unit information'!$B$3:$K$29,$L93+2,FALSE))</f>
        <v/>
      </c>
      <c r="U93" s="231" t="str">
        <f>IF($H93="","",HLOOKUP(U$2,'Unit information'!$B$3:$K$29,$L93+2,FALSE))</f>
        <v/>
      </c>
      <c r="V93" s="231" t="str">
        <f>IF($H93="","",HLOOKUP(V$2,'Unit information'!$B$3:$K$29,$M93+2,FALSE))</f>
        <v/>
      </c>
      <c r="W93" s="231" t="str">
        <f>IF($H93="","",HLOOKUP(W$2,'Unit information'!$B$3:$K$29,$M93+2,FALSE))</f>
        <v/>
      </c>
      <c r="X93" s="231" t="str">
        <f>IF($H93="","",HLOOKUP(X$2,'Unit information'!$B$3:$K$29,$N93+2,FALSE))</f>
        <v/>
      </c>
      <c r="Y93" s="232" t="str">
        <f t="shared" si="16"/>
        <v/>
      </c>
      <c r="Z93" s="232" t="str">
        <f t="shared" si="16"/>
        <v/>
      </c>
      <c r="AA93" s="232" t="str">
        <f t="shared" si="17"/>
        <v/>
      </c>
      <c r="AB93" s="232" t="str">
        <f t="shared" si="17"/>
        <v/>
      </c>
      <c r="AC93" s="232" t="str">
        <f t="shared" si="19"/>
        <v/>
      </c>
      <c r="AD93" s="232" t="str">
        <f t="shared" si="18"/>
        <v/>
      </c>
      <c r="AE93" s="229" t="str">
        <f>IF($H93="","",($F$1/$S93*$Y93*'Unit information'!$AB$3)+($F$1/$T93*$Z93*'Unit information'!$AB$4)+($F$1/$U93*$AA93*'Unit information'!$AB$5)+($F$1/$V93*$AB93*'Unit information'!$AB$8)+($F$1/$W93*$AC93*'Unit information'!$AB$10)+($F$1/$X93*$AD93*'Unit information'!$AB$11))</f>
        <v/>
      </c>
      <c r="AF93" s="229" t="str">
        <f>IF($H93="","",($F$1/$S93*$Y93*'Unit information'!$AC$3)+($F$1/$T93*$Z93*'Unit information'!$AC$4)+($F$1/$U93*$AA93*'Unit information'!$AC$5)+($F$1/$V93*$AB93*'Unit information'!$AC$8)+($F$1/$W93*$AC93*'Unit information'!$AC$10)+($F$1/$X93*$AD93*'Unit information'!$AC$11))</f>
        <v/>
      </c>
      <c r="AG93" s="229" t="str">
        <f>IF($H93="","",($F$1/$S93*$Y93*'Unit information'!$AD$3)+($F$1/$T93*$Z93*'Unit information'!$AD$4)+($F$1/$U93*$AA93*'Unit information'!$AD$5)+($F$1/$V93*$AB93*'Unit information'!$AD$8)+($F$1/$W93*$AC93*'Unit information'!$AD$10)+($F$1/$X93*$AD93*'Unit information'!$AD$11))</f>
        <v/>
      </c>
    </row>
    <row r="94" spans="1:33" x14ac:dyDescent="0.25">
      <c r="A94">
        <v>66</v>
      </c>
      <c r="B94" s="367">
        <f t="shared" si="12"/>
        <v>152948000</v>
      </c>
      <c r="C94" s="367">
        <f t="shared" si="13"/>
        <v>180130000</v>
      </c>
      <c r="D94" s="367">
        <f t="shared" si="14"/>
        <v>169075000</v>
      </c>
      <c r="E94" s="155">
        <f t="shared" si="15"/>
        <v>493053000</v>
      </c>
      <c r="H94" s="228"/>
      <c r="I94" s="11"/>
      <c r="J94" s="11"/>
      <c r="K94" s="11"/>
      <c r="L94" s="11"/>
      <c r="M94" s="11"/>
      <c r="N94" s="11"/>
      <c r="O94" s="40"/>
      <c r="P94" s="229" t="str">
        <f t="shared" si="20"/>
        <v/>
      </c>
      <c r="Q94" s="229" t="str">
        <f t="shared" si="21"/>
        <v/>
      </c>
      <c r="R94" s="229" t="str">
        <f t="shared" si="22"/>
        <v/>
      </c>
      <c r="S94" s="230" t="str">
        <f>IF($H94="","",HLOOKUP(S$2,'Unit information'!$B$3:$K$29,$L94+2,FALSE))</f>
        <v/>
      </c>
      <c r="T94" s="231" t="str">
        <f>IF($H94="","",HLOOKUP(T$2,'Unit information'!$B$3:$K$29,$L94+2,FALSE))</f>
        <v/>
      </c>
      <c r="U94" s="231" t="str">
        <f>IF($H94="","",HLOOKUP(U$2,'Unit information'!$B$3:$K$29,$L94+2,FALSE))</f>
        <v/>
      </c>
      <c r="V94" s="231" t="str">
        <f>IF($H94="","",HLOOKUP(V$2,'Unit information'!$B$3:$K$29,$M94+2,FALSE))</f>
        <v/>
      </c>
      <c r="W94" s="231" t="str">
        <f>IF($H94="","",HLOOKUP(W$2,'Unit information'!$B$3:$K$29,$M94+2,FALSE))</f>
        <v/>
      </c>
      <c r="X94" s="231" t="str">
        <f>IF($H94="","",HLOOKUP(X$2,'Unit information'!$B$3:$K$29,$N94+2,FALSE))</f>
        <v/>
      </c>
      <c r="Y94" s="232" t="str">
        <f t="shared" si="16"/>
        <v/>
      </c>
      <c r="Z94" s="232" t="str">
        <f t="shared" si="16"/>
        <v/>
      </c>
      <c r="AA94" s="232" t="str">
        <f t="shared" si="17"/>
        <v/>
      </c>
      <c r="AB94" s="232" t="str">
        <f t="shared" si="17"/>
        <v/>
      </c>
      <c r="AC94" s="232" t="str">
        <f t="shared" si="19"/>
        <v/>
      </c>
      <c r="AD94" s="232" t="str">
        <f t="shared" si="18"/>
        <v/>
      </c>
      <c r="AE94" s="229" t="str">
        <f>IF($H94="","",($F$1/$S94*$Y94*'Unit information'!$AB$3)+($F$1/$T94*$Z94*'Unit information'!$AB$4)+($F$1/$U94*$AA94*'Unit information'!$AB$5)+($F$1/$V94*$AB94*'Unit information'!$AB$8)+($F$1/$W94*$AC94*'Unit information'!$AB$10)+($F$1/$X94*$AD94*'Unit information'!$AB$11))</f>
        <v/>
      </c>
      <c r="AF94" s="229" t="str">
        <f>IF($H94="","",($F$1/$S94*$Y94*'Unit information'!$AC$3)+($F$1/$T94*$Z94*'Unit information'!$AC$4)+($F$1/$U94*$AA94*'Unit information'!$AC$5)+($F$1/$V94*$AB94*'Unit information'!$AC$8)+($F$1/$W94*$AC94*'Unit information'!$AC$10)+($F$1/$X94*$AD94*'Unit information'!$AC$11))</f>
        <v/>
      </c>
      <c r="AG94" s="229" t="str">
        <f>IF($H94="","",($F$1/$S94*$Y94*'Unit information'!$AD$3)+($F$1/$T94*$Z94*'Unit information'!$AD$4)+($F$1/$U94*$AA94*'Unit information'!$AD$5)+($F$1/$V94*$AB94*'Unit information'!$AD$8)+($F$1/$W94*$AC94*'Unit information'!$AD$10)+($F$1/$X94*$AD94*'Unit information'!$AD$11))</f>
        <v/>
      </c>
    </row>
    <row r="95" spans="1:33" x14ac:dyDescent="0.25">
      <c r="A95">
        <v>67</v>
      </c>
      <c r="B95" s="367">
        <f t="shared" ref="B95:B128" si="23">IF($B$4="Goldmünzen",$A95*B$29+B94+40000,$A95*B$29+B94)</f>
        <v>157544000</v>
      </c>
      <c r="C95" s="367">
        <f t="shared" ref="C95:C128" si="24">IF($B$4="Goldmünzen",$A95*C$29+C94+50000,$A95*C$29+C94)</f>
        <v>185540000</v>
      </c>
      <c r="D95" s="367">
        <f t="shared" ref="D95:D128" si="25">IF($B$4="Goldmünzen",$A95*D$29+D94+50000,$A95*D$29+D94)</f>
        <v>174150000</v>
      </c>
      <c r="E95" s="155">
        <f t="shared" si="15"/>
        <v>507994000</v>
      </c>
      <c r="H95" s="228"/>
      <c r="I95" s="11"/>
      <c r="J95" s="11"/>
      <c r="K95" s="11"/>
      <c r="L95" s="11"/>
      <c r="M95" s="11"/>
      <c r="N95" s="11"/>
      <c r="O95" s="40"/>
      <c r="P95" s="229" t="str">
        <f t="shared" si="20"/>
        <v/>
      </c>
      <c r="Q95" s="229" t="str">
        <f t="shared" si="21"/>
        <v/>
      </c>
      <c r="R95" s="229" t="str">
        <f t="shared" si="22"/>
        <v/>
      </c>
      <c r="S95" s="230" t="str">
        <f>IF($H95="","",HLOOKUP(S$2,'Unit information'!$B$3:$K$29,$L95+2,FALSE))</f>
        <v/>
      </c>
      <c r="T95" s="231" t="str">
        <f>IF($H95="","",HLOOKUP(T$2,'Unit information'!$B$3:$K$29,$L95+2,FALSE))</f>
        <v/>
      </c>
      <c r="U95" s="231" t="str">
        <f>IF($H95="","",HLOOKUP(U$2,'Unit information'!$B$3:$K$29,$L95+2,FALSE))</f>
        <v/>
      </c>
      <c r="V95" s="231" t="str">
        <f>IF($H95="","",HLOOKUP(V$2,'Unit information'!$B$3:$K$29,$M95+2,FALSE))</f>
        <v/>
      </c>
      <c r="W95" s="231" t="str">
        <f>IF($H95="","",HLOOKUP(W$2,'Unit information'!$B$3:$K$29,$M95+2,FALSE))</f>
        <v/>
      </c>
      <c r="X95" s="231" t="str">
        <f>IF($H95="","",HLOOKUP(X$2,'Unit information'!$B$3:$K$29,$N95+2,FALSE))</f>
        <v/>
      </c>
      <c r="Y95" s="232" t="str">
        <f t="shared" si="16"/>
        <v/>
      </c>
      <c r="Z95" s="232" t="str">
        <f t="shared" si="16"/>
        <v/>
      </c>
      <c r="AA95" s="232" t="str">
        <f t="shared" si="17"/>
        <v/>
      </c>
      <c r="AB95" s="232" t="str">
        <f t="shared" si="17"/>
        <v/>
      </c>
      <c r="AC95" s="232" t="str">
        <f t="shared" si="19"/>
        <v/>
      </c>
      <c r="AD95" s="232" t="str">
        <f t="shared" si="18"/>
        <v/>
      </c>
      <c r="AE95" s="229" t="str">
        <f>IF($H95="","",($F$1/$S95*$Y95*'Unit information'!$AB$3)+($F$1/$T95*$Z95*'Unit information'!$AB$4)+($F$1/$U95*$AA95*'Unit information'!$AB$5)+($F$1/$V95*$AB95*'Unit information'!$AB$8)+($F$1/$W95*$AC95*'Unit information'!$AB$10)+($F$1/$X95*$AD95*'Unit information'!$AB$11))</f>
        <v/>
      </c>
      <c r="AF95" s="229" t="str">
        <f>IF($H95="","",($F$1/$S95*$Y95*'Unit information'!$AC$3)+($F$1/$T95*$Z95*'Unit information'!$AC$4)+($F$1/$U95*$AA95*'Unit information'!$AC$5)+($F$1/$V95*$AB95*'Unit information'!$AC$8)+($F$1/$W95*$AC95*'Unit information'!$AC$10)+($F$1/$X95*$AD95*'Unit information'!$AC$11))</f>
        <v/>
      </c>
      <c r="AG95" s="229" t="str">
        <f>IF($H95="","",($F$1/$S95*$Y95*'Unit information'!$AD$3)+($F$1/$T95*$Z95*'Unit information'!$AD$4)+($F$1/$U95*$AA95*'Unit information'!$AD$5)+($F$1/$V95*$AB95*'Unit information'!$AD$8)+($F$1/$W95*$AC95*'Unit information'!$AD$10)+($F$1/$X95*$AD95*'Unit information'!$AD$11))</f>
        <v/>
      </c>
    </row>
    <row r="96" spans="1:33" x14ac:dyDescent="0.25">
      <c r="A96">
        <v>68</v>
      </c>
      <c r="B96" s="367">
        <f t="shared" si="23"/>
        <v>162208000</v>
      </c>
      <c r="C96" s="367">
        <f t="shared" si="24"/>
        <v>191030000</v>
      </c>
      <c r="D96" s="367">
        <f t="shared" si="25"/>
        <v>179300000</v>
      </c>
      <c r="E96" s="155">
        <f t="shared" si="15"/>
        <v>523158000</v>
      </c>
      <c r="H96" s="228"/>
      <c r="I96" s="11"/>
      <c r="J96" s="11"/>
      <c r="K96" s="11"/>
      <c r="L96" s="11"/>
      <c r="M96" s="11"/>
      <c r="N96" s="11"/>
      <c r="O96" s="40"/>
      <c r="P96" s="229" t="str">
        <f t="shared" si="20"/>
        <v/>
      </c>
      <c r="Q96" s="229" t="str">
        <f t="shared" si="21"/>
        <v/>
      </c>
      <c r="R96" s="229" t="str">
        <f t="shared" si="22"/>
        <v/>
      </c>
      <c r="S96" s="230" t="str">
        <f>IF($H96="","",HLOOKUP(S$2,'Unit information'!$B$3:$K$29,$L96+2,FALSE))</f>
        <v/>
      </c>
      <c r="T96" s="231" t="str">
        <f>IF($H96="","",HLOOKUP(T$2,'Unit information'!$B$3:$K$29,$L96+2,FALSE))</f>
        <v/>
      </c>
      <c r="U96" s="231" t="str">
        <f>IF($H96="","",HLOOKUP(U$2,'Unit information'!$B$3:$K$29,$L96+2,FALSE))</f>
        <v/>
      </c>
      <c r="V96" s="231" t="str">
        <f>IF($H96="","",HLOOKUP(V$2,'Unit information'!$B$3:$K$29,$M96+2,FALSE))</f>
        <v/>
      </c>
      <c r="W96" s="231" t="str">
        <f>IF($H96="","",HLOOKUP(W$2,'Unit information'!$B$3:$K$29,$M96+2,FALSE))</f>
        <v/>
      </c>
      <c r="X96" s="231" t="str">
        <f>IF($H96="","",HLOOKUP(X$2,'Unit information'!$B$3:$K$29,$N96+2,FALSE))</f>
        <v/>
      </c>
      <c r="Y96" s="232" t="str">
        <f t="shared" si="16"/>
        <v/>
      </c>
      <c r="Z96" s="232" t="str">
        <f t="shared" si="16"/>
        <v/>
      </c>
      <c r="AA96" s="232" t="str">
        <f t="shared" si="17"/>
        <v/>
      </c>
      <c r="AB96" s="232" t="str">
        <f t="shared" si="17"/>
        <v/>
      </c>
      <c r="AC96" s="232" t="str">
        <f t="shared" si="19"/>
        <v/>
      </c>
      <c r="AD96" s="232" t="str">
        <f t="shared" si="18"/>
        <v/>
      </c>
      <c r="AE96" s="229" t="str">
        <f>IF($H96="","",($F$1/$S96*$Y96*'Unit information'!$AB$3)+($F$1/$T96*$Z96*'Unit information'!$AB$4)+($F$1/$U96*$AA96*'Unit information'!$AB$5)+($F$1/$V96*$AB96*'Unit information'!$AB$8)+($F$1/$W96*$AC96*'Unit information'!$AB$10)+($F$1/$X96*$AD96*'Unit information'!$AB$11))</f>
        <v/>
      </c>
      <c r="AF96" s="229" t="str">
        <f>IF($H96="","",($F$1/$S96*$Y96*'Unit information'!$AC$3)+($F$1/$T96*$Z96*'Unit information'!$AC$4)+($F$1/$U96*$AA96*'Unit information'!$AC$5)+($F$1/$V96*$AB96*'Unit information'!$AC$8)+($F$1/$W96*$AC96*'Unit information'!$AC$10)+($F$1/$X96*$AD96*'Unit information'!$AC$11))</f>
        <v/>
      </c>
      <c r="AG96" s="229" t="str">
        <f>IF($H96="","",($F$1/$S96*$Y96*'Unit information'!$AD$3)+($F$1/$T96*$Z96*'Unit information'!$AD$4)+($F$1/$U96*$AA96*'Unit information'!$AD$5)+($F$1/$V96*$AB96*'Unit information'!$AD$8)+($F$1/$W96*$AC96*'Unit information'!$AD$10)+($F$1/$X96*$AD96*'Unit information'!$AD$11))</f>
        <v/>
      </c>
    </row>
    <row r="97" spans="1:33" x14ac:dyDescent="0.25">
      <c r="A97">
        <v>69</v>
      </c>
      <c r="B97" s="367">
        <f t="shared" si="23"/>
        <v>166940000</v>
      </c>
      <c r="C97" s="367">
        <f t="shared" si="24"/>
        <v>196600000</v>
      </c>
      <c r="D97" s="367">
        <f t="shared" si="25"/>
        <v>184525000</v>
      </c>
      <c r="E97" s="155">
        <f t="shared" si="15"/>
        <v>538545000</v>
      </c>
      <c r="H97" s="228"/>
      <c r="I97" s="11"/>
      <c r="J97" s="11"/>
      <c r="K97" s="11"/>
      <c r="L97" s="11"/>
      <c r="M97" s="11"/>
      <c r="N97" s="11"/>
      <c r="O97" s="40"/>
      <c r="P97" s="229" t="str">
        <f t="shared" si="20"/>
        <v/>
      </c>
      <c r="Q97" s="229" t="str">
        <f t="shared" si="21"/>
        <v/>
      </c>
      <c r="R97" s="229" t="str">
        <f t="shared" si="22"/>
        <v/>
      </c>
      <c r="S97" s="230" t="str">
        <f>IF($H97="","",HLOOKUP(S$2,'Unit information'!$B$3:$K$29,$L97+2,FALSE))</f>
        <v/>
      </c>
      <c r="T97" s="231" t="str">
        <f>IF($H97="","",HLOOKUP(T$2,'Unit information'!$B$3:$K$29,$L97+2,FALSE))</f>
        <v/>
      </c>
      <c r="U97" s="231" t="str">
        <f>IF($H97="","",HLOOKUP(U$2,'Unit information'!$B$3:$K$29,$L97+2,FALSE))</f>
        <v/>
      </c>
      <c r="V97" s="231" t="str">
        <f>IF($H97="","",HLOOKUP(V$2,'Unit information'!$B$3:$K$29,$M97+2,FALSE))</f>
        <v/>
      </c>
      <c r="W97" s="231" t="str">
        <f>IF($H97="","",HLOOKUP(W$2,'Unit information'!$B$3:$K$29,$M97+2,FALSE))</f>
        <v/>
      </c>
      <c r="X97" s="231" t="str">
        <f>IF($H97="","",HLOOKUP(X$2,'Unit information'!$B$3:$K$29,$N97+2,FALSE))</f>
        <v/>
      </c>
      <c r="Y97" s="232" t="str">
        <f t="shared" si="16"/>
        <v/>
      </c>
      <c r="Z97" s="232" t="str">
        <f t="shared" si="16"/>
        <v/>
      </c>
      <c r="AA97" s="232" t="str">
        <f t="shared" si="17"/>
        <v/>
      </c>
      <c r="AB97" s="232" t="str">
        <f t="shared" si="17"/>
        <v/>
      </c>
      <c r="AC97" s="232" t="str">
        <f t="shared" si="19"/>
        <v/>
      </c>
      <c r="AD97" s="232" t="str">
        <f t="shared" si="18"/>
        <v/>
      </c>
      <c r="AE97" s="229" t="str">
        <f>IF($H97="","",($F$1/$S97*$Y97*'Unit information'!$AB$3)+($F$1/$T97*$Z97*'Unit information'!$AB$4)+($F$1/$U97*$AA97*'Unit information'!$AB$5)+($F$1/$V97*$AB97*'Unit information'!$AB$8)+($F$1/$W97*$AC97*'Unit information'!$AB$10)+($F$1/$X97*$AD97*'Unit information'!$AB$11))</f>
        <v/>
      </c>
      <c r="AF97" s="229" t="str">
        <f>IF($H97="","",($F$1/$S97*$Y97*'Unit information'!$AC$3)+($F$1/$T97*$Z97*'Unit information'!$AC$4)+($F$1/$U97*$AA97*'Unit information'!$AC$5)+($F$1/$V97*$AB97*'Unit information'!$AC$8)+($F$1/$W97*$AC97*'Unit information'!$AC$10)+($F$1/$X97*$AD97*'Unit information'!$AC$11))</f>
        <v/>
      </c>
      <c r="AG97" s="229" t="str">
        <f>IF($H97="","",($F$1/$S97*$Y97*'Unit information'!$AD$3)+($F$1/$T97*$Z97*'Unit information'!$AD$4)+($F$1/$U97*$AA97*'Unit information'!$AD$5)+($F$1/$V97*$AB97*'Unit information'!$AD$8)+($F$1/$W97*$AC97*'Unit information'!$AD$10)+($F$1/$X97*$AD97*'Unit information'!$AD$11))</f>
        <v/>
      </c>
    </row>
    <row r="98" spans="1:33" x14ac:dyDescent="0.25">
      <c r="A98">
        <v>70</v>
      </c>
      <c r="B98" s="367">
        <f t="shared" si="23"/>
        <v>171740000</v>
      </c>
      <c r="C98" s="367">
        <f t="shared" si="24"/>
        <v>202250000</v>
      </c>
      <c r="D98" s="367">
        <f t="shared" si="25"/>
        <v>189825000</v>
      </c>
      <c r="E98" s="155">
        <f t="shared" si="15"/>
        <v>554155000</v>
      </c>
      <c r="H98" s="228"/>
      <c r="I98" s="11"/>
      <c r="J98" s="11"/>
      <c r="K98" s="11"/>
      <c r="L98" s="11"/>
      <c r="M98" s="11"/>
      <c r="N98" s="11"/>
      <c r="O98" s="40"/>
      <c r="P98" s="229" t="str">
        <f t="shared" si="20"/>
        <v/>
      </c>
      <c r="Q98" s="229" t="str">
        <f t="shared" si="21"/>
        <v/>
      </c>
      <c r="R98" s="229" t="str">
        <f t="shared" si="22"/>
        <v/>
      </c>
      <c r="S98" s="230" t="str">
        <f>IF($H98="","",HLOOKUP(S$2,'Unit information'!$B$3:$K$29,$L98+2,FALSE))</f>
        <v/>
      </c>
      <c r="T98" s="231" t="str">
        <f>IF($H98="","",HLOOKUP(T$2,'Unit information'!$B$3:$K$29,$L98+2,FALSE))</f>
        <v/>
      </c>
      <c r="U98" s="231" t="str">
        <f>IF($H98="","",HLOOKUP(U$2,'Unit information'!$B$3:$K$29,$L98+2,FALSE))</f>
        <v/>
      </c>
      <c r="V98" s="231" t="str">
        <f>IF($H98="","",HLOOKUP(V$2,'Unit information'!$B$3:$K$29,$M98+2,FALSE))</f>
        <v/>
      </c>
      <c r="W98" s="231" t="str">
        <f>IF($H98="","",HLOOKUP(W$2,'Unit information'!$B$3:$K$29,$M98+2,FALSE))</f>
        <v/>
      </c>
      <c r="X98" s="231" t="str">
        <f>IF($H98="","",HLOOKUP(X$2,'Unit information'!$B$3:$K$29,$N98+2,FALSE))</f>
        <v/>
      </c>
      <c r="Y98" s="232" t="str">
        <f t="shared" si="16"/>
        <v/>
      </c>
      <c r="Z98" s="232" t="str">
        <f t="shared" si="16"/>
        <v/>
      </c>
      <c r="AA98" s="232" t="str">
        <f t="shared" si="17"/>
        <v/>
      </c>
      <c r="AB98" s="232" t="str">
        <f t="shared" si="17"/>
        <v/>
      </c>
      <c r="AC98" s="232" t="str">
        <f t="shared" si="19"/>
        <v/>
      </c>
      <c r="AD98" s="232" t="str">
        <f t="shared" si="18"/>
        <v/>
      </c>
      <c r="AE98" s="229" t="str">
        <f>IF($H98="","",($F$1/$S98*$Y98*'Unit information'!$AB$3)+($F$1/$T98*$Z98*'Unit information'!$AB$4)+($F$1/$U98*$AA98*'Unit information'!$AB$5)+($F$1/$V98*$AB98*'Unit information'!$AB$8)+($F$1/$W98*$AC98*'Unit information'!$AB$10)+($F$1/$X98*$AD98*'Unit information'!$AB$11))</f>
        <v/>
      </c>
      <c r="AF98" s="229" t="str">
        <f>IF($H98="","",($F$1/$S98*$Y98*'Unit information'!$AC$3)+($F$1/$T98*$Z98*'Unit information'!$AC$4)+($F$1/$U98*$AA98*'Unit information'!$AC$5)+($F$1/$V98*$AB98*'Unit information'!$AC$8)+($F$1/$W98*$AC98*'Unit information'!$AC$10)+($F$1/$X98*$AD98*'Unit information'!$AC$11))</f>
        <v/>
      </c>
      <c r="AG98" s="229" t="str">
        <f>IF($H98="","",($F$1/$S98*$Y98*'Unit information'!$AD$3)+($F$1/$T98*$Z98*'Unit information'!$AD$4)+($F$1/$U98*$AA98*'Unit information'!$AD$5)+($F$1/$V98*$AB98*'Unit information'!$AD$8)+($F$1/$W98*$AC98*'Unit information'!$AD$10)+($F$1/$X98*$AD98*'Unit information'!$AD$11))</f>
        <v/>
      </c>
    </row>
    <row r="99" spans="1:33" x14ac:dyDescent="0.25">
      <c r="A99">
        <v>71</v>
      </c>
      <c r="B99" s="367">
        <f t="shared" si="23"/>
        <v>176608000</v>
      </c>
      <c r="C99" s="367">
        <f t="shared" si="24"/>
        <v>207980000</v>
      </c>
      <c r="D99" s="367">
        <f t="shared" si="25"/>
        <v>195200000</v>
      </c>
      <c r="E99" s="155">
        <f t="shared" si="15"/>
        <v>569988000</v>
      </c>
      <c r="H99" s="228"/>
      <c r="I99" s="11"/>
      <c r="J99" s="11"/>
      <c r="K99" s="11"/>
      <c r="L99" s="11"/>
      <c r="M99" s="11"/>
      <c r="N99" s="11"/>
      <c r="O99" s="40"/>
      <c r="P99" s="229" t="str">
        <f t="shared" si="20"/>
        <v/>
      </c>
      <c r="Q99" s="229" t="str">
        <f t="shared" si="21"/>
        <v/>
      </c>
      <c r="R99" s="229" t="str">
        <f t="shared" si="22"/>
        <v/>
      </c>
      <c r="S99" s="230" t="str">
        <f>IF($H99="","",HLOOKUP(S$2,'Unit information'!$B$3:$K$29,$L99+2,FALSE))</f>
        <v/>
      </c>
      <c r="T99" s="231" t="str">
        <f>IF($H99="","",HLOOKUP(T$2,'Unit information'!$B$3:$K$29,$L99+2,FALSE))</f>
        <v/>
      </c>
      <c r="U99" s="231" t="str">
        <f>IF($H99="","",HLOOKUP(U$2,'Unit information'!$B$3:$K$29,$L99+2,FALSE))</f>
        <v/>
      </c>
      <c r="V99" s="231" t="str">
        <f>IF($H99="","",HLOOKUP(V$2,'Unit information'!$B$3:$K$29,$M99+2,FALSE))</f>
        <v/>
      </c>
      <c r="W99" s="231" t="str">
        <f>IF($H99="","",HLOOKUP(W$2,'Unit information'!$B$3:$K$29,$M99+2,FALSE))</f>
        <v/>
      </c>
      <c r="X99" s="231" t="str">
        <f>IF($H99="","",HLOOKUP(X$2,'Unit information'!$B$3:$K$29,$N99+2,FALSE))</f>
        <v/>
      </c>
      <c r="Y99" s="232" t="str">
        <f t="shared" si="16"/>
        <v/>
      </c>
      <c r="Z99" s="232" t="str">
        <f t="shared" si="16"/>
        <v/>
      </c>
      <c r="AA99" s="232" t="str">
        <f t="shared" si="17"/>
        <v/>
      </c>
      <c r="AB99" s="232" t="str">
        <f t="shared" si="17"/>
        <v/>
      </c>
      <c r="AC99" s="232" t="str">
        <f t="shared" si="19"/>
        <v/>
      </c>
      <c r="AD99" s="232" t="str">
        <f t="shared" si="18"/>
        <v/>
      </c>
      <c r="AE99" s="229" t="str">
        <f>IF($H99="","",($F$1/$S99*$Y99*'Unit information'!$AB$3)+($F$1/$T99*$Z99*'Unit information'!$AB$4)+($F$1/$U99*$AA99*'Unit information'!$AB$5)+($F$1/$V99*$AB99*'Unit information'!$AB$8)+($F$1/$W99*$AC99*'Unit information'!$AB$10)+($F$1/$X99*$AD99*'Unit information'!$AB$11))</f>
        <v/>
      </c>
      <c r="AF99" s="229" t="str">
        <f>IF($H99="","",($F$1/$S99*$Y99*'Unit information'!$AC$3)+($F$1/$T99*$Z99*'Unit information'!$AC$4)+($F$1/$U99*$AA99*'Unit information'!$AC$5)+($F$1/$V99*$AB99*'Unit information'!$AC$8)+($F$1/$W99*$AC99*'Unit information'!$AC$10)+($F$1/$X99*$AD99*'Unit information'!$AC$11))</f>
        <v/>
      </c>
      <c r="AG99" s="229" t="str">
        <f>IF($H99="","",($F$1/$S99*$Y99*'Unit information'!$AD$3)+($F$1/$T99*$Z99*'Unit information'!$AD$4)+($F$1/$U99*$AA99*'Unit information'!$AD$5)+($F$1/$V99*$AB99*'Unit information'!$AD$8)+($F$1/$W99*$AC99*'Unit information'!$AD$10)+($F$1/$X99*$AD99*'Unit information'!$AD$11))</f>
        <v/>
      </c>
    </row>
    <row r="100" spans="1:33" x14ac:dyDescent="0.25">
      <c r="A100">
        <v>72</v>
      </c>
      <c r="B100" s="367">
        <f t="shared" si="23"/>
        <v>181544000</v>
      </c>
      <c r="C100" s="367">
        <f t="shared" si="24"/>
        <v>213790000</v>
      </c>
      <c r="D100" s="367">
        <f t="shared" si="25"/>
        <v>200650000</v>
      </c>
      <c r="E100" s="155">
        <f t="shared" si="15"/>
        <v>586044000</v>
      </c>
      <c r="H100" s="228"/>
      <c r="I100" s="11"/>
      <c r="J100" s="11"/>
      <c r="K100" s="11"/>
      <c r="L100" s="11"/>
      <c r="M100" s="11"/>
      <c r="N100" s="11"/>
      <c r="O100" s="40"/>
      <c r="P100" s="229" t="str">
        <f t="shared" si="20"/>
        <v/>
      </c>
      <c r="Q100" s="229" t="str">
        <f t="shared" si="21"/>
        <v/>
      </c>
      <c r="R100" s="229" t="str">
        <f t="shared" si="22"/>
        <v/>
      </c>
      <c r="S100" s="230" t="str">
        <f>IF($H100="","",HLOOKUP(S$2,'Unit information'!$B$3:$K$29,$L100+2,FALSE))</f>
        <v/>
      </c>
      <c r="T100" s="231" t="str">
        <f>IF($H100="","",HLOOKUP(T$2,'Unit information'!$B$3:$K$29,$L100+2,FALSE))</f>
        <v/>
      </c>
      <c r="U100" s="231" t="str">
        <f>IF($H100="","",HLOOKUP(U$2,'Unit information'!$B$3:$K$29,$L100+2,FALSE))</f>
        <v/>
      </c>
      <c r="V100" s="231" t="str">
        <f>IF($H100="","",HLOOKUP(V$2,'Unit information'!$B$3:$K$29,$M100+2,FALSE))</f>
        <v/>
      </c>
      <c r="W100" s="231" t="str">
        <f>IF($H100="","",HLOOKUP(W$2,'Unit information'!$B$3:$K$29,$M100+2,FALSE))</f>
        <v/>
      </c>
      <c r="X100" s="231" t="str">
        <f>IF($H100="","",HLOOKUP(X$2,'Unit information'!$B$3:$K$29,$N100+2,FALSE))</f>
        <v/>
      </c>
      <c r="Y100" s="232" t="str">
        <f t="shared" si="16"/>
        <v/>
      </c>
      <c r="Z100" s="232" t="str">
        <f t="shared" si="16"/>
        <v/>
      </c>
      <c r="AA100" s="232" t="str">
        <f t="shared" si="17"/>
        <v/>
      </c>
      <c r="AB100" s="232" t="str">
        <f t="shared" si="17"/>
        <v/>
      </c>
      <c r="AC100" s="232" t="str">
        <f t="shared" si="19"/>
        <v/>
      </c>
      <c r="AD100" s="232" t="str">
        <f t="shared" si="18"/>
        <v/>
      </c>
      <c r="AE100" s="229" t="str">
        <f>IF($H100="","",($F$1/$S100*$Y100*'Unit information'!$AB$3)+($F$1/$T100*$Z100*'Unit information'!$AB$4)+($F$1/$U100*$AA100*'Unit information'!$AB$5)+($F$1/$V100*$AB100*'Unit information'!$AB$8)+($F$1/$W100*$AC100*'Unit information'!$AB$10)+($F$1/$X100*$AD100*'Unit information'!$AB$11))</f>
        <v/>
      </c>
      <c r="AF100" s="229" t="str">
        <f>IF($H100="","",($F$1/$S100*$Y100*'Unit information'!$AC$3)+($F$1/$T100*$Z100*'Unit information'!$AC$4)+($F$1/$U100*$AA100*'Unit information'!$AC$5)+($F$1/$V100*$AB100*'Unit information'!$AC$8)+($F$1/$W100*$AC100*'Unit information'!$AC$10)+($F$1/$X100*$AD100*'Unit information'!$AC$11))</f>
        <v/>
      </c>
      <c r="AG100" s="229" t="str">
        <f>IF($H100="","",($F$1/$S100*$Y100*'Unit information'!$AD$3)+($F$1/$T100*$Z100*'Unit information'!$AD$4)+($F$1/$U100*$AA100*'Unit information'!$AD$5)+($F$1/$V100*$AB100*'Unit information'!$AD$8)+($F$1/$W100*$AC100*'Unit information'!$AD$10)+($F$1/$X100*$AD100*'Unit information'!$AD$11))</f>
        <v/>
      </c>
    </row>
    <row r="101" spans="1:33" x14ac:dyDescent="0.25">
      <c r="A101">
        <v>73</v>
      </c>
      <c r="B101" s="367">
        <f t="shared" si="23"/>
        <v>186548000</v>
      </c>
      <c r="C101" s="367">
        <f t="shared" si="24"/>
        <v>219680000</v>
      </c>
      <c r="D101" s="367">
        <f t="shared" si="25"/>
        <v>206175000</v>
      </c>
      <c r="E101" s="155">
        <f t="shared" si="15"/>
        <v>602323000</v>
      </c>
      <c r="H101" s="228"/>
      <c r="I101" s="11"/>
      <c r="J101" s="11"/>
      <c r="K101" s="11"/>
      <c r="L101" s="11"/>
      <c r="M101" s="11"/>
      <c r="N101" s="11"/>
      <c r="O101" s="40"/>
      <c r="P101" s="229" t="str">
        <f t="shared" si="20"/>
        <v/>
      </c>
      <c r="Q101" s="229" t="str">
        <f t="shared" si="21"/>
        <v/>
      </c>
      <c r="R101" s="229" t="str">
        <f t="shared" si="22"/>
        <v/>
      </c>
      <c r="S101" s="230" t="str">
        <f>IF($H101="","",HLOOKUP(S$2,'Unit information'!$B$3:$K$29,$L101+2,FALSE))</f>
        <v/>
      </c>
      <c r="T101" s="231" t="str">
        <f>IF($H101="","",HLOOKUP(T$2,'Unit information'!$B$3:$K$29,$L101+2,FALSE))</f>
        <v/>
      </c>
      <c r="U101" s="231" t="str">
        <f>IF($H101="","",HLOOKUP(U$2,'Unit information'!$B$3:$K$29,$L101+2,FALSE))</f>
        <v/>
      </c>
      <c r="V101" s="231" t="str">
        <f>IF($H101="","",HLOOKUP(V$2,'Unit information'!$B$3:$K$29,$M101+2,FALSE))</f>
        <v/>
      </c>
      <c r="W101" s="231" t="str">
        <f>IF($H101="","",HLOOKUP(W$2,'Unit information'!$B$3:$K$29,$M101+2,FALSE))</f>
        <v/>
      </c>
      <c r="X101" s="231" t="str">
        <f>IF($H101="","",HLOOKUP(X$2,'Unit information'!$B$3:$K$29,$N101+2,FALSE))</f>
        <v/>
      </c>
      <c r="Y101" s="232" t="str">
        <f t="shared" si="16"/>
        <v/>
      </c>
      <c r="Z101" s="232" t="str">
        <f t="shared" si="16"/>
        <v/>
      </c>
      <c r="AA101" s="232" t="str">
        <f t="shared" si="17"/>
        <v/>
      </c>
      <c r="AB101" s="232" t="str">
        <f t="shared" si="17"/>
        <v/>
      </c>
      <c r="AC101" s="232" t="str">
        <f t="shared" si="19"/>
        <v/>
      </c>
      <c r="AD101" s="232" t="str">
        <f t="shared" si="18"/>
        <v/>
      </c>
      <c r="AE101" s="229" t="str">
        <f>IF($H101="","",($F$1/$S101*$Y101*'Unit information'!$AB$3)+($F$1/$T101*$Z101*'Unit information'!$AB$4)+($F$1/$U101*$AA101*'Unit information'!$AB$5)+($F$1/$V101*$AB101*'Unit information'!$AB$8)+($F$1/$W101*$AC101*'Unit information'!$AB$10)+($F$1/$X101*$AD101*'Unit information'!$AB$11))</f>
        <v/>
      </c>
      <c r="AF101" s="229" t="str">
        <f>IF($H101="","",($F$1/$S101*$Y101*'Unit information'!$AC$3)+($F$1/$T101*$Z101*'Unit information'!$AC$4)+($F$1/$U101*$AA101*'Unit information'!$AC$5)+($F$1/$V101*$AB101*'Unit information'!$AC$8)+($F$1/$W101*$AC101*'Unit information'!$AC$10)+($F$1/$X101*$AD101*'Unit information'!$AC$11))</f>
        <v/>
      </c>
      <c r="AG101" s="229" t="str">
        <f>IF($H101="","",($F$1/$S101*$Y101*'Unit information'!$AD$3)+($F$1/$T101*$Z101*'Unit information'!$AD$4)+($F$1/$U101*$AA101*'Unit information'!$AD$5)+($F$1/$V101*$AB101*'Unit information'!$AD$8)+($F$1/$W101*$AC101*'Unit information'!$AD$10)+($F$1/$X101*$AD101*'Unit information'!$AD$11))</f>
        <v/>
      </c>
    </row>
    <row r="102" spans="1:33" x14ac:dyDescent="0.25">
      <c r="A102">
        <v>74</v>
      </c>
      <c r="B102" s="367">
        <f t="shared" si="23"/>
        <v>191620000</v>
      </c>
      <c r="C102" s="367">
        <f t="shared" si="24"/>
        <v>225650000</v>
      </c>
      <c r="D102" s="367">
        <f t="shared" si="25"/>
        <v>211775000</v>
      </c>
      <c r="E102" s="155">
        <f t="shared" si="15"/>
        <v>618825000</v>
      </c>
      <c r="H102" s="228"/>
      <c r="I102" s="11"/>
      <c r="J102" s="11"/>
      <c r="K102" s="11"/>
      <c r="L102" s="11"/>
      <c r="M102" s="11"/>
      <c r="N102" s="11"/>
      <c r="O102" s="40"/>
      <c r="P102" s="229" t="str">
        <f t="shared" si="20"/>
        <v/>
      </c>
      <c r="Q102" s="229" t="str">
        <f t="shared" si="21"/>
        <v/>
      </c>
      <c r="R102" s="229" t="str">
        <f t="shared" si="22"/>
        <v/>
      </c>
      <c r="S102" s="230" t="str">
        <f>IF($H102="","",HLOOKUP(S$2,'Unit information'!$B$3:$K$29,$L102+2,FALSE))</f>
        <v/>
      </c>
      <c r="T102" s="231" t="str">
        <f>IF($H102="","",HLOOKUP(T$2,'Unit information'!$B$3:$K$29,$L102+2,FALSE))</f>
        <v/>
      </c>
      <c r="U102" s="231" t="str">
        <f>IF($H102="","",HLOOKUP(U$2,'Unit information'!$B$3:$K$29,$L102+2,FALSE))</f>
        <v/>
      </c>
      <c r="V102" s="231" t="str">
        <f>IF($H102="","",HLOOKUP(V$2,'Unit information'!$B$3:$K$29,$M102+2,FALSE))</f>
        <v/>
      </c>
      <c r="W102" s="231" t="str">
        <f>IF($H102="","",HLOOKUP(W$2,'Unit information'!$B$3:$K$29,$M102+2,FALSE))</f>
        <v/>
      </c>
      <c r="X102" s="231" t="str">
        <f>IF($H102="","",HLOOKUP(X$2,'Unit information'!$B$3:$K$29,$N102+2,FALSE))</f>
        <v/>
      </c>
      <c r="Y102" s="232" t="str">
        <f t="shared" si="16"/>
        <v/>
      </c>
      <c r="Z102" s="232" t="str">
        <f t="shared" si="16"/>
        <v/>
      </c>
      <c r="AA102" s="232" t="str">
        <f t="shared" si="17"/>
        <v/>
      </c>
      <c r="AB102" s="232" t="str">
        <f t="shared" si="17"/>
        <v/>
      </c>
      <c r="AC102" s="232" t="str">
        <f t="shared" si="19"/>
        <v/>
      </c>
      <c r="AD102" s="232" t="str">
        <f t="shared" si="18"/>
        <v/>
      </c>
      <c r="AE102" s="229" t="str">
        <f>IF($H102="","",($F$1/$S102*$Y102*'Unit information'!$AB$3)+($F$1/$T102*$Z102*'Unit information'!$AB$4)+($F$1/$U102*$AA102*'Unit information'!$AB$5)+($F$1/$V102*$AB102*'Unit information'!$AB$8)+($F$1/$W102*$AC102*'Unit information'!$AB$10)+($F$1/$X102*$AD102*'Unit information'!$AB$11))</f>
        <v/>
      </c>
      <c r="AF102" s="229" t="str">
        <f>IF($H102="","",($F$1/$S102*$Y102*'Unit information'!$AC$3)+($F$1/$T102*$Z102*'Unit information'!$AC$4)+($F$1/$U102*$AA102*'Unit information'!$AC$5)+($F$1/$V102*$AB102*'Unit information'!$AC$8)+($F$1/$W102*$AC102*'Unit information'!$AC$10)+($F$1/$X102*$AD102*'Unit information'!$AC$11))</f>
        <v/>
      </c>
      <c r="AG102" s="229" t="str">
        <f>IF($H102="","",($F$1/$S102*$Y102*'Unit information'!$AD$3)+($F$1/$T102*$Z102*'Unit information'!$AD$4)+($F$1/$U102*$AA102*'Unit information'!$AD$5)+($F$1/$V102*$AB102*'Unit information'!$AD$8)+($F$1/$W102*$AC102*'Unit information'!$AD$10)+($F$1/$X102*$AD102*'Unit information'!$AD$11))</f>
        <v/>
      </c>
    </row>
    <row r="103" spans="1:33" x14ac:dyDescent="0.25">
      <c r="A103">
        <v>75</v>
      </c>
      <c r="B103" s="367">
        <f t="shared" si="23"/>
        <v>196760000</v>
      </c>
      <c r="C103" s="367">
        <f t="shared" si="24"/>
        <v>231700000</v>
      </c>
      <c r="D103" s="367">
        <f t="shared" si="25"/>
        <v>217450000</v>
      </c>
      <c r="E103" s="155">
        <f t="shared" ref="E103:E128" si="26">$A103*E$29+E102</f>
        <v>635550000</v>
      </c>
      <c r="H103" s="228"/>
      <c r="I103" s="11"/>
      <c r="J103" s="11"/>
      <c r="K103" s="11"/>
      <c r="L103" s="11"/>
      <c r="M103" s="11"/>
      <c r="N103" s="11"/>
      <c r="O103" s="40"/>
      <c r="P103" s="229" t="str">
        <f t="shared" si="20"/>
        <v/>
      </c>
      <c r="Q103" s="229" t="str">
        <f t="shared" si="21"/>
        <v/>
      </c>
      <c r="R103" s="229" t="str">
        <f t="shared" si="22"/>
        <v/>
      </c>
      <c r="S103" s="230" t="str">
        <f>IF($H103="","",HLOOKUP(S$2,'Unit information'!$B$3:$K$29,$L103+2,FALSE))</f>
        <v/>
      </c>
      <c r="T103" s="231" t="str">
        <f>IF($H103="","",HLOOKUP(T$2,'Unit information'!$B$3:$K$29,$L103+2,FALSE))</f>
        <v/>
      </c>
      <c r="U103" s="231" t="str">
        <f>IF($H103="","",HLOOKUP(U$2,'Unit information'!$B$3:$K$29,$L103+2,FALSE))</f>
        <v/>
      </c>
      <c r="V103" s="231" t="str">
        <f>IF($H103="","",HLOOKUP(V$2,'Unit information'!$B$3:$K$29,$M103+2,FALSE))</f>
        <v/>
      </c>
      <c r="W103" s="231" t="str">
        <f>IF($H103="","",HLOOKUP(W$2,'Unit information'!$B$3:$K$29,$M103+2,FALSE))</f>
        <v/>
      </c>
      <c r="X103" s="231" t="str">
        <f>IF($H103="","",HLOOKUP(X$2,'Unit information'!$B$3:$K$29,$N103+2,FALSE))</f>
        <v/>
      </c>
      <c r="Y103" s="232" t="str">
        <f t="shared" si="16"/>
        <v/>
      </c>
      <c r="Z103" s="232" t="str">
        <f t="shared" si="16"/>
        <v/>
      </c>
      <c r="AA103" s="232" t="str">
        <f t="shared" si="17"/>
        <v/>
      </c>
      <c r="AB103" s="232" t="str">
        <f t="shared" si="17"/>
        <v/>
      </c>
      <c r="AC103" s="232" t="str">
        <f t="shared" si="19"/>
        <v/>
      </c>
      <c r="AD103" s="232" t="str">
        <f t="shared" si="18"/>
        <v/>
      </c>
      <c r="AE103" s="229" t="str">
        <f>IF($H103="","",($F$1/$S103*$Y103*'Unit information'!$AB$3)+($F$1/$T103*$Z103*'Unit information'!$AB$4)+($F$1/$U103*$AA103*'Unit information'!$AB$5)+($F$1/$V103*$AB103*'Unit information'!$AB$8)+($F$1/$W103*$AC103*'Unit information'!$AB$10)+($F$1/$X103*$AD103*'Unit information'!$AB$11))</f>
        <v/>
      </c>
      <c r="AF103" s="229" t="str">
        <f>IF($H103="","",($F$1/$S103*$Y103*'Unit information'!$AC$3)+($F$1/$T103*$Z103*'Unit information'!$AC$4)+($F$1/$U103*$AA103*'Unit information'!$AC$5)+($F$1/$V103*$AB103*'Unit information'!$AC$8)+($F$1/$W103*$AC103*'Unit information'!$AC$10)+($F$1/$X103*$AD103*'Unit information'!$AC$11))</f>
        <v/>
      </c>
      <c r="AG103" s="229" t="str">
        <f>IF($H103="","",($F$1/$S103*$Y103*'Unit information'!$AD$3)+($F$1/$T103*$Z103*'Unit information'!$AD$4)+($F$1/$U103*$AA103*'Unit information'!$AD$5)+($F$1/$V103*$AB103*'Unit information'!$AD$8)+($F$1/$W103*$AC103*'Unit information'!$AD$10)+($F$1/$X103*$AD103*'Unit information'!$AD$11))</f>
        <v/>
      </c>
    </row>
    <row r="104" spans="1:33" x14ac:dyDescent="0.25">
      <c r="A104">
        <v>76</v>
      </c>
      <c r="B104" s="367">
        <f t="shared" si="23"/>
        <v>201968000</v>
      </c>
      <c r="C104" s="367">
        <f t="shared" si="24"/>
        <v>237830000</v>
      </c>
      <c r="D104" s="367">
        <f t="shared" si="25"/>
        <v>223200000</v>
      </c>
      <c r="E104" s="155">
        <f t="shared" si="26"/>
        <v>652498000</v>
      </c>
      <c r="H104" s="228"/>
      <c r="I104" s="11"/>
      <c r="J104" s="11"/>
      <c r="K104" s="11"/>
      <c r="L104" s="11"/>
      <c r="M104" s="11"/>
      <c r="N104" s="11"/>
      <c r="O104" s="40"/>
      <c r="P104" s="229" t="str">
        <f t="shared" si="20"/>
        <v/>
      </c>
      <c r="Q104" s="229" t="str">
        <f t="shared" si="21"/>
        <v/>
      </c>
      <c r="R104" s="229" t="str">
        <f t="shared" si="22"/>
        <v/>
      </c>
      <c r="S104" s="230" t="str">
        <f>IF($H104="","",HLOOKUP(S$2,'Unit information'!$B$3:$K$29,$L104+2,FALSE))</f>
        <v/>
      </c>
      <c r="T104" s="231" t="str">
        <f>IF($H104="","",HLOOKUP(T$2,'Unit information'!$B$3:$K$29,$L104+2,FALSE))</f>
        <v/>
      </c>
      <c r="U104" s="231" t="str">
        <f>IF($H104="","",HLOOKUP(U$2,'Unit information'!$B$3:$K$29,$L104+2,FALSE))</f>
        <v/>
      </c>
      <c r="V104" s="231" t="str">
        <f>IF($H104="","",HLOOKUP(V$2,'Unit information'!$B$3:$K$29,$M104+2,FALSE))</f>
        <v/>
      </c>
      <c r="W104" s="231" t="str">
        <f>IF($H104="","",HLOOKUP(W$2,'Unit information'!$B$3:$K$29,$M104+2,FALSE))</f>
        <v/>
      </c>
      <c r="X104" s="231" t="str">
        <f>IF($H104="","",HLOOKUP(X$2,'Unit information'!$B$3:$K$29,$N104+2,FALSE))</f>
        <v/>
      </c>
      <c r="Y104" s="232" t="str">
        <f t="shared" si="16"/>
        <v/>
      </c>
      <c r="Z104" s="232" t="str">
        <f t="shared" si="16"/>
        <v/>
      </c>
      <c r="AA104" s="232" t="str">
        <f t="shared" si="17"/>
        <v/>
      </c>
      <c r="AB104" s="232" t="str">
        <f t="shared" si="17"/>
        <v/>
      </c>
      <c r="AC104" s="232" t="str">
        <f t="shared" si="19"/>
        <v/>
      </c>
      <c r="AD104" s="232" t="str">
        <f t="shared" si="18"/>
        <v/>
      </c>
      <c r="AE104" s="229" t="str">
        <f>IF($H104="","",($F$1/$S104*$Y104*'Unit information'!$AB$3)+($F$1/$T104*$Z104*'Unit information'!$AB$4)+($F$1/$U104*$AA104*'Unit information'!$AB$5)+($F$1/$V104*$AB104*'Unit information'!$AB$8)+($F$1/$W104*$AC104*'Unit information'!$AB$10)+($F$1/$X104*$AD104*'Unit information'!$AB$11))</f>
        <v/>
      </c>
      <c r="AF104" s="229" t="str">
        <f>IF($H104="","",($F$1/$S104*$Y104*'Unit information'!$AC$3)+($F$1/$T104*$Z104*'Unit information'!$AC$4)+($F$1/$U104*$AA104*'Unit information'!$AC$5)+($F$1/$V104*$AB104*'Unit information'!$AC$8)+($F$1/$W104*$AC104*'Unit information'!$AC$10)+($F$1/$X104*$AD104*'Unit information'!$AC$11))</f>
        <v/>
      </c>
      <c r="AG104" s="229" t="str">
        <f>IF($H104="","",($F$1/$S104*$Y104*'Unit information'!$AD$3)+($F$1/$T104*$Z104*'Unit information'!$AD$4)+($F$1/$U104*$AA104*'Unit information'!$AD$5)+($F$1/$V104*$AB104*'Unit information'!$AD$8)+($F$1/$W104*$AC104*'Unit information'!$AD$10)+($F$1/$X104*$AD104*'Unit information'!$AD$11))</f>
        <v/>
      </c>
    </row>
    <row r="105" spans="1:33" x14ac:dyDescent="0.25">
      <c r="A105">
        <v>77</v>
      </c>
      <c r="B105" s="367">
        <f t="shared" si="23"/>
        <v>207244000</v>
      </c>
      <c r="C105" s="367">
        <f t="shared" si="24"/>
        <v>244040000</v>
      </c>
      <c r="D105" s="367">
        <f t="shared" si="25"/>
        <v>229025000</v>
      </c>
      <c r="E105" s="155">
        <f t="shared" si="26"/>
        <v>669669000</v>
      </c>
      <c r="H105" s="228"/>
      <c r="I105" s="11"/>
      <c r="J105" s="11"/>
      <c r="K105" s="11"/>
      <c r="L105" s="11"/>
      <c r="M105" s="11"/>
      <c r="N105" s="11"/>
      <c r="O105" s="40"/>
      <c r="P105" s="229" t="str">
        <f t="shared" si="20"/>
        <v/>
      </c>
      <c r="Q105" s="229" t="str">
        <f t="shared" si="21"/>
        <v/>
      </c>
      <c r="R105" s="229" t="str">
        <f t="shared" si="22"/>
        <v/>
      </c>
      <c r="S105" s="230" t="str">
        <f>IF($H105="","",HLOOKUP(S$2,'Unit information'!$B$3:$K$29,$L105+2,FALSE))</f>
        <v/>
      </c>
      <c r="T105" s="231" t="str">
        <f>IF($H105="","",HLOOKUP(T$2,'Unit information'!$B$3:$K$29,$L105+2,FALSE))</f>
        <v/>
      </c>
      <c r="U105" s="231" t="str">
        <f>IF($H105="","",HLOOKUP(U$2,'Unit information'!$B$3:$K$29,$L105+2,FALSE))</f>
        <v/>
      </c>
      <c r="V105" s="231" t="str">
        <f>IF($H105="","",HLOOKUP(V$2,'Unit information'!$B$3:$K$29,$M105+2,FALSE))</f>
        <v/>
      </c>
      <c r="W105" s="231" t="str">
        <f>IF($H105="","",HLOOKUP(W$2,'Unit information'!$B$3:$K$29,$M105+2,FALSE))</f>
        <v/>
      </c>
      <c r="X105" s="231" t="str">
        <f>IF($H105="","",HLOOKUP(X$2,'Unit information'!$B$3:$K$29,$N105+2,FALSE))</f>
        <v/>
      </c>
      <c r="Y105" s="232" t="str">
        <f t="shared" ref="Y105:Z111" si="27">IF($H105="","",IF($O105=$AI$1,"0%","50"%))</f>
        <v/>
      </c>
      <c r="Z105" s="232" t="str">
        <f t="shared" si="27"/>
        <v/>
      </c>
      <c r="AA105" s="232" t="str">
        <f t="shared" ref="AA105:AB111" si="28">IF($H105="","",IF($O105=$AI$1,"100%","0"%))</f>
        <v/>
      </c>
      <c r="AB105" s="232" t="str">
        <f t="shared" si="28"/>
        <v/>
      </c>
      <c r="AC105" s="232" t="str">
        <f t="shared" si="19"/>
        <v/>
      </c>
      <c r="AD105" s="232" t="str">
        <f t="shared" si="18"/>
        <v/>
      </c>
      <c r="AE105" s="229" t="str">
        <f>IF($H105="","",($F$1/$S105*$Y105*'Unit information'!$AB$3)+($F$1/$T105*$Z105*'Unit information'!$AB$4)+($F$1/$U105*$AA105*'Unit information'!$AB$5)+($F$1/$V105*$AB105*'Unit information'!$AB$8)+($F$1/$W105*$AC105*'Unit information'!$AB$10)+($F$1/$X105*$AD105*'Unit information'!$AB$11))</f>
        <v/>
      </c>
      <c r="AF105" s="229" t="str">
        <f>IF($H105="","",($F$1/$S105*$Y105*'Unit information'!$AC$3)+($F$1/$T105*$Z105*'Unit information'!$AC$4)+($F$1/$U105*$AA105*'Unit information'!$AC$5)+($F$1/$V105*$AB105*'Unit information'!$AC$8)+($F$1/$W105*$AC105*'Unit information'!$AC$10)+($F$1/$X105*$AD105*'Unit information'!$AC$11))</f>
        <v/>
      </c>
      <c r="AG105" s="229" t="str">
        <f>IF($H105="","",($F$1/$S105*$Y105*'Unit information'!$AD$3)+($F$1/$T105*$Z105*'Unit information'!$AD$4)+($F$1/$U105*$AA105*'Unit information'!$AD$5)+($F$1/$V105*$AB105*'Unit information'!$AD$8)+($F$1/$W105*$AC105*'Unit information'!$AD$10)+($F$1/$X105*$AD105*'Unit information'!$AD$11))</f>
        <v/>
      </c>
    </row>
    <row r="106" spans="1:33" x14ac:dyDescent="0.25">
      <c r="A106">
        <v>78</v>
      </c>
      <c r="B106" s="367">
        <f t="shared" si="23"/>
        <v>212588000</v>
      </c>
      <c r="C106" s="367">
        <f t="shared" si="24"/>
        <v>250330000</v>
      </c>
      <c r="D106" s="367">
        <f t="shared" si="25"/>
        <v>234925000</v>
      </c>
      <c r="E106" s="155">
        <f t="shared" si="26"/>
        <v>687063000</v>
      </c>
      <c r="H106" s="228"/>
      <c r="I106" s="11"/>
      <c r="J106" s="11"/>
      <c r="K106" s="11"/>
      <c r="L106" s="11"/>
      <c r="M106" s="11"/>
      <c r="N106" s="11"/>
      <c r="O106" s="40"/>
      <c r="P106" s="229" t="str">
        <f t="shared" si="20"/>
        <v/>
      </c>
      <c r="Q106" s="229" t="str">
        <f t="shared" si="21"/>
        <v/>
      </c>
      <c r="R106" s="229" t="str">
        <f t="shared" si="22"/>
        <v/>
      </c>
      <c r="S106" s="230" t="str">
        <f>IF($H106="","",HLOOKUP(S$2,'Unit information'!$B$3:$K$29,$L106+2,FALSE))</f>
        <v/>
      </c>
      <c r="T106" s="231" t="str">
        <f>IF($H106="","",HLOOKUP(T$2,'Unit information'!$B$3:$K$29,$L106+2,FALSE))</f>
        <v/>
      </c>
      <c r="U106" s="231" t="str">
        <f>IF($H106="","",HLOOKUP(U$2,'Unit information'!$B$3:$K$29,$L106+2,FALSE))</f>
        <v/>
      </c>
      <c r="V106" s="231" t="str">
        <f>IF($H106="","",HLOOKUP(V$2,'Unit information'!$B$3:$K$29,$M106+2,FALSE))</f>
        <v/>
      </c>
      <c r="W106" s="231" t="str">
        <f>IF($H106="","",HLOOKUP(W$2,'Unit information'!$B$3:$K$29,$M106+2,FALSE))</f>
        <v/>
      </c>
      <c r="X106" s="231" t="str">
        <f>IF($H106="","",HLOOKUP(X$2,'Unit information'!$B$3:$K$29,$N106+2,FALSE))</f>
        <v/>
      </c>
      <c r="Y106" s="232" t="str">
        <f t="shared" si="27"/>
        <v/>
      </c>
      <c r="Z106" s="232" t="str">
        <f t="shared" si="27"/>
        <v/>
      </c>
      <c r="AA106" s="232" t="str">
        <f t="shared" si="28"/>
        <v/>
      </c>
      <c r="AB106" s="232" t="str">
        <f t="shared" si="28"/>
        <v/>
      </c>
      <c r="AC106" s="232" t="str">
        <f t="shared" si="19"/>
        <v/>
      </c>
      <c r="AD106" s="232" t="str">
        <f t="shared" si="18"/>
        <v/>
      </c>
      <c r="AE106" s="229" t="str">
        <f>IF($H106="","",($F$1/$S106*$Y106*'Unit information'!$AB$3)+($F$1/$T106*$Z106*'Unit information'!$AB$4)+($F$1/$U106*$AA106*'Unit information'!$AB$5)+($F$1/$V106*$AB106*'Unit information'!$AB$8)+($F$1/$W106*$AC106*'Unit information'!$AB$10)+($F$1/$X106*$AD106*'Unit information'!$AB$11))</f>
        <v/>
      </c>
      <c r="AF106" s="229" t="str">
        <f>IF($H106="","",($F$1/$S106*$Y106*'Unit information'!$AC$3)+($F$1/$T106*$Z106*'Unit information'!$AC$4)+($F$1/$U106*$AA106*'Unit information'!$AC$5)+($F$1/$V106*$AB106*'Unit information'!$AC$8)+($F$1/$W106*$AC106*'Unit information'!$AC$10)+($F$1/$X106*$AD106*'Unit information'!$AC$11))</f>
        <v/>
      </c>
      <c r="AG106" s="229" t="str">
        <f>IF($H106="","",($F$1/$S106*$Y106*'Unit information'!$AD$3)+($F$1/$T106*$Z106*'Unit information'!$AD$4)+($F$1/$U106*$AA106*'Unit information'!$AD$5)+($F$1/$V106*$AB106*'Unit information'!$AD$8)+($F$1/$W106*$AC106*'Unit information'!$AD$10)+($F$1/$X106*$AD106*'Unit information'!$AD$11))</f>
        <v/>
      </c>
    </row>
    <row r="107" spans="1:33" x14ac:dyDescent="0.25">
      <c r="A107">
        <v>79</v>
      </c>
      <c r="B107" s="367">
        <f t="shared" si="23"/>
        <v>218000000</v>
      </c>
      <c r="C107" s="367">
        <f t="shared" si="24"/>
        <v>256700000</v>
      </c>
      <c r="D107" s="367">
        <f t="shared" si="25"/>
        <v>240900000</v>
      </c>
      <c r="E107" s="155">
        <f t="shared" si="26"/>
        <v>704680000</v>
      </c>
      <c r="H107" s="228"/>
      <c r="I107" s="11"/>
      <c r="J107" s="11"/>
      <c r="K107" s="11"/>
      <c r="L107" s="11"/>
      <c r="M107" s="11"/>
      <c r="N107" s="11"/>
      <c r="O107" s="40"/>
      <c r="P107" s="229" t="str">
        <f t="shared" si="20"/>
        <v/>
      </c>
      <c r="Q107" s="229" t="str">
        <f t="shared" si="21"/>
        <v/>
      </c>
      <c r="R107" s="229" t="str">
        <f t="shared" si="22"/>
        <v/>
      </c>
      <c r="S107" s="230" t="str">
        <f>IF($H107="","",HLOOKUP(S$2,'Unit information'!$B$3:$K$29,$L107+2,FALSE))</f>
        <v/>
      </c>
      <c r="T107" s="231" t="str">
        <f>IF($H107="","",HLOOKUP(T$2,'Unit information'!$B$3:$K$29,$L107+2,FALSE))</f>
        <v/>
      </c>
      <c r="U107" s="231" t="str">
        <f>IF($H107="","",HLOOKUP(U$2,'Unit information'!$B$3:$K$29,$L107+2,FALSE))</f>
        <v/>
      </c>
      <c r="V107" s="231" t="str">
        <f>IF($H107="","",HLOOKUP(V$2,'Unit information'!$B$3:$K$29,$M107+2,FALSE))</f>
        <v/>
      </c>
      <c r="W107" s="231" t="str">
        <f>IF($H107="","",HLOOKUP(W$2,'Unit information'!$B$3:$K$29,$M107+2,FALSE))</f>
        <v/>
      </c>
      <c r="X107" s="231" t="str">
        <f>IF($H107="","",HLOOKUP(X$2,'Unit information'!$B$3:$K$29,$N107+2,FALSE))</f>
        <v/>
      </c>
      <c r="Y107" s="232" t="str">
        <f t="shared" si="27"/>
        <v/>
      </c>
      <c r="Z107" s="232" t="str">
        <f t="shared" si="27"/>
        <v/>
      </c>
      <c r="AA107" s="232" t="str">
        <f t="shared" si="28"/>
        <v/>
      </c>
      <c r="AB107" s="232" t="str">
        <f t="shared" si="28"/>
        <v/>
      </c>
      <c r="AC107" s="232" t="str">
        <f t="shared" si="19"/>
        <v/>
      </c>
      <c r="AD107" s="232" t="str">
        <f t="shared" si="18"/>
        <v/>
      </c>
      <c r="AE107" s="229" t="str">
        <f>IF($H107="","",($F$1/$S107*$Y107*'Unit information'!$AB$3)+($F$1/$T107*$Z107*'Unit information'!$AB$4)+($F$1/$U107*$AA107*'Unit information'!$AB$5)+($F$1/$V107*$AB107*'Unit information'!$AB$8)+($F$1/$W107*$AC107*'Unit information'!$AB$10)+($F$1/$X107*$AD107*'Unit information'!$AB$11))</f>
        <v/>
      </c>
      <c r="AF107" s="229" t="str">
        <f>IF($H107="","",($F$1/$S107*$Y107*'Unit information'!$AC$3)+($F$1/$T107*$Z107*'Unit information'!$AC$4)+($F$1/$U107*$AA107*'Unit information'!$AC$5)+($F$1/$V107*$AB107*'Unit information'!$AC$8)+($F$1/$W107*$AC107*'Unit information'!$AC$10)+($F$1/$X107*$AD107*'Unit information'!$AC$11))</f>
        <v/>
      </c>
      <c r="AG107" s="229" t="str">
        <f>IF($H107="","",($F$1/$S107*$Y107*'Unit information'!$AD$3)+($F$1/$T107*$Z107*'Unit information'!$AD$4)+($F$1/$U107*$AA107*'Unit information'!$AD$5)+($F$1/$V107*$AB107*'Unit information'!$AD$8)+($F$1/$W107*$AC107*'Unit information'!$AD$10)+($F$1/$X107*$AD107*'Unit information'!$AD$11))</f>
        <v/>
      </c>
    </row>
    <row r="108" spans="1:33" x14ac:dyDescent="0.25">
      <c r="A108">
        <v>80</v>
      </c>
      <c r="B108" s="367">
        <f t="shared" si="23"/>
        <v>223480000</v>
      </c>
      <c r="C108" s="367">
        <f t="shared" si="24"/>
        <v>263150000</v>
      </c>
      <c r="D108" s="367">
        <f t="shared" si="25"/>
        <v>246950000</v>
      </c>
      <c r="E108" s="155">
        <f t="shared" si="26"/>
        <v>722520000</v>
      </c>
      <c r="H108" s="228"/>
      <c r="I108" s="11"/>
      <c r="J108" s="11"/>
      <c r="K108" s="11"/>
      <c r="L108" s="11"/>
      <c r="M108" s="11"/>
      <c r="N108" s="11"/>
      <c r="O108" s="40"/>
      <c r="P108" s="229" t="str">
        <f t="shared" si="20"/>
        <v/>
      </c>
      <c r="Q108" s="229" t="str">
        <f t="shared" si="21"/>
        <v/>
      </c>
      <c r="R108" s="229" t="str">
        <f t="shared" si="22"/>
        <v/>
      </c>
      <c r="S108" s="230" t="str">
        <f>IF($H108="","",HLOOKUP(S$2,'Unit information'!$B$3:$K$29,$L108+2,FALSE))</f>
        <v/>
      </c>
      <c r="T108" s="231" t="str">
        <f>IF($H108="","",HLOOKUP(T$2,'Unit information'!$B$3:$K$29,$L108+2,FALSE))</f>
        <v/>
      </c>
      <c r="U108" s="231" t="str">
        <f>IF($H108="","",HLOOKUP(U$2,'Unit information'!$B$3:$K$29,$L108+2,FALSE))</f>
        <v/>
      </c>
      <c r="V108" s="231" t="str">
        <f>IF($H108="","",HLOOKUP(V$2,'Unit information'!$B$3:$K$29,$M108+2,FALSE))</f>
        <v/>
      </c>
      <c r="W108" s="231" t="str">
        <f>IF($H108="","",HLOOKUP(W$2,'Unit information'!$B$3:$K$29,$M108+2,FALSE))</f>
        <v/>
      </c>
      <c r="X108" s="231" t="str">
        <f>IF($H108="","",HLOOKUP(X$2,'Unit information'!$B$3:$K$29,$N108+2,FALSE))</f>
        <v/>
      </c>
      <c r="Y108" s="232" t="str">
        <f t="shared" si="27"/>
        <v/>
      </c>
      <c r="Z108" s="232" t="str">
        <f t="shared" si="27"/>
        <v/>
      </c>
      <c r="AA108" s="232" t="str">
        <f t="shared" si="28"/>
        <v/>
      </c>
      <c r="AB108" s="232" t="str">
        <f t="shared" si="28"/>
        <v/>
      </c>
      <c r="AC108" s="232" t="str">
        <f t="shared" si="19"/>
        <v/>
      </c>
      <c r="AD108" s="232" t="str">
        <f t="shared" si="18"/>
        <v/>
      </c>
      <c r="AE108" s="229" t="str">
        <f>IF($H108="","",($F$1/$S108*$Y108*'Unit information'!$AB$3)+($F$1/$T108*$Z108*'Unit information'!$AB$4)+($F$1/$U108*$AA108*'Unit information'!$AB$5)+($F$1/$V108*$AB108*'Unit information'!$AB$8)+($F$1/$W108*$AC108*'Unit information'!$AB$10)+($F$1/$X108*$AD108*'Unit information'!$AB$11))</f>
        <v/>
      </c>
      <c r="AF108" s="229" t="str">
        <f>IF($H108="","",($F$1/$S108*$Y108*'Unit information'!$AC$3)+($F$1/$T108*$Z108*'Unit information'!$AC$4)+($F$1/$U108*$AA108*'Unit information'!$AC$5)+($F$1/$V108*$AB108*'Unit information'!$AC$8)+($F$1/$W108*$AC108*'Unit information'!$AC$10)+($F$1/$X108*$AD108*'Unit information'!$AC$11))</f>
        <v/>
      </c>
      <c r="AG108" s="229" t="str">
        <f>IF($H108="","",($F$1/$S108*$Y108*'Unit information'!$AD$3)+($F$1/$T108*$Z108*'Unit information'!$AD$4)+($F$1/$U108*$AA108*'Unit information'!$AD$5)+($F$1/$V108*$AB108*'Unit information'!$AD$8)+($F$1/$W108*$AC108*'Unit information'!$AD$10)+($F$1/$X108*$AD108*'Unit information'!$AD$11))</f>
        <v/>
      </c>
    </row>
    <row r="109" spans="1:33" x14ac:dyDescent="0.25">
      <c r="A109">
        <v>81</v>
      </c>
      <c r="B109" s="367">
        <f t="shared" si="23"/>
        <v>229028000</v>
      </c>
      <c r="C109" s="367">
        <f t="shared" si="24"/>
        <v>269680000</v>
      </c>
      <c r="D109" s="367">
        <f t="shared" si="25"/>
        <v>253075000</v>
      </c>
      <c r="E109" s="155">
        <f t="shared" si="26"/>
        <v>740583000</v>
      </c>
      <c r="H109" s="228"/>
      <c r="I109" s="11"/>
      <c r="J109" s="11"/>
      <c r="K109" s="11"/>
      <c r="L109" s="11"/>
      <c r="M109" s="11"/>
      <c r="N109" s="11"/>
      <c r="O109" s="40"/>
      <c r="P109" s="229" t="str">
        <f t="shared" si="20"/>
        <v/>
      </c>
      <c r="Q109" s="229" t="str">
        <f t="shared" si="21"/>
        <v/>
      </c>
      <c r="R109" s="229" t="str">
        <f t="shared" si="22"/>
        <v/>
      </c>
      <c r="S109" s="230" t="str">
        <f>IF($H109="","",HLOOKUP(S$2,'Unit information'!$B$3:$K$29,$L109+2,FALSE))</f>
        <v/>
      </c>
      <c r="T109" s="231" t="str">
        <f>IF($H109="","",HLOOKUP(T$2,'Unit information'!$B$3:$K$29,$L109+2,FALSE))</f>
        <v/>
      </c>
      <c r="U109" s="231" t="str">
        <f>IF($H109="","",HLOOKUP(U$2,'Unit information'!$B$3:$K$29,$L109+2,FALSE))</f>
        <v/>
      </c>
      <c r="V109" s="231" t="str">
        <f>IF($H109="","",HLOOKUP(V$2,'Unit information'!$B$3:$K$29,$M109+2,FALSE))</f>
        <v/>
      </c>
      <c r="W109" s="231" t="str">
        <f>IF($H109="","",HLOOKUP(W$2,'Unit information'!$B$3:$K$29,$M109+2,FALSE))</f>
        <v/>
      </c>
      <c r="X109" s="231" t="str">
        <f>IF($H109="","",HLOOKUP(X$2,'Unit information'!$B$3:$K$29,$N109+2,FALSE))</f>
        <v/>
      </c>
      <c r="Y109" s="232" t="str">
        <f t="shared" si="27"/>
        <v/>
      </c>
      <c r="Z109" s="232" t="str">
        <f t="shared" si="27"/>
        <v/>
      </c>
      <c r="AA109" s="232" t="str">
        <f t="shared" si="28"/>
        <v/>
      </c>
      <c r="AB109" s="232" t="str">
        <f t="shared" si="28"/>
        <v/>
      </c>
      <c r="AC109" s="232" t="str">
        <f t="shared" si="19"/>
        <v/>
      </c>
      <c r="AD109" s="232" t="str">
        <f t="shared" si="18"/>
        <v/>
      </c>
      <c r="AE109" s="229" t="str">
        <f>IF($H109="","",($F$1/$S109*$Y109*'Unit information'!$AB$3)+($F$1/$T109*$Z109*'Unit information'!$AB$4)+($F$1/$U109*$AA109*'Unit information'!$AB$5)+($F$1/$V109*$AB109*'Unit information'!$AB$8)+($F$1/$W109*$AC109*'Unit information'!$AB$10)+($F$1/$X109*$AD109*'Unit information'!$AB$11))</f>
        <v/>
      </c>
      <c r="AF109" s="229" t="str">
        <f>IF($H109="","",($F$1/$S109*$Y109*'Unit information'!$AC$3)+($F$1/$T109*$Z109*'Unit information'!$AC$4)+($F$1/$U109*$AA109*'Unit information'!$AC$5)+($F$1/$V109*$AB109*'Unit information'!$AC$8)+($F$1/$W109*$AC109*'Unit information'!$AC$10)+($F$1/$X109*$AD109*'Unit information'!$AC$11))</f>
        <v/>
      </c>
      <c r="AG109" s="229" t="str">
        <f>IF($H109="","",($F$1/$S109*$Y109*'Unit information'!$AD$3)+($F$1/$T109*$Z109*'Unit information'!$AD$4)+($F$1/$U109*$AA109*'Unit information'!$AD$5)+($F$1/$V109*$AB109*'Unit information'!$AD$8)+($F$1/$W109*$AC109*'Unit information'!$AD$10)+($F$1/$X109*$AD109*'Unit information'!$AD$11))</f>
        <v/>
      </c>
    </row>
    <row r="110" spans="1:33" x14ac:dyDescent="0.25">
      <c r="A110">
        <v>82</v>
      </c>
      <c r="B110" s="367">
        <f t="shared" si="23"/>
        <v>234644000</v>
      </c>
      <c r="C110" s="367">
        <f t="shared" si="24"/>
        <v>276290000</v>
      </c>
      <c r="D110" s="367">
        <f t="shared" si="25"/>
        <v>259275000</v>
      </c>
      <c r="E110" s="155">
        <f t="shared" si="26"/>
        <v>758869000</v>
      </c>
      <c r="H110" s="228"/>
      <c r="I110" s="11"/>
      <c r="J110" s="11"/>
      <c r="K110" s="11"/>
      <c r="L110" s="11"/>
      <c r="M110" s="11"/>
      <c r="N110" s="11"/>
      <c r="O110" s="40"/>
      <c r="P110" s="229" t="str">
        <f t="shared" si="20"/>
        <v/>
      </c>
      <c r="Q110" s="229" t="str">
        <f t="shared" si="21"/>
        <v/>
      </c>
      <c r="R110" s="229" t="str">
        <f t="shared" si="22"/>
        <v/>
      </c>
      <c r="S110" s="230" t="str">
        <f>IF($H110="","",HLOOKUP(S$2,'Unit information'!$B$3:$K$29,$L110+2,FALSE))</f>
        <v/>
      </c>
      <c r="T110" s="231" t="str">
        <f>IF($H110="","",HLOOKUP(T$2,'Unit information'!$B$3:$K$29,$L110+2,FALSE))</f>
        <v/>
      </c>
      <c r="U110" s="231" t="str">
        <f>IF($H110="","",HLOOKUP(U$2,'Unit information'!$B$3:$K$29,$L110+2,FALSE))</f>
        <v/>
      </c>
      <c r="V110" s="231" t="str">
        <f>IF($H110="","",HLOOKUP(V$2,'Unit information'!$B$3:$K$29,$M110+2,FALSE))</f>
        <v/>
      </c>
      <c r="W110" s="231" t="str">
        <f>IF($H110="","",HLOOKUP(W$2,'Unit information'!$B$3:$K$29,$M110+2,FALSE))</f>
        <v/>
      </c>
      <c r="X110" s="231" t="str">
        <f>IF($H110="","",HLOOKUP(X$2,'Unit information'!$B$3:$K$29,$N110+2,FALSE))</f>
        <v/>
      </c>
      <c r="Y110" s="232" t="str">
        <f t="shared" si="27"/>
        <v/>
      </c>
      <c r="Z110" s="232" t="str">
        <f t="shared" si="27"/>
        <v/>
      </c>
      <c r="AA110" s="232" t="str">
        <f t="shared" si="28"/>
        <v/>
      </c>
      <c r="AB110" s="232" t="str">
        <f t="shared" si="28"/>
        <v/>
      </c>
      <c r="AC110" s="232" t="str">
        <f t="shared" si="19"/>
        <v/>
      </c>
      <c r="AD110" s="232" t="str">
        <f t="shared" si="18"/>
        <v/>
      </c>
      <c r="AE110" s="229" t="str">
        <f>IF($H110="","",($F$1/$S110*$Y110*'Unit information'!$AB$3)+($F$1/$T110*$Z110*'Unit information'!$AB$4)+($F$1/$U110*$AA110*'Unit information'!$AB$5)+($F$1/$V110*$AB110*'Unit information'!$AB$8)+($F$1/$W110*$AC110*'Unit information'!$AB$10)+($F$1/$X110*$AD110*'Unit information'!$AB$11))</f>
        <v/>
      </c>
      <c r="AF110" s="229" t="str">
        <f>IF($H110="","",($F$1/$S110*$Y110*'Unit information'!$AC$3)+($F$1/$T110*$Z110*'Unit information'!$AC$4)+($F$1/$U110*$AA110*'Unit information'!$AC$5)+($F$1/$V110*$AB110*'Unit information'!$AC$8)+($F$1/$W110*$AC110*'Unit information'!$AC$10)+($F$1/$X110*$AD110*'Unit information'!$AC$11))</f>
        <v/>
      </c>
      <c r="AG110" s="229" t="str">
        <f>IF($H110="","",($F$1/$S110*$Y110*'Unit information'!$AD$3)+($F$1/$T110*$Z110*'Unit information'!$AD$4)+($F$1/$U110*$AA110*'Unit information'!$AD$5)+($F$1/$V110*$AB110*'Unit information'!$AD$8)+($F$1/$W110*$AC110*'Unit information'!$AD$10)+($F$1/$X110*$AD110*'Unit information'!$AD$11))</f>
        <v/>
      </c>
    </row>
    <row r="111" spans="1:33" x14ac:dyDescent="0.25">
      <c r="A111">
        <v>83</v>
      </c>
      <c r="B111" s="367">
        <f t="shared" si="23"/>
        <v>240328000</v>
      </c>
      <c r="C111" s="367">
        <f t="shared" si="24"/>
        <v>282980000</v>
      </c>
      <c r="D111" s="367">
        <f t="shared" si="25"/>
        <v>265550000</v>
      </c>
      <c r="E111" s="155">
        <f t="shared" si="26"/>
        <v>777378000</v>
      </c>
      <c r="H111" s="228"/>
      <c r="I111" s="11"/>
      <c r="J111" s="11"/>
      <c r="K111" s="11"/>
      <c r="L111" s="11"/>
      <c r="M111" s="11"/>
      <c r="N111" s="11"/>
      <c r="O111" s="40"/>
      <c r="P111" s="229" t="str">
        <f t="shared" si="20"/>
        <v/>
      </c>
      <c r="Q111" s="229" t="str">
        <f t="shared" si="21"/>
        <v/>
      </c>
      <c r="R111" s="229" t="str">
        <f t="shared" si="22"/>
        <v/>
      </c>
      <c r="S111" s="230" t="str">
        <f>IF($H111="","",HLOOKUP(S$2,'Unit information'!$B$3:$K$29,$L111+2,FALSE))</f>
        <v/>
      </c>
      <c r="T111" s="231" t="str">
        <f>IF($H111="","",HLOOKUP(T$2,'Unit information'!$B$3:$K$29,$L111+2,FALSE))</f>
        <v/>
      </c>
      <c r="U111" s="231" t="str">
        <f>IF($H111="","",HLOOKUP(U$2,'Unit information'!$B$3:$K$29,$L111+2,FALSE))</f>
        <v/>
      </c>
      <c r="V111" s="231" t="str">
        <f>IF($H111="","",HLOOKUP(V$2,'Unit information'!$B$3:$K$29,$M111+2,FALSE))</f>
        <v/>
      </c>
      <c r="W111" s="231" t="str">
        <f>IF($H111="","",HLOOKUP(W$2,'Unit information'!$B$3:$K$29,$M111+2,FALSE))</f>
        <v/>
      </c>
      <c r="X111" s="231" t="str">
        <f>IF($H111="","",HLOOKUP(X$2,'Unit information'!$B$3:$K$29,$N111+2,FALSE))</f>
        <v/>
      </c>
      <c r="Y111" s="232" t="str">
        <f t="shared" si="27"/>
        <v/>
      </c>
      <c r="Z111" s="232" t="str">
        <f t="shared" si="27"/>
        <v/>
      </c>
      <c r="AA111" s="232" t="str">
        <f t="shared" si="28"/>
        <v/>
      </c>
      <c r="AB111" s="232" t="str">
        <f t="shared" si="28"/>
        <v/>
      </c>
      <c r="AC111" s="232" t="str">
        <f t="shared" si="19"/>
        <v/>
      </c>
      <c r="AD111" s="232" t="str">
        <f t="shared" si="18"/>
        <v/>
      </c>
      <c r="AE111" s="229" t="str">
        <f>IF($H111="","",($F$1/$S111*$Y111*'Unit information'!$AB$3)+($F$1/$T111*$Z111*'Unit information'!$AB$4)+($F$1/$U111*$AA111*'Unit information'!$AB$5)+($F$1/$V111*$AB111*'Unit information'!$AB$8)+($F$1/$W111*$AC111*'Unit information'!$AB$10)+($F$1/$X111*$AD111*'Unit information'!$AB$11))</f>
        <v/>
      </c>
      <c r="AF111" s="229" t="str">
        <f>IF($H111="","",($F$1/$S111*$Y111*'Unit information'!$AC$3)+($F$1/$T111*$Z111*'Unit information'!$AC$4)+($F$1/$U111*$AA111*'Unit information'!$AC$5)+($F$1/$V111*$AB111*'Unit information'!$AC$8)+($F$1/$W111*$AC111*'Unit information'!$AC$10)+($F$1/$X111*$AD111*'Unit information'!$AC$11))</f>
        <v/>
      </c>
      <c r="AG111" s="229" t="str">
        <f>IF($H111="","",($F$1/$S111*$Y111*'Unit information'!$AD$3)+($F$1/$T111*$Z111*'Unit information'!$AD$4)+($F$1/$U111*$AA111*'Unit information'!$AD$5)+($F$1/$V111*$AB111*'Unit information'!$AD$8)+($F$1/$W111*$AC111*'Unit information'!$AD$10)+($F$1/$X111*$AD111*'Unit information'!$AD$11))</f>
        <v/>
      </c>
    </row>
    <row r="112" spans="1:33" x14ac:dyDescent="0.25">
      <c r="A112">
        <v>84</v>
      </c>
      <c r="B112" s="367">
        <f t="shared" si="23"/>
        <v>246080000</v>
      </c>
      <c r="C112" s="367">
        <f t="shared" si="24"/>
        <v>289750000</v>
      </c>
      <c r="D112" s="367">
        <f t="shared" si="25"/>
        <v>271900000</v>
      </c>
      <c r="E112" s="155">
        <f t="shared" si="26"/>
        <v>796110000</v>
      </c>
    </row>
    <row r="113" spans="1:34" x14ac:dyDescent="0.25">
      <c r="A113">
        <v>85</v>
      </c>
      <c r="B113" s="367">
        <f t="shared" si="23"/>
        <v>251900000</v>
      </c>
      <c r="C113" s="367">
        <f t="shared" si="24"/>
        <v>296600000</v>
      </c>
      <c r="D113" s="367">
        <f t="shared" si="25"/>
        <v>278325000</v>
      </c>
      <c r="E113" s="155">
        <f t="shared" si="26"/>
        <v>815065000</v>
      </c>
      <c r="AE113" s="154">
        <f>SUM(AE3:AE107)</f>
        <v>4155.4056056110985</v>
      </c>
      <c r="AF113" s="154">
        <f>SUM(AF3:AF107)</f>
        <v>2810.6272026893621</v>
      </c>
      <c r="AG113" s="154">
        <f>SUM(AG3:AG107)</f>
        <v>4542.8676209860323</v>
      </c>
      <c r="AH113" s="155">
        <f>SUM(AE113:AG113)</f>
        <v>11508.900429286492</v>
      </c>
    </row>
    <row r="114" spans="1:34" x14ac:dyDescent="0.25">
      <c r="A114">
        <v>86</v>
      </c>
      <c r="B114" s="367">
        <f t="shared" si="23"/>
        <v>257788000</v>
      </c>
      <c r="C114" s="367">
        <f t="shared" si="24"/>
        <v>303530000</v>
      </c>
      <c r="D114" s="367">
        <f t="shared" si="25"/>
        <v>284825000</v>
      </c>
      <c r="E114" s="155">
        <f t="shared" si="26"/>
        <v>834243000</v>
      </c>
    </row>
    <row r="115" spans="1:34" x14ac:dyDescent="0.25">
      <c r="A115">
        <v>87</v>
      </c>
      <c r="B115" s="367">
        <f t="shared" si="23"/>
        <v>263744000</v>
      </c>
      <c r="C115" s="367">
        <f t="shared" si="24"/>
        <v>310540000</v>
      </c>
      <c r="D115" s="367">
        <f t="shared" si="25"/>
        <v>291400000</v>
      </c>
      <c r="E115" s="155">
        <f t="shared" si="26"/>
        <v>853644000</v>
      </c>
    </row>
    <row r="116" spans="1:34" x14ac:dyDescent="0.25">
      <c r="A116">
        <v>88</v>
      </c>
      <c r="B116" s="367">
        <f t="shared" si="23"/>
        <v>269768000</v>
      </c>
      <c r="C116" s="367">
        <f t="shared" si="24"/>
        <v>317630000</v>
      </c>
      <c r="D116" s="367">
        <f t="shared" si="25"/>
        <v>298050000</v>
      </c>
      <c r="E116" s="155">
        <f t="shared" si="26"/>
        <v>873268000</v>
      </c>
    </row>
    <row r="117" spans="1:34" x14ac:dyDescent="0.25">
      <c r="A117">
        <v>89</v>
      </c>
      <c r="B117" s="367">
        <f t="shared" si="23"/>
        <v>275860000</v>
      </c>
      <c r="C117" s="367">
        <f t="shared" si="24"/>
        <v>324800000</v>
      </c>
      <c r="D117" s="367">
        <f t="shared" si="25"/>
        <v>304775000</v>
      </c>
      <c r="E117" s="155">
        <f t="shared" si="26"/>
        <v>893115000</v>
      </c>
    </row>
    <row r="118" spans="1:34" x14ac:dyDescent="0.25">
      <c r="A118">
        <v>90</v>
      </c>
      <c r="B118" s="367">
        <f t="shared" si="23"/>
        <v>282020000</v>
      </c>
      <c r="C118" s="367">
        <f t="shared" si="24"/>
        <v>332050000</v>
      </c>
      <c r="D118" s="367">
        <f t="shared" si="25"/>
        <v>311575000</v>
      </c>
      <c r="E118" s="155">
        <f t="shared" si="26"/>
        <v>913185000</v>
      </c>
    </row>
    <row r="119" spans="1:34" x14ac:dyDescent="0.25">
      <c r="A119">
        <v>91</v>
      </c>
      <c r="B119" s="367">
        <f t="shared" si="23"/>
        <v>288248000</v>
      </c>
      <c r="C119" s="367">
        <f t="shared" si="24"/>
        <v>339380000</v>
      </c>
      <c r="D119" s="367">
        <f t="shared" si="25"/>
        <v>318450000</v>
      </c>
      <c r="E119" s="155">
        <f t="shared" si="26"/>
        <v>933478000</v>
      </c>
    </row>
    <row r="120" spans="1:34" x14ac:dyDescent="0.25">
      <c r="A120">
        <v>92</v>
      </c>
      <c r="B120" s="367">
        <f t="shared" si="23"/>
        <v>294544000</v>
      </c>
      <c r="C120" s="367">
        <f t="shared" si="24"/>
        <v>346790000</v>
      </c>
      <c r="D120" s="367">
        <f t="shared" si="25"/>
        <v>325400000</v>
      </c>
      <c r="E120" s="155">
        <f t="shared" si="26"/>
        <v>953994000</v>
      </c>
    </row>
    <row r="121" spans="1:34" x14ac:dyDescent="0.25">
      <c r="A121">
        <v>93</v>
      </c>
      <c r="B121" s="367">
        <f t="shared" si="23"/>
        <v>300908000</v>
      </c>
      <c r="C121" s="367">
        <f t="shared" si="24"/>
        <v>354280000</v>
      </c>
      <c r="D121" s="367">
        <f t="shared" si="25"/>
        <v>332425000</v>
      </c>
      <c r="E121" s="155">
        <f t="shared" si="26"/>
        <v>974733000</v>
      </c>
    </row>
    <row r="122" spans="1:34" x14ac:dyDescent="0.25">
      <c r="A122">
        <v>94</v>
      </c>
      <c r="B122" s="367">
        <f t="shared" si="23"/>
        <v>307340000</v>
      </c>
      <c r="C122" s="367">
        <f t="shared" si="24"/>
        <v>361850000</v>
      </c>
      <c r="D122" s="367">
        <f t="shared" si="25"/>
        <v>339525000</v>
      </c>
      <c r="E122" s="155">
        <f t="shared" si="26"/>
        <v>995695000</v>
      </c>
    </row>
    <row r="123" spans="1:34" x14ac:dyDescent="0.25">
      <c r="A123">
        <v>95</v>
      </c>
      <c r="B123" s="367">
        <f t="shared" si="23"/>
        <v>313840000</v>
      </c>
      <c r="C123" s="367">
        <f t="shared" si="24"/>
        <v>369500000</v>
      </c>
      <c r="D123" s="367">
        <f t="shared" si="25"/>
        <v>346700000</v>
      </c>
      <c r="E123" s="155">
        <f t="shared" si="26"/>
        <v>1016880000</v>
      </c>
    </row>
    <row r="124" spans="1:34" x14ac:dyDescent="0.25">
      <c r="A124">
        <v>96</v>
      </c>
      <c r="B124" s="367">
        <f t="shared" si="23"/>
        <v>320408000</v>
      </c>
      <c r="C124" s="367">
        <f t="shared" si="24"/>
        <v>377230000</v>
      </c>
      <c r="D124" s="367">
        <f t="shared" si="25"/>
        <v>353950000</v>
      </c>
      <c r="E124" s="155">
        <f t="shared" si="26"/>
        <v>1038288000</v>
      </c>
    </row>
    <row r="125" spans="1:34" x14ac:dyDescent="0.25">
      <c r="A125">
        <v>97</v>
      </c>
      <c r="B125" s="367">
        <f t="shared" si="23"/>
        <v>327044000</v>
      </c>
      <c r="C125" s="367">
        <f t="shared" si="24"/>
        <v>385040000</v>
      </c>
      <c r="D125" s="367">
        <f t="shared" si="25"/>
        <v>361275000</v>
      </c>
      <c r="E125" s="155">
        <f t="shared" si="26"/>
        <v>1059919000</v>
      </c>
    </row>
    <row r="126" spans="1:34" x14ac:dyDescent="0.25">
      <c r="A126">
        <v>98</v>
      </c>
      <c r="B126" s="367">
        <f t="shared" si="23"/>
        <v>333748000</v>
      </c>
      <c r="C126" s="367">
        <f t="shared" si="24"/>
        <v>392930000</v>
      </c>
      <c r="D126" s="367">
        <f t="shared" si="25"/>
        <v>368675000</v>
      </c>
      <c r="E126" s="155">
        <f t="shared" si="26"/>
        <v>1081773000</v>
      </c>
    </row>
    <row r="127" spans="1:34" x14ac:dyDescent="0.25">
      <c r="A127">
        <v>99</v>
      </c>
      <c r="B127" s="367">
        <f t="shared" si="23"/>
        <v>340520000</v>
      </c>
      <c r="C127" s="367">
        <f t="shared" si="24"/>
        <v>400900000</v>
      </c>
      <c r="D127" s="367">
        <f t="shared" si="25"/>
        <v>376150000</v>
      </c>
      <c r="E127" s="155">
        <f t="shared" si="26"/>
        <v>1103850000</v>
      </c>
    </row>
    <row r="128" spans="1:34" x14ac:dyDescent="0.25">
      <c r="A128">
        <v>100</v>
      </c>
      <c r="B128" s="367">
        <f t="shared" si="23"/>
        <v>347360000</v>
      </c>
      <c r="C128" s="367">
        <f t="shared" si="24"/>
        <v>408950000</v>
      </c>
      <c r="D128" s="367">
        <f t="shared" si="25"/>
        <v>383700000</v>
      </c>
      <c r="E128" s="155">
        <f t="shared" si="26"/>
        <v>1126150000</v>
      </c>
    </row>
    <row r="129" spans="5:5" x14ac:dyDescent="0.25">
      <c r="E129" s="153"/>
    </row>
  </sheetData>
  <sortState ref="H3:O11">
    <sortCondition ref="H3"/>
  </sortState>
  <mergeCells count="7">
    <mergeCell ref="AE1:AG1"/>
    <mergeCell ref="L1:N1"/>
    <mergeCell ref="B27:E27"/>
    <mergeCell ref="I1:K1"/>
    <mergeCell ref="P1:R1"/>
    <mergeCell ref="S1:X1"/>
    <mergeCell ref="Y1:AD1"/>
  </mergeCells>
  <dataValidations count="1">
    <dataValidation type="list" allowBlank="1" showInputMessage="1" showErrorMessage="1" sqref="O3:O111">
      <formula1>$AI$1:$AI$3</formula1>
    </dataValidation>
  </dataValidations>
  <pageMargins left="0.7" right="0.7" top="0.78740157499999996" bottom="0.78740157499999996"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C7" sqref="C7"/>
    </sheetView>
  </sheetViews>
  <sheetFormatPr baseColWidth="10" defaultRowHeight="15" x14ac:dyDescent="0.25"/>
  <cols>
    <col min="1" max="1" width="15.42578125" bestFit="1" customWidth="1"/>
    <col min="2" max="2" width="10.85546875" bestFit="1" customWidth="1"/>
    <col min="3" max="3" width="6" bestFit="1" customWidth="1"/>
    <col min="4" max="4" width="17.140625" bestFit="1" customWidth="1"/>
    <col min="5" max="5" width="8" bestFit="1" customWidth="1"/>
    <col min="6" max="6" width="7" bestFit="1" customWidth="1"/>
    <col min="7" max="7" width="8" bestFit="1" customWidth="1"/>
    <col min="8" max="8" width="9" bestFit="1" customWidth="1"/>
  </cols>
  <sheetData>
    <row r="1" spans="1:15" ht="15.75" thickBot="1" x14ac:dyDescent="0.3">
      <c r="A1" s="90" t="s">
        <v>70</v>
      </c>
      <c r="B1" s="91" t="s">
        <v>72</v>
      </c>
      <c r="C1" s="91" t="s">
        <v>70</v>
      </c>
      <c r="D1" s="256" t="s">
        <v>403</v>
      </c>
      <c r="E1" s="256" t="s">
        <v>83</v>
      </c>
      <c r="F1" s="256" t="s">
        <v>30</v>
      </c>
      <c r="G1" s="256" t="s">
        <v>31</v>
      </c>
      <c r="H1" s="227" t="s">
        <v>49</v>
      </c>
      <c r="J1" s="90" t="s">
        <v>401</v>
      </c>
      <c r="K1" s="291" t="s">
        <v>103</v>
      </c>
      <c r="L1" s="292" t="s">
        <v>402</v>
      </c>
      <c r="N1" s="131" t="s">
        <v>100</v>
      </c>
      <c r="O1" s="343">
        <v>4.1666666666666664E-2</v>
      </c>
    </row>
    <row r="2" spans="1:15" x14ac:dyDescent="0.25">
      <c r="A2" s="33" t="s">
        <v>73</v>
      </c>
      <c r="B2" s="14">
        <f>K2</f>
        <v>3</v>
      </c>
      <c r="C2" s="11">
        <v>1</v>
      </c>
      <c r="D2" s="257">
        <f>HLOOKUP(A2,'Unit information'!$B$3:$K$29,'Recruting planner'!B2+2,FALSE)*C2</f>
        <v>6.6203703703703702E-3</v>
      </c>
      <c r="E2" s="164">
        <f>$C2*'Unit information'!AB3</f>
        <v>50</v>
      </c>
      <c r="F2" s="164">
        <f>$C2*'Unit information'!AC3</f>
        <v>30</v>
      </c>
      <c r="G2" s="164">
        <f>$C2*'Unit information'!AD3</f>
        <v>10</v>
      </c>
      <c r="H2" s="125">
        <f>SUM(E2:G2)</f>
        <v>90</v>
      </c>
      <c r="J2" s="81" t="s">
        <v>67</v>
      </c>
      <c r="K2" s="11">
        <v>3</v>
      </c>
      <c r="L2" s="368">
        <f>SUM(D2:D5)</f>
        <v>1.6342592592592593E-2</v>
      </c>
    </row>
    <row r="3" spans="1:15" x14ac:dyDescent="0.25">
      <c r="A3" s="33" t="s">
        <v>74</v>
      </c>
      <c r="B3" s="14">
        <f>K2</f>
        <v>3</v>
      </c>
      <c r="C3" s="11">
        <v>1</v>
      </c>
      <c r="D3" s="257">
        <f>HLOOKUP(A3,'Unit information'!$B$3:$K$29,'Recruting planner'!B3+2,FALSE)*C3</f>
        <v>9.7222222222222224E-3</v>
      </c>
      <c r="E3" s="164">
        <f>$C3*'Unit information'!AB4</f>
        <v>30</v>
      </c>
      <c r="F3" s="164">
        <f>$C3*'Unit information'!AC4</f>
        <v>30</v>
      </c>
      <c r="G3" s="164">
        <f>$C3*'Unit information'!AD4</f>
        <v>70</v>
      </c>
      <c r="H3" s="125">
        <f t="shared" ref="H3:H11" si="0">SUM(E3:G3)</f>
        <v>130</v>
      </c>
      <c r="J3" s="81" t="s">
        <v>69</v>
      </c>
      <c r="K3" s="11">
        <v>1</v>
      </c>
      <c r="L3" s="368">
        <f>SUM(D6:D9)</f>
        <v>6.5543333333333348E-3</v>
      </c>
    </row>
    <row r="4" spans="1:15" ht="15.75" thickBot="1" x14ac:dyDescent="0.3">
      <c r="A4" s="33" t="s">
        <v>75</v>
      </c>
      <c r="B4" s="14">
        <f>K2</f>
        <v>3</v>
      </c>
      <c r="C4" s="11">
        <v>0</v>
      </c>
      <c r="D4" s="257">
        <f>HLOOKUP(A4,'Unit information'!$B$3:$K$29,'Recruting planner'!B4+2,FALSE)*C4</f>
        <v>0</v>
      </c>
      <c r="E4" s="164">
        <f>$C4*'Unit information'!AB5</f>
        <v>0</v>
      </c>
      <c r="F4" s="164">
        <f>$C4*'Unit information'!AC5</f>
        <v>0</v>
      </c>
      <c r="G4" s="164">
        <f>$C4*'Unit information'!AD5</f>
        <v>0</v>
      </c>
      <c r="H4" s="125">
        <f t="shared" si="0"/>
        <v>0</v>
      </c>
      <c r="J4" s="88" t="s">
        <v>3</v>
      </c>
      <c r="K4" s="225">
        <v>1</v>
      </c>
      <c r="L4" s="369">
        <f>SUM(D10:D11)</f>
        <v>0</v>
      </c>
    </row>
    <row r="5" spans="1:15" x14ac:dyDescent="0.25">
      <c r="A5" s="33" t="s">
        <v>190</v>
      </c>
      <c r="B5" s="14">
        <f>K2</f>
        <v>3</v>
      </c>
      <c r="C5" s="11">
        <v>0</v>
      </c>
      <c r="D5" s="257">
        <f>HLOOKUP(A5,'Unit information'!$B$3:$K$29,'Recruting planner'!B5+2,FALSE)*C5</f>
        <v>0</v>
      </c>
      <c r="E5" s="164">
        <f>$C5*'Unit information'!AB6</f>
        <v>0</v>
      </c>
      <c r="F5" s="164">
        <f>$C5*'Unit information'!AC6</f>
        <v>0</v>
      </c>
      <c r="G5" s="164">
        <f>$C5*'Unit information'!AD6</f>
        <v>0</v>
      </c>
      <c r="H5" s="125">
        <f>SUM(E5:G5)</f>
        <v>0</v>
      </c>
    </row>
    <row r="6" spans="1:15" x14ac:dyDescent="0.25">
      <c r="A6" s="33" t="s">
        <v>71</v>
      </c>
      <c r="B6" s="14">
        <f>K3</f>
        <v>1</v>
      </c>
      <c r="C6" s="11">
        <v>1</v>
      </c>
      <c r="D6" s="257">
        <f>HLOOKUP(A6,'Unit information'!$B$3:$K$29,'Recruting planner'!B6+2,FALSE)*C6</f>
        <v>6.5543333333333348E-3</v>
      </c>
      <c r="E6" s="164">
        <f>$C6*'Unit information'!AB7</f>
        <v>50</v>
      </c>
      <c r="F6" s="164">
        <f>$C6*'Unit information'!AC7</f>
        <v>50</v>
      </c>
      <c r="G6" s="164">
        <f>$C6*'Unit information'!AD7</f>
        <v>20</v>
      </c>
      <c r="H6" s="125">
        <f t="shared" si="0"/>
        <v>120</v>
      </c>
    </row>
    <row r="7" spans="1:15" x14ac:dyDescent="0.25">
      <c r="A7" s="33" t="s">
        <v>76</v>
      </c>
      <c r="B7" s="14">
        <f>K3</f>
        <v>1</v>
      </c>
      <c r="C7" s="11">
        <v>0</v>
      </c>
      <c r="D7" s="257">
        <f>HLOOKUP(A7,'Unit information'!$B$3:$K$29,'Recruting planner'!B7+2,FALSE)*C7</f>
        <v>0</v>
      </c>
      <c r="E7" s="164">
        <f>$C7*'Unit information'!AB8</f>
        <v>0</v>
      </c>
      <c r="F7" s="164">
        <f>$C7*'Unit information'!AC8</f>
        <v>0</v>
      </c>
      <c r="G7" s="164">
        <f>$C7*'Unit information'!AD8</f>
        <v>0</v>
      </c>
      <c r="H7" s="125">
        <f t="shared" si="0"/>
        <v>0</v>
      </c>
    </row>
    <row r="8" spans="1:15" x14ac:dyDescent="0.25">
      <c r="A8" s="33" t="s">
        <v>195</v>
      </c>
      <c r="B8" s="14">
        <f>K3</f>
        <v>1</v>
      </c>
      <c r="C8" s="11">
        <v>0</v>
      </c>
      <c r="D8" s="257">
        <f>HLOOKUP(A8,'Unit information'!$B$3:$K$29,'Recruting planner'!B8+2,FALSE)*C8</f>
        <v>0</v>
      </c>
      <c r="E8" s="164">
        <f>$C8*'Unit information'!AB9</f>
        <v>0</v>
      </c>
      <c r="F8" s="164">
        <f>$C8*'Unit information'!AC9</f>
        <v>0</v>
      </c>
      <c r="G8" s="164">
        <f>$C8*'Unit information'!AD9</f>
        <v>0</v>
      </c>
      <c r="H8" s="125">
        <f>SUM(E8:G8)</f>
        <v>0</v>
      </c>
    </row>
    <row r="9" spans="1:15" x14ac:dyDescent="0.25">
      <c r="A9" s="33" t="s">
        <v>77</v>
      </c>
      <c r="B9" s="14">
        <f>K3</f>
        <v>1</v>
      </c>
      <c r="C9" s="11">
        <v>0</v>
      </c>
      <c r="D9" s="257">
        <f>HLOOKUP(A9,'Unit information'!$B$3:$K$29,'Recruting planner'!B9+2,FALSE)*C9</f>
        <v>0</v>
      </c>
      <c r="E9" s="164">
        <f>$C9*'Unit information'!AB10</f>
        <v>0</v>
      </c>
      <c r="F9" s="164">
        <f>$C9*'Unit information'!AC10</f>
        <v>0</v>
      </c>
      <c r="G9" s="164">
        <f>$C9*'Unit information'!AD10</f>
        <v>0</v>
      </c>
      <c r="H9" s="125">
        <f t="shared" si="0"/>
        <v>0</v>
      </c>
    </row>
    <row r="10" spans="1:15" x14ac:dyDescent="0.25">
      <c r="A10" s="33" t="s">
        <v>78</v>
      </c>
      <c r="B10" s="14">
        <v>15</v>
      </c>
      <c r="C10" s="11">
        <v>0</v>
      </c>
      <c r="D10" s="257">
        <f>HLOOKUP(A10,'Unit information'!$B$3:$K$29,'Recruting planner'!B10+2,FALSE)*C10</f>
        <v>0</v>
      </c>
      <c r="E10" s="164">
        <f>$C10*'Unit information'!AB11</f>
        <v>0</v>
      </c>
      <c r="F10" s="164">
        <f>$C10*'Unit information'!AC11</f>
        <v>0</v>
      </c>
      <c r="G10" s="164">
        <f>$C10*'Unit information'!AD11</f>
        <v>0</v>
      </c>
      <c r="H10" s="125">
        <f t="shared" si="0"/>
        <v>0</v>
      </c>
    </row>
    <row r="11" spans="1:15" x14ac:dyDescent="0.25">
      <c r="A11" s="33" t="s">
        <v>79</v>
      </c>
      <c r="B11" s="14">
        <f>K4</f>
        <v>1</v>
      </c>
      <c r="C11" s="11">
        <v>0</v>
      </c>
      <c r="D11" s="257">
        <f>HLOOKUP(A11,'Unit information'!$B$3:$K$29,'Recruting planner'!B11+2,FALSE)*C11</f>
        <v>0</v>
      </c>
      <c r="E11" s="164">
        <f>$C11*'Unit information'!AB12</f>
        <v>0</v>
      </c>
      <c r="F11" s="164">
        <f>$C11*'Unit information'!AC12</f>
        <v>0</v>
      </c>
      <c r="G11" s="164">
        <f>$C11*'Unit information'!AD12</f>
        <v>0</v>
      </c>
      <c r="H11" s="125">
        <f t="shared" si="0"/>
        <v>0</v>
      </c>
      <c r="L11" s="2"/>
    </row>
    <row r="12" spans="1:15" ht="16.5" thickBot="1" x14ac:dyDescent="0.3">
      <c r="A12" s="88" t="s">
        <v>82</v>
      </c>
      <c r="B12" s="93"/>
      <c r="C12" s="93">
        <f>SUM(C2:C5)+C6*2+C7*4+C8*5+C9*6+C10*5+C11*8</f>
        <v>4</v>
      </c>
      <c r="D12" s="95">
        <f>MAX(SUM(D2:D4),SUM(D6:D9),SUM(D10:D11))</f>
        <v>1.6342592592592593E-2</v>
      </c>
      <c r="E12" s="258">
        <f>SUM(E2:E11)</f>
        <v>130</v>
      </c>
      <c r="F12" s="258">
        <f>SUM(F2:F11)</f>
        <v>110</v>
      </c>
      <c r="G12" s="258">
        <f>SUM(G2:G11)</f>
        <v>100</v>
      </c>
      <c r="H12" s="94">
        <f>SUM(H2:H11)</f>
        <v>340</v>
      </c>
      <c r="L12" s="2"/>
    </row>
    <row r="14" spans="1:15" x14ac:dyDescent="0.25">
      <c r="D14" t="s">
        <v>87</v>
      </c>
      <c r="E14" s="61">
        <f>E12/$D$12*$O$1</f>
        <v>331.44475920679884</v>
      </c>
      <c r="F14" s="61">
        <f>F12/$D$12*$O$1</f>
        <v>280.45325779036824</v>
      </c>
      <c r="G14" s="61">
        <f>G12/$D$12*$O$1</f>
        <v>254.95750708215297</v>
      </c>
      <c r="H14" s="61">
        <f>H12/$D$12*$O$1</f>
        <v>866.85552407932005</v>
      </c>
    </row>
    <row r="20" spans="7:7" x14ac:dyDescent="0.25">
      <c r="G20" s="137"/>
    </row>
  </sheetData>
  <pageMargins left="0.7" right="0.7" top="0.78740157499999996" bottom="0.78740157499999996"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topLeftCell="B1" workbookViewId="0">
      <selection activeCell="I13" sqref="I13"/>
    </sheetView>
  </sheetViews>
  <sheetFormatPr baseColWidth="10" defaultRowHeight="15" x14ac:dyDescent="0.25"/>
  <cols>
    <col min="1" max="1" width="0" hidden="1" customWidth="1"/>
    <col min="2" max="2" width="9.5703125" customWidth="1"/>
    <col min="3" max="3" width="19.28515625" bestFit="1" customWidth="1"/>
    <col min="4" max="4" width="5.7109375" bestFit="1" customWidth="1"/>
    <col min="5" max="5" width="10.140625" bestFit="1" customWidth="1"/>
    <col min="6" max="6" width="9.28515625" bestFit="1" customWidth="1"/>
    <col min="7" max="7" width="7.28515625" bestFit="1" customWidth="1"/>
    <col min="9" max="9" width="20.140625" bestFit="1" customWidth="1"/>
    <col min="10" max="10" width="12.28515625" bestFit="1" customWidth="1"/>
    <col min="12" max="12" width="19.28515625" bestFit="1" customWidth="1"/>
    <col min="13" max="13" width="10" customWidth="1"/>
    <col min="14" max="14" width="8.7109375" bestFit="1" customWidth="1"/>
    <col min="15" max="15" width="10" customWidth="1"/>
    <col min="19" max="19" width="11.5703125" customWidth="1"/>
    <col min="20" max="20" width="15" customWidth="1"/>
  </cols>
  <sheetData>
    <row r="1" spans="1:22" ht="15.75" thickBot="1" x14ac:dyDescent="0.3">
      <c r="A1">
        <v>0</v>
      </c>
    </row>
    <row r="2" spans="1:22" x14ac:dyDescent="0.25">
      <c r="A2">
        <v>1</v>
      </c>
      <c r="C2" s="90" t="s">
        <v>337</v>
      </c>
      <c r="D2" s="291" t="s">
        <v>226</v>
      </c>
      <c r="E2" s="291" t="s">
        <v>408</v>
      </c>
      <c r="F2" s="291" t="s">
        <v>294</v>
      </c>
      <c r="G2" s="292" t="s">
        <v>290</v>
      </c>
      <c r="I2" s="444" t="s">
        <v>404</v>
      </c>
      <c r="J2" s="445"/>
      <c r="L2" s="448" t="s">
        <v>337</v>
      </c>
      <c r="M2" s="446" t="s">
        <v>410</v>
      </c>
      <c r="N2" s="446" t="s">
        <v>411</v>
      </c>
      <c r="O2" s="446" t="s">
        <v>415</v>
      </c>
      <c r="P2" s="446" t="s">
        <v>414</v>
      </c>
      <c r="Q2" s="446" t="s">
        <v>418</v>
      </c>
      <c r="R2" s="446" t="s">
        <v>417</v>
      </c>
      <c r="S2" s="446" t="s">
        <v>416</v>
      </c>
      <c r="T2" s="446" t="s">
        <v>419</v>
      </c>
      <c r="U2" s="446" t="s">
        <v>413</v>
      </c>
      <c r="V2" s="450" t="s">
        <v>412</v>
      </c>
    </row>
    <row r="3" spans="1:22" x14ac:dyDescent="0.25">
      <c r="A3">
        <v>2</v>
      </c>
      <c r="C3" s="293" t="s">
        <v>0</v>
      </c>
      <c r="D3" s="285">
        <v>1</v>
      </c>
      <c r="E3" s="372" t="s">
        <v>409</v>
      </c>
      <c r="F3" s="286">
        <f>IF(D3=0,"0",ROUND(HLOOKUP(C3,Villagers!$B$1:$V$33,'Village Planner'!D3+3,FALSE),0))</f>
        <v>5</v>
      </c>
      <c r="G3" s="287">
        <f>IF(D3=0,"0",ROUND(HLOOKUP(C3,Points!$B$1:$V$32,D3+2,FALSE),0))</f>
        <v>10</v>
      </c>
      <c r="I3" s="81" t="s">
        <v>192</v>
      </c>
      <c r="J3" s="40" t="s">
        <v>407</v>
      </c>
      <c r="L3" s="449"/>
      <c r="M3" s="447"/>
      <c r="N3" s="447"/>
      <c r="O3" s="447"/>
      <c r="P3" s="447"/>
      <c r="Q3" s="447"/>
      <c r="R3" s="447"/>
      <c r="S3" s="447"/>
      <c r="T3" s="447"/>
      <c r="U3" s="447"/>
      <c r="V3" s="451"/>
    </row>
    <row r="4" spans="1:22" x14ac:dyDescent="0.25">
      <c r="A4">
        <v>3</v>
      </c>
      <c r="C4" s="293" t="s">
        <v>1</v>
      </c>
      <c r="D4" s="285">
        <v>0</v>
      </c>
      <c r="E4" s="372" t="s">
        <v>409</v>
      </c>
      <c r="F4" s="286" t="str">
        <f>IF(D4=0,"0",ROUND(HLOOKUP(C4,Villagers!$B$1:$V$33,'Village Planner'!D4+3,FALSE),0))</f>
        <v>0</v>
      </c>
      <c r="G4" s="287" t="str">
        <f>IF(D4=0,"0",ROUND(HLOOKUP(C4,Points!$B$1:$V$32,D4+2,FALSE),0))</f>
        <v>0</v>
      </c>
      <c r="I4" s="81" t="s">
        <v>405</v>
      </c>
      <c r="J4" s="40" t="s">
        <v>406</v>
      </c>
      <c r="L4" s="81" t="s">
        <v>0</v>
      </c>
      <c r="M4" s="79">
        <v>1</v>
      </c>
      <c r="N4" s="79">
        <v>1</v>
      </c>
      <c r="O4" s="79">
        <v>20</v>
      </c>
      <c r="P4" s="79">
        <v>20</v>
      </c>
      <c r="Q4" s="79">
        <v>21</v>
      </c>
      <c r="R4" s="79">
        <v>22</v>
      </c>
      <c r="S4" s="79">
        <v>20</v>
      </c>
      <c r="T4" s="79">
        <v>20</v>
      </c>
      <c r="U4" s="79">
        <v>20</v>
      </c>
      <c r="V4" s="82">
        <v>20</v>
      </c>
    </row>
    <row r="5" spans="1:22" x14ac:dyDescent="0.25">
      <c r="A5">
        <v>4</v>
      </c>
      <c r="C5" s="293" t="s">
        <v>2</v>
      </c>
      <c r="D5" s="285">
        <v>0</v>
      </c>
      <c r="E5" s="372" t="s">
        <v>409</v>
      </c>
      <c r="F5" s="286" t="str">
        <f>IF(D5=0,"0",ROUND(HLOOKUP(C5,Villagers!$B$1:$V$33,'Village Planner'!D5+3,FALSE),0))</f>
        <v>0</v>
      </c>
      <c r="G5" s="287" t="str">
        <f>IF(D5=0,"0",ROUND(HLOOKUP(C5,Points!$B$1:$V$32,D5+2,FALSE),0))</f>
        <v>0</v>
      </c>
      <c r="I5" s="81" t="s">
        <v>352</v>
      </c>
      <c r="J5" s="40" t="s">
        <v>406</v>
      </c>
      <c r="L5" s="81" t="s">
        <v>1</v>
      </c>
      <c r="M5" s="79">
        <v>0</v>
      </c>
      <c r="N5" s="79">
        <v>0</v>
      </c>
      <c r="O5" s="79">
        <v>25</v>
      </c>
      <c r="P5" s="79">
        <v>25</v>
      </c>
      <c r="Q5" s="79">
        <v>25</v>
      </c>
      <c r="R5" s="79">
        <v>25</v>
      </c>
      <c r="S5" s="79">
        <v>25</v>
      </c>
      <c r="T5" s="79">
        <v>22</v>
      </c>
      <c r="U5" s="79">
        <v>25</v>
      </c>
      <c r="V5" s="82">
        <v>25</v>
      </c>
    </row>
    <row r="6" spans="1:22" x14ac:dyDescent="0.25">
      <c r="A6">
        <v>5</v>
      </c>
      <c r="C6" s="293" t="s">
        <v>3</v>
      </c>
      <c r="D6" s="285">
        <v>0</v>
      </c>
      <c r="E6" s="372" t="s">
        <v>409</v>
      </c>
      <c r="F6" s="286" t="str">
        <f>IF(D6=0,"0",ROUND(HLOOKUP(C6,Villagers!$B$1:$V$33,'Village Planner'!D6+3,FALSE),0))</f>
        <v>0</v>
      </c>
      <c r="G6" s="287" t="str">
        <f>IF(D6=0,"0",ROUND(HLOOKUP(C6,Points!$B$1:$V$32,D6+2,FALSE),0))</f>
        <v>0</v>
      </c>
      <c r="I6" s="81" t="s">
        <v>353</v>
      </c>
      <c r="J6" s="40" t="s">
        <v>407</v>
      </c>
      <c r="L6" s="81" t="s">
        <v>2</v>
      </c>
      <c r="M6" s="79">
        <v>0</v>
      </c>
      <c r="N6" s="79">
        <v>0</v>
      </c>
      <c r="O6" s="79">
        <v>20</v>
      </c>
      <c r="P6" s="79">
        <v>20</v>
      </c>
      <c r="Q6" s="79">
        <v>20</v>
      </c>
      <c r="R6" s="79">
        <v>20</v>
      </c>
      <c r="S6" s="79">
        <v>20</v>
      </c>
      <c r="T6" s="79">
        <v>18</v>
      </c>
      <c r="U6" s="79">
        <v>20</v>
      </c>
      <c r="V6" s="82">
        <v>20</v>
      </c>
    </row>
    <row r="7" spans="1:22" ht="15.75" thickBot="1" x14ac:dyDescent="0.3">
      <c r="A7">
        <v>6</v>
      </c>
      <c r="C7" s="293" t="s">
        <v>59</v>
      </c>
      <c r="D7" s="285">
        <v>0</v>
      </c>
      <c r="E7" s="372" t="str">
        <f>IF(AND(J6="inaktiv",D7&gt;0),"Fehler",IF(AND(D7&gt;0,D8&gt;0),"Fehler","Ja"))</f>
        <v>Ja</v>
      </c>
      <c r="F7" s="286" t="str">
        <f>IF(D7=0,"0",ROUND(HLOOKUP(C7,Villagers!$B$1:$V$33,'Village Planner'!D7+3,FALSE),0))</f>
        <v>0</v>
      </c>
      <c r="G7" s="287" t="str">
        <f>IF(D7=0,"0",ROUND(HLOOKUP(C7,Points!$B$1:$V$32,D7+2,FALSE),0))</f>
        <v>0</v>
      </c>
      <c r="I7" s="88" t="s">
        <v>387</v>
      </c>
      <c r="J7" s="341" t="str">
        <f>'Construction Planner'!G2</f>
        <v>Goldmünzen</v>
      </c>
      <c r="L7" s="81" t="s">
        <v>3</v>
      </c>
      <c r="M7" s="79">
        <v>0</v>
      </c>
      <c r="N7" s="79">
        <v>0</v>
      </c>
      <c r="O7" s="79">
        <v>15</v>
      </c>
      <c r="P7" s="79">
        <v>15</v>
      </c>
      <c r="Q7" s="79">
        <v>15</v>
      </c>
      <c r="R7" s="79">
        <v>15</v>
      </c>
      <c r="S7" s="79">
        <v>15</v>
      </c>
      <c r="T7" s="79">
        <v>6</v>
      </c>
      <c r="U7" s="79">
        <v>15</v>
      </c>
      <c r="V7" s="82">
        <v>15</v>
      </c>
    </row>
    <row r="8" spans="1:22" x14ac:dyDescent="0.25">
      <c r="A8">
        <v>7</v>
      </c>
      <c r="C8" s="293" t="s">
        <v>60</v>
      </c>
      <c r="D8" s="285">
        <v>0</v>
      </c>
      <c r="E8" s="372" t="str">
        <f>IF(AND(J5="inaktiv",D7&gt;0),"Fehler",IF(AND(D7&gt;0,D8&gt;0),"Fehler","Ja"))</f>
        <v>Ja</v>
      </c>
      <c r="F8" s="286" t="str">
        <f>IF(D8=0,"0",ROUND(HLOOKUP(C8,Villagers!$B$1:$V$33,'Village Planner'!D8+3,FALSE),0))</f>
        <v>0</v>
      </c>
      <c r="G8" s="287" t="str">
        <f>IF(D8=0,"0",ROUND(HLOOKUP(C8,Points!$B$1:$V$32,D8+2,FALSE),0))</f>
        <v>0</v>
      </c>
      <c r="L8" s="81" t="s">
        <v>59</v>
      </c>
      <c r="M8" s="79">
        <v>0</v>
      </c>
      <c r="N8" s="79">
        <v>0</v>
      </c>
      <c r="O8" s="79">
        <v>0</v>
      </c>
      <c r="P8" s="79">
        <v>0</v>
      </c>
      <c r="Q8" s="79">
        <v>0</v>
      </c>
      <c r="R8" s="79">
        <v>0</v>
      </c>
      <c r="S8" s="79">
        <v>0</v>
      </c>
      <c r="T8" s="79">
        <v>0</v>
      </c>
      <c r="U8" s="79">
        <v>0</v>
      </c>
      <c r="V8" s="82">
        <v>0</v>
      </c>
    </row>
    <row r="9" spans="1:22" x14ac:dyDescent="0.25">
      <c r="A9">
        <v>8</v>
      </c>
      <c r="C9" s="293" t="s">
        <v>4</v>
      </c>
      <c r="D9" s="285">
        <v>0</v>
      </c>
      <c r="E9" s="372" t="str">
        <f>IF(AND(J7="Goldmünzen",D9&gt;1),"Falsch","ja")</f>
        <v>ja</v>
      </c>
      <c r="F9" s="286" t="str">
        <f>IF(D9=0,"0",ROUND(HLOOKUP(C9,Villagers!$B$1:$V$33,'Village Planner'!D9+3,FALSE),0))</f>
        <v>0</v>
      </c>
      <c r="G9" s="287" t="str">
        <f>IF(D9=0,"0",ROUND(HLOOKUP(C9,Points!$B$1:$V$32,D9+2,FALSE),0))</f>
        <v>0</v>
      </c>
      <c r="L9" s="81" t="s">
        <v>60</v>
      </c>
      <c r="M9" s="79">
        <v>0</v>
      </c>
      <c r="N9" s="79">
        <v>0</v>
      </c>
      <c r="O9" s="79">
        <v>0</v>
      </c>
      <c r="P9" s="79">
        <v>0</v>
      </c>
      <c r="Q9" s="79">
        <v>1</v>
      </c>
      <c r="R9" s="79">
        <v>2</v>
      </c>
      <c r="S9" s="79">
        <v>3</v>
      </c>
      <c r="T9" s="79">
        <v>0</v>
      </c>
      <c r="U9" s="79">
        <v>0</v>
      </c>
      <c r="V9" s="82">
        <v>0</v>
      </c>
    </row>
    <row r="10" spans="1:22" x14ac:dyDescent="0.25">
      <c r="A10">
        <v>9</v>
      </c>
      <c r="C10" s="293" t="s">
        <v>5</v>
      </c>
      <c r="D10" s="285">
        <v>0</v>
      </c>
      <c r="E10" s="372" t="s">
        <v>409</v>
      </c>
      <c r="F10" s="286" t="str">
        <f>IF(D10=0,"0",ROUND(HLOOKUP(C10,Villagers!$B$1:$V$33,'Village Planner'!D10+3,FALSE),0))</f>
        <v>0</v>
      </c>
      <c r="G10" s="287" t="str">
        <f>IF(D10=0,"0",ROUND(HLOOKUP(C10,Points!$B$1:$V$32,D10+2,FALSE),0))</f>
        <v>0</v>
      </c>
      <c r="L10" s="81" t="s">
        <v>4</v>
      </c>
      <c r="M10" s="79">
        <v>0</v>
      </c>
      <c r="N10" s="79">
        <v>0</v>
      </c>
      <c r="O10" s="79">
        <v>1</v>
      </c>
      <c r="P10" s="79">
        <v>1</v>
      </c>
      <c r="Q10" s="79">
        <v>1</v>
      </c>
      <c r="R10" s="79">
        <v>1</v>
      </c>
      <c r="S10" s="79">
        <v>1</v>
      </c>
      <c r="T10" s="79">
        <v>20</v>
      </c>
      <c r="U10" s="79">
        <v>1</v>
      </c>
      <c r="V10" s="82">
        <v>1</v>
      </c>
    </row>
    <row r="11" spans="1:22" x14ac:dyDescent="0.25">
      <c r="A11">
        <v>10</v>
      </c>
      <c r="C11" s="293" t="s">
        <v>6</v>
      </c>
      <c r="D11" s="285">
        <v>1</v>
      </c>
      <c r="E11" s="372" t="s">
        <v>409</v>
      </c>
      <c r="F11" s="286">
        <f>IF(D11=0,"0",ROUND(HLOOKUP(C11,Villagers!$B$1:$V$33,'Village Planner'!D11+3,FALSE),0))</f>
        <v>0</v>
      </c>
      <c r="G11" s="287">
        <f>IF(D11=0,"0",ROUND(HLOOKUP(C11,Points!$B$1:$V$32,D11+2,FALSE),0))</f>
        <v>0</v>
      </c>
      <c r="L11" s="81" t="s">
        <v>5</v>
      </c>
      <c r="M11" s="79">
        <v>0</v>
      </c>
      <c r="N11" s="79">
        <v>0</v>
      </c>
      <c r="O11" s="79">
        <v>20</v>
      </c>
      <c r="P11" s="79">
        <v>20</v>
      </c>
      <c r="Q11" s="79">
        <v>20</v>
      </c>
      <c r="R11" s="79">
        <v>20</v>
      </c>
      <c r="S11" s="79">
        <v>20</v>
      </c>
      <c r="T11" s="79">
        <v>1</v>
      </c>
      <c r="U11" s="79">
        <v>20</v>
      </c>
      <c r="V11" s="82">
        <v>20</v>
      </c>
    </row>
    <row r="12" spans="1:22" x14ac:dyDescent="0.25">
      <c r="A12">
        <v>11</v>
      </c>
      <c r="C12" s="293" t="s">
        <v>7</v>
      </c>
      <c r="D12" s="285">
        <v>0</v>
      </c>
      <c r="E12" s="372" t="str">
        <f>IF(AND(J3="inaktiv",D12&gt;0),"Fehler","ja")</f>
        <v>ja</v>
      </c>
      <c r="F12" s="286" t="str">
        <f>IF(D12=0,"0",ROUND(HLOOKUP(C12,Villagers!$B$1:$V$33,'Village Planner'!D12+3,FALSE),0))</f>
        <v>0</v>
      </c>
      <c r="G12" s="287" t="str">
        <f>IF(D12=0,"0",ROUND(HLOOKUP(C12,Points!$B$1:$V$32,D12+2,FALSE),0))</f>
        <v>0</v>
      </c>
      <c r="L12" s="81" t="s">
        <v>6</v>
      </c>
      <c r="M12" s="79">
        <v>1</v>
      </c>
      <c r="N12" s="79">
        <v>1</v>
      </c>
      <c r="O12" s="79">
        <v>1</v>
      </c>
      <c r="P12" s="79">
        <v>1</v>
      </c>
      <c r="Q12" s="79">
        <v>1</v>
      </c>
      <c r="R12" s="79">
        <v>1</v>
      </c>
      <c r="S12" s="79">
        <v>1</v>
      </c>
      <c r="T12" s="79">
        <v>20</v>
      </c>
      <c r="U12" s="79">
        <v>1</v>
      </c>
      <c r="V12" s="82">
        <v>1</v>
      </c>
    </row>
    <row r="13" spans="1:22" x14ac:dyDescent="0.25">
      <c r="A13">
        <v>12</v>
      </c>
      <c r="C13" s="293" t="s">
        <v>8</v>
      </c>
      <c r="D13" s="285">
        <v>0</v>
      </c>
      <c r="E13" s="372" t="s">
        <v>409</v>
      </c>
      <c r="F13" s="286" t="str">
        <f>IF(D13=0,"0",ROUND(HLOOKUP(C13,Villagers!$B$1:$V$33,'Village Planner'!D13+3,FALSE),0))</f>
        <v>0</v>
      </c>
      <c r="G13" s="287" t="str">
        <f>IF(D13=0,"0",ROUND(HLOOKUP(C13,Points!$B$1:$V$32,D13+2,FALSE),0))</f>
        <v>0</v>
      </c>
      <c r="L13" s="81" t="s">
        <v>7</v>
      </c>
      <c r="M13" s="79">
        <v>0</v>
      </c>
      <c r="N13" s="79">
        <v>0</v>
      </c>
      <c r="O13" s="79">
        <v>0</v>
      </c>
      <c r="P13" s="79">
        <v>0</v>
      </c>
      <c r="Q13" s="79">
        <v>0</v>
      </c>
      <c r="R13" s="79">
        <v>0</v>
      </c>
      <c r="S13" s="79">
        <v>0</v>
      </c>
      <c r="T13" s="79">
        <v>1</v>
      </c>
      <c r="U13" s="79">
        <v>1</v>
      </c>
      <c r="V13" s="82">
        <v>1</v>
      </c>
    </row>
    <row r="14" spans="1:22" x14ac:dyDescent="0.25">
      <c r="A14">
        <v>13</v>
      </c>
      <c r="C14" s="293" t="s">
        <v>9</v>
      </c>
      <c r="D14" s="285">
        <v>0</v>
      </c>
      <c r="E14" s="372" t="s">
        <v>409</v>
      </c>
      <c r="F14" s="286" t="str">
        <f>IF(D14=0,"0",ROUND(HLOOKUP(C14,Villagers!$B$1:$V$33,'Village Planner'!D14+3,FALSE),0))</f>
        <v>0</v>
      </c>
      <c r="G14" s="287" t="str">
        <f>IF(D14=0,"0",ROUND(HLOOKUP(C14,Points!$B$1:$V$32,D14+2,FALSE),0))</f>
        <v>0</v>
      </c>
      <c r="L14" s="81" t="s">
        <v>8</v>
      </c>
      <c r="M14" s="79">
        <v>0</v>
      </c>
      <c r="N14" s="79">
        <v>0</v>
      </c>
      <c r="O14" s="79">
        <v>20</v>
      </c>
      <c r="P14" s="79">
        <v>20</v>
      </c>
      <c r="Q14" s="79">
        <v>19</v>
      </c>
      <c r="R14" s="79">
        <v>17</v>
      </c>
      <c r="S14" s="79">
        <v>20</v>
      </c>
      <c r="T14" s="79">
        <v>16</v>
      </c>
      <c r="U14" s="79">
        <v>20</v>
      </c>
      <c r="V14" s="82">
        <v>20</v>
      </c>
    </row>
    <row r="15" spans="1:22" x14ac:dyDescent="0.25">
      <c r="A15">
        <v>14</v>
      </c>
      <c r="C15" s="293" t="s">
        <v>10</v>
      </c>
      <c r="D15" s="285">
        <v>0</v>
      </c>
      <c r="E15" s="372" t="s">
        <v>409</v>
      </c>
      <c r="F15" s="286" t="str">
        <f>IF(D15=0,"0",ROUND(HLOOKUP(C15,Villagers!$B$1:$V$33,'Village Planner'!D15+3,FALSE),0))</f>
        <v>0</v>
      </c>
      <c r="G15" s="287" t="str">
        <f>IF(D15=0,"0",ROUND(HLOOKUP(C15,Points!$B$1:$V$32,D15+2,FALSE),0))</f>
        <v>0</v>
      </c>
      <c r="L15" s="81" t="s">
        <v>9</v>
      </c>
      <c r="M15" s="79">
        <v>0</v>
      </c>
      <c r="N15" s="79">
        <v>0</v>
      </c>
      <c r="O15" s="79">
        <v>30</v>
      </c>
      <c r="P15" s="79">
        <v>30</v>
      </c>
      <c r="Q15" s="79">
        <v>30</v>
      </c>
      <c r="R15" s="79">
        <v>30</v>
      </c>
      <c r="S15" s="79">
        <v>30</v>
      </c>
      <c r="T15" s="79">
        <v>30</v>
      </c>
      <c r="U15" s="79">
        <v>30</v>
      </c>
      <c r="V15" s="82">
        <v>30</v>
      </c>
    </row>
    <row r="16" spans="1:22" x14ac:dyDescent="0.25">
      <c r="A16">
        <v>15</v>
      </c>
      <c r="C16" s="293" t="s">
        <v>11</v>
      </c>
      <c r="D16" s="285">
        <v>0</v>
      </c>
      <c r="E16" s="372" t="s">
        <v>409</v>
      </c>
      <c r="F16" s="286" t="str">
        <f>IF(D16=0,"0",ROUND(HLOOKUP(C16,Villagers!$B$1:$V$33,'Village Planner'!D16+3,FALSE),0))</f>
        <v>0</v>
      </c>
      <c r="G16" s="287" t="str">
        <f>IF(D16=0,"0",ROUND(HLOOKUP(C16,Points!$B$1:$V$32,D16+2,FALSE),0))</f>
        <v>0</v>
      </c>
      <c r="L16" s="81" t="s">
        <v>10</v>
      </c>
      <c r="M16" s="79">
        <v>0</v>
      </c>
      <c r="N16" s="79">
        <v>0</v>
      </c>
      <c r="O16" s="79">
        <v>30</v>
      </c>
      <c r="P16" s="79">
        <v>30</v>
      </c>
      <c r="Q16" s="79">
        <v>30</v>
      </c>
      <c r="R16" s="79">
        <v>30</v>
      </c>
      <c r="S16" s="79">
        <v>30</v>
      </c>
      <c r="T16" s="79">
        <v>30</v>
      </c>
      <c r="U16" s="79">
        <v>30</v>
      </c>
      <c r="V16" s="82">
        <v>30</v>
      </c>
    </row>
    <row r="17" spans="1:22" x14ac:dyDescent="0.25">
      <c r="A17">
        <v>16</v>
      </c>
      <c r="C17" s="293" t="s">
        <v>12</v>
      </c>
      <c r="D17" s="285">
        <v>1</v>
      </c>
      <c r="E17" s="372" t="s">
        <v>409</v>
      </c>
      <c r="F17" s="286">
        <f>IF(D17=0,"0",ROUND(HLOOKUP(C17,Villagers!$B$1:$V$33,'Village Planner'!D17+3,FALSE),0))</f>
        <v>0</v>
      </c>
      <c r="G17" s="287">
        <f>IF(D17=0,"0",ROUND(HLOOKUP(C17,Points!$B$1:$V$32,D17+2,FALSE),0))</f>
        <v>5</v>
      </c>
      <c r="L17" s="81" t="s">
        <v>11</v>
      </c>
      <c r="M17" s="79">
        <v>0</v>
      </c>
      <c r="N17" s="79">
        <v>0</v>
      </c>
      <c r="O17" s="79">
        <v>30</v>
      </c>
      <c r="P17" s="79">
        <v>30</v>
      </c>
      <c r="Q17" s="79">
        <v>30</v>
      </c>
      <c r="R17" s="79">
        <v>30</v>
      </c>
      <c r="S17" s="79">
        <v>30</v>
      </c>
      <c r="T17" s="79">
        <v>30</v>
      </c>
      <c r="U17" s="79">
        <v>30</v>
      </c>
      <c r="V17" s="82">
        <v>30</v>
      </c>
    </row>
    <row r="18" spans="1:22" x14ac:dyDescent="0.25">
      <c r="A18">
        <v>17</v>
      </c>
      <c r="C18" s="293" t="s">
        <v>13</v>
      </c>
      <c r="D18" s="285">
        <v>1</v>
      </c>
      <c r="E18" s="372" t="s">
        <v>409</v>
      </c>
      <c r="F18" s="286">
        <f>IF(D18=0,"0",ROUND(HLOOKUP(C18,Villagers!$B$1:$V$33,'Village Planner'!D18+3,FALSE),0))</f>
        <v>0</v>
      </c>
      <c r="G18" s="287">
        <f>IF(D18=0,"0",ROUND(HLOOKUP(C18,Points!$B$1:$V$32,D18+2,FALSE),0))</f>
        <v>6</v>
      </c>
      <c r="L18" s="81" t="s">
        <v>12</v>
      </c>
      <c r="M18" s="79">
        <v>1</v>
      </c>
      <c r="N18" s="79">
        <v>1</v>
      </c>
      <c r="O18" s="79">
        <v>30</v>
      </c>
      <c r="P18" s="79">
        <v>30</v>
      </c>
      <c r="Q18" s="79">
        <v>30</v>
      </c>
      <c r="R18" s="79">
        <v>30</v>
      </c>
      <c r="S18" s="79">
        <v>30</v>
      </c>
      <c r="T18" s="79">
        <v>30</v>
      </c>
      <c r="U18" s="79">
        <v>30</v>
      </c>
      <c r="V18" s="82">
        <v>30</v>
      </c>
    </row>
    <row r="19" spans="1:22" x14ac:dyDescent="0.25">
      <c r="A19">
        <v>18</v>
      </c>
      <c r="C19" s="293" t="s">
        <v>14</v>
      </c>
      <c r="D19" s="285">
        <v>1</v>
      </c>
      <c r="E19" s="372" t="str">
        <f>IF(AND(J4="inaktiv",D19&gt;0),"Fehler",IF(AND(J4="aktiv",D19=0),"Fehler","ja"))</f>
        <v>ja</v>
      </c>
      <c r="F19" s="286">
        <f>IF(D19=0,"0",ROUND(HLOOKUP(C19,Villagers!$B$1:$V$33,'Village Planner'!D19+3,FALSE),0))</f>
        <v>2</v>
      </c>
      <c r="G19" s="287">
        <f>IF(D19=0,"0",ROUND(HLOOKUP(C19,Points!$B$1:$V$32,D19+2,FALSE),0))</f>
        <v>5</v>
      </c>
      <c r="L19" s="81" t="s">
        <v>13</v>
      </c>
      <c r="M19" s="79">
        <v>1</v>
      </c>
      <c r="N19" s="79">
        <v>1</v>
      </c>
      <c r="O19" s="79">
        <v>30</v>
      </c>
      <c r="P19" s="79">
        <v>30</v>
      </c>
      <c r="Q19" s="79">
        <v>30</v>
      </c>
      <c r="R19" s="79">
        <v>30</v>
      </c>
      <c r="S19" s="79">
        <v>30</v>
      </c>
      <c r="T19" s="79">
        <v>29</v>
      </c>
      <c r="U19" s="79">
        <v>30</v>
      </c>
      <c r="V19" s="82">
        <v>30</v>
      </c>
    </row>
    <row r="20" spans="1:22" x14ac:dyDescent="0.25">
      <c r="A20">
        <v>19</v>
      </c>
      <c r="C20" s="293" t="s">
        <v>15</v>
      </c>
      <c r="D20" s="285">
        <v>0</v>
      </c>
      <c r="E20" s="372" t="s">
        <v>409</v>
      </c>
      <c r="F20" s="286" t="str">
        <f>IF(D20=0,"0",ROUND(HLOOKUP(C20,Villagers!$B$1:$V$33,'Village Planner'!D20+3,FALSE),0))</f>
        <v>0</v>
      </c>
      <c r="G20" s="287" t="str">
        <f>IF(D20=0,"0",ROUND(HLOOKUP(C20,Points!$B$1:$V$32,D20+2,FALSE),0))</f>
        <v>0</v>
      </c>
      <c r="L20" s="81" t="s">
        <v>14</v>
      </c>
      <c r="M20" s="79">
        <v>0</v>
      </c>
      <c r="N20" s="79">
        <v>1</v>
      </c>
      <c r="O20" s="79">
        <v>0</v>
      </c>
      <c r="P20" s="79">
        <v>10</v>
      </c>
      <c r="Q20" s="79">
        <v>1</v>
      </c>
      <c r="R20" s="79">
        <v>3</v>
      </c>
      <c r="S20" s="79">
        <v>6</v>
      </c>
      <c r="T20" s="79">
        <v>10</v>
      </c>
      <c r="U20" s="79">
        <v>3</v>
      </c>
      <c r="V20" s="82">
        <v>3</v>
      </c>
    </row>
    <row r="21" spans="1:22" ht="15.75" thickBot="1" x14ac:dyDescent="0.3">
      <c r="A21">
        <v>20</v>
      </c>
      <c r="C21" s="284" t="s">
        <v>154</v>
      </c>
      <c r="D21" s="288"/>
      <c r="E21" s="288"/>
      <c r="F21" s="289">
        <f>SUM(F3:F20)</f>
        <v>7</v>
      </c>
      <c r="G21" s="290">
        <f>SUM(G3:G20)</f>
        <v>26</v>
      </c>
      <c r="L21" s="88" t="s">
        <v>15</v>
      </c>
      <c r="M21" s="93">
        <v>0</v>
      </c>
      <c r="N21" s="93">
        <v>0</v>
      </c>
      <c r="O21" s="93">
        <v>20</v>
      </c>
      <c r="P21" s="93">
        <v>20</v>
      </c>
      <c r="Q21" s="93">
        <v>20</v>
      </c>
      <c r="R21" s="93">
        <v>20</v>
      </c>
      <c r="S21" s="93">
        <v>20</v>
      </c>
      <c r="T21" s="93">
        <v>20</v>
      </c>
      <c r="U21" s="93">
        <v>20</v>
      </c>
      <c r="V21" s="89">
        <v>20</v>
      </c>
    </row>
    <row r="22" spans="1:22" x14ac:dyDescent="0.25">
      <c r="A22">
        <v>21</v>
      </c>
    </row>
    <row r="23" spans="1:22" x14ac:dyDescent="0.25">
      <c r="A23">
        <v>22</v>
      </c>
      <c r="C23" s="438" t="s">
        <v>22</v>
      </c>
      <c r="D23" s="438"/>
      <c r="E23" s="355"/>
      <c r="F23">
        <f>ROUND(HLOOKUP(C23,Miscelaneous!C:C,3+'Village Planner'!D17,FALSE),0)</f>
        <v>240</v>
      </c>
    </row>
    <row r="24" spans="1:22" x14ac:dyDescent="0.25">
      <c r="A24">
        <v>23</v>
      </c>
      <c r="C24" s="438" t="s">
        <v>295</v>
      </c>
      <c r="D24" s="438"/>
      <c r="E24" s="355"/>
      <c r="F24">
        <f>F23-F21</f>
        <v>233</v>
      </c>
    </row>
    <row r="25" spans="1:22" x14ac:dyDescent="0.25">
      <c r="A25">
        <v>24</v>
      </c>
    </row>
    <row r="26" spans="1:22" x14ac:dyDescent="0.25">
      <c r="A26">
        <v>25</v>
      </c>
    </row>
    <row r="27" spans="1:22" x14ac:dyDescent="0.25">
      <c r="A27">
        <v>26</v>
      </c>
    </row>
    <row r="28" spans="1:22" x14ac:dyDescent="0.25">
      <c r="A28">
        <v>27</v>
      </c>
    </row>
    <row r="29" spans="1:22" x14ac:dyDescent="0.25">
      <c r="A29">
        <v>28</v>
      </c>
    </row>
    <row r="30" spans="1:22" x14ac:dyDescent="0.25">
      <c r="A30">
        <v>29</v>
      </c>
    </row>
    <row r="31" spans="1:22" x14ac:dyDescent="0.25">
      <c r="A31">
        <v>30</v>
      </c>
    </row>
  </sheetData>
  <mergeCells count="14">
    <mergeCell ref="P2:P3"/>
    <mergeCell ref="U2:U3"/>
    <mergeCell ref="V2:V3"/>
    <mergeCell ref="O2:O3"/>
    <mergeCell ref="S2:S3"/>
    <mergeCell ref="R2:R3"/>
    <mergeCell ref="Q2:Q3"/>
    <mergeCell ref="T2:T3"/>
    <mergeCell ref="C24:D24"/>
    <mergeCell ref="C23:D23"/>
    <mergeCell ref="I2:J2"/>
    <mergeCell ref="M2:M3"/>
    <mergeCell ref="N2:N3"/>
    <mergeCell ref="L2:L3"/>
  </mergeCells>
  <dataValidations count="8">
    <dataValidation type="list" allowBlank="1" showInputMessage="1" showErrorMessage="1" sqref="D17:D18 D3">
      <formula1>$A$2:$A$31</formula1>
    </dataValidation>
    <dataValidation type="list" allowBlank="1" showInputMessage="1" showErrorMessage="1" sqref="D19 D4">
      <formula1>$A$1:$A$26</formula1>
    </dataValidation>
    <dataValidation type="list" allowBlank="1" showInputMessage="1" showErrorMessage="1" sqref="D10 D20 D5">
      <formula1>$A$1:$A$21</formula1>
    </dataValidation>
    <dataValidation type="list" allowBlank="1" showInputMessage="1" showErrorMessage="1" sqref="D6">
      <formula1>$A$1:$A$16</formula1>
    </dataValidation>
    <dataValidation type="list" allowBlank="1" showInputMessage="1" showErrorMessage="1" sqref="D11:D12 D7">
      <formula1>$A$1:$A$2</formula1>
    </dataValidation>
    <dataValidation type="list" allowBlank="1" showInputMessage="1" showErrorMessage="1" sqref="D8:D9">
      <formula1>$A$1:$A$4</formula1>
    </dataValidation>
    <dataValidation type="list" allowBlank="1" showInputMessage="1" showErrorMessage="1" sqref="D13:D16">
      <formula1>$A$1:$A$31</formula1>
    </dataValidation>
    <dataValidation type="list" allowBlank="1" showInputMessage="1" showErrorMessage="1" sqref="J3:J6">
      <formula1>"aktiv,inaktiv"</formula1>
    </dataValidation>
  </dataValidation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29</vt:i4>
      </vt:variant>
    </vt:vector>
  </HeadingPairs>
  <TitlesOfParts>
    <vt:vector size="29" baseType="lpstr">
      <vt:lpstr>Overview</vt:lpstr>
      <vt:lpstr>Construction Planner</vt:lpstr>
      <vt:lpstr>Formatierung</vt:lpstr>
      <vt:lpstr>Farm Planner</vt:lpstr>
      <vt:lpstr>Angriffsplaner_Abschickzeiten</vt:lpstr>
      <vt:lpstr>Angriffsplaner_Laufzeiten</vt:lpstr>
      <vt:lpstr>Noble Planner</vt:lpstr>
      <vt:lpstr>Recruting planner</vt:lpstr>
      <vt:lpstr>Village Planner</vt:lpstr>
      <vt:lpstr>Laufzeitrechner</vt:lpstr>
      <vt:lpstr>Bashpointrechner</vt:lpstr>
      <vt:lpstr>Techs times</vt:lpstr>
      <vt:lpstr>Amortisierung Minen</vt:lpstr>
      <vt:lpstr>Ram table</vt:lpstr>
      <vt:lpstr>Catapult table</vt:lpstr>
      <vt:lpstr>Catapult table_surviving</vt:lpstr>
      <vt:lpstr>Moralrechner</vt:lpstr>
      <vt:lpstr>Bauernhofregel</vt:lpstr>
      <vt:lpstr>Simulator alt</vt:lpstr>
      <vt:lpstr>Simulator neu</vt:lpstr>
      <vt:lpstr>Construction Times</vt:lpstr>
      <vt:lpstr>Construction Costs (timber)</vt:lpstr>
      <vt:lpstr>Construction Costs (clay)</vt:lpstr>
      <vt:lpstr>Construction Costs (iron)</vt:lpstr>
      <vt:lpstr>Villagers</vt:lpstr>
      <vt:lpstr>Points</vt:lpstr>
      <vt:lpstr>Miscelaneous</vt:lpstr>
      <vt:lpstr>Unit information</vt:lpstr>
      <vt:lpstr>Translation</vt:lpstr>
    </vt:vector>
  </TitlesOfParts>
  <Company>Northwest Missouri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Patrick</cp:lastModifiedBy>
  <dcterms:created xsi:type="dcterms:W3CDTF">2008-10-01T01:55:37Z</dcterms:created>
  <dcterms:modified xsi:type="dcterms:W3CDTF">2020-06-17T22:43:26Z</dcterms:modified>
</cp:coreProperties>
</file>